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2"/>
  </bookViews>
  <sheets>
    <sheet name="RESUMO" sheetId="3" r:id="rId1"/>
    <sheet name="INJEÇÃO " sheetId="2" r:id="rId2"/>
    <sheet name="SOPRO" sheetId="4" r:id="rId3"/>
    <sheet name="Planilha1" sheetId="5" r:id="rId4"/>
  </sheets>
  <definedNames>
    <definedName name="_xlnm.Print_Area" localSheetId="0">RESUMO!$A$1:$G$22</definedName>
  </definedNames>
  <calcPr calcId="152511"/>
</workbook>
</file>

<file path=xl/calcChain.xml><?xml version="1.0" encoding="utf-8"?>
<calcChain xmlns="http://schemas.openxmlformats.org/spreadsheetml/2006/main">
  <c r="D156" i="2" l="1"/>
  <c r="C156" i="2"/>
  <c r="D184" i="2"/>
  <c r="C184" i="2"/>
  <c r="D60" i="4"/>
  <c r="C60" i="4"/>
  <c r="D53" i="4"/>
  <c r="C53" i="4"/>
  <c r="D177" i="2"/>
  <c r="C177" i="2"/>
  <c r="D149" i="2"/>
  <c r="C149" i="2"/>
  <c r="D155" i="2"/>
  <c r="C155" i="2"/>
  <c r="D183" i="2"/>
  <c r="C183" i="2"/>
  <c r="D59" i="4"/>
  <c r="C59" i="4"/>
  <c r="D221" i="2"/>
  <c r="C221" i="2"/>
  <c r="F86" i="4"/>
  <c r="D86" i="4"/>
  <c r="C86" i="4"/>
  <c r="D219" i="2" l="1"/>
  <c r="C219" i="2"/>
  <c r="D218" i="2"/>
  <c r="C218" i="2"/>
  <c r="G68" i="4" l="1"/>
  <c r="H68" i="4"/>
  <c r="G69" i="4"/>
  <c r="H69" i="4"/>
  <c r="G70" i="4"/>
  <c r="H70" i="4"/>
  <c r="G71" i="4"/>
  <c r="H71" i="4"/>
  <c r="G72" i="4"/>
  <c r="H72" i="4"/>
  <c r="D57" i="4"/>
  <c r="C57" i="4"/>
  <c r="D153" i="2"/>
  <c r="C153" i="2"/>
  <c r="D181" i="2"/>
  <c r="C181" i="2"/>
  <c r="C30" i="5" l="1"/>
  <c r="B30" i="5"/>
  <c r="D56" i="5" l="1"/>
  <c r="C23" i="5" l="1"/>
  <c r="D29" i="5"/>
  <c r="D27" i="5"/>
  <c r="D26" i="5"/>
  <c r="D25" i="5"/>
  <c r="D24" i="5"/>
  <c r="D23" i="5"/>
  <c r="E54" i="5"/>
  <c r="C55" i="5"/>
  <c r="B55" i="5"/>
  <c r="C43" i="5"/>
  <c r="B43" i="5"/>
  <c r="B56" i="5" s="1"/>
  <c r="C37" i="5"/>
  <c r="B37" i="5"/>
  <c r="C42" i="5"/>
  <c r="B26" i="5"/>
  <c r="B27" i="5"/>
  <c r="F55" i="5" l="1"/>
  <c r="F30" i="5"/>
  <c r="D105" i="2" l="1"/>
  <c r="C105" i="2"/>
  <c r="D40" i="2"/>
  <c r="C40" i="2"/>
  <c r="F38" i="4"/>
  <c r="D38" i="4"/>
  <c r="C38" i="4"/>
  <c r="D6" i="4"/>
  <c r="C6" i="4"/>
  <c r="D7" i="2"/>
  <c r="C7" i="2"/>
  <c r="D34" i="2"/>
  <c r="C34" i="2"/>
  <c r="D33" i="2"/>
  <c r="C33" i="2"/>
  <c r="D6" i="2"/>
  <c r="C6" i="2"/>
  <c r="D5" i="4"/>
  <c r="C5" i="4"/>
  <c r="D10" i="4"/>
  <c r="C10" i="4"/>
  <c r="D12" i="2"/>
  <c r="C12" i="2"/>
  <c r="D39" i="2"/>
  <c r="C39" i="2"/>
  <c r="E26" i="2"/>
  <c r="D26" i="2"/>
  <c r="G26" i="2" s="1"/>
  <c r="C26" i="2"/>
  <c r="D13" i="4"/>
  <c r="C13" i="4"/>
  <c r="E45" i="2"/>
  <c r="D45" i="2"/>
  <c r="C45" i="2"/>
  <c r="E17" i="2"/>
  <c r="D17" i="2"/>
  <c r="C17" i="2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25" i="2"/>
  <c r="H25" i="2" s="1"/>
  <c r="G116" i="2"/>
  <c r="H116" i="2" s="1"/>
  <c r="G115" i="2"/>
  <c r="H115" i="2" s="1"/>
  <c r="G114" i="2"/>
  <c r="H114" i="2" s="1"/>
  <c r="G113" i="2"/>
  <c r="H113" i="2" s="1"/>
  <c r="G112" i="2"/>
  <c r="H112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H26" i="2" l="1"/>
  <c r="D15" i="4"/>
  <c r="C15" i="4"/>
  <c r="D19" i="2"/>
  <c r="C19" i="2"/>
  <c r="D47" i="2"/>
  <c r="C47" i="2"/>
  <c r="D35" i="2"/>
  <c r="C35" i="2"/>
  <c r="D8" i="2"/>
  <c r="C8" i="2"/>
  <c r="D7" i="4"/>
  <c r="C7" i="4"/>
  <c r="D87" i="2" l="1"/>
  <c r="C87" i="2"/>
  <c r="D88" i="2"/>
  <c r="C88" i="2"/>
  <c r="D106" i="2"/>
  <c r="C106" i="2"/>
  <c r="D9" i="2" l="1"/>
  <c r="C9" i="2"/>
  <c r="D36" i="2"/>
  <c r="C36" i="2"/>
  <c r="D8" i="4"/>
  <c r="C8" i="4"/>
  <c r="E38" i="2"/>
  <c r="D38" i="2"/>
  <c r="C38" i="2"/>
  <c r="D81" i="2"/>
  <c r="C81" i="2"/>
  <c r="E13" i="4" l="1"/>
  <c r="D30" i="4"/>
  <c r="C30" i="4"/>
  <c r="G24" i="4" l="1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D39" i="4"/>
  <c r="C39" i="4"/>
  <c r="F259" i="2" l="1"/>
  <c r="D259" i="2"/>
  <c r="C39" i="5" s="1"/>
  <c r="G255" i="2"/>
  <c r="H255" i="2" s="1"/>
  <c r="G254" i="2"/>
  <c r="H254" i="2" s="1"/>
  <c r="G169" i="2" l="1"/>
  <c r="H169" i="2" s="1"/>
  <c r="G170" i="2"/>
  <c r="H170" i="2" s="1"/>
  <c r="G232" i="2" l="1"/>
  <c r="H232" i="2" s="1"/>
  <c r="G233" i="2"/>
  <c r="H233" i="2" s="1"/>
  <c r="G234" i="2"/>
  <c r="H234" i="2" s="1"/>
  <c r="D240" i="2" l="1"/>
  <c r="C38" i="5" s="1"/>
  <c r="G230" i="2"/>
  <c r="H230" i="2" s="1"/>
  <c r="G231" i="2"/>
  <c r="H231" i="2" s="1"/>
  <c r="G239" i="2"/>
  <c r="H239" i="2" s="1"/>
  <c r="G228" i="2" l="1"/>
  <c r="H228" i="2" s="1"/>
  <c r="G229" i="2"/>
  <c r="H229" i="2" s="1"/>
  <c r="G127" i="4" l="1"/>
  <c r="H127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33" i="4"/>
  <c r="H133" i="4" s="1"/>
  <c r="G126" i="4"/>
  <c r="H126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01" i="4"/>
  <c r="H101" i="4" s="1"/>
  <c r="G86" i="4"/>
  <c r="H86" i="4" s="1"/>
  <c r="G78" i="4"/>
  <c r="H78" i="4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0" i="2"/>
  <c r="H400" i="2" s="1"/>
  <c r="G394" i="2"/>
  <c r="H394" i="2" s="1"/>
  <c r="G393" i="2"/>
  <c r="H393" i="2" s="1"/>
  <c r="G387" i="2"/>
  <c r="H387" i="2" s="1"/>
  <c r="G386" i="2"/>
  <c r="H386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71" i="2"/>
  <c r="H371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53" i="2"/>
  <c r="H353" i="2" s="1"/>
  <c r="G343" i="2"/>
  <c r="H343" i="2" s="1"/>
  <c r="G344" i="2"/>
  <c r="H344" i="2" s="1"/>
  <c r="G345" i="2"/>
  <c r="H345" i="2" s="1"/>
  <c r="G346" i="2"/>
  <c r="H346" i="2" s="1"/>
  <c r="G347" i="2"/>
  <c r="H347" i="2" s="1"/>
  <c r="G342" i="2"/>
  <c r="H342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14" i="2"/>
  <c r="H314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288" i="2"/>
  <c r="H288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6" i="2"/>
  <c r="H206" i="2" s="1"/>
  <c r="G207" i="2"/>
  <c r="H207" i="2" s="1"/>
  <c r="G208" i="2"/>
  <c r="H208" i="2" s="1"/>
  <c r="G209" i="2"/>
  <c r="H209" i="2" s="1"/>
  <c r="G210" i="2"/>
  <c r="H210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8" i="2"/>
  <c r="G265" i="2"/>
  <c r="H265" i="2" s="1"/>
  <c r="G272" i="2"/>
  <c r="H272" i="2" s="1"/>
  <c r="G279" i="2"/>
  <c r="H279" i="2" s="1"/>
  <c r="G278" i="2"/>
  <c r="H278" i="2" s="1"/>
  <c r="G271" i="2"/>
  <c r="H271" i="2" s="1"/>
  <c r="G264" i="2"/>
  <c r="H264" i="2" s="1"/>
  <c r="G245" i="2"/>
  <c r="H245" i="2" s="1"/>
  <c r="G216" i="2"/>
  <c r="H216" i="2" s="1"/>
  <c r="G205" i="2"/>
  <c r="H205" i="2" s="1"/>
  <c r="G177" i="2"/>
  <c r="H177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71" i="2"/>
  <c r="H171" i="2" s="1"/>
  <c r="G149" i="2"/>
  <c r="H149" i="2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79" i="4"/>
  <c r="H79" i="4" s="1"/>
  <c r="G80" i="4"/>
  <c r="H80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53" i="4" l="1"/>
  <c r="H53" i="4" s="1"/>
  <c r="B26" i="3" l="1"/>
  <c r="B32" i="3"/>
  <c r="G11" i="4"/>
  <c r="H11" i="4" s="1"/>
  <c r="G13" i="4"/>
  <c r="H13" i="4" s="1"/>
  <c r="G15" i="4"/>
  <c r="H15" i="4" s="1"/>
  <c r="G16" i="4"/>
  <c r="H16" i="4" s="1"/>
  <c r="G17" i="4"/>
  <c r="H17" i="4" s="1"/>
  <c r="G30" i="4"/>
  <c r="H30" i="4" s="1"/>
  <c r="G31" i="4"/>
  <c r="H31" i="4" s="1"/>
  <c r="G32" i="4"/>
  <c r="H32" i="4" s="1"/>
  <c r="G38" i="4"/>
  <c r="H38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35" i="2"/>
  <c r="H35" i="2" s="1"/>
  <c r="G39" i="2"/>
  <c r="H39" i="2" s="1"/>
  <c r="G40" i="2"/>
  <c r="H40" i="2" s="1"/>
  <c r="G41" i="2"/>
  <c r="H41" i="2" s="1"/>
  <c r="G42" i="2"/>
  <c r="H42" i="2" s="1"/>
  <c r="G44" i="2"/>
  <c r="H44" i="2" s="1"/>
  <c r="G45" i="2"/>
  <c r="H45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81" i="2"/>
  <c r="H81" i="2" s="1"/>
  <c r="G83" i="2"/>
  <c r="H83" i="2" s="1"/>
  <c r="G84" i="2"/>
  <c r="H84" i="2" s="1"/>
  <c r="G85" i="2"/>
  <c r="H85" i="2" s="1"/>
  <c r="G87" i="2"/>
  <c r="H87" i="2" s="1"/>
  <c r="G88" i="2"/>
  <c r="H88" i="2" s="1"/>
  <c r="G89" i="2"/>
  <c r="H89" i="2" s="1"/>
  <c r="G90" i="2"/>
  <c r="H90" i="2" s="1"/>
  <c r="G91" i="2"/>
  <c r="H91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7" i="2"/>
  <c r="H117" i="2" s="1"/>
  <c r="G123" i="2"/>
  <c r="H123" i="2" s="1"/>
  <c r="G124" i="2"/>
  <c r="H124" i="2" s="1"/>
  <c r="G130" i="2"/>
  <c r="H130" i="2" s="1"/>
  <c r="G131" i="2"/>
  <c r="H131" i="2" s="1"/>
  <c r="G135" i="2"/>
  <c r="G137" i="2"/>
  <c r="H137" i="2" s="1"/>
  <c r="G138" i="2"/>
  <c r="H138" i="2" s="1"/>
  <c r="G139" i="2"/>
  <c r="H139" i="2" s="1"/>
  <c r="G140" i="2"/>
  <c r="H140" i="2" s="1"/>
  <c r="G8" i="2"/>
  <c r="H8" i="2" s="1"/>
  <c r="G13" i="2"/>
  <c r="H13" i="2" s="1"/>
  <c r="G14" i="2"/>
  <c r="H14" i="2" s="1"/>
  <c r="G15" i="2"/>
  <c r="H15" i="2" s="1"/>
  <c r="G16" i="2"/>
  <c r="H16" i="2" s="1"/>
  <c r="G18" i="2"/>
  <c r="H18" i="2" s="1"/>
  <c r="G19" i="2"/>
  <c r="H19" i="2" s="1"/>
  <c r="G21" i="2"/>
  <c r="H21" i="2" s="1"/>
  <c r="G22" i="2"/>
  <c r="H22" i="2" s="1"/>
  <c r="G23" i="2"/>
  <c r="H23" i="2" s="1"/>
  <c r="G24" i="2"/>
  <c r="H24" i="2" s="1"/>
  <c r="G27" i="2"/>
  <c r="H27" i="2" s="1"/>
  <c r="G33" i="2"/>
  <c r="G5" i="4"/>
  <c r="H5" i="4" s="1"/>
  <c r="G6" i="2"/>
  <c r="G86" i="2"/>
  <c r="G37" i="2"/>
  <c r="G11" i="2"/>
  <c r="G9" i="4"/>
  <c r="G14" i="4"/>
  <c r="G20" i="2"/>
  <c r="G46" i="2"/>
  <c r="G43" i="2"/>
  <c r="G17" i="2"/>
  <c r="G12" i="4"/>
  <c r="G36" i="2"/>
  <c r="G10" i="2"/>
  <c r="G8" i="4"/>
  <c r="H10" i="2" l="1"/>
  <c r="H36" i="2"/>
  <c r="H17" i="2"/>
  <c r="H43" i="2"/>
  <c r="H46" i="2"/>
  <c r="H20" i="2"/>
  <c r="H11" i="2"/>
  <c r="H37" i="2"/>
  <c r="H86" i="2"/>
  <c r="H6" i="2"/>
  <c r="H33" i="2"/>
  <c r="H8" i="4"/>
  <c r="H14" i="4"/>
  <c r="H12" i="4"/>
  <c r="H9" i="4"/>
  <c r="G7" i="2"/>
  <c r="G34" i="2"/>
  <c r="G6" i="4"/>
  <c r="H7" i="2" l="1"/>
  <c r="H6" i="4"/>
  <c r="H34" i="2"/>
  <c r="G39" i="4"/>
  <c r="H39" i="4" s="1"/>
  <c r="G82" i="2"/>
  <c r="G38" i="2"/>
  <c r="G12" i="2"/>
  <c r="G10" i="4"/>
  <c r="H10" i="4" l="1"/>
  <c r="H82" i="2"/>
  <c r="H12" i="2"/>
  <c r="H38" i="2"/>
  <c r="D47" i="4"/>
  <c r="D33" i="4"/>
  <c r="D141" i="2"/>
  <c r="D125" i="2"/>
  <c r="D118" i="2"/>
  <c r="D75" i="2"/>
  <c r="G7" i="4"/>
  <c r="H7" i="4" l="1"/>
  <c r="D25" i="4"/>
  <c r="D98" i="2"/>
  <c r="G80" i="2"/>
  <c r="H80" i="2" s="1"/>
  <c r="G9" i="2"/>
  <c r="H9" i="2" s="1"/>
  <c r="C118" i="2"/>
  <c r="B9" i="5" s="1"/>
  <c r="F141" i="2"/>
  <c r="E141" i="2"/>
  <c r="C141" i="2"/>
  <c r="B11" i="5" s="1"/>
  <c r="D64" i="2"/>
  <c r="D28" i="2"/>
  <c r="G141" i="2" l="1"/>
  <c r="D11" i="5"/>
  <c r="C11" i="5" s="1"/>
  <c r="F11" i="5" s="1"/>
  <c r="H141" i="2"/>
  <c r="F407" i="2"/>
  <c r="D381" i="2" l="1"/>
  <c r="C407" i="2" l="1"/>
  <c r="D407" i="2" l="1"/>
  <c r="E407" i="2"/>
  <c r="F395" i="2"/>
  <c r="E395" i="2"/>
  <c r="D395" i="2"/>
  <c r="C395" i="2"/>
  <c r="F388" i="2"/>
  <c r="E388" i="2"/>
  <c r="D388" i="2"/>
  <c r="C388" i="2"/>
  <c r="F381" i="2"/>
  <c r="E381" i="2"/>
  <c r="G381" i="2" s="1"/>
  <c r="C381" i="2"/>
  <c r="F366" i="2"/>
  <c r="E366" i="2"/>
  <c r="D366" i="2"/>
  <c r="C366" i="2"/>
  <c r="F348" i="2"/>
  <c r="E348" i="2"/>
  <c r="D348" i="2"/>
  <c r="C348" i="2"/>
  <c r="F337" i="2"/>
  <c r="E337" i="2"/>
  <c r="D337" i="2"/>
  <c r="F309" i="2"/>
  <c r="E309" i="2"/>
  <c r="D309" i="2"/>
  <c r="F142" i="4"/>
  <c r="E142" i="4"/>
  <c r="D142" i="4"/>
  <c r="F128" i="4"/>
  <c r="E128" i="4"/>
  <c r="D128" i="4"/>
  <c r="C128" i="4"/>
  <c r="B42" i="5" s="1"/>
  <c r="F121" i="4"/>
  <c r="E121" i="4"/>
  <c r="C121" i="4"/>
  <c r="G388" i="2" l="1"/>
  <c r="H388" i="2" s="1"/>
  <c r="G395" i="2"/>
  <c r="H395" i="2"/>
  <c r="G128" i="4"/>
  <c r="H128" i="4" s="1"/>
  <c r="G142" i="4"/>
  <c r="G309" i="2"/>
  <c r="G407" i="2"/>
  <c r="H407" i="2" s="1"/>
  <c r="G337" i="2"/>
  <c r="G348" i="2"/>
  <c r="H348" i="2" s="1"/>
  <c r="G366" i="2"/>
  <c r="H366" i="2" s="1"/>
  <c r="H381" i="2"/>
  <c r="C309" i="2"/>
  <c r="C337" i="2"/>
  <c r="C142" i="4"/>
  <c r="D121" i="4"/>
  <c r="H142" i="4" l="1"/>
  <c r="G121" i="4"/>
  <c r="H121" i="4" s="1"/>
  <c r="H337" i="2"/>
  <c r="H309" i="2"/>
  <c r="F280" i="2" l="1"/>
  <c r="E280" i="2"/>
  <c r="D280" i="2"/>
  <c r="C280" i="2"/>
  <c r="F273" i="2"/>
  <c r="E273" i="2"/>
  <c r="D273" i="2"/>
  <c r="C273" i="2"/>
  <c r="F266" i="2"/>
  <c r="E266" i="2"/>
  <c r="D266" i="2"/>
  <c r="C266" i="2"/>
  <c r="C56" i="5" l="1"/>
  <c r="G266" i="2"/>
  <c r="C26" i="5"/>
  <c r="F26" i="5" s="1"/>
  <c r="G280" i="2"/>
  <c r="H280" i="2" s="1"/>
  <c r="C27" i="5"/>
  <c r="F27" i="5" s="1"/>
  <c r="C14" i="3"/>
  <c r="H266" i="2"/>
  <c r="G273" i="2"/>
  <c r="H273" i="2" s="1"/>
  <c r="D43" i="5" l="1"/>
  <c r="F56" i="5"/>
  <c r="E95" i="4"/>
  <c r="D95" i="4"/>
  <c r="C41" i="5" s="1"/>
  <c r="F81" i="4"/>
  <c r="E81" i="4"/>
  <c r="D81" i="4"/>
  <c r="C81" i="4"/>
  <c r="F73" i="4"/>
  <c r="E73" i="4"/>
  <c r="D28" i="5" s="1"/>
  <c r="D73" i="4"/>
  <c r="C40" i="5" s="1"/>
  <c r="E259" i="2"/>
  <c r="C259" i="2"/>
  <c r="F240" i="2"/>
  <c r="E240" i="2"/>
  <c r="C240" i="2"/>
  <c r="F211" i="2"/>
  <c r="E211" i="2"/>
  <c r="D211" i="2"/>
  <c r="C211" i="2"/>
  <c r="F200" i="2"/>
  <c r="E200" i="2"/>
  <c r="D200" i="2"/>
  <c r="F172" i="2"/>
  <c r="E172" i="2"/>
  <c r="D21" i="5" s="1"/>
  <c r="D22" i="5" l="1"/>
  <c r="C36" i="5"/>
  <c r="B25" i="5"/>
  <c r="B52" i="5" s="1"/>
  <c r="B39" i="5"/>
  <c r="D39" i="5" s="1"/>
  <c r="B24" i="5"/>
  <c r="B38" i="5"/>
  <c r="D38" i="5" s="1"/>
  <c r="D37" i="5"/>
  <c r="G81" i="4"/>
  <c r="H81" i="4" s="1"/>
  <c r="C25" i="5"/>
  <c r="G259" i="2"/>
  <c r="H259" i="2" s="1"/>
  <c r="C22" i="5"/>
  <c r="G200" i="2"/>
  <c r="G211" i="2"/>
  <c r="H211" i="2" s="1"/>
  <c r="B23" i="5"/>
  <c r="C24" i="5"/>
  <c r="G240" i="2"/>
  <c r="H240" i="2" s="1"/>
  <c r="C29" i="5"/>
  <c r="G95" i="4"/>
  <c r="C28" i="5"/>
  <c r="G73" i="4"/>
  <c r="F95" i="4"/>
  <c r="C95" i="4"/>
  <c r="B41" i="5" s="1"/>
  <c r="C73" i="4"/>
  <c r="B40" i="5" s="1"/>
  <c r="D40" i="5" s="1"/>
  <c r="D172" i="2"/>
  <c r="C35" i="5" s="1"/>
  <c r="C172" i="2"/>
  <c r="B35" i="5" s="1"/>
  <c r="C200" i="2"/>
  <c r="B36" i="5" l="1"/>
  <c r="D36" i="5" s="1"/>
  <c r="D42" i="5"/>
  <c r="B29" i="5"/>
  <c r="F29" i="5" s="1"/>
  <c r="D41" i="5"/>
  <c r="B21" i="5"/>
  <c r="D35" i="5"/>
  <c r="B28" i="5"/>
  <c r="F28" i="5" s="1"/>
  <c r="F23" i="5"/>
  <c r="H73" i="4"/>
  <c r="F25" i="5"/>
  <c r="F24" i="5"/>
  <c r="B22" i="5"/>
  <c r="F22" i="5" s="1"/>
  <c r="H200" i="2"/>
  <c r="H95" i="4"/>
  <c r="C21" i="5"/>
  <c r="G172" i="2"/>
  <c r="H172" i="2" s="1"/>
  <c r="F21" i="5" l="1"/>
  <c r="G14" i="3" l="1"/>
  <c r="F14" i="3"/>
  <c r="D14" i="3" s="1"/>
  <c r="F132" i="2"/>
  <c r="G13" i="3" s="1"/>
  <c r="E132" i="2"/>
  <c r="F13" i="3" s="1"/>
  <c r="D132" i="2"/>
  <c r="C132" i="2"/>
  <c r="C13" i="3" s="1"/>
  <c r="F125" i="2"/>
  <c r="G12" i="3" s="1"/>
  <c r="E125" i="2"/>
  <c r="D10" i="5" s="1"/>
  <c r="C10" i="5" s="1"/>
  <c r="C125" i="2"/>
  <c r="C12" i="3" l="1"/>
  <c r="B10" i="5"/>
  <c r="F10" i="5" s="1"/>
  <c r="G132" i="2"/>
  <c r="H132" i="2" s="1"/>
  <c r="F12" i="3"/>
  <c r="D12" i="3" s="1"/>
  <c r="G125" i="2"/>
  <c r="H125" i="2" s="1"/>
  <c r="D13" i="3"/>
  <c r="E13" i="3" s="1"/>
  <c r="E14" i="3"/>
  <c r="C33" i="4"/>
  <c r="D5" i="3"/>
  <c r="E33" i="4"/>
  <c r="F33" i="4"/>
  <c r="G5" i="3" s="1"/>
  <c r="F98" i="2"/>
  <c r="G10" i="3" s="1"/>
  <c r="E98" i="2"/>
  <c r="D8" i="5" s="1"/>
  <c r="F118" i="2"/>
  <c r="G11" i="3" s="1"/>
  <c r="E118" i="2"/>
  <c r="D9" i="5" s="1"/>
  <c r="C11" i="3"/>
  <c r="F75" i="2"/>
  <c r="G9" i="3" s="1"/>
  <c r="E75" i="2"/>
  <c r="D7" i="5" s="1"/>
  <c r="C75" i="2"/>
  <c r="C9" i="3" s="1"/>
  <c r="F64" i="2"/>
  <c r="G8" i="3" s="1"/>
  <c r="E64" i="2"/>
  <c r="D6" i="5" s="1"/>
  <c r="F28" i="2"/>
  <c r="G7" i="3" s="1"/>
  <c r="F25" i="4"/>
  <c r="G4" i="3" s="1"/>
  <c r="E28" i="2"/>
  <c r="D5" i="5" s="1"/>
  <c r="E25" i="4"/>
  <c r="D12" i="5" s="1"/>
  <c r="F47" i="4"/>
  <c r="G6" i="3" s="1"/>
  <c r="E47" i="4"/>
  <c r="D14" i="5" s="1"/>
  <c r="D13" i="5" l="1"/>
  <c r="C13" i="5" s="1"/>
  <c r="D30" i="5"/>
  <c r="D55" i="5" s="1"/>
  <c r="C14" i="5"/>
  <c r="C54" i="5" s="1"/>
  <c r="D54" i="5"/>
  <c r="C12" i="5"/>
  <c r="C53" i="5" s="1"/>
  <c r="D53" i="5"/>
  <c r="C9" i="5"/>
  <c r="C52" i="5" s="1"/>
  <c r="D52" i="5"/>
  <c r="C5" i="5"/>
  <c r="C48" i="5" s="1"/>
  <c r="D48" i="5"/>
  <c r="C7" i="5"/>
  <c r="C50" i="5" s="1"/>
  <c r="D50" i="5"/>
  <c r="C6" i="5"/>
  <c r="C49" i="5" s="1"/>
  <c r="D49" i="5"/>
  <c r="C8" i="5"/>
  <c r="C51" i="5" s="1"/>
  <c r="D51" i="5"/>
  <c r="E12" i="3"/>
  <c r="C5" i="3"/>
  <c r="E5" i="3" s="1"/>
  <c r="B13" i="5"/>
  <c r="F13" i="5" s="1"/>
  <c r="G25" i="4"/>
  <c r="F4" i="3"/>
  <c r="D4" i="3" s="1"/>
  <c r="F6" i="3"/>
  <c r="D6" i="3" s="1"/>
  <c r="G47" i="4"/>
  <c r="F5" i="3"/>
  <c r="G33" i="4"/>
  <c r="H33" i="4" s="1"/>
  <c r="F8" i="3"/>
  <c r="D8" i="3" s="1"/>
  <c r="G64" i="2"/>
  <c r="F10" i="3"/>
  <c r="D10" i="3" s="1"/>
  <c r="G98" i="2"/>
  <c r="F11" i="3"/>
  <c r="D11" i="3" s="1"/>
  <c r="E11" i="3" s="1"/>
  <c r="G118" i="2"/>
  <c r="H118" i="2" s="1"/>
  <c r="F7" i="3"/>
  <c r="D7" i="3" s="1"/>
  <c r="G28" i="2"/>
  <c r="F9" i="3"/>
  <c r="D9" i="3" s="1"/>
  <c r="E9" i="3" s="1"/>
  <c r="G75" i="2"/>
  <c r="H75" i="2" s="1"/>
  <c r="G15" i="3"/>
  <c r="B22" i="3" s="1"/>
  <c r="B7" i="5"/>
  <c r="B50" i="5" s="1"/>
  <c r="C47" i="4"/>
  <c r="C25" i="4"/>
  <c r="C4" i="3" s="1"/>
  <c r="F15" i="3" l="1"/>
  <c r="B21" i="3" s="1"/>
  <c r="H47" i="4"/>
  <c r="H25" i="4"/>
  <c r="E4" i="3"/>
  <c r="B14" i="5"/>
  <c r="B54" i="5" s="1"/>
  <c r="C6" i="3"/>
  <c r="E6" i="3" s="1"/>
  <c r="F9" i="5"/>
  <c r="F50" i="5"/>
  <c r="F7" i="5"/>
  <c r="B12" i="5"/>
  <c r="B53" i="5" s="1"/>
  <c r="F53" i="5" s="1"/>
  <c r="C98" i="2"/>
  <c r="H98" i="2" s="1"/>
  <c r="F14" i="5" l="1"/>
  <c r="B8" i="5"/>
  <c r="B51" i="5" s="1"/>
  <c r="C10" i="3"/>
  <c r="E10" i="3" s="1"/>
  <c r="F52" i="5"/>
  <c r="F54" i="5"/>
  <c r="F12" i="5"/>
  <c r="C28" i="2"/>
  <c r="C7" i="3" l="1"/>
  <c r="H28" i="2"/>
  <c r="F8" i="5"/>
  <c r="D15" i="3"/>
  <c r="B17" i="3" s="1"/>
  <c r="B5" i="5"/>
  <c r="B48" i="5" s="1"/>
  <c r="F51" i="5"/>
  <c r="C64" i="2"/>
  <c r="H64" i="2" s="1"/>
  <c r="E7" i="3" l="1"/>
  <c r="B28" i="3"/>
  <c r="B27" i="3"/>
  <c r="B6" i="5"/>
  <c r="C8" i="3"/>
  <c r="C15" i="3" s="1"/>
  <c r="F5" i="5"/>
  <c r="H15" i="3" l="1"/>
  <c r="I15" i="3"/>
  <c r="B49" i="5"/>
  <c r="F49" i="5" s="1"/>
  <c r="F6" i="5"/>
  <c r="F48" i="5"/>
  <c r="E8" i="3"/>
  <c r="B20" i="3"/>
  <c r="B18" i="3" l="1"/>
  <c r="B19" i="3"/>
</calcChain>
</file>

<file path=xl/comments1.xml><?xml version="1.0" encoding="utf-8"?>
<comments xmlns="http://schemas.openxmlformats.org/spreadsheetml/2006/main">
  <authors>
    <author>Autor</author>
  </authors>
  <commentList>
    <comment ref="J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Margem do dia 12/12/22</t>
        </r>
      </text>
    </comment>
  </commentList>
</comments>
</file>

<file path=xl/sharedStrings.xml><?xml version="1.0" encoding="utf-8"?>
<sst xmlns="http://schemas.openxmlformats.org/spreadsheetml/2006/main" count="1178" uniqueCount="189">
  <si>
    <t xml:space="preserve">QUANTIDADES </t>
  </si>
  <si>
    <t xml:space="preserve">VALOR DA VENDA </t>
  </si>
  <si>
    <t>IPI</t>
  </si>
  <si>
    <t>FRETE</t>
  </si>
  <si>
    <t>0125 : GARRAFA SOPRADA 5L CRISTAL</t>
  </si>
  <si>
    <t>0012 : ALÇA - 5 LITROS - AZUL</t>
  </si>
  <si>
    <t>0015 : TAMPA - 5 LITROS - AZUL</t>
  </si>
  <si>
    <t>0001: PRE-FORMA 15,7G - RECICLADO</t>
  </si>
  <si>
    <t>GARRAFA SOPRADA 5L DIVERSOS</t>
  </si>
  <si>
    <t>ALÇA - 5 LITROS - DIVERSOS</t>
  </si>
  <si>
    <t>TAMPA - 5 LITROS - DIVERSOS</t>
  </si>
  <si>
    <t xml:space="preserve"> TAMPA P/ GARRAFÃO - 10/20L -DIVERSOS</t>
  </si>
  <si>
    <t>PRE-FORMA 15,7G - DIVERSOS</t>
  </si>
  <si>
    <t>PRE-FORMA 83G - DIVERSOS</t>
  </si>
  <si>
    <t>PRE-FORMA 400G - DIVERSOS</t>
  </si>
  <si>
    <t>PRE-FORMA 700G - DIVERSOS</t>
  </si>
  <si>
    <t>DESCRIÇÃO DO PRODUTO</t>
  </si>
  <si>
    <t xml:space="preserve">CENTRO </t>
  </si>
  <si>
    <t>DE LUCRO</t>
  </si>
  <si>
    <t>PEÇAS</t>
  </si>
  <si>
    <t>VENDAS</t>
  </si>
  <si>
    <t>SOPRO</t>
  </si>
  <si>
    <t>INJEÇÃO</t>
  </si>
  <si>
    <t>QUANTIDADE</t>
  </si>
  <si>
    <t>VALOR DA</t>
  </si>
  <si>
    <t xml:space="preserve">VALOR DO </t>
  </si>
  <si>
    <t xml:space="preserve">FRETE </t>
  </si>
  <si>
    <t>TOTAL GARRAFÃO 20LITROS</t>
  </si>
  <si>
    <t xml:space="preserve">PRODUTOS 5LT DIVERSOS </t>
  </si>
  <si>
    <t>PRODUTOS  20LT DIVERSOS</t>
  </si>
  <si>
    <t>PRODUTOS  ALÇA DE 5LT DIVERSOS</t>
  </si>
  <si>
    <t>PRODUTOS  TAMPA  DE 5LT DIVERSOS</t>
  </si>
  <si>
    <t xml:space="preserve">PRODUTOS  TAMPA  DE 10/20LITROS </t>
  </si>
  <si>
    <t>PRODUTOS PRÉ-FPRMA 15,7GR DIVERSOS</t>
  </si>
  <si>
    <t>PRODUTOS PRÉ-FPRMA 83GR DIVERSOS</t>
  </si>
  <si>
    <t>TOTAL</t>
  </si>
  <si>
    <t>PRODUTOS  10LT DIVERSOS</t>
  </si>
  <si>
    <t>GARRAFÃO 10L  DIVERSOS SOPRO</t>
  </si>
  <si>
    <t>GARRAFÃO 20L DIVERSOS SOPRO</t>
  </si>
  <si>
    <t>PRODUTOS PRÉ-FPRMA 154 DIVERSOS</t>
  </si>
  <si>
    <t>PRE-FORMA  155G - DIVERSOS</t>
  </si>
  <si>
    <t>PRODUTOS PRÉ-FPRMA  400GR DIVERSOS</t>
  </si>
  <si>
    <t>PRODUTOS PRÉ-FPRMA  700GR DIVERSOS</t>
  </si>
  <si>
    <t xml:space="preserve">VALOR TOTAL DAS EMBALAGENS </t>
  </si>
  <si>
    <t xml:space="preserve">VALOR TOTAL DAS MATERIAS PRIMAS </t>
  </si>
  <si>
    <t xml:space="preserve">VALOR TOTAL DOS PIGMENTOS </t>
  </si>
  <si>
    <t>VALOR TOTAL DO IPI</t>
  </si>
  <si>
    <t xml:space="preserve">VALOR TOTAL DOS FRETES </t>
  </si>
  <si>
    <t xml:space="preserve">UNITARIO </t>
  </si>
  <si>
    <t xml:space="preserve">VALOR </t>
  </si>
  <si>
    <t>%</t>
  </si>
  <si>
    <t xml:space="preserve">    Legenda:</t>
  </si>
  <si>
    <t>TOTAL DE VENDAS</t>
  </si>
  <si>
    <t>TOTAL DE GASTOS</t>
  </si>
  <si>
    <t>TOTAL DE LUCRO</t>
  </si>
  <si>
    <t>LUCRO (%)</t>
  </si>
  <si>
    <t>PREVISÃO META  FAT./ DIA</t>
  </si>
  <si>
    <t>PREVISÃO FAT./DIA REAL</t>
  </si>
  <si>
    <t>NOVA PREVISÃO FAT./DIA</t>
  </si>
  <si>
    <t>DIAS PROD</t>
  </si>
  <si>
    <t>DIAS CORRIDO</t>
  </si>
  <si>
    <t>SALDO DIAS</t>
  </si>
  <si>
    <t xml:space="preserve">DATA </t>
  </si>
  <si>
    <t xml:space="preserve">META DE FATURMENTO </t>
  </si>
  <si>
    <t>dia 24/10/2022 a 31/10/2022</t>
  </si>
  <si>
    <t>MARGEM</t>
  </si>
  <si>
    <t>CONTRIBUIÇÃO</t>
  </si>
  <si>
    <t>0009: PRE-FORMA 83G - RECICLADO</t>
  </si>
  <si>
    <t>R$/UM</t>
  </si>
  <si>
    <t>GARRAFÃO 20LT AZUL CLARO ROSCA</t>
  </si>
  <si>
    <t xml:space="preserve">PRODUTOS  TAMPA  DE 5LT VIRGEM </t>
  </si>
  <si>
    <t xml:space="preserve">PRODUTOS  ALÇA DE 5LT  </t>
  </si>
  <si>
    <t>PREÇO UND</t>
  </si>
  <si>
    <t>VALOR SEM IPI</t>
  </si>
  <si>
    <t>PEÇOS SIM IPI</t>
  </si>
  <si>
    <t>VALOR TOTAL DAS VENDAS  FATURADAS</t>
  </si>
  <si>
    <t xml:space="preserve">MARGEM </t>
  </si>
  <si>
    <t>R$ / MIL</t>
  </si>
  <si>
    <t>dia 01/11/2022 a 14/11/2022</t>
  </si>
  <si>
    <t>dia 15/11/2022 a 30/11/2022</t>
  </si>
  <si>
    <t>PRAZO</t>
  </si>
  <si>
    <t>PRE-FORMA 700GR DIVERSOS</t>
  </si>
  <si>
    <t>PRE-FORMA 155GR DIVERSOS</t>
  </si>
  <si>
    <t>GARRAFÃO 10L DIVERSOS SOPRO</t>
  </si>
  <si>
    <t>PRE-FORMA 155G - DIVERSOS</t>
  </si>
  <si>
    <t>0765: ALÇA - 5 LITROS - BRANCA RECICLADO</t>
  </si>
  <si>
    <t>0122: GARRAFÃO 10L ROSCA AZUL CLARO</t>
  </si>
  <si>
    <t>0067: PRE-FORMA 15,7G - PRATA</t>
  </si>
  <si>
    <t>Á VISTA</t>
  </si>
  <si>
    <t>dia 01/12/2022 a 15/12/2022</t>
  </si>
  <si>
    <t>dia 01/12/2022 a 15/15/2022</t>
  </si>
  <si>
    <t>FORA</t>
  </si>
  <si>
    <t xml:space="preserve">Á VISTA </t>
  </si>
  <si>
    <t>0133 : GARRAFAO 20L BAT AZUL ROYAL</t>
  </si>
  <si>
    <t>0763 : ALÇA - 5 LITROS - AZUL RECICLADO</t>
  </si>
  <si>
    <t>0762 : TAMPA - 5 LITROS - AZUL RECICLADO</t>
  </si>
  <si>
    <t>0764:TAMPA - 5 LITROS - BRANCA RECICLADO</t>
  </si>
  <si>
    <t>0134:GARRAFÃO 20L BATOQUE AZUL CLARO</t>
  </si>
  <si>
    <r>
      <t xml:space="preserve">Cliente: </t>
    </r>
    <r>
      <rPr>
        <b/>
        <sz val="12"/>
        <rFont val="Arial"/>
        <family val="2"/>
      </rPr>
      <t>SUPREMUS</t>
    </r>
  </si>
  <si>
    <r>
      <t xml:space="preserve">Cliente: </t>
    </r>
    <r>
      <rPr>
        <b/>
        <sz val="12"/>
        <color theme="1"/>
        <rFont val="Calibri"/>
        <family val="2"/>
        <scheme val="minor"/>
      </rPr>
      <t>CRISTAL TROPICAL</t>
    </r>
  </si>
  <si>
    <r>
      <t xml:space="preserve">Cliente: </t>
    </r>
    <r>
      <rPr>
        <b/>
        <sz val="12"/>
        <color theme="1"/>
        <rFont val="Calibri"/>
        <family val="2"/>
        <scheme val="minor"/>
      </rPr>
      <t>PAULO ROGÉRIO</t>
    </r>
  </si>
  <si>
    <r>
      <t xml:space="preserve">Cliente: </t>
    </r>
    <r>
      <rPr>
        <b/>
        <sz val="12"/>
        <color theme="1"/>
        <rFont val="Calibri"/>
        <family val="2"/>
        <scheme val="minor"/>
      </rPr>
      <t>CALEVI MINERADORA E COMÉRCIO</t>
    </r>
  </si>
  <si>
    <r>
      <t xml:space="preserve">Cliente: </t>
    </r>
    <r>
      <rPr>
        <b/>
        <sz val="12"/>
        <color theme="1"/>
        <rFont val="Calibri"/>
        <family val="2"/>
        <scheme val="minor"/>
      </rPr>
      <t>BOAZ LIMA</t>
    </r>
  </si>
  <si>
    <t xml:space="preserve">PRAZO </t>
  </si>
  <si>
    <r>
      <t xml:space="preserve">Cliente: </t>
    </r>
    <r>
      <rPr>
        <b/>
        <sz val="12"/>
        <rFont val="Arial"/>
        <family val="2"/>
      </rPr>
      <t>RISHON PERFUMES</t>
    </r>
  </si>
  <si>
    <r>
      <t xml:space="preserve">Cliente: </t>
    </r>
    <r>
      <rPr>
        <b/>
        <sz val="12"/>
        <color theme="1"/>
        <rFont val="Arial"/>
        <family val="2"/>
      </rPr>
      <t>TERRA MAR</t>
    </r>
  </si>
  <si>
    <r>
      <t xml:space="preserve">Cliente: </t>
    </r>
    <r>
      <rPr>
        <b/>
        <sz val="12"/>
        <color theme="1"/>
        <rFont val="Arial"/>
        <family val="2"/>
      </rPr>
      <t>RAFAEL FERREIRA DA SILVA</t>
    </r>
  </si>
  <si>
    <r>
      <t xml:space="preserve">Cliente: </t>
    </r>
    <r>
      <rPr>
        <b/>
        <sz val="12"/>
        <color theme="1"/>
        <rFont val="Arial"/>
        <family val="2"/>
      </rPr>
      <t>UNILUX INDUSTRIA E COMERCIO</t>
    </r>
  </si>
  <si>
    <r>
      <t xml:space="preserve">Cliente: </t>
    </r>
    <r>
      <rPr>
        <b/>
        <sz val="12"/>
        <color theme="1"/>
        <rFont val="Arial"/>
        <family val="2"/>
      </rPr>
      <t>R.BERNARDO DA SILVA JUNIOR</t>
    </r>
  </si>
  <si>
    <r>
      <t xml:space="preserve">Cliente: </t>
    </r>
    <r>
      <rPr>
        <b/>
        <sz val="12"/>
        <color theme="1"/>
        <rFont val="Arial"/>
        <family val="2"/>
      </rPr>
      <t>A.A BITTAR</t>
    </r>
  </si>
  <si>
    <r>
      <t xml:space="preserve">Cliente: </t>
    </r>
    <r>
      <rPr>
        <b/>
        <sz val="12"/>
        <color theme="1"/>
        <rFont val="Arial"/>
        <family val="2"/>
      </rPr>
      <t xml:space="preserve">J FERREIRA LIMA COMERCIO </t>
    </r>
  </si>
  <si>
    <r>
      <t xml:space="preserve">Cliente: </t>
    </r>
    <r>
      <rPr>
        <b/>
        <sz val="12"/>
        <color theme="1"/>
        <rFont val="Arial"/>
        <family val="2"/>
      </rPr>
      <t>ANTONIO SAVIO CABRAL</t>
    </r>
  </si>
  <si>
    <r>
      <t xml:space="preserve">Cliente: </t>
    </r>
    <r>
      <rPr>
        <b/>
        <sz val="12"/>
        <color theme="1"/>
        <rFont val="Arial"/>
        <family val="2"/>
      </rPr>
      <t xml:space="preserve">AURISTEL S. CHAGAS </t>
    </r>
  </si>
  <si>
    <r>
      <t xml:space="preserve">Cliente: </t>
    </r>
    <r>
      <rPr>
        <b/>
        <sz val="12"/>
        <color theme="1"/>
        <rFont val="Arial"/>
        <family val="2"/>
      </rPr>
      <t>ROBSON DA SILVA OLIVEIRA</t>
    </r>
  </si>
  <si>
    <r>
      <t xml:space="preserve">Cliente: </t>
    </r>
    <r>
      <rPr>
        <b/>
        <sz val="12"/>
        <color theme="1"/>
        <rFont val="Arial"/>
        <family val="2"/>
      </rPr>
      <t>NEOLIMP</t>
    </r>
  </si>
  <si>
    <r>
      <t xml:space="preserve">Cliente: </t>
    </r>
    <r>
      <rPr>
        <b/>
        <sz val="12"/>
        <color theme="1"/>
        <rFont val="Arial"/>
        <family val="2"/>
      </rPr>
      <t>TINTAS FREVO</t>
    </r>
  </si>
  <si>
    <r>
      <t xml:space="preserve">Cliente: </t>
    </r>
    <r>
      <rPr>
        <b/>
        <sz val="12"/>
        <color theme="1"/>
        <rFont val="Arial"/>
        <family val="2"/>
      </rPr>
      <t>JOSE ADALBERTO</t>
    </r>
  </si>
  <si>
    <t>dia 16/12/2022 a 30/12/2022</t>
  </si>
  <si>
    <t>0485:TAMPA P/ GARRAFÃO - 10/20L - LARANJA</t>
  </si>
  <si>
    <r>
      <t xml:space="preserve">Cliente: </t>
    </r>
    <r>
      <rPr>
        <b/>
        <sz val="12"/>
        <color theme="1"/>
        <rFont val="Arial"/>
        <family val="2"/>
      </rPr>
      <t>CARUARU POLPAS</t>
    </r>
  </si>
  <si>
    <r>
      <t xml:space="preserve">Cliente: </t>
    </r>
    <r>
      <rPr>
        <b/>
        <sz val="12"/>
        <color theme="1"/>
        <rFont val="Calibri"/>
        <family val="2"/>
        <scheme val="minor"/>
      </rPr>
      <t>RICARDO FERREIRA</t>
    </r>
  </si>
  <si>
    <t>0134:GARRAFÃO 20L BAT. AZUL CLARO</t>
  </si>
  <si>
    <r>
      <t xml:space="preserve">Cliente: </t>
    </r>
    <r>
      <rPr>
        <b/>
        <sz val="14"/>
        <color theme="1"/>
        <rFont val="Arial"/>
        <family val="2"/>
      </rPr>
      <t>A.A BITTAR</t>
    </r>
  </si>
  <si>
    <r>
      <t xml:space="preserve">Cliente: </t>
    </r>
    <r>
      <rPr>
        <b/>
        <sz val="14"/>
        <color theme="1"/>
        <rFont val="Arial"/>
        <family val="2"/>
      </rPr>
      <t xml:space="preserve">J FERREIRA LIMA COMERCIO </t>
    </r>
  </si>
  <si>
    <r>
      <t xml:space="preserve">Cliente: </t>
    </r>
    <r>
      <rPr>
        <b/>
        <sz val="14"/>
        <color theme="1"/>
        <rFont val="Arial"/>
        <family val="2"/>
      </rPr>
      <t>ANTONIO SAVIO CABRAL</t>
    </r>
  </si>
  <si>
    <r>
      <t xml:space="preserve">Cliente: </t>
    </r>
    <r>
      <rPr>
        <b/>
        <sz val="14"/>
        <color theme="1"/>
        <rFont val="Arial"/>
        <family val="2"/>
      </rPr>
      <t xml:space="preserve">AURISTEL S. CHAGAS </t>
    </r>
  </si>
  <si>
    <r>
      <t xml:space="preserve">Cliente: </t>
    </r>
    <r>
      <rPr>
        <b/>
        <sz val="14"/>
        <color theme="1"/>
        <rFont val="Arial"/>
        <family val="2"/>
      </rPr>
      <t>PAULO JOSE DO NASCIMENTO</t>
    </r>
  </si>
  <si>
    <r>
      <t xml:space="preserve">Cliente: </t>
    </r>
    <r>
      <rPr>
        <b/>
        <sz val="14"/>
        <color theme="1"/>
        <rFont val="Arial"/>
        <family val="2"/>
      </rPr>
      <t>ROBSON DA SILVA OLIVEIRA</t>
    </r>
  </si>
  <si>
    <r>
      <t xml:space="preserve">Cliente: </t>
    </r>
    <r>
      <rPr>
        <b/>
        <sz val="14"/>
        <color theme="1"/>
        <rFont val="Arial"/>
        <family val="2"/>
      </rPr>
      <t>NEOLIMP</t>
    </r>
  </si>
  <si>
    <r>
      <t xml:space="preserve">Cliente: </t>
    </r>
    <r>
      <rPr>
        <b/>
        <sz val="14"/>
        <rFont val="Arial"/>
        <family val="2"/>
      </rPr>
      <t>D E A INDUSTRIA EMBALAGENS</t>
    </r>
  </si>
  <si>
    <r>
      <t xml:space="preserve">Cliente: </t>
    </r>
    <r>
      <rPr>
        <b/>
        <sz val="14"/>
        <color theme="1"/>
        <rFont val="Arial"/>
        <family val="2"/>
      </rPr>
      <t>MBS COMERCIO E INDUSTRIA</t>
    </r>
  </si>
  <si>
    <r>
      <t xml:space="preserve">Cliente: </t>
    </r>
    <r>
      <rPr>
        <b/>
        <sz val="14"/>
        <color theme="1"/>
        <rFont val="Arial"/>
        <family val="2"/>
      </rPr>
      <t>TINTAS FREVO</t>
    </r>
  </si>
  <si>
    <r>
      <t xml:space="preserve">Cliente: </t>
    </r>
    <r>
      <rPr>
        <b/>
        <sz val="14"/>
        <color theme="1"/>
        <rFont val="Arial"/>
        <family val="2"/>
      </rPr>
      <t>RAFAEL FERREIRA DA SILVA</t>
    </r>
  </si>
  <si>
    <r>
      <t xml:space="preserve">Cliente: </t>
    </r>
    <r>
      <rPr>
        <b/>
        <sz val="14"/>
        <color theme="1"/>
        <rFont val="Arial"/>
        <family val="2"/>
      </rPr>
      <t>UNILUX INDUSTRIA E COMERCIO</t>
    </r>
  </si>
  <si>
    <r>
      <t xml:space="preserve">Cliente: </t>
    </r>
    <r>
      <rPr>
        <b/>
        <sz val="14"/>
        <color theme="1"/>
        <rFont val="Arial"/>
        <family val="2"/>
      </rPr>
      <t>R.BERNARDO DA SILVA JUNIOR</t>
    </r>
  </si>
  <si>
    <r>
      <t xml:space="preserve">Cliente: </t>
    </r>
    <r>
      <rPr>
        <b/>
        <sz val="14"/>
        <rFont val="Arial"/>
        <family val="2"/>
      </rPr>
      <t>SUPREMUS</t>
    </r>
  </si>
  <si>
    <r>
      <t xml:space="preserve">Cliente: </t>
    </r>
    <r>
      <rPr>
        <b/>
        <sz val="14"/>
        <rFont val="Arial"/>
        <family val="2"/>
      </rPr>
      <t>RISHON PERFUMES</t>
    </r>
  </si>
  <si>
    <r>
      <t xml:space="preserve">Cliente: </t>
    </r>
    <r>
      <rPr>
        <b/>
        <sz val="14"/>
        <color theme="1"/>
        <rFont val="Arial"/>
        <family val="2"/>
      </rPr>
      <t>DINAPLAST</t>
    </r>
  </si>
  <si>
    <r>
      <t xml:space="preserve">Cliente: </t>
    </r>
    <r>
      <rPr>
        <b/>
        <sz val="14"/>
        <color theme="1"/>
        <rFont val="Arial"/>
        <family val="2"/>
      </rPr>
      <t>TERRA MAR</t>
    </r>
  </si>
  <si>
    <r>
      <t xml:space="preserve">Cliente: </t>
    </r>
    <r>
      <rPr>
        <b/>
        <sz val="14"/>
        <color theme="1"/>
        <rFont val="Arial"/>
        <family val="2"/>
      </rPr>
      <t>JOSE ADALBERTO</t>
    </r>
  </si>
  <si>
    <r>
      <t xml:space="preserve">Cliente: </t>
    </r>
    <r>
      <rPr>
        <b/>
        <sz val="14"/>
        <color theme="1"/>
        <rFont val="Arial"/>
        <family val="2"/>
      </rPr>
      <t>LEVO &amp; DCASA</t>
    </r>
  </si>
  <si>
    <r>
      <t xml:space="preserve">Cliente: </t>
    </r>
    <r>
      <rPr>
        <b/>
        <sz val="14"/>
        <color theme="1"/>
        <rFont val="Arial"/>
        <family val="2"/>
      </rPr>
      <t>NINA BEBIDAS</t>
    </r>
  </si>
  <si>
    <r>
      <t xml:space="preserve">Cliente: </t>
    </r>
    <r>
      <rPr>
        <b/>
        <sz val="14"/>
        <color theme="1"/>
        <rFont val="Arial"/>
        <family val="2"/>
      </rPr>
      <t>INDUSTRIA ORIENTAL</t>
    </r>
  </si>
  <si>
    <r>
      <t xml:space="preserve">Cliente: </t>
    </r>
    <r>
      <rPr>
        <b/>
        <sz val="14"/>
        <color theme="1"/>
        <rFont val="Arial"/>
        <family val="2"/>
      </rPr>
      <t xml:space="preserve">ME DA SILVA 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</si>
  <si>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MULTIPACK EMBALAGENS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</si>
  <si>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BRILHOTEX - INDUSTRIA</t>
    </r>
  </si>
  <si>
    <r>
      <t>Cliente: </t>
    </r>
    <r>
      <rPr>
        <b/>
        <sz val="14"/>
        <color rgb="FF000000"/>
        <rFont val="Arial"/>
        <family val="2"/>
      </rPr>
      <t xml:space="preserve">MARILUX INDUSTRIA E COMERCIO 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</si>
  <si>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PAULO JOSE DO NASCIMENTO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</si>
  <si>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LIMPA FACIL INDUSTRIA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</si>
  <si>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ROSATEX DO NORDESTE PRODUTOS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</si>
  <si>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 xml:space="preserve">EDITE OLIVEIRA SEVERIANO 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</si>
  <si>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MAP INDUSTRIA E COMERCIO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</si>
  <si>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LIMPA FACIL INDUSTRIA COMERCIO</t>
    </r>
  </si>
  <si>
    <r>
      <t xml:space="preserve"> Cliente: </t>
    </r>
    <r>
      <rPr>
        <b/>
        <sz val="14"/>
        <color theme="1"/>
        <rFont val="Calibri"/>
        <family val="2"/>
        <scheme val="minor"/>
      </rPr>
      <t xml:space="preserve">ARCANJO DISTRIBUIDORA 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</si>
  <si>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DIVINUS CONDIMENTOS LTDA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</si>
  <si>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CIHUTA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</si>
  <si>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L DOS SANTOS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</si>
  <si>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ALANE COSTA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</si>
  <si>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LEVO &amp; DCASA</t>
    </r>
  </si>
  <si>
    <r>
      <t>Cliente:</t>
    </r>
    <r>
      <rPr>
        <b/>
        <sz val="14"/>
        <color theme="1"/>
        <rFont val="Calibri"/>
        <family val="2"/>
        <scheme val="minor"/>
      </rPr>
      <t xml:space="preserve"> STARLUX IND E COM 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</si>
  <si>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FORTPET IND. E COMERCIO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</si>
  <si>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 xml:space="preserve">ME DA SILVA 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</si>
  <si>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FLAVIO PATROCINIO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</si>
  <si>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DINAPLAST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</si>
  <si>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M R DA SILVA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</si>
  <si>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DD GASPAR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</si>
  <si>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CRISTAL TROPICAL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</si>
  <si>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ROSATEX DO NORDESTE</t>
    </r>
  </si>
  <si>
    <t>0010: PRE-FORMA 83G - VERMELHA</t>
  </si>
  <si>
    <r>
      <t xml:space="preserve">Cliente: </t>
    </r>
    <r>
      <rPr>
        <b/>
        <sz val="12"/>
        <color theme="1"/>
        <rFont val="Arial"/>
        <family val="2"/>
      </rPr>
      <t xml:space="preserve">NEOLIMP PRODUTOS </t>
    </r>
  </si>
  <si>
    <r>
      <t xml:space="preserve">Cliente: </t>
    </r>
    <r>
      <rPr>
        <b/>
        <sz val="12"/>
        <color theme="1"/>
        <rFont val="Arial"/>
        <family val="2"/>
      </rPr>
      <t>MANUEL AGUINALDO</t>
    </r>
  </si>
  <si>
    <r>
      <t xml:space="preserve">Cliente: </t>
    </r>
    <r>
      <rPr>
        <b/>
        <sz val="12"/>
        <color theme="1"/>
        <rFont val="Arial"/>
        <family val="2"/>
      </rPr>
      <t>SUPREMUS</t>
    </r>
  </si>
  <si>
    <r>
      <t>Cliente: </t>
    </r>
    <r>
      <rPr>
        <b/>
        <sz val="12"/>
        <color rgb="FF000000"/>
        <rFont val="Arial"/>
        <family val="2"/>
      </rPr>
      <t xml:space="preserve">MARILUX INDUSTRIA E COMERCIO </t>
    </r>
  </si>
  <si>
    <r>
      <t>Cliente: </t>
    </r>
    <r>
      <rPr>
        <b/>
        <sz val="12"/>
        <color rgb="FF000000"/>
        <rFont val="Verdana"/>
        <family val="2"/>
      </rPr>
      <t>ROBSON DA SILVA OLIVEIRA</t>
    </r>
  </si>
  <si>
    <r>
      <t>Cliente:</t>
    </r>
    <r>
      <rPr>
        <b/>
        <sz val="12"/>
        <color rgb="FF000000"/>
        <rFont val="Verdana"/>
        <family val="2"/>
      </rPr>
      <t xml:space="preserve">ROBSON DA SILVA </t>
    </r>
  </si>
  <si>
    <r>
      <t xml:space="preserve">Cliente: </t>
    </r>
    <r>
      <rPr>
        <b/>
        <sz val="12"/>
        <color theme="1"/>
        <rFont val="Arial"/>
        <family val="2"/>
      </rPr>
      <t>UNILUX INDUSTRIA</t>
    </r>
  </si>
  <si>
    <t>GARRAFÃO 20LT LARANJA</t>
  </si>
  <si>
    <r>
      <t xml:space="preserve">Cliente: </t>
    </r>
    <r>
      <rPr>
        <b/>
        <sz val="12"/>
        <color theme="1"/>
        <rFont val="Calibri"/>
        <family val="2"/>
        <scheme val="minor"/>
      </rPr>
      <t>CRISTAL MAIS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</si>
  <si>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HIDROMINAS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</si>
  <si>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>SANAFARMA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</si>
  <si>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 xml:space="preserve"> INDUSTRIA SUCOS</t>
    </r>
  </si>
  <si>
    <r>
      <t xml:space="preserve">Cliente: </t>
    </r>
    <r>
      <rPr>
        <b/>
        <sz val="12"/>
        <color theme="1"/>
        <rFont val="Arial"/>
        <family val="2"/>
      </rPr>
      <t>ROSATEX</t>
    </r>
  </si>
  <si>
    <t>0013: ALÇA - 5 LITROS - PRETA RECICLADO</t>
  </si>
  <si>
    <r>
      <t xml:space="preserve">Cliente: </t>
    </r>
    <r>
      <rPr>
        <b/>
        <sz val="14"/>
        <color theme="1"/>
        <rFont val="Calibri"/>
        <family val="2"/>
        <scheme val="minor"/>
      </rPr>
      <t xml:space="preserve"> STARLUX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</si>
  <si>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 xml:space="preserve"> M R DA SILVA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</si>
  <si>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 xml:space="preserve"> EASYCLEAN</t>
    </r>
  </si>
  <si>
    <r>
      <t xml:space="preserve">Cliente: </t>
    </r>
    <r>
      <rPr>
        <b/>
        <sz val="14"/>
        <color theme="1"/>
        <rFont val="Calibri"/>
        <family val="2"/>
        <scheme val="minor"/>
      </rPr>
      <t xml:space="preserve"> VILLAGE PIZZARIA</t>
    </r>
  </si>
  <si>
    <r>
      <t xml:space="preserve">Cliente: </t>
    </r>
    <r>
      <rPr>
        <b/>
        <sz val="12"/>
        <color theme="1"/>
        <rFont val="Arial"/>
        <family val="2"/>
      </rPr>
      <t>GELITO</t>
    </r>
  </si>
  <si>
    <r>
      <t xml:space="preserve">Cliente:  </t>
    </r>
    <r>
      <rPr>
        <b/>
        <sz val="12"/>
        <color theme="1"/>
        <rFont val="Arial"/>
        <family val="2"/>
      </rPr>
      <t xml:space="preserve">ME DA SILVA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</si>
</sst>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&quot;R$&quot;\ #,##0.000"/>
    <numFmt numFmtId="166" formatCode="_-[$R$-416]* #,##0.00_-;\-[$R$-416]* #,##0.00_-;_-[$R$-416]* &quot;-&quot;??_-;_-@_-"/>
    <numFmt numFmtId="167" formatCode="0.0%"/>
    <numFmt numFmtId="168" formatCode="_(* #,##0.00_);_(* \(#,##0.00\);_(* &quot;-&quot;??_);_(@_)"/>
    <numFmt numFmtId="169" formatCode="0.000"/>
    <numFmt numFmtId="170" formatCode="_-&quot;R$&quot;\ * #,##0.000_-;\-&quot;R$&quot;\ * #,##0.000_-;_-&quot;R$&quot;\ 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0"/>
      <name val="Cambria"/>
      <family val="1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0"/>
      <color indexed="10"/>
      <name val="Arial"/>
      <family val="2"/>
    </font>
    <font>
      <sz val="14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  <family val="2"/>
    </font>
    <font>
      <sz val="18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i/>
      <sz val="18"/>
      <color theme="0"/>
      <name val="Cambria"/>
      <family val="1"/>
    </font>
    <font>
      <sz val="18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Verdana"/>
      <family val="2"/>
    </font>
    <font>
      <b/>
      <sz val="12"/>
      <color rgb="FF000000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2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3" fillId="4" borderId="2" xfId="3" applyFont="1" applyFill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/>
    </xf>
    <xf numFmtId="0" fontId="3" fillId="4" borderId="4" xfId="3" applyFont="1" applyFill="1" applyBorder="1" applyAlignment="1">
      <alignment horizontal="center" vertical="center"/>
    </xf>
    <xf numFmtId="49" fontId="3" fillId="4" borderId="5" xfId="2" applyNumberFormat="1" applyFont="1" applyFill="1" applyBorder="1" applyAlignment="1">
      <alignment horizontal="center" vertical="center"/>
    </xf>
    <xf numFmtId="0" fontId="3" fillId="4" borderId="5" xfId="3" applyFont="1" applyFill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0" fillId="3" borderId="1" xfId="0" applyFill="1" applyBorder="1"/>
    <xf numFmtId="164" fontId="7" fillId="0" borderId="1" xfId="0" applyNumberFormat="1" applyFont="1" applyBorder="1" applyAlignment="1">
      <alignment horizontal="center"/>
    </xf>
    <xf numFmtId="0" fontId="6" fillId="0" borderId="1" xfId="0" applyFont="1" applyBorder="1"/>
    <xf numFmtId="164" fontId="0" fillId="6" borderId="0" xfId="0" applyNumberFormat="1" applyFill="1" applyAlignment="1">
      <alignment horizontal="center"/>
    </xf>
    <xf numFmtId="164" fontId="0" fillId="6" borderId="0" xfId="0" applyNumberFormat="1" applyFill="1"/>
    <xf numFmtId="164" fontId="0" fillId="3" borderId="1" xfId="0" applyNumberFormat="1" applyFill="1" applyBorder="1"/>
    <xf numFmtId="0" fontId="5" fillId="6" borderId="4" xfId="0" applyFont="1" applyFill="1" applyBorder="1" applyAlignment="1">
      <alignment horizontal="center"/>
    </xf>
    <xf numFmtId="164" fontId="0" fillId="7" borderId="0" xfId="0" applyNumberFormat="1" applyFill="1"/>
    <xf numFmtId="3" fontId="0" fillId="6" borderId="0" xfId="0" applyNumberFormat="1" applyFill="1" applyAlignment="1">
      <alignment horizontal="center"/>
    </xf>
    <xf numFmtId="0" fontId="6" fillId="3" borderId="1" xfId="0" applyFont="1" applyFill="1" applyBorder="1"/>
    <xf numFmtId="44" fontId="1" fillId="0" borderId="1" xfId="6" applyFont="1" applyBorder="1"/>
    <xf numFmtId="166" fontId="1" fillId="0" borderId="1" xfId="6" applyNumberFormat="1" applyFont="1" applyBorder="1" applyAlignment="1">
      <alignment horizontal="center"/>
    </xf>
    <xf numFmtId="44" fontId="10" fillId="0" borderId="0" xfId="6" applyFont="1"/>
    <xf numFmtId="16" fontId="8" fillId="0" borderId="1" xfId="0" applyNumberFormat="1" applyFont="1" applyBorder="1"/>
    <xf numFmtId="164" fontId="0" fillId="0" borderId="0" xfId="0" applyNumberFormat="1"/>
    <xf numFmtId="0" fontId="3" fillId="4" borderId="0" xfId="3" applyFont="1" applyFill="1" applyAlignment="1">
      <alignment horizontal="center" vertical="center"/>
    </xf>
    <xf numFmtId="164" fontId="7" fillId="6" borderId="1" xfId="0" applyNumberFormat="1" applyFont="1" applyFill="1" applyBorder="1"/>
    <xf numFmtId="167" fontId="7" fillId="6" borderId="1" xfId="8" applyNumberFormat="1" applyFont="1" applyFill="1" applyBorder="1"/>
    <xf numFmtId="165" fontId="7" fillId="5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164" fontId="11" fillId="6" borderId="1" xfId="0" applyNumberFormat="1" applyFont="1" applyFill="1" applyBorder="1"/>
    <xf numFmtId="167" fontId="11" fillId="6" borderId="1" xfId="8" applyNumberFormat="1" applyFont="1" applyFill="1" applyBorder="1"/>
    <xf numFmtId="44" fontId="7" fillId="17" borderId="0" xfId="1" applyFont="1" applyFill="1" applyAlignment="1">
      <alignment horizontal="center"/>
    </xf>
    <xf numFmtId="0" fontId="6" fillId="9" borderId="0" xfId="0" applyFont="1" applyFill="1"/>
    <xf numFmtId="0" fontId="6" fillId="3" borderId="0" xfId="0" applyFont="1" applyFill="1"/>
    <xf numFmtId="0" fontId="14" fillId="16" borderId="12" xfId="0" applyFont="1" applyFill="1" applyBorder="1" applyAlignment="1">
      <alignment horizontal="center"/>
    </xf>
    <xf numFmtId="0" fontId="15" fillId="8" borderId="1" xfId="0" applyFont="1" applyFill="1" applyBorder="1"/>
    <xf numFmtId="0" fontId="14" fillId="16" borderId="13" xfId="0" applyFont="1" applyFill="1" applyBorder="1"/>
    <xf numFmtId="0" fontId="15" fillId="5" borderId="4" xfId="0" applyFont="1" applyFill="1" applyBorder="1"/>
    <xf numFmtId="0" fontId="15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/>
    <xf numFmtId="2" fontId="6" fillId="0" borderId="1" xfId="0" applyNumberFormat="1" applyFont="1" applyBorder="1"/>
    <xf numFmtId="10" fontId="6" fillId="0" borderId="0" xfId="0" applyNumberFormat="1" applyFont="1"/>
    <xf numFmtId="2" fontId="14" fillId="0" borderId="1" xfId="0" applyNumberFormat="1" applyFont="1" applyBorder="1"/>
    <xf numFmtId="164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18" fillId="0" borderId="1" xfId="0" applyNumberFormat="1" applyFont="1" applyBorder="1"/>
    <xf numFmtId="0" fontId="15" fillId="3" borderId="1" xfId="0" applyFont="1" applyFill="1" applyBorder="1"/>
    <xf numFmtId="0" fontId="6" fillId="0" borderId="1" xfId="0" applyFont="1" applyBorder="1" applyAlignment="1">
      <alignment wrapText="1"/>
    </xf>
    <xf numFmtId="164" fontId="6" fillId="6" borderId="0" xfId="0" applyNumberFormat="1" applyFont="1" applyFill="1"/>
    <xf numFmtId="0" fontId="6" fillId="6" borderId="1" xfId="0" applyFont="1" applyFill="1" applyBorder="1"/>
    <xf numFmtId="10" fontId="6" fillId="6" borderId="1" xfId="0" applyNumberFormat="1" applyFont="1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center"/>
    </xf>
    <xf numFmtId="0" fontId="15" fillId="16" borderId="1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6" fillId="14" borderId="0" xfId="0" applyFont="1" applyFill="1"/>
    <xf numFmtId="164" fontId="6" fillId="0" borderId="1" xfId="0" applyNumberFormat="1" applyFont="1" applyBorder="1"/>
    <xf numFmtId="10" fontId="6" fillId="0" borderId="1" xfId="0" applyNumberFormat="1" applyFont="1" applyBorder="1"/>
    <xf numFmtId="10" fontId="18" fillId="0" borderId="1" xfId="0" applyNumberFormat="1" applyFont="1" applyBorder="1"/>
    <xf numFmtId="10" fontId="14" fillId="0" borderId="1" xfId="0" applyNumberFormat="1" applyFont="1" applyBorder="1"/>
    <xf numFmtId="164" fontId="6" fillId="6" borderId="1" xfId="0" applyNumberFormat="1" applyFont="1" applyFill="1" applyBorder="1"/>
    <xf numFmtId="164" fontId="6" fillId="3" borderId="1" xfId="0" applyNumberFormat="1" applyFont="1" applyFill="1" applyBorder="1"/>
    <xf numFmtId="0" fontId="15" fillId="3" borderId="1" xfId="0" applyFont="1" applyFill="1" applyBorder="1" applyAlignment="1">
      <alignment horizontal="left" wrapText="1"/>
    </xf>
    <xf numFmtId="10" fontId="6" fillId="3" borderId="0" xfId="0" applyNumberFormat="1" applyFont="1" applyFill="1"/>
    <xf numFmtId="0" fontId="15" fillId="3" borderId="1" xfId="0" applyFont="1" applyFill="1" applyBorder="1" applyAlignment="1">
      <alignment wrapText="1"/>
    </xf>
    <xf numFmtId="164" fontId="6" fillId="6" borderId="0" xfId="0" applyNumberFormat="1" applyFont="1" applyFill="1" applyAlignment="1">
      <alignment horizontal="center"/>
    </xf>
    <xf numFmtId="0" fontId="18" fillId="0" borderId="1" xfId="0" applyFont="1" applyBorder="1"/>
    <xf numFmtId="169" fontId="6" fillId="0" borderId="1" xfId="0" applyNumberFormat="1" applyFont="1" applyBorder="1"/>
    <xf numFmtId="0" fontId="19" fillId="3" borderId="1" xfId="0" applyFont="1" applyFill="1" applyBorder="1" applyAlignment="1">
      <alignment wrapText="1"/>
    </xf>
    <xf numFmtId="164" fontId="21" fillId="6" borderId="1" xfId="0" applyNumberFormat="1" applyFont="1" applyFill="1" applyBorder="1"/>
    <xf numFmtId="167" fontId="21" fillId="6" borderId="1" xfId="8" applyNumberFormat="1" applyFont="1" applyFill="1" applyBorder="1"/>
    <xf numFmtId="0" fontId="22" fillId="3" borderId="0" xfId="0" applyFont="1" applyFill="1"/>
    <xf numFmtId="0" fontId="22" fillId="0" borderId="0" xfId="0" applyFont="1"/>
    <xf numFmtId="0" fontId="23" fillId="3" borderId="11" xfId="0" applyFont="1" applyFill="1" applyBorder="1" applyAlignment="1">
      <alignment horizontal="center"/>
    </xf>
    <xf numFmtId="0" fontId="24" fillId="16" borderId="12" xfId="0" applyFont="1" applyFill="1" applyBorder="1" applyAlignment="1">
      <alignment horizontal="center"/>
    </xf>
    <xf numFmtId="0" fontId="25" fillId="10" borderId="2" xfId="0" applyFont="1" applyFill="1" applyBorder="1" applyAlignment="1">
      <alignment horizontal="center"/>
    </xf>
    <xf numFmtId="0" fontId="26" fillId="10" borderId="2" xfId="3" applyFont="1" applyFill="1" applyBorder="1" applyAlignment="1">
      <alignment horizontal="center" vertical="center"/>
    </xf>
    <xf numFmtId="0" fontId="26" fillId="10" borderId="0" xfId="3" applyFont="1" applyFill="1" applyBorder="1" applyAlignment="1">
      <alignment horizontal="center" vertical="center"/>
    </xf>
    <xf numFmtId="0" fontId="26" fillId="10" borderId="3" xfId="3" applyFont="1" applyFill="1" applyBorder="1" applyAlignment="1">
      <alignment horizontal="center" vertical="center"/>
    </xf>
    <xf numFmtId="0" fontId="24" fillId="16" borderId="13" xfId="0" applyFont="1" applyFill="1" applyBorder="1"/>
    <xf numFmtId="0" fontId="26" fillId="10" borderId="1" xfId="2" applyFont="1" applyFill="1" applyBorder="1" applyAlignment="1">
      <alignment horizontal="center" vertical="center"/>
    </xf>
    <xf numFmtId="0" fontId="26" fillId="10" borderId="6" xfId="3" applyFont="1" applyFill="1" applyBorder="1" applyAlignment="1">
      <alignment horizontal="center" vertical="center"/>
    </xf>
    <xf numFmtId="0" fontId="26" fillId="10" borderId="9" xfId="3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/>
    </xf>
    <xf numFmtId="0" fontId="22" fillId="3" borderId="6" xfId="0" applyFont="1" applyFill="1" applyBorder="1" applyAlignment="1">
      <alignment vertical="center"/>
    </xf>
    <xf numFmtId="3" fontId="22" fillId="0" borderId="6" xfId="0" applyNumberFormat="1" applyFont="1" applyBorder="1" applyAlignment="1">
      <alignment horizontal="center" vertical="center"/>
    </xf>
    <xf numFmtId="44" fontId="22" fillId="0" borderId="6" xfId="1" applyFont="1" applyBorder="1" applyAlignment="1">
      <alignment horizontal="center" vertical="center"/>
    </xf>
    <xf numFmtId="44" fontId="22" fillId="0" borderId="0" xfId="1" applyFont="1" applyBorder="1"/>
    <xf numFmtId="170" fontId="22" fillId="0" borderId="6" xfId="1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horizontal="center"/>
    </xf>
    <xf numFmtId="10" fontId="22" fillId="0" borderId="0" xfId="8" applyNumberFormat="1" applyFont="1" applyAlignment="1">
      <alignment horizontal="center"/>
    </xf>
    <xf numFmtId="0" fontId="22" fillId="3" borderId="1" xfId="0" applyFont="1" applyFill="1" applyBorder="1" applyAlignment="1">
      <alignment vertical="center"/>
    </xf>
    <xf numFmtId="3" fontId="22" fillId="0" borderId="1" xfId="0" applyNumberFormat="1" applyFont="1" applyBorder="1" applyAlignment="1">
      <alignment horizontal="center" vertical="center"/>
    </xf>
    <xf numFmtId="44" fontId="22" fillId="0" borderId="1" xfId="1" applyFont="1" applyBorder="1" applyAlignment="1">
      <alignment horizontal="center" vertical="center"/>
    </xf>
    <xf numFmtId="170" fontId="22" fillId="0" borderId="1" xfId="1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44" fontId="22" fillId="0" borderId="0" xfId="1" applyFont="1" applyBorder="1" applyAlignment="1">
      <alignment horizontal="center" vertical="center"/>
    </xf>
    <xf numFmtId="44" fontId="22" fillId="3" borderId="0" xfId="1" applyFont="1" applyFill="1"/>
    <xf numFmtId="0" fontId="25" fillId="11" borderId="2" xfId="0" applyFont="1" applyFill="1" applyBorder="1" applyAlignment="1">
      <alignment horizontal="center" vertical="center"/>
    </xf>
    <xf numFmtId="0" fontId="26" fillId="11" borderId="8" xfId="3" applyFont="1" applyFill="1" applyBorder="1" applyAlignment="1">
      <alignment horizontal="center" vertical="center"/>
    </xf>
    <xf numFmtId="44" fontId="26" fillId="11" borderId="2" xfId="1" applyFont="1" applyFill="1" applyBorder="1" applyAlignment="1">
      <alignment horizontal="center" vertical="center"/>
    </xf>
    <xf numFmtId="44" fontId="26" fillId="11" borderId="0" xfId="1" applyFont="1" applyFill="1" applyBorder="1" applyAlignment="1">
      <alignment horizontal="center" vertical="center"/>
    </xf>
    <xf numFmtId="44" fontId="26" fillId="11" borderId="3" xfId="1" applyFont="1" applyFill="1" applyBorder="1" applyAlignment="1">
      <alignment horizontal="center" vertical="center"/>
    </xf>
    <xf numFmtId="0" fontId="26" fillId="11" borderId="1" xfId="2" applyFont="1" applyFill="1" applyBorder="1" applyAlignment="1">
      <alignment horizontal="center" vertical="center"/>
    </xf>
    <xf numFmtId="0" fontId="26" fillId="11" borderId="10" xfId="3" applyFont="1" applyFill="1" applyBorder="1" applyAlignment="1">
      <alignment horizontal="center" vertical="center"/>
    </xf>
    <xf numFmtId="44" fontId="26" fillId="11" borderId="6" xfId="1" applyFont="1" applyFill="1" applyBorder="1" applyAlignment="1">
      <alignment horizontal="center" vertical="center"/>
    </xf>
    <xf numFmtId="44" fontId="26" fillId="11" borderId="9" xfId="1" applyFont="1" applyFill="1" applyBorder="1" applyAlignment="1">
      <alignment horizontal="center" vertical="center"/>
    </xf>
    <xf numFmtId="0" fontId="22" fillId="3" borderId="6" xfId="0" applyFont="1" applyFill="1" applyBorder="1"/>
    <xf numFmtId="3" fontId="22" fillId="0" borderId="6" xfId="0" applyNumberFormat="1" applyFont="1" applyBorder="1" applyAlignment="1">
      <alignment horizontal="center"/>
    </xf>
    <xf numFmtId="44" fontId="22" fillId="0" borderId="6" xfId="1" applyFont="1" applyBorder="1" applyAlignment="1">
      <alignment horizontal="center"/>
    </xf>
    <xf numFmtId="170" fontId="22" fillId="0" borderId="6" xfId="1" applyNumberFormat="1" applyFont="1" applyBorder="1" applyAlignment="1">
      <alignment horizontal="center"/>
    </xf>
    <xf numFmtId="170" fontId="22" fillId="0" borderId="0" xfId="1" applyNumberFormat="1" applyFont="1" applyBorder="1" applyAlignment="1">
      <alignment horizontal="center"/>
    </xf>
    <xf numFmtId="0" fontId="22" fillId="3" borderId="1" xfId="0" applyFont="1" applyFill="1" applyBorder="1"/>
    <xf numFmtId="3" fontId="22" fillId="0" borderId="1" xfId="0" applyNumberFormat="1" applyFont="1" applyBorder="1" applyAlignment="1">
      <alignment horizontal="center"/>
    </xf>
    <xf numFmtId="44" fontId="22" fillId="0" borderId="1" xfId="1" applyFont="1" applyBorder="1" applyAlignment="1">
      <alignment horizontal="center"/>
    </xf>
    <xf numFmtId="170" fontId="22" fillId="0" borderId="1" xfId="1" applyNumberFormat="1" applyFont="1" applyBorder="1" applyAlignment="1">
      <alignment horizont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44" fontId="22" fillId="0" borderId="0" xfId="1" applyFont="1" applyBorder="1" applyAlignment="1">
      <alignment horizontal="center"/>
    </xf>
    <xf numFmtId="0" fontId="25" fillId="15" borderId="2" xfId="0" applyFont="1" applyFill="1" applyBorder="1" applyAlignment="1">
      <alignment horizontal="center" vertical="center"/>
    </xf>
    <xf numFmtId="0" fontId="26" fillId="15" borderId="8" xfId="3" applyFont="1" applyFill="1" applyBorder="1" applyAlignment="1">
      <alignment horizontal="center" vertical="center"/>
    </xf>
    <xf numFmtId="44" fontId="26" fillId="15" borderId="2" xfId="1" applyFont="1" applyFill="1" applyBorder="1" applyAlignment="1">
      <alignment horizontal="center" vertical="center"/>
    </xf>
    <xf numFmtId="44" fontId="26" fillId="15" borderId="3" xfId="1" applyFont="1" applyFill="1" applyBorder="1" applyAlignment="1">
      <alignment horizontal="center" vertical="center"/>
    </xf>
    <xf numFmtId="44" fontId="26" fillId="15" borderId="0" xfId="1" applyFont="1" applyFill="1" applyBorder="1" applyAlignment="1">
      <alignment horizontal="center" vertical="center"/>
    </xf>
    <xf numFmtId="0" fontId="26" fillId="15" borderId="1" xfId="2" applyFont="1" applyFill="1" applyBorder="1" applyAlignment="1">
      <alignment horizontal="center" vertical="center"/>
    </xf>
    <xf numFmtId="0" fontId="26" fillId="15" borderId="10" xfId="3" applyFont="1" applyFill="1" applyBorder="1" applyAlignment="1">
      <alignment horizontal="center" vertical="center"/>
    </xf>
    <xf numFmtId="44" fontId="26" fillId="15" borderId="6" xfId="1" applyFont="1" applyFill="1" applyBorder="1" applyAlignment="1">
      <alignment horizontal="center" vertical="center"/>
    </xf>
    <xf numFmtId="44" fontId="26" fillId="15" borderId="9" xfId="1" applyFont="1" applyFill="1" applyBorder="1" applyAlignment="1">
      <alignment horizontal="center" vertical="center"/>
    </xf>
    <xf numFmtId="3" fontId="22" fillId="0" borderId="0" xfId="0" applyNumberFormat="1" applyFont="1" applyAlignment="1">
      <alignment horizontal="center"/>
    </xf>
    <xf numFmtId="0" fontId="26" fillId="12" borderId="2" xfId="2" applyFont="1" applyFill="1" applyBorder="1" applyAlignment="1">
      <alignment horizontal="center" vertical="center"/>
    </xf>
    <xf numFmtId="0" fontId="26" fillId="12" borderId="8" xfId="3" applyFont="1" applyFill="1" applyBorder="1" applyAlignment="1">
      <alignment horizontal="center" vertical="center"/>
    </xf>
    <xf numFmtId="0" fontId="26" fillId="12" borderId="2" xfId="3" applyFont="1" applyFill="1" applyBorder="1" applyAlignment="1">
      <alignment horizontal="center" vertical="center"/>
    </xf>
    <xf numFmtId="0" fontId="26" fillId="12" borderId="0" xfId="3" applyFont="1" applyFill="1" applyBorder="1" applyAlignment="1">
      <alignment horizontal="center" vertical="center"/>
    </xf>
    <xf numFmtId="0" fontId="26" fillId="12" borderId="3" xfId="3" applyFont="1" applyFill="1" applyBorder="1" applyAlignment="1">
      <alignment horizontal="center" vertical="center"/>
    </xf>
    <xf numFmtId="49" fontId="26" fillId="12" borderId="6" xfId="2" applyNumberFormat="1" applyFont="1" applyFill="1" applyBorder="1" applyAlignment="1">
      <alignment horizontal="center" vertical="center"/>
    </xf>
    <xf numFmtId="0" fontId="26" fillId="12" borderId="10" xfId="3" applyFont="1" applyFill="1" applyBorder="1" applyAlignment="1">
      <alignment horizontal="center" vertical="center"/>
    </xf>
    <xf numFmtId="0" fontId="26" fillId="12" borderId="6" xfId="3" applyFont="1" applyFill="1" applyBorder="1" applyAlignment="1">
      <alignment horizontal="center" vertical="center"/>
    </xf>
    <xf numFmtId="0" fontId="26" fillId="12" borderId="9" xfId="3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/>
    </xf>
    <xf numFmtId="44" fontId="22" fillId="3" borderId="0" xfId="1" applyFont="1" applyFill="1" applyBorder="1" applyAlignment="1">
      <alignment horizontal="center"/>
    </xf>
    <xf numFmtId="44" fontId="22" fillId="3" borderId="0" xfId="1" applyFont="1" applyFill="1" applyBorder="1"/>
    <xf numFmtId="0" fontId="28" fillId="13" borderId="0" xfId="0" applyFont="1" applyFill="1" applyAlignment="1">
      <alignment horizontal="center"/>
    </xf>
    <xf numFmtId="3" fontId="28" fillId="13" borderId="0" xfId="0" applyNumberFormat="1" applyFont="1" applyFill="1" applyAlignment="1">
      <alignment horizontal="center"/>
    </xf>
    <xf numFmtId="44" fontId="22" fillId="0" borderId="1" xfId="1" applyFont="1" applyBorder="1"/>
    <xf numFmtId="2" fontId="22" fillId="0" borderId="1" xfId="0" applyNumberFormat="1" applyFont="1" applyBorder="1" applyAlignment="1">
      <alignment horizontal="center"/>
    </xf>
    <xf numFmtId="10" fontId="22" fillId="0" borderId="1" xfId="8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10" fontId="27" fillId="0" borderId="1" xfId="8" applyNumberFormat="1" applyFont="1" applyBorder="1" applyAlignment="1">
      <alignment horizontal="center"/>
    </xf>
    <xf numFmtId="44" fontId="7" fillId="5" borderId="0" xfId="1" applyFont="1" applyFill="1" applyBorder="1" applyAlignment="1"/>
    <xf numFmtId="9" fontId="7" fillId="5" borderId="0" xfId="8" applyFont="1" applyFill="1"/>
    <xf numFmtId="0" fontId="7" fillId="9" borderId="0" xfId="0" applyFont="1" applyFill="1"/>
    <xf numFmtId="0" fontId="7" fillId="3" borderId="0" xfId="0" applyFont="1" applyFill="1"/>
    <xf numFmtId="0" fontId="11" fillId="16" borderId="12" xfId="0" applyFont="1" applyFill="1" applyBorder="1" applyAlignment="1">
      <alignment horizontal="center"/>
    </xf>
    <xf numFmtId="0" fontId="29" fillId="8" borderId="1" xfId="0" applyFont="1" applyFill="1" applyBorder="1"/>
    <xf numFmtId="0" fontId="11" fillId="16" borderId="13" xfId="0" applyFont="1" applyFill="1" applyBorder="1"/>
    <xf numFmtId="0" fontId="29" fillId="8" borderId="6" xfId="0" applyFont="1" applyFill="1" applyBorder="1"/>
    <xf numFmtId="0" fontId="29" fillId="5" borderId="6" xfId="0" applyFont="1" applyFill="1" applyBorder="1"/>
    <xf numFmtId="0" fontId="29" fillId="5" borderId="6" xfId="0" applyFont="1" applyFill="1" applyBorder="1" applyAlignment="1">
      <alignment horizontal="center"/>
    </xf>
    <xf numFmtId="0" fontId="29" fillId="5" borderId="4" xfId="0" applyFont="1" applyFill="1" applyBorder="1"/>
    <xf numFmtId="0" fontId="29" fillId="5" borderId="15" xfId="0" applyFont="1" applyFill="1" applyBorder="1"/>
    <xf numFmtId="0" fontId="29" fillId="16" borderId="14" xfId="0" applyFont="1" applyFill="1" applyBorder="1" applyAlignment="1">
      <alignment horizontal="center"/>
    </xf>
    <xf numFmtId="0" fontId="30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29" fillId="0" borderId="1" xfId="0" applyFont="1" applyBorder="1" applyAlignment="1">
      <alignment horizontal="center"/>
    </xf>
    <xf numFmtId="164" fontId="7" fillId="0" borderId="0" xfId="0" applyNumberFormat="1" applyFont="1"/>
    <xf numFmtId="165" fontId="7" fillId="0" borderId="1" xfId="0" applyNumberFormat="1" applyFont="1" applyBorder="1"/>
    <xf numFmtId="2" fontId="7" fillId="0" borderId="6" xfId="0" applyNumberFormat="1" applyFont="1" applyBorder="1"/>
    <xf numFmtId="167" fontId="7" fillId="0" borderId="6" xfId="8" applyNumberFormat="1" applyFont="1" applyBorder="1"/>
    <xf numFmtId="2" fontId="7" fillId="0" borderId="1" xfId="0" applyNumberFormat="1" applyFont="1" applyBorder="1"/>
    <xf numFmtId="167" fontId="7" fillId="0" borderId="1" xfId="8" applyNumberFormat="1" applyFont="1" applyBorder="1"/>
    <xf numFmtId="10" fontId="7" fillId="0" borderId="0" xfId="0" applyNumberFormat="1" applyFont="1"/>
    <xf numFmtId="2" fontId="11" fillId="0" borderId="1" xfId="0" applyNumberFormat="1" applyFont="1" applyBorder="1"/>
    <xf numFmtId="167" fontId="11" fillId="0" borderId="1" xfId="8" applyNumberFormat="1" applyFont="1" applyBorder="1"/>
    <xf numFmtId="0" fontId="29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29" fillId="3" borderId="0" xfId="0" applyFon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/>
    </xf>
    <xf numFmtId="2" fontId="21" fillId="0" borderId="1" xfId="0" applyNumberFormat="1" applyFont="1" applyBorder="1"/>
    <xf numFmtId="167" fontId="21" fillId="0" borderId="1" xfId="8" applyNumberFormat="1" applyFont="1" applyBorder="1"/>
    <xf numFmtId="0" fontId="29" fillId="3" borderId="1" xfId="0" applyFont="1" applyFill="1" applyBorder="1"/>
    <xf numFmtId="164" fontId="29" fillId="3" borderId="1" xfId="0" applyNumberFormat="1" applyFont="1" applyFill="1" applyBorder="1" applyAlignment="1">
      <alignment horizontal="center"/>
    </xf>
    <xf numFmtId="0" fontId="30" fillId="0" borderId="1" xfId="0" applyFont="1" applyBorder="1" applyAlignment="1">
      <alignment wrapText="1"/>
    </xf>
    <xf numFmtId="0" fontId="29" fillId="0" borderId="1" xfId="0" applyFont="1" applyBorder="1"/>
    <xf numFmtId="0" fontId="29" fillId="6" borderId="1" xfId="0" applyFont="1" applyFill="1" applyBorder="1" applyAlignment="1">
      <alignment horizontal="center"/>
    </xf>
    <xf numFmtId="164" fontId="29" fillId="6" borderId="1" xfId="0" applyNumberFormat="1" applyFont="1" applyFill="1" applyBorder="1" applyAlignment="1">
      <alignment horizontal="center"/>
    </xf>
    <xf numFmtId="164" fontId="7" fillId="6" borderId="0" xfId="0" applyNumberFormat="1" applyFont="1" applyFill="1"/>
    <xf numFmtId="165" fontId="7" fillId="6" borderId="1" xfId="0" applyNumberFormat="1" applyFont="1" applyFill="1" applyBorder="1"/>
    <xf numFmtId="0" fontId="7" fillId="6" borderId="1" xfId="0" applyFont="1" applyFill="1" applyBorder="1"/>
    <xf numFmtId="10" fontId="7" fillId="6" borderId="1" xfId="0" applyNumberFormat="1" applyFont="1" applyFill="1" applyBorder="1"/>
    <xf numFmtId="164" fontId="7" fillId="3" borderId="0" xfId="0" applyNumberFormat="1" applyFont="1" applyFill="1"/>
    <xf numFmtId="165" fontId="7" fillId="3" borderId="0" xfId="0" applyNumberFormat="1" applyFont="1" applyFill="1"/>
    <xf numFmtId="0" fontId="7" fillId="0" borderId="7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/>
    <xf numFmtId="165" fontId="7" fillId="0" borderId="0" xfId="0" applyNumberFormat="1" applyFont="1"/>
    <xf numFmtId="0" fontId="2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16" borderId="13" xfId="0" applyFont="1" applyFill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29" fillId="6" borderId="1" xfId="0" applyFont="1" applyFill="1" applyBorder="1"/>
    <xf numFmtId="0" fontId="34" fillId="0" borderId="0" xfId="0" applyFont="1"/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9" fontId="21" fillId="0" borderId="1" xfId="0" applyNumberFormat="1" applyFont="1" applyBorder="1"/>
    <xf numFmtId="9" fontId="7" fillId="6" borderId="1" xfId="0" applyNumberFormat="1" applyFont="1" applyFill="1" applyBorder="1"/>
    <xf numFmtId="167" fontId="7" fillId="0" borderId="1" xfId="0" applyNumberFormat="1" applyFont="1" applyBorder="1"/>
    <xf numFmtId="0" fontId="29" fillId="0" borderId="0" xfId="0" applyFont="1" applyAlignment="1">
      <alignment wrapText="1"/>
    </xf>
    <xf numFmtId="46" fontId="7" fillId="2" borderId="1" xfId="0" applyNumberFormat="1" applyFont="1" applyFill="1" applyBorder="1" applyAlignment="1">
      <alignment wrapText="1"/>
    </xf>
    <xf numFmtId="167" fontId="21" fillId="0" borderId="1" xfId="0" applyNumberFormat="1" applyFont="1" applyBorder="1"/>
    <xf numFmtId="0" fontId="29" fillId="0" borderId="7" xfId="0" applyFont="1" applyBorder="1"/>
    <xf numFmtId="0" fontId="29" fillId="0" borderId="6" xfId="0" applyFont="1" applyBorder="1"/>
    <xf numFmtId="0" fontId="29" fillId="0" borderId="6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2" fontId="7" fillId="6" borderId="1" xfId="0" applyNumberFormat="1" applyFont="1" applyFill="1" applyBorder="1"/>
    <xf numFmtId="167" fontId="7" fillId="6" borderId="1" xfId="0" applyNumberFormat="1" applyFont="1" applyFill="1" applyBorder="1"/>
    <xf numFmtId="0" fontId="7" fillId="14" borderId="0" xfId="0" applyFont="1" applyFill="1"/>
    <xf numFmtId="0" fontId="36" fillId="0" borderId="0" xfId="0" applyFont="1"/>
    <xf numFmtId="0" fontId="38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2" fillId="3" borderId="0" xfId="0" applyFont="1" applyFill="1" applyAlignment="1">
      <alignment horizontal="left" vertical="center"/>
    </xf>
    <xf numFmtId="0" fontId="22" fillId="3" borderId="11" xfId="0" applyFont="1" applyFill="1" applyBorder="1" applyAlignment="1">
      <alignment horizontal="left" vertical="center"/>
    </xf>
  </cellXfs>
  <cellStyles count="10">
    <cellStyle name="Moeda" xfId="1" builtinId="4"/>
    <cellStyle name="Moeda 2" xfId="6"/>
    <cellStyle name="Normal" xfId="0" builtinId="0"/>
    <cellStyle name="Normal 2" xfId="2"/>
    <cellStyle name="Normal 3" xfId="3"/>
    <cellStyle name="Porcentagem" xfId="8" builtinId="5"/>
    <cellStyle name="Porcentagem 2" xfId="4"/>
    <cellStyle name="Porcentagem 4" xfId="7"/>
    <cellStyle name="Vírgula 2" xfId="9"/>
    <cellStyle name="Vírgula 4" xfId="5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0</xdr:row>
      <xdr:rowOff>28574</xdr:rowOff>
    </xdr:from>
    <xdr:to>
      <xdr:col>0</xdr:col>
      <xdr:colOff>1905000</xdr:colOff>
      <xdr:row>1</xdr:row>
      <xdr:rowOff>95249</xdr:rowOff>
    </xdr:to>
    <xdr:grpSp>
      <xdr:nvGrpSpPr>
        <xdr:cNvPr id="6" name="Agrupar 5">
          <a:extLst>
            <a:ext uri="{FF2B5EF4-FFF2-40B4-BE49-F238E27FC236}">
              <a16:creationId xmlns="" xmlns:a16="http://schemas.microsoft.com/office/drawing/2014/main" id="{F4740039-129F-7089-2E3A-7FF403357FCD}"/>
            </a:ext>
          </a:extLst>
        </xdr:cNvPr>
        <xdr:cNvGrpSpPr/>
      </xdr:nvGrpSpPr>
      <xdr:grpSpPr>
        <a:xfrm>
          <a:off x="828675" y="28574"/>
          <a:ext cx="1076325" cy="371475"/>
          <a:chOff x="19050" y="19049"/>
          <a:chExt cx="1076325" cy="257175"/>
        </a:xfrm>
      </xdr:grpSpPr>
      <xdr:sp macro="" textlink="">
        <xdr:nvSpPr>
          <xdr:cNvPr id="5" name="CaixaDeTexto 4">
            <a:extLst>
              <a:ext uri="{FF2B5EF4-FFF2-40B4-BE49-F238E27FC236}">
                <a16:creationId xmlns="" xmlns:a16="http://schemas.microsoft.com/office/drawing/2014/main" id="{2679FEFA-A963-5F62-1C70-83E6C10DBF68}"/>
              </a:ext>
            </a:extLst>
          </xdr:cNvPr>
          <xdr:cNvSpPr txBox="1"/>
        </xdr:nvSpPr>
        <xdr:spPr>
          <a:xfrm>
            <a:off x="19050" y="19049"/>
            <a:ext cx="10763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      1º Semana </a:t>
            </a:r>
          </a:p>
        </xdr:txBody>
      </xdr:sp>
      <xdr:sp macro="" textlink="">
        <xdr:nvSpPr>
          <xdr:cNvPr id="2" name="Retângulo 1">
            <a:extLst>
              <a:ext uri="{FF2B5EF4-FFF2-40B4-BE49-F238E27FC236}">
                <a16:creationId xmlns="" xmlns:a16="http://schemas.microsoft.com/office/drawing/2014/main" id="{0B535BEF-4E68-3F29-4CE4-E9D6282075D5}"/>
              </a:ext>
            </a:extLst>
          </xdr:cNvPr>
          <xdr:cNvSpPr/>
        </xdr:nvSpPr>
        <xdr:spPr>
          <a:xfrm>
            <a:off x="57150" y="76200"/>
            <a:ext cx="190500" cy="161925"/>
          </a:xfrm>
          <a:prstGeom prst="rect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2047875</xdr:colOff>
      <xdr:row>0</xdr:row>
      <xdr:rowOff>28575</xdr:rowOff>
    </xdr:from>
    <xdr:to>
      <xdr:col>0</xdr:col>
      <xdr:colOff>3124200</xdr:colOff>
      <xdr:row>1</xdr:row>
      <xdr:rowOff>95250</xdr:rowOff>
    </xdr:to>
    <xdr:grpSp>
      <xdr:nvGrpSpPr>
        <xdr:cNvPr id="7" name="Agrupar 6">
          <a:extLst>
            <a:ext uri="{FF2B5EF4-FFF2-40B4-BE49-F238E27FC236}">
              <a16:creationId xmlns="" xmlns:a16="http://schemas.microsoft.com/office/drawing/2014/main" id="{B5FD89B9-2992-D373-C532-3F966C48754A}"/>
            </a:ext>
          </a:extLst>
        </xdr:cNvPr>
        <xdr:cNvGrpSpPr/>
      </xdr:nvGrpSpPr>
      <xdr:grpSpPr>
        <a:xfrm>
          <a:off x="2047875" y="28575"/>
          <a:ext cx="1076325" cy="371475"/>
          <a:chOff x="19050" y="19049"/>
          <a:chExt cx="1076325" cy="257175"/>
        </a:xfrm>
      </xdr:grpSpPr>
      <xdr:sp macro="" textlink="">
        <xdr:nvSpPr>
          <xdr:cNvPr id="8" name="CaixaDeTexto 7">
            <a:extLst>
              <a:ext uri="{FF2B5EF4-FFF2-40B4-BE49-F238E27FC236}">
                <a16:creationId xmlns="" xmlns:a16="http://schemas.microsoft.com/office/drawing/2014/main" id="{3A2B9A0F-FE64-5FEE-BE9B-D89FC59B7B43}"/>
              </a:ext>
            </a:extLst>
          </xdr:cNvPr>
          <xdr:cNvSpPr txBox="1"/>
        </xdr:nvSpPr>
        <xdr:spPr>
          <a:xfrm>
            <a:off x="19050" y="19049"/>
            <a:ext cx="10763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      2º Semana</a:t>
            </a:r>
          </a:p>
        </xdr:txBody>
      </xdr:sp>
      <xdr:sp macro="" textlink="">
        <xdr:nvSpPr>
          <xdr:cNvPr id="9" name="Retângulo 8">
            <a:extLst>
              <a:ext uri="{FF2B5EF4-FFF2-40B4-BE49-F238E27FC236}">
                <a16:creationId xmlns="" xmlns:a16="http://schemas.microsoft.com/office/drawing/2014/main" id="{BE796D28-8D33-5B91-83E4-6C05A9800731}"/>
              </a:ext>
            </a:extLst>
          </xdr:cNvPr>
          <xdr:cNvSpPr/>
        </xdr:nvSpPr>
        <xdr:spPr>
          <a:xfrm>
            <a:off x="57150" y="76200"/>
            <a:ext cx="190500" cy="161925"/>
          </a:xfrm>
          <a:prstGeom prst="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1302543</xdr:colOff>
      <xdr:row>0</xdr:row>
      <xdr:rowOff>28575</xdr:rowOff>
    </xdr:from>
    <xdr:to>
      <xdr:col>2</xdr:col>
      <xdr:colOff>340518</xdr:colOff>
      <xdr:row>1</xdr:row>
      <xdr:rowOff>95250</xdr:rowOff>
    </xdr:to>
    <xdr:grpSp>
      <xdr:nvGrpSpPr>
        <xdr:cNvPr id="10" name="Agrupar 9">
          <a:extLst>
            <a:ext uri="{FF2B5EF4-FFF2-40B4-BE49-F238E27FC236}">
              <a16:creationId xmlns="" xmlns:a16="http://schemas.microsoft.com/office/drawing/2014/main" id="{B7CD8E0E-6AC8-EC97-512B-61EED0CA25CD}"/>
            </a:ext>
          </a:extLst>
        </xdr:cNvPr>
        <xdr:cNvGrpSpPr/>
      </xdr:nvGrpSpPr>
      <xdr:grpSpPr>
        <a:xfrm>
          <a:off x="5760243" y="28575"/>
          <a:ext cx="1000125" cy="371475"/>
          <a:chOff x="19050" y="19049"/>
          <a:chExt cx="1076325" cy="257175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="" xmlns:a16="http://schemas.microsoft.com/office/drawing/2014/main" id="{7AD1C13B-0895-EA3E-FA84-52EDE66FFF23}"/>
              </a:ext>
            </a:extLst>
          </xdr:cNvPr>
          <xdr:cNvSpPr txBox="1"/>
        </xdr:nvSpPr>
        <xdr:spPr>
          <a:xfrm>
            <a:off x="19050" y="19049"/>
            <a:ext cx="10763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      Total</a:t>
            </a:r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="" xmlns:a16="http://schemas.microsoft.com/office/drawing/2014/main" id="{7BAB8153-8820-F3B2-72C3-5F841C291B07}"/>
              </a:ext>
            </a:extLst>
          </xdr:cNvPr>
          <xdr:cNvSpPr/>
        </xdr:nvSpPr>
        <xdr:spPr>
          <a:xfrm>
            <a:off x="57148" y="76200"/>
            <a:ext cx="252798" cy="152399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47625</xdr:colOff>
      <xdr:row>0</xdr:row>
      <xdr:rowOff>28575</xdr:rowOff>
    </xdr:from>
    <xdr:to>
      <xdr:col>1</xdr:col>
      <xdr:colOff>1123950</xdr:colOff>
      <xdr:row>1</xdr:row>
      <xdr:rowOff>95250</xdr:rowOff>
    </xdr:to>
    <xdr:grpSp>
      <xdr:nvGrpSpPr>
        <xdr:cNvPr id="14" name="Agrupar 13">
          <a:extLst>
            <a:ext uri="{FF2B5EF4-FFF2-40B4-BE49-F238E27FC236}">
              <a16:creationId xmlns="" xmlns:a16="http://schemas.microsoft.com/office/drawing/2014/main" id="{B5B00595-A39E-7E75-AB22-A3CC913B4B88}"/>
            </a:ext>
          </a:extLst>
        </xdr:cNvPr>
        <xdr:cNvGrpSpPr/>
      </xdr:nvGrpSpPr>
      <xdr:grpSpPr>
        <a:xfrm>
          <a:off x="4505325" y="28575"/>
          <a:ext cx="1076325" cy="371475"/>
          <a:chOff x="19050" y="19049"/>
          <a:chExt cx="1076325" cy="257175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="" xmlns:a16="http://schemas.microsoft.com/office/drawing/2014/main" id="{5B595F70-EC1F-67A9-8A47-05C47423CB68}"/>
              </a:ext>
            </a:extLst>
          </xdr:cNvPr>
          <xdr:cNvSpPr txBox="1"/>
        </xdr:nvSpPr>
        <xdr:spPr>
          <a:xfrm>
            <a:off x="19050" y="19049"/>
            <a:ext cx="10763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      3º Semana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="" xmlns:a16="http://schemas.microsoft.com/office/drawing/2014/main" id="{C2003EB4-4096-6266-5CDD-E207DCA5DD34}"/>
              </a:ext>
            </a:extLst>
          </xdr:cNvPr>
          <xdr:cNvSpPr/>
        </xdr:nvSpPr>
        <xdr:spPr>
          <a:xfrm>
            <a:off x="57150" y="76200"/>
            <a:ext cx="190500" cy="161925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zoomScale="95" zoomScaleNormal="95" workbookViewId="0">
      <pane xSplit="2" topLeftCell="C1" activePane="topRight" state="frozen"/>
      <selection pane="topRight" activeCell="A27" sqref="A27"/>
    </sheetView>
  </sheetViews>
  <sheetFormatPr defaultRowHeight="15" x14ac:dyDescent="0.25"/>
  <cols>
    <col min="1" max="1" width="49.85546875" bestFit="1" customWidth="1"/>
    <col min="2" max="2" width="15.140625" bestFit="1" customWidth="1"/>
    <col min="3" max="3" width="21.28515625" customWidth="1"/>
    <col min="4" max="5" width="17.85546875" customWidth="1"/>
    <col min="6" max="6" width="14.85546875" customWidth="1"/>
    <col min="7" max="7" width="16.85546875" customWidth="1"/>
    <col min="8" max="8" width="19.85546875" customWidth="1"/>
    <col min="9" max="9" width="17" customWidth="1"/>
    <col min="10" max="10" width="15.42578125" customWidth="1"/>
  </cols>
  <sheetData>
    <row r="1" spans="1:10" s="9" customFormat="1" ht="15.75" x14ac:dyDescent="0.25">
      <c r="A1" s="5" t="s">
        <v>16</v>
      </c>
      <c r="B1" s="4" t="s">
        <v>17</v>
      </c>
      <c r="C1" s="4" t="s">
        <v>23</v>
      </c>
      <c r="D1" s="4" t="s">
        <v>24</v>
      </c>
      <c r="E1" s="8" t="s">
        <v>49</v>
      </c>
      <c r="F1" s="8" t="s">
        <v>25</v>
      </c>
      <c r="G1" s="8" t="s">
        <v>25</v>
      </c>
      <c r="H1" s="4" t="s">
        <v>65</v>
      </c>
      <c r="I1" s="4" t="s">
        <v>65</v>
      </c>
    </row>
    <row r="2" spans="1:10" s="9" customFormat="1" ht="15.75" x14ac:dyDescent="0.25">
      <c r="A2" s="7"/>
      <c r="B2" s="6" t="s">
        <v>18</v>
      </c>
      <c r="C2" s="6" t="s">
        <v>19</v>
      </c>
      <c r="D2" s="6" t="s">
        <v>20</v>
      </c>
      <c r="E2" s="8" t="s">
        <v>48</v>
      </c>
      <c r="F2" s="8" t="s">
        <v>2</v>
      </c>
      <c r="G2" s="8" t="s">
        <v>26</v>
      </c>
      <c r="H2" s="6" t="s">
        <v>66</v>
      </c>
      <c r="I2" s="6" t="s">
        <v>66</v>
      </c>
    </row>
    <row r="3" spans="1:10" s="9" customFormat="1" ht="15.75" x14ac:dyDescent="0.25">
      <c r="A3" s="7"/>
      <c r="B3" s="6"/>
      <c r="C3" s="6"/>
      <c r="D3" s="6"/>
      <c r="E3" s="8"/>
      <c r="F3" s="8"/>
      <c r="G3" s="8"/>
      <c r="H3" s="28" t="s">
        <v>68</v>
      </c>
      <c r="I3" s="28" t="s">
        <v>50</v>
      </c>
    </row>
    <row r="4" spans="1:10" s="12" customFormat="1" ht="18" customHeight="1" x14ac:dyDescent="0.3">
      <c r="A4" s="15" t="s">
        <v>8</v>
      </c>
      <c r="B4" s="10" t="s">
        <v>21</v>
      </c>
      <c r="C4" s="11">
        <f>SOPRO!C25+SOPRO!C73+SOPRO!C121</f>
        <v>81816</v>
      </c>
      <c r="D4" s="14">
        <f>SOPRO!D25+SOPRO!D73+SOPRO!D121-F4</f>
        <v>134858.89000000001</v>
      </c>
      <c r="E4" s="31">
        <f>D4/C4</f>
        <v>1.6483192774029531</v>
      </c>
      <c r="F4" s="14">
        <f>SOPRO!E25+SOPRO!E73+SOPRO!E121</f>
        <v>2904.83</v>
      </c>
      <c r="G4" s="14">
        <f>SOPRO!F25+SOPRO!F73+SOPRO!F121</f>
        <v>350</v>
      </c>
      <c r="H4" s="29"/>
      <c r="I4" s="30"/>
      <c r="J4" s="35">
        <v>1.6400115124846499</v>
      </c>
    </row>
    <row r="5" spans="1:10" s="12" customFormat="1" ht="17.25" customHeight="1" x14ac:dyDescent="0.3">
      <c r="A5" s="3" t="s">
        <v>37</v>
      </c>
      <c r="B5" s="10" t="s">
        <v>21</v>
      </c>
      <c r="C5" s="11">
        <f>SOPRO!C33+SOPRO!C81+SOPRO!C128</f>
        <v>18</v>
      </c>
      <c r="D5" s="14">
        <f>SOPRO!D33+SOPRO!D81+SOPRO!D128</f>
        <v>260.82</v>
      </c>
      <c r="E5" s="31">
        <f t="shared" ref="E5:E13" si="0">D5/C5</f>
        <v>14.49</v>
      </c>
      <c r="F5" s="14">
        <f>SOPRO!E33+SOPRO!E81+SOPRO!E128</f>
        <v>0</v>
      </c>
      <c r="G5" s="14">
        <f>SOPRO!F33+SOPRO!F81+SOPRO!F128</f>
        <v>0</v>
      </c>
      <c r="H5" s="29"/>
      <c r="I5" s="30"/>
      <c r="J5" s="35">
        <v>14.49</v>
      </c>
    </row>
    <row r="6" spans="1:10" s="12" customFormat="1" ht="19.5" customHeight="1" x14ac:dyDescent="0.3">
      <c r="A6" s="3" t="s">
        <v>38</v>
      </c>
      <c r="B6" s="10" t="s">
        <v>21</v>
      </c>
      <c r="C6" s="11">
        <f>SOPRO!C47+SOPRO!C95+SOPRO!C142</f>
        <v>33912</v>
      </c>
      <c r="D6" s="14">
        <f>SOPRO!D47+SOPRO!D95+SOPRO!D142-F6</f>
        <v>534710.30000000005</v>
      </c>
      <c r="E6" s="31">
        <f t="shared" si="0"/>
        <v>15.767583746166551</v>
      </c>
      <c r="F6" s="14">
        <f>SOPRO!E47+SOPRO!E95+SOPRO!E142</f>
        <v>0</v>
      </c>
      <c r="G6" s="14">
        <f>SOPRO!F47+SOPRO!F95+SOPRO!F142</f>
        <v>4800</v>
      </c>
      <c r="H6" s="29"/>
      <c r="I6" s="30"/>
      <c r="J6" s="35">
        <v>15.838516783762685</v>
      </c>
    </row>
    <row r="7" spans="1:10" s="12" customFormat="1" ht="18.75" x14ac:dyDescent="0.3">
      <c r="A7" s="13" t="s">
        <v>9</v>
      </c>
      <c r="B7" s="10" t="s">
        <v>22</v>
      </c>
      <c r="C7" s="11">
        <f>'INJEÇÃO '!C28+'INJEÇÃO '!C172+'INJEÇÃO '!C309</f>
        <v>229846</v>
      </c>
      <c r="D7" s="14">
        <f>'INJEÇÃO '!D28+'INJEÇÃO '!D172+'INJEÇÃO '!D309-F7</f>
        <v>29198.910000000003</v>
      </c>
      <c r="E7" s="31">
        <f>D7/C7</f>
        <v>0.12703684205946592</v>
      </c>
      <c r="F7" s="14">
        <f>'INJEÇÃO '!E28+'INJEÇÃO '!E172+'INJEÇÃO '!E309</f>
        <v>1476.9499999999998</v>
      </c>
      <c r="G7" s="14">
        <f>'INJEÇÃO '!F28+'INJEÇÃO '!F172+'INJEÇÃO '!F309</f>
        <v>0</v>
      </c>
      <c r="H7" s="29"/>
      <c r="I7" s="30"/>
      <c r="J7" s="35">
        <v>0.12599134902511855</v>
      </c>
    </row>
    <row r="8" spans="1:10" s="12" customFormat="1" ht="18.75" x14ac:dyDescent="0.3">
      <c r="A8" s="13" t="s">
        <v>10</v>
      </c>
      <c r="B8" s="10" t="s">
        <v>22</v>
      </c>
      <c r="C8" s="11">
        <f>'INJEÇÃO '!C64+'INJEÇÃO '!C200+'INJEÇÃO '!C337</f>
        <v>277772</v>
      </c>
      <c r="D8" s="14">
        <f>'INJEÇÃO '!D64+'INJEÇÃO '!D200+'INJEÇÃO '!D337-F8</f>
        <v>33609.919999999998</v>
      </c>
      <c r="E8" s="31">
        <f t="shared" si="0"/>
        <v>0.12099822876315827</v>
      </c>
      <c r="F8" s="14">
        <f>'INJEÇÃO '!E64+'INJEÇÃO '!E200+'INJEÇÃO '!E337</f>
        <v>658.56999999999994</v>
      </c>
      <c r="G8" s="14">
        <f>'INJEÇÃO '!F64+'INJEÇÃO '!F200+'INJEÇÃO '!F337</f>
        <v>0</v>
      </c>
      <c r="H8" s="29"/>
      <c r="I8" s="30"/>
      <c r="J8" s="35">
        <v>0.12196711675399705</v>
      </c>
    </row>
    <row r="9" spans="1:10" s="12" customFormat="1" ht="18.75" x14ac:dyDescent="0.3">
      <c r="A9" s="1" t="s">
        <v>11</v>
      </c>
      <c r="B9" s="10" t="s">
        <v>22</v>
      </c>
      <c r="C9" s="11">
        <f>'INJEÇÃO '!C75+'INJEÇÃO '!C211+'INJEÇÃO '!C348</f>
        <v>176000</v>
      </c>
      <c r="D9" s="14">
        <f>'INJEÇÃO '!D75+'INJEÇÃO '!D211+'INJEÇÃO '!D348-F9</f>
        <v>26400</v>
      </c>
      <c r="E9" s="31">
        <f t="shared" si="0"/>
        <v>0.15</v>
      </c>
      <c r="F9" s="14">
        <f>'INJEÇÃO '!E75+'INJEÇÃO '!E211+'INJEÇÃO '!E348</f>
        <v>858</v>
      </c>
      <c r="G9" s="14">
        <f>'INJEÇÃO '!F75+'INJEÇÃO '!F211+'INJEÇÃO '!F348</f>
        <v>0</v>
      </c>
      <c r="H9" s="29"/>
      <c r="I9" s="30"/>
      <c r="J9" s="35" t="e">
        <v>#DIV/0!</v>
      </c>
    </row>
    <row r="10" spans="1:10" s="12" customFormat="1" ht="18.75" x14ac:dyDescent="0.3">
      <c r="A10" s="1" t="s">
        <v>12</v>
      </c>
      <c r="B10" s="10" t="s">
        <v>22</v>
      </c>
      <c r="C10" s="11">
        <f>'INJEÇÃO '!C98+'INJEÇÃO '!C240+'INJEÇÃO '!C366</f>
        <v>1851360</v>
      </c>
      <c r="D10" s="14">
        <f>'INJEÇÃO '!D98+'INJEÇÃO '!D240+'INJEÇÃO '!D366-F10</f>
        <v>418455</v>
      </c>
      <c r="E10" s="31">
        <f t="shared" si="0"/>
        <v>0.22602573243453461</v>
      </c>
      <c r="F10" s="14">
        <f>'INJEÇÃO '!E98+'INJEÇÃO '!E240+'INJEÇÃO '!E366</f>
        <v>0</v>
      </c>
      <c r="G10" s="14">
        <f>'INJEÇÃO '!F98+'INJEÇÃO '!F240+'INJEÇÃO '!F366</f>
        <v>0</v>
      </c>
      <c r="H10" s="29"/>
      <c r="I10" s="30"/>
      <c r="J10" s="35">
        <v>0.22521144947007019</v>
      </c>
    </row>
    <row r="11" spans="1:10" s="12" customFormat="1" ht="18.75" x14ac:dyDescent="0.3">
      <c r="A11" s="1" t="s">
        <v>13</v>
      </c>
      <c r="B11" s="10" t="s">
        <v>22</v>
      </c>
      <c r="C11" s="11">
        <f>'INJEÇÃO '!C118+'INJEÇÃO '!C259+'INJEÇÃO '!C381</f>
        <v>256000</v>
      </c>
      <c r="D11" s="14">
        <f>'INJEÇÃO '!D118+'INJEÇÃO '!D259+'INJEÇÃO '!D381-F11</f>
        <v>321737.59999999998</v>
      </c>
      <c r="E11" s="31">
        <f t="shared" si="0"/>
        <v>1.2567874999999999</v>
      </c>
      <c r="F11" s="14">
        <f>'INJEÇÃO '!E118+'INJEÇÃO '!E259+'INJEÇÃO '!E381</f>
        <v>0</v>
      </c>
      <c r="G11" s="14">
        <f>'INJEÇÃO '!F118+'INJEÇÃO '!F259+'INJEÇÃO '!F381</f>
        <v>350</v>
      </c>
      <c r="H11" s="77"/>
      <c r="I11" s="78"/>
      <c r="J11" s="35">
        <v>1.2898000000000003</v>
      </c>
    </row>
    <row r="12" spans="1:10" s="12" customFormat="1" ht="18.75" x14ac:dyDescent="0.3">
      <c r="A12" s="1" t="s">
        <v>40</v>
      </c>
      <c r="B12" s="10" t="s">
        <v>22</v>
      </c>
      <c r="C12" s="11">
        <f>'INJEÇÃO '!C125+'INJEÇÃO '!C266+'INJEÇÃO '!C388</f>
        <v>0</v>
      </c>
      <c r="D12" s="14">
        <f>'INJEÇÃO '!D125+'INJEÇÃO '!D266+'INJEÇÃO '!D388-F12</f>
        <v>0</v>
      </c>
      <c r="E12" s="31" t="e">
        <f t="shared" si="0"/>
        <v>#DIV/0!</v>
      </c>
      <c r="F12" s="14">
        <f>'INJEÇÃO '!E125+'INJEÇÃO '!E266+'INJEÇÃO '!E388</f>
        <v>0</v>
      </c>
      <c r="G12" s="14">
        <f>'INJEÇÃO '!F125+'INJEÇÃO '!F266+'INJEÇÃO '!F388</f>
        <v>0</v>
      </c>
      <c r="H12" s="33"/>
      <c r="I12" s="34"/>
      <c r="J12" s="35" t="e">
        <v>#DIV/0!</v>
      </c>
    </row>
    <row r="13" spans="1:10" s="12" customFormat="1" ht="18.75" x14ac:dyDescent="0.3">
      <c r="A13" s="1" t="s">
        <v>14</v>
      </c>
      <c r="B13" s="10" t="s">
        <v>22</v>
      </c>
      <c r="C13" s="11">
        <f>'INJEÇÃO '!C132+'INJEÇÃO '!C273+'INJEÇÃO '!C395</f>
        <v>0</v>
      </c>
      <c r="D13" s="14">
        <f>'INJEÇÃO '!D132+'INJEÇÃO '!D273+'INJEÇÃO '!D395-F13</f>
        <v>0</v>
      </c>
      <c r="E13" s="31" t="e">
        <f t="shared" si="0"/>
        <v>#DIV/0!</v>
      </c>
      <c r="F13" s="14">
        <f>'INJEÇÃO '!E132+'INJEÇÃO '!E273+'INJEÇÃO '!E395</f>
        <v>0</v>
      </c>
      <c r="G13" s="14">
        <f>'INJEÇÃO '!F132+'INJEÇÃO '!F273+'INJEÇÃO '!F395</f>
        <v>0</v>
      </c>
      <c r="H13" s="29"/>
      <c r="I13" s="30"/>
      <c r="J13" s="35" t="e">
        <v>#DIV/0!</v>
      </c>
    </row>
    <row r="14" spans="1:10" s="12" customFormat="1" ht="18.75" x14ac:dyDescent="0.3">
      <c r="A14" s="1" t="s">
        <v>15</v>
      </c>
      <c r="B14" s="10" t="s">
        <v>22</v>
      </c>
      <c r="C14" s="11">
        <f>'INJEÇÃO '!C141+'INJEÇÃO '!C280+'INJEÇÃO '!C407</f>
        <v>0</v>
      </c>
      <c r="D14" s="14">
        <f>'INJEÇÃO '!D141+'INJEÇÃO '!D280+'INJEÇÃO '!D407-F14</f>
        <v>0</v>
      </c>
      <c r="E14" s="31" t="e">
        <f>D14/C14</f>
        <v>#DIV/0!</v>
      </c>
      <c r="F14" s="14">
        <f>'INJEÇÃO '!E141+'INJEÇÃO '!E280+'INJEÇÃO '!E407</f>
        <v>0</v>
      </c>
      <c r="G14" s="14">
        <f>'INJEÇÃO '!F141+'INJEÇÃO '!F280+'INJEÇÃO '!F407</f>
        <v>0</v>
      </c>
      <c r="H14" s="29"/>
      <c r="I14" s="30"/>
      <c r="J14" s="35" t="e">
        <v>#DIV/0!</v>
      </c>
    </row>
    <row r="15" spans="1:10" ht="18.75" x14ac:dyDescent="0.3">
      <c r="B15" s="19" t="s">
        <v>35</v>
      </c>
      <c r="C15" s="21">
        <f>SUM(C4:C14)</f>
        <v>2906724</v>
      </c>
      <c r="D15" s="16">
        <f>SUM(D4:D14)</f>
        <v>1499231.44</v>
      </c>
      <c r="E15" s="16"/>
      <c r="F15" s="16">
        <f>SUM(F4:F14)</f>
        <v>5898.3499999999995</v>
      </c>
      <c r="G15" s="16">
        <f>SUM(G4:G14)</f>
        <v>5500</v>
      </c>
      <c r="H15" s="160">
        <f>((C4*H4)+(C5*H5)+(C6*H6)+(C7*H7)+(C8*H8)+(C9*H9)+(C10*H10)+(C11*H11)+(C12*H12)+(C13*H13)+(C14*H14))/C15</f>
        <v>0</v>
      </c>
      <c r="I15" s="161">
        <f>((C4*I4)+(C5*I5)+(C6*I6)+(C7*I7)+(C8*I8)+(C9*I9)+(C10*I10)+(C11*I11)+(C12*I12)+(C13*I13)+(C14*I14))/C15</f>
        <v>0</v>
      </c>
    </row>
    <row r="17" spans="1:7" x14ac:dyDescent="0.25">
      <c r="A17" t="s">
        <v>75</v>
      </c>
      <c r="B17" s="17">
        <f>D15+F15</f>
        <v>1505129.79</v>
      </c>
      <c r="D17" s="237"/>
      <c r="E17" s="238"/>
    </row>
    <row r="18" spans="1:7" hidden="1" x14ac:dyDescent="0.25">
      <c r="A18" t="s">
        <v>43</v>
      </c>
      <c r="B18" s="20" t="e">
        <f>#REF!</f>
        <v>#REF!</v>
      </c>
    </row>
    <row r="19" spans="1:7" hidden="1" x14ac:dyDescent="0.25">
      <c r="A19" t="s">
        <v>44</v>
      </c>
      <c r="B19" s="20" t="e">
        <f>#REF!</f>
        <v>#REF!</v>
      </c>
    </row>
    <row r="20" spans="1:7" hidden="1" x14ac:dyDescent="0.25">
      <c r="A20" t="s">
        <v>45</v>
      </c>
      <c r="B20" s="20" t="e">
        <f>#REF!</f>
        <v>#REF!</v>
      </c>
    </row>
    <row r="21" spans="1:7" hidden="1" x14ac:dyDescent="0.25">
      <c r="A21" t="s">
        <v>46</v>
      </c>
      <c r="B21" s="20">
        <f>F15</f>
        <v>5898.3499999999995</v>
      </c>
    </row>
    <row r="22" spans="1:7" hidden="1" x14ac:dyDescent="0.25">
      <c r="A22" t="s">
        <v>47</v>
      </c>
      <c r="B22" s="20">
        <f>G15</f>
        <v>5500</v>
      </c>
    </row>
    <row r="23" spans="1:7" x14ac:dyDescent="0.25">
      <c r="D23" s="27"/>
      <c r="G23" s="27"/>
    </row>
    <row r="24" spans="1:7" x14ac:dyDescent="0.25">
      <c r="D24" s="27"/>
    </row>
    <row r="25" spans="1:7" x14ac:dyDescent="0.25">
      <c r="A25" s="13" t="s">
        <v>63</v>
      </c>
      <c r="B25" s="18">
        <v>2436000</v>
      </c>
      <c r="F25" s="27"/>
    </row>
    <row r="26" spans="1:7" x14ac:dyDescent="0.25">
      <c r="A26" s="1" t="s">
        <v>56</v>
      </c>
      <c r="B26" s="23">
        <f>B25/B30</f>
        <v>93692.307692307688</v>
      </c>
    </row>
    <row r="27" spans="1:7" x14ac:dyDescent="0.25">
      <c r="A27" s="1" t="s">
        <v>57</v>
      </c>
      <c r="B27" s="23">
        <f>B17/B31</f>
        <v>301025.95799999998</v>
      </c>
    </row>
    <row r="28" spans="1:7" x14ac:dyDescent="0.25">
      <c r="A28" s="1" t="s">
        <v>58</v>
      </c>
      <c r="B28" s="24">
        <f>(B25-B17)/B32</f>
        <v>44327.152857142857</v>
      </c>
    </row>
    <row r="29" spans="1:7" x14ac:dyDescent="0.25">
      <c r="B29" s="25"/>
    </row>
    <row r="30" spans="1:7" x14ac:dyDescent="0.25">
      <c r="A30" s="2" t="s">
        <v>59</v>
      </c>
      <c r="B30" s="2">
        <v>26</v>
      </c>
    </row>
    <row r="31" spans="1:7" x14ac:dyDescent="0.25">
      <c r="A31" s="2" t="s">
        <v>60</v>
      </c>
      <c r="B31" s="2">
        <v>5</v>
      </c>
    </row>
    <row r="32" spans="1:7" x14ac:dyDescent="0.25">
      <c r="A32" s="2" t="s">
        <v>61</v>
      </c>
      <c r="B32" s="2">
        <f>B30-B31</f>
        <v>21</v>
      </c>
    </row>
    <row r="33" spans="1:2" x14ac:dyDescent="0.25">
      <c r="A33" s="2" t="s">
        <v>62</v>
      </c>
      <c r="B33" s="26">
        <v>44900</v>
      </c>
    </row>
  </sheetData>
  <mergeCells count="1">
    <mergeCell ref="D17:E17"/>
  </mergeCells>
  <pageMargins left="0.51181102362204722" right="0.51181102362204722" top="0.78740157480314965" bottom="0.78740157480314965" header="0.31496062992125984" footer="0.31496062992125984"/>
  <pageSetup paperSize="9" scale="42" fitToHeight="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8"/>
  <sheetViews>
    <sheetView topLeftCell="A243" zoomScale="80" zoomScaleNormal="80" workbookViewId="0">
      <pane xSplit="1" topLeftCell="B1" activePane="topRight" state="frozen"/>
      <selection pane="topRight" activeCell="L253" sqref="L253"/>
    </sheetView>
  </sheetViews>
  <sheetFormatPr defaultRowHeight="18.75" x14ac:dyDescent="0.3"/>
  <cols>
    <col min="1" max="2" width="54.5703125" style="12" customWidth="1"/>
    <col min="3" max="3" width="15.140625" style="12" bestFit="1" customWidth="1"/>
    <col min="4" max="4" width="18.5703125" style="12" bestFit="1" customWidth="1"/>
    <col min="5" max="5" width="16.5703125" style="12" bestFit="1" customWidth="1"/>
    <col min="6" max="6" width="9.42578125" style="12" customWidth="1"/>
    <col min="7" max="7" width="16.5703125" style="12" hidden="1" customWidth="1"/>
    <col min="8" max="8" width="12.28515625" style="12" bestFit="1" customWidth="1"/>
    <col min="9" max="9" width="15" style="12" bestFit="1" customWidth="1"/>
    <col min="10" max="10" width="14.7109375" style="12" customWidth="1"/>
    <col min="11" max="11" width="10.140625" style="12" customWidth="1"/>
    <col min="12" max="12" width="9.140625" style="12"/>
    <col min="13" max="13" width="9.28515625" style="12" bestFit="1" customWidth="1"/>
    <col min="14" max="16384" width="9.140625" style="12"/>
  </cols>
  <sheetData>
    <row r="1" spans="1:12" x14ac:dyDescent="0.3">
      <c r="A1" s="162"/>
      <c r="B1" s="162"/>
      <c r="C1" s="162"/>
      <c r="D1" s="162"/>
      <c r="E1" s="162"/>
      <c r="F1" s="162"/>
      <c r="G1" s="162"/>
      <c r="H1" s="162"/>
      <c r="I1" s="162"/>
    </row>
    <row r="2" spans="1:12" ht="19.5" hidden="1" thickBot="1" x14ac:dyDescent="0.35">
      <c r="A2" s="163"/>
      <c r="B2" s="163"/>
      <c r="C2" s="163"/>
      <c r="D2" s="163"/>
      <c r="E2" s="163"/>
      <c r="F2" s="163"/>
      <c r="G2" s="163"/>
      <c r="H2" s="163"/>
      <c r="I2" s="163"/>
    </row>
    <row r="3" spans="1:12" hidden="1" x14ac:dyDescent="0.3">
      <c r="A3" s="163"/>
      <c r="B3" s="163"/>
      <c r="C3" s="163"/>
      <c r="D3" s="163"/>
      <c r="E3" s="163"/>
      <c r="F3" s="163"/>
      <c r="G3" s="163"/>
      <c r="H3" s="163"/>
      <c r="I3" s="164" t="s">
        <v>76</v>
      </c>
      <c r="J3" s="164" t="s">
        <v>76</v>
      </c>
    </row>
    <row r="4" spans="1:12" hidden="1" x14ac:dyDescent="0.3">
      <c r="A4" s="163"/>
      <c r="B4" s="165" t="s">
        <v>90</v>
      </c>
      <c r="C4" s="163"/>
      <c r="D4" s="163"/>
      <c r="E4" s="163"/>
      <c r="F4" s="163"/>
      <c r="G4" s="163"/>
      <c r="H4" s="163"/>
      <c r="I4" s="166" t="s">
        <v>66</v>
      </c>
      <c r="J4" s="166" t="s">
        <v>66</v>
      </c>
    </row>
    <row r="5" spans="1:12" ht="19.5" hidden="1" thickBot="1" x14ac:dyDescent="0.35">
      <c r="A5" s="167" t="s">
        <v>89</v>
      </c>
      <c r="B5" s="168" t="s">
        <v>71</v>
      </c>
      <c r="C5" s="168" t="s">
        <v>0</v>
      </c>
      <c r="D5" s="168" t="s">
        <v>1</v>
      </c>
      <c r="E5" s="169" t="s">
        <v>2</v>
      </c>
      <c r="F5" s="168" t="s">
        <v>3</v>
      </c>
      <c r="G5" s="170" t="s">
        <v>73</v>
      </c>
      <c r="H5" s="171" t="s">
        <v>72</v>
      </c>
      <c r="I5" s="172" t="s">
        <v>77</v>
      </c>
      <c r="J5" s="172" t="s">
        <v>50</v>
      </c>
    </row>
    <row r="6" spans="1:12" hidden="1" x14ac:dyDescent="0.3">
      <c r="A6" s="173" t="s">
        <v>122</v>
      </c>
      <c r="B6" s="174" t="s">
        <v>5</v>
      </c>
      <c r="C6" s="175">
        <f>840+840+980+840+840+840+840+840+840+280+280+840+840+840</f>
        <v>10780</v>
      </c>
      <c r="D6" s="14">
        <f>136.92+136.91+159.74+136.92+136.92+136.92+136.92+136.92+136.92+45.64+45.64+121.8+121.8+121.8</f>
        <v>1711.77</v>
      </c>
      <c r="E6" s="14">
        <v>0</v>
      </c>
      <c r="F6" s="11">
        <v>0</v>
      </c>
      <c r="G6" s="176">
        <f t="shared" ref="G6:G28" si="0">D6-E6</f>
        <v>1711.77</v>
      </c>
      <c r="H6" s="177">
        <f t="shared" ref="H6:H28" si="1">G6/C6</f>
        <v>0.158791280148423</v>
      </c>
      <c r="I6" s="178">
        <v>60.557669049131576</v>
      </c>
      <c r="J6" s="179">
        <v>0.38086584307629923</v>
      </c>
      <c r="K6" s="12" t="s">
        <v>88</v>
      </c>
      <c r="L6" s="12" t="s">
        <v>91</v>
      </c>
    </row>
    <row r="7" spans="1:12" hidden="1" x14ac:dyDescent="0.3">
      <c r="A7" s="173" t="s">
        <v>123</v>
      </c>
      <c r="B7" s="174" t="s">
        <v>5</v>
      </c>
      <c r="C7" s="175">
        <f>112+560+140</f>
        <v>812</v>
      </c>
      <c r="D7" s="14">
        <f>16.24+81.2+20.3</f>
        <v>117.74</v>
      </c>
      <c r="E7" s="14">
        <v>0</v>
      </c>
      <c r="F7" s="11">
        <v>0</v>
      </c>
      <c r="G7" s="176">
        <f t="shared" si="0"/>
        <v>117.74</v>
      </c>
      <c r="H7" s="177">
        <f t="shared" si="1"/>
        <v>0.14499999999999999</v>
      </c>
      <c r="I7" s="180">
        <v>48.356669049131582</v>
      </c>
      <c r="J7" s="181">
        <v>0.33349426930435577</v>
      </c>
      <c r="K7" s="182" t="s">
        <v>88</v>
      </c>
      <c r="L7" s="12" t="s">
        <v>91</v>
      </c>
    </row>
    <row r="8" spans="1:12" hidden="1" x14ac:dyDescent="0.3">
      <c r="A8" s="173" t="s">
        <v>124</v>
      </c>
      <c r="B8" s="174" t="s">
        <v>5</v>
      </c>
      <c r="C8" s="175">
        <f>84+84+28+56</f>
        <v>252</v>
      </c>
      <c r="D8" s="14">
        <f>13.69+13.69+4.06+8.12</f>
        <v>39.559999999999995</v>
      </c>
      <c r="E8" s="14">
        <v>0</v>
      </c>
      <c r="F8" s="11">
        <v>0</v>
      </c>
      <c r="G8" s="176">
        <f t="shared" si="0"/>
        <v>39.559999999999995</v>
      </c>
      <c r="H8" s="177">
        <f t="shared" si="1"/>
        <v>0.15698412698412698</v>
      </c>
      <c r="I8" s="183">
        <v>61.429169049131573</v>
      </c>
      <c r="J8" s="184">
        <v>0.38393230655707233</v>
      </c>
      <c r="K8" s="182" t="s">
        <v>88</v>
      </c>
      <c r="L8" s="12" t="s">
        <v>91</v>
      </c>
    </row>
    <row r="9" spans="1:12" hidden="1" x14ac:dyDescent="0.3">
      <c r="A9" s="173" t="s">
        <v>125</v>
      </c>
      <c r="B9" s="174" t="s">
        <v>5</v>
      </c>
      <c r="C9" s="175">
        <f>756+1848+1848</f>
        <v>4452</v>
      </c>
      <c r="D9" s="14">
        <f>109.62+267.96+267.96</f>
        <v>645.54</v>
      </c>
      <c r="E9" s="14">
        <v>0</v>
      </c>
      <c r="F9" s="11">
        <v>0</v>
      </c>
      <c r="G9" s="176">
        <f t="shared" si="0"/>
        <v>645.54</v>
      </c>
      <c r="H9" s="177">
        <f t="shared" si="1"/>
        <v>0.14499999999999999</v>
      </c>
      <c r="I9" s="180">
        <v>48.356669049131582</v>
      </c>
      <c r="J9" s="181">
        <v>0.33349426930435577</v>
      </c>
      <c r="K9" s="182" t="s">
        <v>88</v>
      </c>
      <c r="L9" s="12" t="s">
        <v>91</v>
      </c>
    </row>
    <row r="10" spans="1:12" hidden="1" x14ac:dyDescent="0.3">
      <c r="A10" s="173" t="s">
        <v>126</v>
      </c>
      <c r="B10" s="174" t="s">
        <v>94</v>
      </c>
      <c r="C10" s="175">
        <v>10000</v>
      </c>
      <c r="D10" s="14">
        <v>1207.25</v>
      </c>
      <c r="E10" s="14">
        <v>107.25</v>
      </c>
      <c r="F10" s="11">
        <v>0</v>
      </c>
      <c r="G10" s="176">
        <f t="shared" si="0"/>
        <v>1100</v>
      </c>
      <c r="H10" s="177">
        <f t="shared" si="1"/>
        <v>0.11</v>
      </c>
      <c r="I10" s="180">
        <v>28.233433741131563</v>
      </c>
      <c r="J10" s="181">
        <v>0.25666757946483237</v>
      </c>
      <c r="K10" s="182" t="s">
        <v>80</v>
      </c>
    </row>
    <row r="11" spans="1:12" hidden="1" x14ac:dyDescent="0.3">
      <c r="A11" s="173" t="s">
        <v>127</v>
      </c>
      <c r="B11" s="174" t="s">
        <v>5</v>
      </c>
      <c r="C11" s="175">
        <v>2240</v>
      </c>
      <c r="D11" s="14">
        <v>324.8</v>
      </c>
      <c r="E11" s="14">
        <v>0</v>
      </c>
      <c r="F11" s="11">
        <v>0</v>
      </c>
      <c r="G11" s="176">
        <f t="shared" si="0"/>
        <v>324.8</v>
      </c>
      <c r="H11" s="177">
        <f t="shared" si="1"/>
        <v>0.14500000000000002</v>
      </c>
      <c r="I11" s="180">
        <v>48.356669049131582</v>
      </c>
      <c r="J11" s="181">
        <v>0.33349426930435577</v>
      </c>
      <c r="K11" s="182" t="s">
        <v>88</v>
      </c>
      <c r="L11" s="12" t="s">
        <v>91</v>
      </c>
    </row>
    <row r="12" spans="1:12" hidden="1" x14ac:dyDescent="0.3">
      <c r="A12" s="173" t="s">
        <v>128</v>
      </c>
      <c r="B12" s="174" t="s">
        <v>5</v>
      </c>
      <c r="C12" s="185">
        <f>3024+3024+3024+3024+420</f>
        <v>12516</v>
      </c>
      <c r="D12" s="186">
        <f>438.48+438.48+438.48+481.23+60.9</f>
        <v>1857.5700000000002</v>
      </c>
      <c r="E12" s="14">
        <v>42.75</v>
      </c>
      <c r="F12" s="11">
        <v>0</v>
      </c>
      <c r="G12" s="176">
        <f t="shared" si="0"/>
        <v>1814.8200000000002</v>
      </c>
      <c r="H12" s="177">
        <f t="shared" si="1"/>
        <v>0.14500000000000002</v>
      </c>
      <c r="I12" s="180">
        <v>48.356669049131582</v>
      </c>
      <c r="J12" s="181">
        <v>0.33349426930435577</v>
      </c>
      <c r="K12" s="182" t="s">
        <v>88</v>
      </c>
      <c r="L12" s="12" t="s">
        <v>91</v>
      </c>
    </row>
    <row r="13" spans="1:12" ht="15" hidden="1" customHeight="1" x14ac:dyDescent="0.3">
      <c r="A13" s="187" t="s">
        <v>129</v>
      </c>
      <c r="B13" s="188" t="s">
        <v>85</v>
      </c>
      <c r="C13" s="189">
        <v>34000</v>
      </c>
      <c r="D13" s="186">
        <v>3731.5</v>
      </c>
      <c r="E13" s="14">
        <v>331.5</v>
      </c>
      <c r="F13" s="11">
        <v>0</v>
      </c>
      <c r="G13" s="176">
        <f t="shared" si="0"/>
        <v>3400</v>
      </c>
      <c r="H13" s="177">
        <f t="shared" si="1"/>
        <v>0.1</v>
      </c>
      <c r="I13" s="190">
        <v>21.748433741131578</v>
      </c>
      <c r="J13" s="191">
        <v>0.21748433741131579</v>
      </c>
      <c r="K13" s="182" t="s">
        <v>80</v>
      </c>
      <c r="L13" s="12" t="s">
        <v>91</v>
      </c>
    </row>
    <row r="14" spans="1:12" hidden="1" x14ac:dyDescent="0.3">
      <c r="A14" s="173" t="s">
        <v>130</v>
      </c>
      <c r="B14" s="174" t="s">
        <v>5</v>
      </c>
      <c r="C14" s="185">
        <v>8000</v>
      </c>
      <c r="D14" s="186">
        <v>1290.6600000000001</v>
      </c>
      <c r="E14" s="14">
        <v>114.66</v>
      </c>
      <c r="F14" s="11">
        <v>0</v>
      </c>
      <c r="G14" s="176">
        <f t="shared" si="0"/>
        <v>1176</v>
      </c>
      <c r="H14" s="177">
        <f t="shared" si="1"/>
        <v>0.14699999999999999</v>
      </c>
      <c r="I14" s="180">
        <v>43.778669049131565</v>
      </c>
      <c r="J14" s="181">
        <v>0.29781407516416031</v>
      </c>
      <c r="K14" s="182" t="s">
        <v>80</v>
      </c>
    </row>
    <row r="15" spans="1:12" hidden="1" x14ac:dyDescent="0.3">
      <c r="A15" s="173" t="s">
        <v>131</v>
      </c>
      <c r="B15" s="174" t="s">
        <v>94</v>
      </c>
      <c r="C15" s="185">
        <v>6020</v>
      </c>
      <c r="D15" s="186">
        <v>872.9</v>
      </c>
      <c r="E15" s="14">
        <v>0</v>
      </c>
      <c r="F15" s="11">
        <v>0</v>
      </c>
      <c r="G15" s="176">
        <f t="shared" si="0"/>
        <v>872.9</v>
      </c>
      <c r="H15" s="177">
        <f t="shared" si="1"/>
        <v>0.14499999999999999</v>
      </c>
      <c r="I15" s="180">
        <v>57.230933741131565</v>
      </c>
      <c r="J15" s="181">
        <v>0.39469609476642459</v>
      </c>
      <c r="K15" s="182" t="s">
        <v>80</v>
      </c>
    </row>
    <row r="16" spans="1:12" hidden="1" x14ac:dyDescent="0.3">
      <c r="A16" s="173" t="s">
        <v>132</v>
      </c>
      <c r="B16" s="174" t="s">
        <v>94</v>
      </c>
      <c r="C16" s="185">
        <v>1400</v>
      </c>
      <c r="D16" s="186">
        <v>203</v>
      </c>
      <c r="E16" s="14">
        <v>0</v>
      </c>
      <c r="F16" s="11">
        <v>0</v>
      </c>
      <c r="G16" s="176">
        <f t="shared" si="0"/>
        <v>203</v>
      </c>
      <c r="H16" s="177">
        <f t="shared" si="1"/>
        <v>0.14499999999999999</v>
      </c>
      <c r="I16" s="180">
        <v>63.465933741131565</v>
      </c>
      <c r="J16" s="181">
        <v>0.43769609476642457</v>
      </c>
      <c r="K16" s="182" t="s">
        <v>88</v>
      </c>
      <c r="L16" s="12" t="s">
        <v>91</v>
      </c>
    </row>
    <row r="17" spans="1:13" ht="15.75" hidden="1" customHeight="1" x14ac:dyDescent="0.3">
      <c r="A17" s="173" t="s">
        <v>133</v>
      </c>
      <c r="B17" s="174" t="s">
        <v>94</v>
      </c>
      <c r="C17" s="185">
        <f>2016+6944+6944</f>
        <v>15904</v>
      </c>
      <c r="D17" s="186">
        <f>320.82+1105.05+1105.05</f>
        <v>2530.92</v>
      </c>
      <c r="E17" s="14">
        <f>28.5+98.17+98.17</f>
        <v>224.84</v>
      </c>
      <c r="F17" s="11">
        <v>0</v>
      </c>
      <c r="G17" s="176">
        <f t="shared" si="0"/>
        <v>2306.08</v>
      </c>
      <c r="H17" s="177">
        <f t="shared" si="1"/>
        <v>0.14499999999999999</v>
      </c>
      <c r="I17" s="180">
        <v>57.230933741131565</v>
      </c>
      <c r="J17" s="181">
        <v>0.39469609476642459</v>
      </c>
      <c r="K17" s="182" t="s">
        <v>80</v>
      </c>
    </row>
    <row r="18" spans="1:13" hidden="1" x14ac:dyDescent="0.3">
      <c r="A18" s="173" t="s">
        <v>134</v>
      </c>
      <c r="B18" s="174" t="s">
        <v>94</v>
      </c>
      <c r="C18" s="185">
        <v>1288</v>
      </c>
      <c r="D18" s="186">
        <v>186.76</v>
      </c>
      <c r="E18" s="14">
        <v>0</v>
      </c>
      <c r="F18" s="11">
        <v>0</v>
      </c>
      <c r="G18" s="176">
        <f t="shared" si="0"/>
        <v>186.76</v>
      </c>
      <c r="H18" s="177">
        <f t="shared" si="1"/>
        <v>0.14499999999999999</v>
      </c>
      <c r="I18" s="180">
        <v>60.855933741131565</v>
      </c>
      <c r="J18" s="181">
        <v>0.41969609476642455</v>
      </c>
      <c r="K18" s="182" t="s">
        <v>88</v>
      </c>
    </row>
    <row r="19" spans="1:13" ht="14.25" hidden="1" customHeight="1" x14ac:dyDescent="0.3">
      <c r="A19" s="192" t="s">
        <v>135</v>
      </c>
      <c r="B19" s="174" t="s">
        <v>94</v>
      </c>
      <c r="C19" s="185">
        <f>336+336</f>
        <v>672</v>
      </c>
      <c r="D19" s="193">
        <f>54.77+54.77</f>
        <v>109.54</v>
      </c>
      <c r="E19" s="14">
        <v>0</v>
      </c>
      <c r="F19" s="11">
        <v>0</v>
      </c>
      <c r="G19" s="176">
        <f t="shared" si="0"/>
        <v>109.54</v>
      </c>
      <c r="H19" s="177">
        <f t="shared" si="1"/>
        <v>0.16300595238095239</v>
      </c>
      <c r="I19" s="180">
        <v>76.218933741131579</v>
      </c>
      <c r="J19" s="181">
        <v>0.46760082049773977</v>
      </c>
      <c r="K19" s="182" t="s">
        <v>88</v>
      </c>
    </row>
    <row r="20" spans="1:13" hidden="1" x14ac:dyDescent="0.3">
      <c r="A20" s="192" t="s">
        <v>136</v>
      </c>
      <c r="B20" s="174" t="s">
        <v>94</v>
      </c>
      <c r="C20" s="185">
        <v>504</v>
      </c>
      <c r="D20" s="193">
        <v>80.209999999999994</v>
      </c>
      <c r="E20" s="14">
        <v>7.13</v>
      </c>
      <c r="F20" s="11">
        <v>0</v>
      </c>
      <c r="G20" s="176">
        <f t="shared" si="0"/>
        <v>73.08</v>
      </c>
      <c r="H20" s="177">
        <f t="shared" si="1"/>
        <v>0.14499999999999999</v>
      </c>
      <c r="I20" s="180">
        <v>57.230933741131565</v>
      </c>
      <c r="J20" s="181">
        <v>0.39469609476642459</v>
      </c>
      <c r="K20" s="12" t="s">
        <v>80</v>
      </c>
    </row>
    <row r="21" spans="1:13" hidden="1" x14ac:dyDescent="0.3">
      <c r="A21" s="173" t="s">
        <v>137</v>
      </c>
      <c r="B21" s="174" t="s">
        <v>94</v>
      </c>
      <c r="C21" s="185">
        <v>60000</v>
      </c>
      <c r="D21" s="193">
        <v>6300</v>
      </c>
      <c r="E21" s="14">
        <v>0</v>
      </c>
      <c r="F21" s="11">
        <v>0</v>
      </c>
      <c r="G21" s="176">
        <f t="shared" si="0"/>
        <v>6300</v>
      </c>
      <c r="H21" s="177">
        <f t="shared" si="1"/>
        <v>0.105</v>
      </c>
      <c r="I21" s="190">
        <v>19.680933741131568</v>
      </c>
      <c r="J21" s="191">
        <v>0.18743746420125304</v>
      </c>
      <c r="K21" s="12" t="s">
        <v>103</v>
      </c>
      <c r="L21" s="12" t="s">
        <v>91</v>
      </c>
      <c r="M21" s="182">
        <v>8.5000000000000006E-2</v>
      </c>
    </row>
    <row r="22" spans="1:13" hidden="1" x14ac:dyDescent="0.3">
      <c r="A22" s="173" t="s">
        <v>138</v>
      </c>
      <c r="B22" s="174" t="s">
        <v>94</v>
      </c>
      <c r="C22" s="185">
        <v>420</v>
      </c>
      <c r="D22" s="193">
        <v>60.9</v>
      </c>
      <c r="E22" s="14">
        <v>0</v>
      </c>
      <c r="F22" s="11">
        <v>0</v>
      </c>
      <c r="G22" s="176">
        <f t="shared" si="0"/>
        <v>60.9</v>
      </c>
      <c r="H22" s="177">
        <f t="shared" si="1"/>
        <v>0.14499999999999999</v>
      </c>
      <c r="I22" s="180">
        <v>63.465933741131565</v>
      </c>
      <c r="J22" s="181">
        <v>0.43769609476642457</v>
      </c>
      <c r="K22" s="12" t="s">
        <v>88</v>
      </c>
      <c r="L22" s="12" t="s">
        <v>91</v>
      </c>
    </row>
    <row r="23" spans="1:13" hidden="1" x14ac:dyDescent="0.3">
      <c r="A23" s="173" t="s">
        <v>139</v>
      </c>
      <c r="B23" s="174" t="s">
        <v>94</v>
      </c>
      <c r="C23" s="185">
        <v>3220</v>
      </c>
      <c r="D23" s="193">
        <v>432.2</v>
      </c>
      <c r="E23" s="14">
        <v>13.6</v>
      </c>
      <c r="F23" s="11">
        <v>0</v>
      </c>
      <c r="G23" s="176">
        <f t="shared" si="0"/>
        <v>418.59999999999997</v>
      </c>
      <c r="H23" s="177">
        <f t="shared" si="1"/>
        <v>0.12999999999999998</v>
      </c>
      <c r="I23" s="180">
        <v>44.80343374113157</v>
      </c>
      <c r="J23" s="181">
        <v>0.34464179800870437</v>
      </c>
      <c r="K23" s="182" t="s">
        <v>80</v>
      </c>
    </row>
    <row r="24" spans="1:13" hidden="1" x14ac:dyDescent="0.3">
      <c r="A24" s="194" t="s">
        <v>140</v>
      </c>
      <c r="B24" s="174" t="s">
        <v>94</v>
      </c>
      <c r="C24" s="185">
        <v>16000</v>
      </c>
      <c r="D24" s="193">
        <v>2370.6</v>
      </c>
      <c r="E24" s="14">
        <v>210.6</v>
      </c>
      <c r="F24" s="11">
        <v>0</v>
      </c>
      <c r="G24" s="176">
        <f t="shared" si="0"/>
        <v>2160</v>
      </c>
      <c r="H24" s="177">
        <f t="shared" si="1"/>
        <v>0.13500000000000001</v>
      </c>
      <c r="I24" s="180">
        <v>48.945933741131569</v>
      </c>
      <c r="J24" s="181">
        <v>0.36256247215653015</v>
      </c>
      <c r="K24" s="12" t="s">
        <v>80</v>
      </c>
    </row>
    <row r="25" spans="1:13" hidden="1" x14ac:dyDescent="0.3">
      <c r="A25" s="194" t="s">
        <v>141</v>
      </c>
      <c r="B25" s="174" t="s">
        <v>94</v>
      </c>
      <c r="C25" s="175">
        <v>4000</v>
      </c>
      <c r="D25" s="193">
        <v>636.54999999999995</v>
      </c>
      <c r="E25" s="14">
        <v>56.55</v>
      </c>
      <c r="F25" s="11">
        <v>0</v>
      </c>
      <c r="G25" s="176">
        <f t="shared" ref="G25" si="2">D25-E25</f>
        <v>580</v>
      </c>
      <c r="H25" s="177">
        <f t="shared" ref="H25" si="3">G25/C25</f>
        <v>0.14499999999999999</v>
      </c>
      <c r="I25" s="180">
        <v>59.840933741131565</v>
      </c>
      <c r="J25" s="181">
        <v>0.41269609476642455</v>
      </c>
      <c r="K25" s="12" t="s">
        <v>80</v>
      </c>
      <c r="L25" s="12" t="s">
        <v>91</v>
      </c>
    </row>
    <row r="26" spans="1:13" hidden="1" x14ac:dyDescent="0.3">
      <c r="A26" s="194" t="s">
        <v>142</v>
      </c>
      <c r="B26" s="174" t="s">
        <v>94</v>
      </c>
      <c r="C26" s="175">
        <f>6000+6000</f>
        <v>12000</v>
      </c>
      <c r="D26" s="193">
        <f>1126.04+1126.04</f>
        <v>2252.08</v>
      </c>
      <c r="E26" s="14">
        <f>100.04+100.04</f>
        <v>200.08</v>
      </c>
      <c r="F26" s="11">
        <v>0</v>
      </c>
      <c r="G26" s="176">
        <f t="shared" ref="G26" si="4">D26-E26</f>
        <v>2052</v>
      </c>
      <c r="H26" s="177">
        <f t="shared" ref="H26" si="5">G26/C26</f>
        <v>0.17100000000000001</v>
      </c>
      <c r="I26" s="180">
        <v>81.849933741131565</v>
      </c>
      <c r="J26" s="181">
        <v>0.47865458328147115</v>
      </c>
      <c r="K26" s="12" t="s">
        <v>80</v>
      </c>
      <c r="L26" s="12" t="s">
        <v>91</v>
      </c>
    </row>
    <row r="27" spans="1:13" hidden="1" x14ac:dyDescent="0.3">
      <c r="A27" s="195"/>
      <c r="B27" s="174"/>
      <c r="C27" s="175"/>
      <c r="D27" s="193"/>
      <c r="E27" s="14"/>
      <c r="F27" s="11">
        <v>0</v>
      </c>
      <c r="G27" s="176">
        <f t="shared" si="0"/>
        <v>0</v>
      </c>
      <c r="H27" s="177" t="e">
        <f t="shared" si="1"/>
        <v>#DIV/0!</v>
      </c>
      <c r="I27" s="180"/>
      <c r="J27" s="181"/>
    </row>
    <row r="28" spans="1:13" hidden="1" x14ac:dyDescent="0.3">
      <c r="A28" s="196"/>
      <c r="B28" s="196" t="s">
        <v>35</v>
      </c>
      <c r="C28" s="196">
        <f t="shared" ref="C28:F28" si="6">SUM(C6:C27)</f>
        <v>204480</v>
      </c>
      <c r="D28" s="197">
        <f>SUM(D6:D27)</f>
        <v>26962.050000000003</v>
      </c>
      <c r="E28" s="197">
        <f t="shared" si="6"/>
        <v>1308.9599999999998</v>
      </c>
      <c r="F28" s="196">
        <f t="shared" si="6"/>
        <v>0</v>
      </c>
      <c r="G28" s="198">
        <f t="shared" si="0"/>
        <v>25653.090000000004</v>
      </c>
      <c r="H28" s="199">
        <f t="shared" si="1"/>
        <v>0.12545525234741786</v>
      </c>
      <c r="I28" s="200"/>
      <c r="J28" s="201"/>
    </row>
    <row r="29" spans="1:13" ht="19.5" hidden="1" thickBot="1" x14ac:dyDescent="0.35">
      <c r="A29" s="185"/>
      <c r="B29" s="185"/>
      <c r="C29" s="185"/>
      <c r="D29" s="193"/>
      <c r="E29" s="193"/>
      <c r="F29" s="185"/>
      <c r="G29" s="202"/>
      <c r="H29" s="203"/>
    </row>
    <row r="30" spans="1:13" hidden="1" x14ac:dyDescent="0.3">
      <c r="A30" s="185"/>
      <c r="B30" s="185"/>
      <c r="C30" s="185"/>
      <c r="D30" s="193"/>
      <c r="E30" s="193"/>
      <c r="F30" s="185"/>
      <c r="G30" s="202"/>
      <c r="H30" s="203"/>
      <c r="I30" s="164" t="s">
        <v>76</v>
      </c>
      <c r="J30" s="164" t="s">
        <v>76</v>
      </c>
    </row>
    <row r="31" spans="1:13" s="204" customFormat="1" hidden="1" x14ac:dyDescent="0.3">
      <c r="A31" s="192"/>
      <c r="B31" s="165" t="s">
        <v>90</v>
      </c>
      <c r="C31" s="192"/>
      <c r="D31" s="192"/>
      <c r="E31" s="185"/>
      <c r="F31" s="192"/>
      <c r="G31" s="202"/>
      <c r="H31" s="203"/>
      <c r="I31" s="166" t="s">
        <v>66</v>
      </c>
      <c r="J31" s="166" t="s">
        <v>66</v>
      </c>
    </row>
    <row r="32" spans="1:13" ht="19.5" hidden="1" thickBot="1" x14ac:dyDescent="0.35">
      <c r="A32" s="167" t="s">
        <v>78</v>
      </c>
      <c r="B32" s="168" t="s">
        <v>70</v>
      </c>
      <c r="C32" s="168" t="s">
        <v>0</v>
      </c>
      <c r="D32" s="168" t="s">
        <v>1</v>
      </c>
      <c r="E32" s="169" t="s">
        <v>2</v>
      </c>
      <c r="F32" s="168" t="s">
        <v>3</v>
      </c>
      <c r="G32" s="170" t="s">
        <v>73</v>
      </c>
      <c r="H32" s="171" t="s">
        <v>72</v>
      </c>
      <c r="I32" s="172" t="s">
        <v>77</v>
      </c>
      <c r="J32" s="172" t="s">
        <v>50</v>
      </c>
    </row>
    <row r="33" spans="1:12" hidden="1" x14ac:dyDescent="0.3">
      <c r="A33" s="173" t="s">
        <v>122</v>
      </c>
      <c r="B33" s="188" t="s">
        <v>6</v>
      </c>
      <c r="C33" s="175">
        <f>840+840+980+840+840+840+840+840+840+280+280+840+840+840</f>
        <v>10780</v>
      </c>
      <c r="D33" s="14">
        <f>147+147+171.5+147+147+147+147+147+147+49+49+109.2+109.2+109.2</f>
        <v>1773.1000000000001</v>
      </c>
      <c r="E33" s="14">
        <v>0</v>
      </c>
      <c r="F33" s="11">
        <v>0</v>
      </c>
      <c r="G33" s="176">
        <f t="shared" ref="G33:G64" si="7">D33-E33</f>
        <v>1773.1000000000001</v>
      </c>
      <c r="H33" s="177">
        <f t="shared" ref="H33:H64" si="8">G33/C33</f>
        <v>0.1644805194805195</v>
      </c>
      <c r="I33" s="178">
        <v>82.469142657004397</v>
      </c>
      <c r="J33" s="179">
        <v>0.47125224375431085</v>
      </c>
      <c r="K33" s="12" t="s">
        <v>92</v>
      </c>
      <c r="L33" s="12" t="s">
        <v>91</v>
      </c>
    </row>
    <row r="34" spans="1:12" hidden="1" x14ac:dyDescent="0.3">
      <c r="A34" s="173" t="s">
        <v>123</v>
      </c>
      <c r="B34" s="188" t="s">
        <v>6</v>
      </c>
      <c r="C34" s="175">
        <f>112+560+140</f>
        <v>812</v>
      </c>
      <c r="D34" s="14">
        <f>14.56+72.8+18.2</f>
        <v>105.56</v>
      </c>
      <c r="E34" s="14">
        <v>0</v>
      </c>
      <c r="F34" s="11">
        <v>0</v>
      </c>
      <c r="G34" s="176">
        <f t="shared" si="7"/>
        <v>105.56</v>
      </c>
      <c r="H34" s="177">
        <f t="shared" si="8"/>
        <v>0.13</v>
      </c>
      <c r="I34" s="180">
        <v>43.251642657004396</v>
      </c>
      <c r="J34" s="181">
        <v>0.33270494351541841</v>
      </c>
      <c r="K34" s="12" t="s">
        <v>92</v>
      </c>
      <c r="L34" s="12" t="s">
        <v>91</v>
      </c>
    </row>
    <row r="35" spans="1:12" hidden="1" x14ac:dyDescent="0.3">
      <c r="A35" s="173" t="s">
        <v>124</v>
      </c>
      <c r="B35" s="188" t="s">
        <v>6</v>
      </c>
      <c r="C35" s="175">
        <f>84+84+28+56</f>
        <v>252</v>
      </c>
      <c r="D35" s="14">
        <f>14.7+14.7+3.64+7.28</f>
        <v>40.32</v>
      </c>
      <c r="E35" s="14">
        <v>0</v>
      </c>
      <c r="F35" s="11">
        <v>0</v>
      </c>
      <c r="G35" s="176">
        <f t="shared" si="7"/>
        <v>40.32</v>
      </c>
      <c r="H35" s="177">
        <f t="shared" si="8"/>
        <v>0.16</v>
      </c>
      <c r="I35" s="180">
        <v>77.240142657004398</v>
      </c>
      <c r="J35" s="181">
        <v>0.45704226424262956</v>
      </c>
      <c r="K35" s="182" t="s">
        <v>92</v>
      </c>
      <c r="L35" s="12" t="s">
        <v>91</v>
      </c>
    </row>
    <row r="36" spans="1:12" hidden="1" x14ac:dyDescent="0.3">
      <c r="A36" s="173" t="s">
        <v>125</v>
      </c>
      <c r="B36" s="188" t="s">
        <v>6</v>
      </c>
      <c r="C36" s="175">
        <f>756+1848+1848</f>
        <v>4452</v>
      </c>
      <c r="D36" s="14">
        <f>98.28+240.24+240.24</f>
        <v>578.76</v>
      </c>
      <c r="E36" s="14">
        <v>0</v>
      </c>
      <c r="F36" s="11">
        <v>0</v>
      </c>
      <c r="G36" s="176">
        <f t="shared" si="7"/>
        <v>578.76</v>
      </c>
      <c r="H36" s="177">
        <f t="shared" si="8"/>
        <v>0.13</v>
      </c>
      <c r="I36" s="180">
        <v>43.251642657004396</v>
      </c>
      <c r="J36" s="181">
        <v>0.33270494351541841</v>
      </c>
      <c r="K36" s="12" t="s">
        <v>92</v>
      </c>
      <c r="L36" s="12" t="s">
        <v>91</v>
      </c>
    </row>
    <row r="37" spans="1:12" hidden="1" x14ac:dyDescent="0.3">
      <c r="A37" s="173" t="s">
        <v>127</v>
      </c>
      <c r="B37" s="188" t="s">
        <v>6</v>
      </c>
      <c r="C37" s="175">
        <v>2240</v>
      </c>
      <c r="D37" s="14">
        <v>291.2</v>
      </c>
      <c r="E37" s="14">
        <v>0</v>
      </c>
      <c r="F37" s="11">
        <v>0</v>
      </c>
      <c r="G37" s="176">
        <f t="shared" si="7"/>
        <v>291.2</v>
      </c>
      <c r="H37" s="177">
        <f t="shared" si="8"/>
        <v>0.13</v>
      </c>
      <c r="I37" s="180">
        <v>43.251642657004396</v>
      </c>
      <c r="J37" s="181">
        <v>0.33270494351541841</v>
      </c>
      <c r="K37" s="12" t="s">
        <v>92</v>
      </c>
      <c r="L37" s="12" t="s">
        <v>91</v>
      </c>
    </row>
    <row r="38" spans="1:12" hidden="1" x14ac:dyDescent="0.3">
      <c r="A38" s="173" t="s">
        <v>130</v>
      </c>
      <c r="B38" s="188" t="s">
        <v>6</v>
      </c>
      <c r="C38" s="175">
        <f>20000+12000+20000</f>
        <v>52000</v>
      </c>
      <c r="D38" s="14">
        <f>2705.15+1623.09+2705.15</f>
        <v>7033.3899999999994</v>
      </c>
      <c r="E38" s="14">
        <f>85.15+51.09+85.15</f>
        <v>221.39000000000001</v>
      </c>
      <c r="F38" s="11">
        <v>0</v>
      </c>
      <c r="G38" s="176">
        <f t="shared" si="7"/>
        <v>6811.9999999999991</v>
      </c>
      <c r="H38" s="177">
        <f t="shared" si="8"/>
        <v>0.13099999999999998</v>
      </c>
      <c r="I38" s="180">
        <v>38.490142657004398</v>
      </c>
      <c r="J38" s="181">
        <v>0.29381788287789617</v>
      </c>
      <c r="K38" s="12" t="s">
        <v>80</v>
      </c>
    </row>
    <row r="39" spans="1:12" ht="15" hidden="1" customHeight="1" x14ac:dyDescent="0.3">
      <c r="A39" s="173" t="s">
        <v>128</v>
      </c>
      <c r="B39" s="188" t="s">
        <v>6</v>
      </c>
      <c r="C39" s="185">
        <f>3024+3024+3024+3024+420</f>
        <v>12516</v>
      </c>
      <c r="D39" s="186">
        <f>393.12+393.12+393.12+405.9+54.6</f>
        <v>1639.8600000000001</v>
      </c>
      <c r="E39" s="14">
        <v>12.78</v>
      </c>
      <c r="F39" s="11">
        <v>0</v>
      </c>
      <c r="G39" s="176">
        <f t="shared" si="7"/>
        <v>1627.0800000000002</v>
      </c>
      <c r="H39" s="177">
        <f t="shared" si="8"/>
        <v>0.13</v>
      </c>
      <c r="I39" s="180">
        <v>43.251642657004396</v>
      </c>
      <c r="J39" s="181">
        <v>0.33270494351541841</v>
      </c>
      <c r="K39" s="12" t="s">
        <v>92</v>
      </c>
      <c r="L39" s="12" t="s">
        <v>91</v>
      </c>
    </row>
    <row r="40" spans="1:12" hidden="1" x14ac:dyDescent="0.3">
      <c r="A40" s="173" t="s">
        <v>143</v>
      </c>
      <c r="B40" s="174" t="s">
        <v>95</v>
      </c>
      <c r="C40" s="185">
        <f>4000+2000</f>
        <v>6000</v>
      </c>
      <c r="D40" s="186">
        <f>520+260</f>
        <v>780</v>
      </c>
      <c r="E40" s="14">
        <v>0</v>
      </c>
      <c r="F40" s="11">
        <v>0</v>
      </c>
      <c r="G40" s="176">
        <f t="shared" si="7"/>
        <v>780</v>
      </c>
      <c r="H40" s="177">
        <f t="shared" si="8"/>
        <v>0.13</v>
      </c>
      <c r="I40" s="180">
        <v>58.008412702504387</v>
      </c>
      <c r="J40" s="181">
        <v>0.44621855925003373</v>
      </c>
      <c r="K40" s="182" t="s">
        <v>92</v>
      </c>
      <c r="L40" s="12" t="s">
        <v>91</v>
      </c>
    </row>
    <row r="41" spans="1:12" ht="15.75" hidden="1" customHeight="1" x14ac:dyDescent="0.3">
      <c r="A41" s="187" t="s">
        <v>129</v>
      </c>
      <c r="B41" s="188" t="s">
        <v>96</v>
      </c>
      <c r="C41" s="185">
        <v>34000</v>
      </c>
      <c r="D41" s="186">
        <v>3510.5</v>
      </c>
      <c r="E41" s="14">
        <v>110.5</v>
      </c>
      <c r="F41" s="11">
        <v>0</v>
      </c>
      <c r="G41" s="176">
        <f t="shared" si="7"/>
        <v>3400</v>
      </c>
      <c r="H41" s="177">
        <f t="shared" si="8"/>
        <v>0.1</v>
      </c>
      <c r="I41" s="183">
        <v>29.363412702504391</v>
      </c>
      <c r="J41" s="184">
        <v>0.29363412702504388</v>
      </c>
      <c r="K41" s="182" t="s">
        <v>80</v>
      </c>
      <c r="L41" s="12" t="s">
        <v>91</v>
      </c>
    </row>
    <row r="42" spans="1:12" hidden="1" x14ac:dyDescent="0.3">
      <c r="A42" s="173" t="s">
        <v>126</v>
      </c>
      <c r="B42" s="174" t="s">
        <v>95</v>
      </c>
      <c r="C42" s="185">
        <v>10000</v>
      </c>
      <c r="D42" s="186">
        <v>1032.5</v>
      </c>
      <c r="E42" s="14">
        <v>32.5</v>
      </c>
      <c r="F42" s="11">
        <v>0</v>
      </c>
      <c r="G42" s="176">
        <f t="shared" si="7"/>
        <v>1000</v>
      </c>
      <c r="H42" s="177">
        <f t="shared" si="8"/>
        <v>0.1</v>
      </c>
      <c r="I42" s="183">
        <v>27.563412702504394</v>
      </c>
      <c r="J42" s="184">
        <v>0.27563412702504392</v>
      </c>
      <c r="K42" s="182" t="s">
        <v>80</v>
      </c>
    </row>
    <row r="43" spans="1:12" hidden="1" x14ac:dyDescent="0.3">
      <c r="A43" s="173" t="s">
        <v>131</v>
      </c>
      <c r="B43" s="174" t="s">
        <v>95</v>
      </c>
      <c r="C43" s="185">
        <v>6020</v>
      </c>
      <c r="D43" s="186">
        <v>782.6</v>
      </c>
      <c r="E43" s="14">
        <v>0</v>
      </c>
      <c r="F43" s="11">
        <v>0</v>
      </c>
      <c r="G43" s="176">
        <f t="shared" si="7"/>
        <v>782.6</v>
      </c>
      <c r="H43" s="177">
        <f t="shared" si="8"/>
        <v>0.13</v>
      </c>
      <c r="I43" s="180">
        <v>52.418412702504384</v>
      </c>
      <c r="J43" s="181">
        <v>0.40321855925003369</v>
      </c>
      <c r="K43" s="182" t="s">
        <v>80</v>
      </c>
    </row>
    <row r="44" spans="1:12" hidden="1" x14ac:dyDescent="0.3">
      <c r="A44" s="173" t="s">
        <v>132</v>
      </c>
      <c r="B44" s="174" t="s">
        <v>95</v>
      </c>
      <c r="C44" s="185">
        <v>1400</v>
      </c>
      <c r="D44" s="186">
        <v>182</v>
      </c>
      <c r="E44" s="14">
        <v>0</v>
      </c>
      <c r="F44" s="11">
        <v>0</v>
      </c>
      <c r="G44" s="176">
        <f t="shared" si="7"/>
        <v>182</v>
      </c>
      <c r="H44" s="177">
        <f t="shared" si="8"/>
        <v>0.13</v>
      </c>
      <c r="I44" s="180">
        <v>58.008412702504387</v>
      </c>
      <c r="J44" s="181">
        <v>0.44621855925003373</v>
      </c>
      <c r="K44" s="182" t="s">
        <v>92</v>
      </c>
      <c r="L44" s="12" t="s">
        <v>91</v>
      </c>
    </row>
    <row r="45" spans="1:12" ht="18" hidden="1" customHeight="1" x14ac:dyDescent="0.3">
      <c r="A45" s="173" t="s">
        <v>133</v>
      </c>
      <c r="B45" s="174" t="s">
        <v>95</v>
      </c>
      <c r="C45" s="185">
        <f>2016+6944+6944</f>
        <v>15904</v>
      </c>
      <c r="D45" s="186">
        <f>270.6+932.06+932.06</f>
        <v>2134.7199999999998</v>
      </c>
      <c r="E45" s="14">
        <f>8.52+29.34+29.34</f>
        <v>67.2</v>
      </c>
      <c r="F45" s="11">
        <v>0</v>
      </c>
      <c r="G45" s="176">
        <f t="shared" si="7"/>
        <v>2067.52</v>
      </c>
      <c r="H45" s="177">
        <f t="shared" si="8"/>
        <v>0.13</v>
      </c>
      <c r="I45" s="180">
        <v>52.418412702504384</v>
      </c>
      <c r="J45" s="181">
        <v>0.40321855925003369</v>
      </c>
      <c r="K45" s="182" t="s">
        <v>80</v>
      </c>
    </row>
    <row r="46" spans="1:12" hidden="1" x14ac:dyDescent="0.3">
      <c r="A46" s="173" t="s">
        <v>134</v>
      </c>
      <c r="B46" s="174" t="s">
        <v>95</v>
      </c>
      <c r="C46" s="185">
        <v>1288</v>
      </c>
      <c r="D46" s="186">
        <v>167.44</v>
      </c>
      <c r="E46" s="14">
        <v>0</v>
      </c>
      <c r="F46" s="11">
        <v>0</v>
      </c>
      <c r="G46" s="176">
        <f t="shared" si="7"/>
        <v>167.44</v>
      </c>
      <c r="H46" s="177">
        <f t="shared" si="8"/>
        <v>0.13</v>
      </c>
      <c r="I46" s="180">
        <v>55.668412702504384</v>
      </c>
      <c r="J46" s="181">
        <v>0.42821855925003371</v>
      </c>
      <c r="K46" s="182" t="s">
        <v>92</v>
      </c>
    </row>
    <row r="47" spans="1:12" hidden="1" x14ac:dyDescent="0.3">
      <c r="A47" s="192" t="s">
        <v>135</v>
      </c>
      <c r="B47" s="174" t="s">
        <v>95</v>
      </c>
      <c r="C47" s="189">
        <f>336+336</f>
        <v>672</v>
      </c>
      <c r="D47" s="186">
        <f>58.8+58.8</f>
        <v>117.6</v>
      </c>
      <c r="E47" s="14">
        <v>0</v>
      </c>
      <c r="F47" s="11">
        <v>0</v>
      </c>
      <c r="G47" s="176">
        <f t="shared" si="7"/>
        <v>117.6</v>
      </c>
      <c r="H47" s="177">
        <f t="shared" si="8"/>
        <v>0.17499999999999999</v>
      </c>
      <c r="I47" s="180">
        <v>94.075912702504382</v>
      </c>
      <c r="J47" s="181">
        <v>0.53757664401431071</v>
      </c>
      <c r="K47" s="182" t="s">
        <v>92</v>
      </c>
    </row>
    <row r="48" spans="1:12" hidden="1" x14ac:dyDescent="0.3">
      <c r="A48" s="192" t="s">
        <v>136</v>
      </c>
      <c r="B48" s="174" t="s">
        <v>95</v>
      </c>
      <c r="C48" s="185">
        <v>504</v>
      </c>
      <c r="D48" s="186">
        <v>67.650000000000006</v>
      </c>
      <c r="E48" s="14">
        <v>2.13</v>
      </c>
      <c r="F48" s="11">
        <v>0</v>
      </c>
      <c r="G48" s="176">
        <f t="shared" si="7"/>
        <v>65.52000000000001</v>
      </c>
      <c r="H48" s="177">
        <f t="shared" si="8"/>
        <v>0.13000000000000003</v>
      </c>
      <c r="I48" s="180">
        <v>52.418412702504384</v>
      </c>
      <c r="J48" s="181">
        <v>0.40321855925003369</v>
      </c>
      <c r="K48" s="12" t="s">
        <v>80</v>
      </c>
    </row>
    <row r="49" spans="1:13" hidden="1" x14ac:dyDescent="0.3">
      <c r="A49" s="173" t="s">
        <v>137</v>
      </c>
      <c r="B49" s="174" t="s">
        <v>95</v>
      </c>
      <c r="C49" s="185">
        <v>60000</v>
      </c>
      <c r="D49" s="186">
        <v>6000</v>
      </c>
      <c r="E49" s="14">
        <v>0</v>
      </c>
      <c r="F49" s="11">
        <v>0</v>
      </c>
      <c r="G49" s="176">
        <f t="shared" si="7"/>
        <v>6000</v>
      </c>
      <c r="H49" s="177">
        <f t="shared" si="8"/>
        <v>0.1</v>
      </c>
      <c r="I49" s="190">
        <v>23.363412702504391</v>
      </c>
      <c r="J49" s="191">
        <v>0.23363412702504391</v>
      </c>
      <c r="K49" s="12" t="s">
        <v>80</v>
      </c>
      <c r="L49" s="12" t="s">
        <v>91</v>
      </c>
      <c r="M49" s="182">
        <v>8.5000000000000006E-2</v>
      </c>
    </row>
    <row r="50" spans="1:13" hidden="1" x14ac:dyDescent="0.3">
      <c r="A50" s="173" t="s">
        <v>138</v>
      </c>
      <c r="B50" s="174" t="s">
        <v>95</v>
      </c>
      <c r="C50" s="185">
        <v>420</v>
      </c>
      <c r="D50" s="186">
        <v>54.6</v>
      </c>
      <c r="E50" s="14">
        <v>0</v>
      </c>
      <c r="F50" s="11">
        <v>0</v>
      </c>
      <c r="G50" s="176">
        <f t="shared" si="7"/>
        <v>54.6</v>
      </c>
      <c r="H50" s="177">
        <f t="shared" si="8"/>
        <v>0.13</v>
      </c>
      <c r="I50" s="180">
        <v>58.008412702504387</v>
      </c>
      <c r="J50" s="181">
        <v>0.44621855925003373</v>
      </c>
      <c r="K50" s="182" t="s">
        <v>92</v>
      </c>
      <c r="L50" s="12" t="s">
        <v>91</v>
      </c>
    </row>
    <row r="51" spans="1:13" hidden="1" x14ac:dyDescent="0.3">
      <c r="A51" s="173" t="s">
        <v>139</v>
      </c>
      <c r="B51" s="174" t="s">
        <v>95</v>
      </c>
      <c r="C51" s="185">
        <v>3220</v>
      </c>
      <c r="D51" s="186">
        <v>511.94</v>
      </c>
      <c r="E51" s="14">
        <v>45.52</v>
      </c>
      <c r="F51" s="11">
        <v>0</v>
      </c>
      <c r="G51" s="176">
        <f t="shared" si="7"/>
        <v>466.42</v>
      </c>
      <c r="H51" s="177">
        <f t="shared" si="8"/>
        <v>0.14485093167701865</v>
      </c>
      <c r="I51" s="180">
        <v>64.845912702504378</v>
      </c>
      <c r="J51" s="181">
        <v>0.44721319105175433</v>
      </c>
      <c r="K51" s="12" t="s">
        <v>80</v>
      </c>
    </row>
    <row r="52" spans="1:13" hidden="1" x14ac:dyDescent="0.3">
      <c r="A52" s="194" t="s">
        <v>140</v>
      </c>
      <c r="B52" s="174" t="s">
        <v>95</v>
      </c>
      <c r="C52" s="175">
        <v>16000</v>
      </c>
      <c r="D52" s="186">
        <v>1982.4</v>
      </c>
      <c r="E52" s="14">
        <v>62.4</v>
      </c>
      <c r="F52" s="11">
        <v>0</v>
      </c>
      <c r="G52" s="176">
        <f t="shared" si="7"/>
        <v>1920</v>
      </c>
      <c r="H52" s="177">
        <f t="shared" si="8"/>
        <v>0.12</v>
      </c>
      <c r="I52" s="180">
        <v>44.133412702504387</v>
      </c>
      <c r="J52" s="181">
        <v>0.36777843918753655</v>
      </c>
      <c r="K52" s="12" t="s">
        <v>80</v>
      </c>
    </row>
    <row r="53" spans="1:13" hidden="1" x14ac:dyDescent="0.3">
      <c r="A53" s="194" t="s">
        <v>141</v>
      </c>
      <c r="B53" s="174" t="s">
        <v>95</v>
      </c>
      <c r="C53" s="175">
        <v>4000</v>
      </c>
      <c r="D53" s="186">
        <v>536.9</v>
      </c>
      <c r="E53" s="14">
        <v>16.899999999999999</v>
      </c>
      <c r="F53" s="11">
        <v>0</v>
      </c>
      <c r="G53" s="176">
        <f t="shared" si="7"/>
        <v>520</v>
      </c>
      <c r="H53" s="177">
        <f t="shared" si="8"/>
        <v>0.13</v>
      </c>
      <c r="I53" s="180">
        <v>54.758412702504387</v>
      </c>
      <c r="J53" s="181">
        <v>0.42121855925003376</v>
      </c>
      <c r="K53" s="12" t="s">
        <v>80</v>
      </c>
      <c r="L53" s="12" t="s">
        <v>91</v>
      </c>
    </row>
    <row r="54" spans="1:13" hidden="1" x14ac:dyDescent="0.3">
      <c r="A54" s="194" t="s">
        <v>142</v>
      </c>
      <c r="B54" s="174" t="s">
        <v>95</v>
      </c>
      <c r="C54" s="175">
        <v>8000</v>
      </c>
      <c r="D54" s="186">
        <v>1321.6</v>
      </c>
      <c r="E54" s="14">
        <v>41.6</v>
      </c>
      <c r="F54" s="11">
        <v>0</v>
      </c>
      <c r="G54" s="176">
        <f t="shared" si="7"/>
        <v>1280</v>
      </c>
      <c r="H54" s="177">
        <f t="shared" si="8"/>
        <v>0.16</v>
      </c>
      <c r="I54" s="180">
        <v>80.153412702504397</v>
      </c>
      <c r="J54" s="181">
        <v>0.5009588293906525</v>
      </c>
      <c r="K54" s="12" t="s">
        <v>80</v>
      </c>
      <c r="L54" s="12" t="s">
        <v>91</v>
      </c>
    </row>
    <row r="55" spans="1:13" hidden="1" x14ac:dyDescent="0.3">
      <c r="A55" s="205"/>
      <c r="B55" s="188"/>
      <c r="C55" s="175"/>
      <c r="D55" s="186"/>
      <c r="E55" s="14"/>
      <c r="F55" s="11">
        <v>0</v>
      </c>
      <c r="G55" s="176">
        <f t="shared" ref="G55:G63" si="9">D55-E55</f>
        <v>0</v>
      </c>
      <c r="H55" s="177" t="e">
        <f t="shared" ref="H55:H63" si="10">G55/C55</f>
        <v>#DIV/0!</v>
      </c>
      <c r="I55" s="206"/>
      <c r="J55" s="206"/>
    </row>
    <row r="56" spans="1:13" hidden="1" x14ac:dyDescent="0.3">
      <c r="A56" s="205"/>
      <c r="B56" s="188"/>
      <c r="C56" s="175"/>
      <c r="D56" s="186"/>
      <c r="E56" s="14"/>
      <c r="F56" s="11">
        <v>0</v>
      </c>
      <c r="G56" s="176">
        <f t="shared" si="9"/>
        <v>0</v>
      </c>
      <c r="H56" s="177" t="e">
        <f t="shared" si="10"/>
        <v>#DIV/0!</v>
      </c>
      <c r="I56" s="206"/>
      <c r="J56" s="206"/>
    </row>
    <row r="57" spans="1:13" hidden="1" x14ac:dyDescent="0.3">
      <c r="A57" s="205"/>
      <c r="B57" s="188"/>
      <c r="C57" s="175"/>
      <c r="D57" s="186"/>
      <c r="E57" s="14"/>
      <c r="F57" s="11">
        <v>0</v>
      </c>
      <c r="G57" s="176">
        <f t="shared" si="9"/>
        <v>0</v>
      </c>
      <c r="H57" s="177" t="e">
        <f t="shared" si="10"/>
        <v>#DIV/0!</v>
      </c>
      <c r="I57" s="206"/>
      <c r="J57" s="206"/>
    </row>
    <row r="58" spans="1:13" hidden="1" x14ac:dyDescent="0.3">
      <c r="A58" s="205"/>
      <c r="B58" s="188"/>
      <c r="C58" s="175"/>
      <c r="D58" s="186"/>
      <c r="E58" s="14"/>
      <c r="F58" s="11">
        <v>0</v>
      </c>
      <c r="G58" s="176">
        <f t="shared" si="9"/>
        <v>0</v>
      </c>
      <c r="H58" s="177" t="e">
        <f t="shared" si="10"/>
        <v>#DIV/0!</v>
      </c>
      <c r="I58" s="206"/>
      <c r="J58" s="206"/>
    </row>
    <row r="59" spans="1:13" hidden="1" x14ac:dyDescent="0.3">
      <c r="A59" s="205"/>
      <c r="B59" s="188"/>
      <c r="C59" s="175"/>
      <c r="D59" s="186"/>
      <c r="E59" s="14"/>
      <c r="F59" s="11">
        <v>0</v>
      </c>
      <c r="G59" s="176">
        <f t="shared" si="9"/>
        <v>0</v>
      </c>
      <c r="H59" s="177" t="e">
        <f t="shared" si="10"/>
        <v>#DIV/0!</v>
      </c>
      <c r="I59" s="206"/>
      <c r="J59" s="206"/>
    </row>
    <row r="60" spans="1:13" hidden="1" x14ac:dyDescent="0.3">
      <c r="A60" s="205"/>
      <c r="B60" s="188"/>
      <c r="C60" s="175"/>
      <c r="D60" s="186"/>
      <c r="E60" s="14"/>
      <c r="F60" s="11">
        <v>0</v>
      </c>
      <c r="G60" s="176">
        <f t="shared" si="9"/>
        <v>0</v>
      </c>
      <c r="H60" s="177" t="e">
        <f t="shared" si="10"/>
        <v>#DIV/0!</v>
      </c>
      <c r="I60" s="206"/>
      <c r="J60" s="206"/>
    </row>
    <row r="61" spans="1:13" hidden="1" x14ac:dyDescent="0.3">
      <c r="A61" s="205"/>
      <c r="B61" s="188"/>
      <c r="C61" s="175"/>
      <c r="D61" s="186"/>
      <c r="E61" s="14"/>
      <c r="F61" s="11">
        <v>0</v>
      </c>
      <c r="G61" s="176">
        <f t="shared" si="9"/>
        <v>0</v>
      </c>
      <c r="H61" s="177" t="e">
        <f t="shared" si="10"/>
        <v>#DIV/0!</v>
      </c>
      <c r="I61" s="206"/>
      <c r="J61" s="206"/>
    </row>
    <row r="62" spans="1:13" hidden="1" x14ac:dyDescent="0.3">
      <c r="A62" s="205"/>
      <c r="B62" s="188"/>
      <c r="C62" s="175"/>
      <c r="D62" s="186"/>
      <c r="E62" s="14"/>
      <c r="F62" s="11">
        <v>0</v>
      </c>
      <c r="G62" s="176">
        <f t="shared" si="9"/>
        <v>0</v>
      </c>
      <c r="H62" s="177" t="e">
        <f t="shared" si="10"/>
        <v>#DIV/0!</v>
      </c>
      <c r="I62" s="206"/>
      <c r="J62" s="206"/>
    </row>
    <row r="63" spans="1:13" hidden="1" x14ac:dyDescent="0.3">
      <c r="A63" s="205"/>
      <c r="B63" s="188"/>
      <c r="C63" s="175"/>
      <c r="D63" s="186"/>
      <c r="E63" s="14"/>
      <c r="F63" s="11">
        <v>0</v>
      </c>
      <c r="G63" s="176">
        <f t="shared" si="9"/>
        <v>0</v>
      </c>
      <c r="H63" s="177" t="e">
        <f t="shared" si="10"/>
        <v>#DIV/0!</v>
      </c>
      <c r="I63" s="206"/>
      <c r="J63" s="206"/>
    </row>
    <row r="64" spans="1:13" ht="15.75" hidden="1" customHeight="1" x14ac:dyDescent="0.3">
      <c r="A64" s="196"/>
      <c r="B64" s="196" t="s">
        <v>35</v>
      </c>
      <c r="C64" s="196">
        <f t="shared" ref="C64:F64" si="11">SUM(C33:C63)</f>
        <v>250480</v>
      </c>
      <c r="D64" s="197">
        <f>SUM(D33:D63)</f>
        <v>30644.639999999996</v>
      </c>
      <c r="E64" s="197">
        <f t="shared" si="11"/>
        <v>612.91999999999996</v>
      </c>
      <c r="F64" s="196">
        <f t="shared" si="11"/>
        <v>0</v>
      </c>
      <c r="G64" s="198">
        <f t="shared" si="7"/>
        <v>30031.719999999998</v>
      </c>
      <c r="H64" s="199">
        <f t="shared" si="8"/>
        <v>0.11989667837751516</v>
      </c>
      <c r="I64" s="200"/>
      <c r="J64" s="201"/>
    </row>
    <row r="65" spans="1:12" ht="15.75" hidden="1" customHeight="1" thickBot="1" x14ac:dyDescent="0.35">
      <c r="A65" s="185"/>
      <c r="B65" s="185"/>
      <c r="C65" s="185"/>
      <c r="D65" s="193"/>
      <c r="E65" s="193"/>
      <c r="F65" s="185"/>
      <c r="G65" s="176"/>
      <c r="H65" s="207"/>
    </row>
    <row r="66" spans="1:12" ht="15.75" hidden="1" customHeight="1" x14ac:dyDescent="0.3">
      <c r="A66" s="185"/>
      <c r="B66" s="185"/>
      <c r="C66" s="185"/>
      <c r="D66" s="193"/>
      <c r="E66" s="193"/>
      <c r="F66" s="185"/>
      <c r="G66" s="176"/>
      <c r="H66" s="203"/>
      <c r="I66" s="164" t="s">
        <v>76</v>
      </c>
      <c r="J66" s="164" t="s">
        <v>76</v>
      </c>
    </row>
    <row r="67" spans="1:12" hidden="1" x14ac:dyDescent="0.3">
      <c r="A67" s="205"/>
      <c r="B67" s="165" t="s">
        <v>90</v>
      </c>
      <c r="C67" s="175"/>
      <c r="D67" s="14"/>
      <c r="E67" s="14"/>
      <c r="F67" s="11"/>
      <c r="G67" s="176"/>
      <c r="H67" s="203"/>
      <c r="I67" s="166" t="s">
        <v>66</v>
      </c>
      <c r="J67" s="166" t="s">
        <v>66</v>
      </c>
    </row>
    <row r="68" spans="1:12" hidden="1" x14ac:dyDescent="0.3">
      <c r="A68" s="167" t="s">
        <v>78</v>
      </c>
      <c r="B68" s="208" t="s">
        <v>32</v>
      </c>
      <c r="C68" s="208" t="s">
        <v>0</v>
      </c>
      <c r="D68" s="208" t="s">
        <v>1</v>
      </c>
      <c r="E68" s="209" t="s">
        <v>2</v>
      </c>
      <c r="F68" s="208" t="s">
        <v>3</v>
      </c>
      <c r="G68" s="170" t="s">
        <v>73</v>
      </c>
      <c r="H68" s="171" t="s">
        <v>72</v>
      </c>
      <c r="I68" s="210" t="s">
        <v>77</v>
      </c>
      <c r="J68" s="210" t="s">
        <v>50</v>
      </c>
    </row>
    <row r="69" spans="1:12" hidden="1" x14ac:dyDescent="0.3">
      <c r="A69" s="205"/>
      <c r="B69" s="188"/>
      <c r="C69" s="175"/>
      <c r="D69" s="14"/>
      <c r="E69" s="14">
        <v>0</v>
      </c>
      <c r="F69" s="11">
        <v>0</v>
      </c>
      <c r="G69" s="176">
        <f t="shared" ref="G69:G75" si="12">D69-E69</f>
        <v>0</v>
      </c>
      <c r="H69" s="177" t="e">
        <f t="shared" ref="H69:H75" si="13">G69/C69</f>
        <v>#DIV/0!</v>
      </c>
      <c r="I69" s="206"/>
      <c r="J69" s="206"/>
    </row>
    <row r="70" spans="1:12" hidden="1" x14ac:dyDescent="0.3">
      <c r="A70" s="205"/>
      <c r="B70" s="188"/>
      <c r="C70" s="175"/>
      <c r="D70" s="14"/>
      <c r="E70" s="14">
        <v>0</v>
      </c>
      <c r="F70" s="11">
        <v>0</v>
      </c>
      <c r="G70" s="176">
        <f t="shared" si="12"/>
        <v>0</v>
      </c>
      <c r="H70" s="177" t="e">
        <f t="shared" si="13"/>
        <v>#DIV/0!</v>
      </c>
      <c r="I70" s="206"/>
      <c r="J70" s="206"/>
      <c r="K70" s="182"/>
    </row>
    <row r="71" spans="1:12" hidden="1" x14ac:dyDescent="0.3">
      <c r="A71" s="195"/>
      <c r="B71" s="188"/>
      <c r="C71" s="175"/>
      <c r="D71" s="211"/>
      <c r="E71" s="211">
        <v>0</v>
      </c>
      <c r="F71" s="195">
        <v>0</v>
      </c>
      <c r="G71" s="176">
        <f t="shared" si="12"/>
        <v>0</v>
      </c>
      <c r="H71" s="177" t="e">
        <f t="shared" si="13"/>
        <v>#DIV/0!</v>
      </c>
      <c r="I71" s="206"/>
      <c r="J71" s="206"/>
    </row>
    <row r="72" spans="1:12" hidden="1" x14ac:dyDescent="0.3">
      <c r="A72" s="195"/>
      <c r="B72" s="195"/>
      <c r="C72" s="175"/>
      <c r="D72" s="211"/>
      <c r="E72" s="211"/>
      <c r="F72" s="195"/>
      <c r="G72" s="176">
        <f t="shared" si="12"/>
        <v>0</v>
      </c>
      <c r="H72" s="177" t="e">
        <f t="shared" si="13"/>
        <v>#DIV/0!</v>
      </c>
      <c r="I72" s="206"/>
      <c r="J72" s="206"/>
    </row>
    <row r="73" spans="1:12" hidden="1" x14ac:dyDescent="0.3">
      <c r="A73" s="195"/>
      <c r="B73" s="195"/>
      <c r="C73" s="175"/>
      <c r="D73" s="211"/>
      <c r="E73" s="211"/>
      <c r="F73" s="195"/>
      <c r="G73" s="176">
        <f t="shared" si="12"/>
        <v>0</v>
      </c>
      <c r="H73" s="177" t="e">
        <f t="shared" si="13"/>
        <v>#DIV/0!</v>
      </c>
      <c r="I73" s="206"/>
      <c r="J73" s="206"/>
    </row>
    <row r="74" spans="1:12" hidden="1" x14ac:dyDescent="0.3">
      <c r="A74" s="195"/>
      <c r="B74" s="195"/>
      <c r="C74" s="175"/>
      <c r="D74" s="211"/>
      <c r="E74" s="211"/>
      <c r="F74" s="195"/>
      <c r="G74" s="176">
        <f t="shared" si="12"/>
        <v>0</v>
      </c>
      <c r="H74" s="177" t="e">
        <f t="shared" si="13"/>
        <v>#DIV/0!</v>
      </c>
      <c r="I74" s="206"/>
      <c r="J74" s="206"/>
    </row>
    <row r="75" spans="1:12" hidden="1" x14ac:dyDescent="0.3">
      <c r="A75" s="212"/>
      <c r="B75" s="196" t="s">
        <v>35</v>
      </c>
      <c r="C75" s="196">
        <f t="shared" ref="C75:F75" si="14">SUM(C69:C74)</f>
        <v>0</v>
      </c>
      <c r="D75" s="197">
        <f>SUM(D69:D74)</f>
        <v>0</v>
      </c>
      <c r="E75" s="197">
        <f t="shared" si="14"/>
        <v>0</v>
      </c>
      <c r="F75" s="196">
        <f t="shared" si="14"/>
        <v>0</v>
      </c>
      <c r="G75" s="198">
        <f t="shared" si="12"/>
        <v>0</v>
      </c>
      <c r="H75" s="199" t="e">
        <f t="shared" si="13"/>
        <v>#DIV/0!</v>
      </c>
      <c r="I75" s="200"/>
      <c r="J75" s="201"/>
    </row>
    <row r="76" spans="1:12" ht="19.5" hidden="1" thickBot="1" x14ac:dyDescent="0.35">
      <c r="A76" s="192"/>
      <c r="B76" s="185"/>
      <c r="C76" s="185"/>
      <c r="D76" s="193"/>
      <c r="E76" s="193"/>
      <c r="F76" s="185"/>
      <c r="G76" s="176"/>
      <c r="H76" s="207"/>
    </row>
    <row r="77" spans="1:12" hidden="1" x14ac:dyDescent="0.3">
      <c r="A77" s="192"/>
      <c r="B77" s="185"/>
      <c r="C77" s="185"/>
      <c r="D77" s="193"/>
      <c r="E77" s="193"/>
      <c r="F77" s="185"/>
      <c r="G77" s="176"/>
      <c r="H77" s="203"/>
      <c r="I77" s="164" t="s">
        <v>76</v>
      </c>
      <c r="J77" s="164" t="s">
        <v>76</v>
      </c>
    </row>
    <row r="78" spans="1:12" hidden="1" x14ac:dyDescent="0.3">
      <c r="A78" s="205"/>
      <c r="B78" s="165" t="s">
        <v>90</v>
      </c>
      <c r="C78" s="175"/>
      <c r="D78" s="14"/>
      <c r="E78" s="14"/>
      <c r="F78" s="11"/>
      <c r="G78" s="176"/>
      <c r="H78" s="203"/>
      <c r="I78" s="166" t="s">
        <v>66</v>
      </c>
      <c r="J78" s="166" t="s">
        <v>66</v>
      </c>
    </row>
    <row r="79" spans="1:12" hidden="1" x14ac:dyDescent="0.3">
      <c r="A79" s="167" t="s">
        <v>78</v>
      </c>
      <c r="B79" s="208" t="s">
        <v>33</v>
      </c>
      <c r="C79" s="208" t="s">
        <v>0</v>
      </c>
      <c r="D79" s="208" t="s">
        <v>1</v>
      </c>
      <c r="E79" s="209" t="s">
        <v>2</v>
      </c>
      <c r="F79" s="208" t="s">
        <v>3</v>
      </c>
      <c r="G79" s="170" t="s">
        <v>73</v>
      </c>
      <c r="H79" s="171" t="s">
        <v>72</v>
      </c>
      <c r="I79" s="210" t="s">
        <v>77</v>
      </c>
      <c r="J79" s="210" t="s">
        <v>50</v>
      </c>
    </row>
    <row r="80" spans="1:12" hidden="1" x14ac:dyDescent="0.3">
      <c r="A80" s="205" t="s">
        <v>144</v>
      </c>
      <c r="B80" s="188" t="s">
        <v>7</v>
      </c>
      <c r="C80" s="11">
        <v>121800</v>
      </c>
      <c r="D80" s="14">
        <v>26796</v>
      </c>
      <c r="E80" s="14">
        <v>0</v>
      </c>
      <c r="F80" s="11">
        <v>0</v>
      </c>
      <c r="G80" s="176">
        <f t="shared" ref="G80:G98" si="15">D80-E80</f>
        <v>26796</v>
      </c>
      <c r="H80" s="177">
        <f t="shared" ref="H80:H91" si="16">G80/C80</f>
        <v>0.22</v>
      </c>
      <c r="I80" s="190">
        <v>52.719589523778183</v>
      </c>
      <c r="J80" s="191">
        <v>0.23963449783535537</v>
      </c>
      <c r="K80" s="12" t="s">
        <v>80</v>
      </c>
      <c r="L80" s="12" t="s">
        <v>91</v>
      </c>
    </row>
    <row r="81" spans="1:12" hidden="1" x14ac:dyDescent="0.3">
      <c r="A81" s="205" t="s">
        <v>145</v>
      </c>
      <c r="B81" s="188" t="s">
        <v>7</v>
      </c>
      <c r="C81" s="11">
        <f>121800+121800</f>
        <v>243600</v>
      </c>
      <c r="D81" s="14">
        <f>28014+28014</f>
        <v>56028</v>
      </c>
      <c r="E81" s="14">
        <v>0</v>
      </c>
      <c r="F81" s="11">
        <v>0</v>
      </c>
      <c r="G81" s="176">
        <f t="shared" si="15"/>
        <v>56028</v>
      </c>
      <c r="H81" s="177">
        <f t="shared" si="16"/>
        <v>0.23</v>
      </c>
      <c r="I81" s="180">
        <v>61.184589523778186</v>
      </c>
      <c r="J81" s="181">
        <v>0.26601995445120952</v>
      </c>
      <c r="K81" s="12" t="s">
        <v>80</v>
      </c>
      <c r="L81" s="12" t="s">
        <v>91</v>
      </c>
    </row>
    <row r="82" spans="1:12" hidden="1" x14ac:dyDescent="0.3">
      <c r="A82" s="213" t="s">
        <v>146</v>
      </c>
      <c r="B82" s="188" t="s">
        <v>7</v>
      </c>
      <c r="C82" s="11">
        <v>121800</v>
      </c>
      <c r="D82" s="14">
        <v>26187</v>
      </c>
      <c r="E82" s="14">
        <v>0</v>
      </c>
      <c r="F82" s="11">
        <v>0</v>
      </c>
      <c r="G82" s="176">
        <f t="shared" si="15"/>
        <v>26187</v>
      </c>
      <c r="H82" s="177">
        <f t="shared" si="16"/>
        <v>0.215</v>
      </c>
      <c r="I82" s="190">
        <v>48.487089523778195</v>
      </c>
      <c r="J82" s="191">
        <v>0.22552134662222414</v>
      </c>
      <c r="K82" s="182" t="s">
        <v>80</v>
      </c>
      <c r="L82" s="12" t="s">
        <v>91</v>
      </c>
    </row>
    <row r="83" spans="1:12" hidden="1" x14ac:dyDescent="0.3">
      <c r="A83" s="188" t="s">
        <v>147</v>
      </c>
      <c r="B83" s="188" t="s">
        <v>7</v>
      </c>
      <c r="C83" s="11">
        <v>97440</v>
      </c>
      <c r="D83" s="14">
        <v>22411.200000000001</v>
      </c>
      <c r="E83" s="14">
        <v>0</v>
      </c>
      <c r="F83" s="11">
        <v>0</v>
      </c>
      <c r="G83" s="176">
        <f t="shared" si="15"/>
        <v>22411.200000000001</v>
      </c>
      <c r="H83" s="177">
        <f t="shared" si="16"/>
        <v>0.23</v>
      </c>
      <c r="I83" s="190">
        <v>57.0445895237782</v>
      </c>
      <c r="J83" s="191">
        <v>0.24801995445120956</v>
      </c>
      <c r="K83" s="182" t="s">
        <v>80</v>
      </c>
    </row>
    <row r="84" spans="1:12" hidden="1" x14ac:dyDescent="0.3">
      <c r="A84" s="205" t="s">
        <v>148</v>
      </c>
      <c r="B84" s="188" t="s">
        <v>87</v>
      </c>
      <c r="C84" s="11">
        <v>48720</v>
      </c>
      <c r="D84" s="14">
        <v>12180</v>
      </c>
      <c r="E84" s="14">
        <v>0</v>
      </c>
      <c r="F84" s="11">
        <v>0</v>
      </c>
      <c r="G84" s="176">
        <f t="shared" si="15"/>
        <v>12180</v>
      </c>
      <c r="H84" s="177">
        <f t="shared" si="16"/>
        <v>0.25</v>
      </c>
      <c r="I84" s="180">
        <v>67.565717725552474</v>
      </c>
      <c r="J84" s="181">
        <v>0.27026287090220991</v>
      </c>
      <c r="K84" s="182" t="s">
        <v>80</v>
      </c>
    </row>
    <row r="85" spans="1:12" hidden="1" x14ac:dyDescent="0.3">
      <c r="A85" s="205" t="s">
        <v>149</v>
      </c>
      <c r="B85" s="188" t="s">
        <v>7</v>
      </c>
      <c r="C85" s="11">
        <v>121800</v>
      </c>
      <c r="D85" s="14">
        <v>25456.2</v>
      </c>
      <c r="E85" s="14">
        <v>0</v>
      </c>
      <c r="F85" s="11">
        <v>0</v>
      </c>
      <c r="G85" s="176">
        <f t="shared" si="15"/>
        <v>25456.2</v>
      </c>
      <c r="H85" s="177">
        <f t="shared" si="16"/>
        <v>0.20900000000000002</v>
      </c>
      <c r="I85" s="190">
        <v>39.646089523778187</v>
      </c>
      <c r="J85" s="191">
        <v>0.18969420824774252</v>
      </c>
      <c r="K85" s="182" t="s">
        <v>80</v>
      </c>
    </row>
    <row r="86" spans="1:12" hidden="1" x14ac:dyDescent="0.3">
      <c r="A86" s="205" t="s">
        <v>150</v>
      </c>
      <c r="B86" s="188" t="s">
        <v>87</v>
      </c>
      <c r="C86" s="11">
        <v>24360</v>
      </c>
      <c r="D86" s="14">
        <v>6090</v>
      </c>
      <c r="E86" s="14">
        <v>0</v>
      </c>
      <c r="F86" s="11">
        <v>0</v>
      </c>
      <c r="G86" s="176">
        <f t="shared" si="15"/>
        <v>6090</v>
      </c>
      <c r="H86" s="177">
        <f t="shared" si="16"/>
        <v>0.25</v>
      </c>
      <c r="I86" s="183">
        <v>67.565717725552474</v>
      </c>
      <c r="J86" s="184">
        <v>0.27026287090220991</v>
      </c>
      <c r="K86" s="182" t="s">
        <v>80</v>
      </c>
    </row>
    <row r="87" spans="1:12" hidden="1" x14ac:dyDescent="0.3">
      <c r="A87" s="205" t="s">
        <v>151</v>
      </c>
      <c r="B87" s="188" t="s">
        <v>7</v>
      </c>
      <c r="C87" s="11">
        <f>48720+48720</f>
        <v>97440</v>
      </c>
      <c r="D87" s="14">
        <f>11400.48+11400.48</f>
        <v>22800.959999999999</v>
      </c>
      <c r="E87" s="14">
        <v>0</v>
      </c>
      <c r="F87" s="11">
        <v>0</v>
      </c>
      <c r="G87" s="176">
        <f t="shared" si="15"/>
        <v>22800.959999999999</v>
      </c>
      <c r="H87" s="177">
        <f t="shared" si="16"/>
        <v>0.23399999999999999</v>
      </c>
      <c r="I87" s="180">
        <v>64.57058952377821</v>
      </c>
      <c r="J87" s="181">
        <v>0.27594269027255647</v>
      </c>
      <c r="K87" s="182" t="s">
        <v>80</v>
      </c>
      <c r="L87" s="12" t="s">
        <v>91</v>
      </c>
    </row>
    <row r="88" spans="1:12" hidden="1" x14ac:dyDescent="0.3">
      <c r="A88" s="205" t="s">
        <v>152</v>
      </c>
      <c r="B88" s="188" t="s">
        <v>7</v>
      </c>
      <c r="C88" s="11">
        <f>24360+24360</f>
        <v>48720</v>
      </c>
      <c r="D88" s="14">
        <f>5651.52+5651.52</f>
        <v>11303.04</v>
      </c>
      <c r="E88" s="14">
        <v>0</v>
      </c>
      <c r="F88" s="11">
        <v>0</v>
      </c>
      <c r="G88" s="176">
        <f t="shared" si="15"/>
        <v>11303.04</v>
      </c>
      <c r="H88" s="177">
        <f t="shared" si="16"/>
        <v>0.23200000000000001</v>
      </c>
      <c r="I88" s="180">
        <v>58.701589523778182</v>
      </c>
      <c r="J88" s="181">
        <v>0.25302409277490595</v>
      </c>
      <c r="K88" s="182" t="s">
        <v>80</v>
      </c>
    </row>
    <row r="89" spans="1:12" hidden="1" x14ac:dyDescent="0.3">
      <c r="A89" s="205" t="s">
        <v>153</v>
      </c>
      <c r="B89" s="188" t="s">
        <v>7</v>
      </c>
      <c r="C89" s="11">
        <v>48720</v>
      </c>
      <c r="D89" s="14">
        <v>11205.6</v>
      </c>
      <c r="E89" s="14">
        <v>0</v>
      </c>
      <c r="F89" s="11">
        <v>0</v>
      </c>
      <c r="G89" s="176">
        <f t="shared" si="15"/>
        <v>11205.6</v>
      </c>
      <c r="H89" s="177">
        <f t="shared" si="16"/>
        <v>0.23</v>
      </c>
      <c r="I89" s="180">
        <v>66.934589523778186</v>
      </c>
      <c r="J89" s="181">
        <v>0.29101995445120954</v>
      </c>
      <c r="K89" s="182" t="s">
        <v>92</v>
      </c>
      <c r="L89" s="12" t="s">
        <v>91</v>
      </c>
    </row>
    <row r="90" spans="1:12" hidden="1" x14ac:dyDescent="0.3">
      <c r="A90" s="205" t="s">
        <v>154</v>
      </c>
      <c r="B90" s="188" t="s">
        <v>7</v>
      </c>
      <c r="C90" s="11">
        <v>24360</v>
      </c>
      <c r="D90" s="14">
        <v>5650.98</v>
      </c>
      <c r="E90" s="14">
        <v>0</v>
      </c>
      <c r="F90" s="11">
        <v>0</v>
      </c>
      <c r="G90" s="176">
        <f t="shared" si="15"/>
        <v>5650.98</v>
      </c>
      <c r="H90" s="177">
        <f t="shared" si="16"/>
        <v>0.23197783251231524</v>
      </c>
      <c r="I90" s="180">
        <v>68.677589523778209</v>
      </c>
      <c r="J90" s="181">
        <v>0.29602409277490604</v>
      </c>
      <c r="K90" s="182" t="s">
        <v>92</v>
      </c>
      <c r="L90" s="12" t="s">
        <v>91</v>
      </c>
    </row>
    <row r="91" spans="1:12" hidden="1" x14ac:dyDescent="0.3">
      <c r="A91" s="205" t="s">
        <v>155</v>
      </c>
      <c r="B91" s="188" t="s">
        <v>7</v>
      </c>
      <c r="C91" s="11">
        <v>24360</v>
      </c>
      <c r="D91" s="14">
        <v>5554.08</v>
      </c>
      <c r="E91" s="14">
        <v>0</v>
      </c>
      <c r="F91" s="11">
        <v>0</v>
      </c>
      <c r="G91" s="176">
        <f t="shared" si="15"/>
        <v>5554.08</v>
      </c>
      <c r="H91" s="177">
        <f t="shared" si="16"/>
        <v>0.22800000000000001</v>
      </c>
      <c r="I91" s="180">
        <v>65.191589523778191</v>
      </c>
      <c r="J91" s="181">
        <v>0.28592802422709734</v>
      </c>
      <c r="K91" s="12" t="s">
        <v>92</v>
      </c>
      <c r="L91" s="12" t="s">
        <v>91</v>
      </c>
    </row>
    <row r="92" spans="1:12" hidden="1" x14ac:dyDescent="0.3">
      <c r="A92" s="205" t="s">
        <v>156</v>
      </c>
      <c r="B92" s="188" t="s">
        <v>7</v>
      </c>
      <c r="C92" s="11">
        <v>24360</v>
      </c>
      <c r="D92" s="14">
        <v>5529.72</v>
      </c>
      <c r="E92" s="14">
        <v>0</v>
      </c>
      <c r="F92" s="11">
        <v>0</v>
      </c>
      <c r="G92" s="176">
        <f t="shared" ref="G92:G97" si="17">D92-E92</f>
        <v>5529.72</v>
      </c>
      <c r="H92" s="177">
        <f t="shared" ref="H92:H97" si="18">G92/C92</f>
        <v>0.22700000000000001</v>
      </c>
      <c r="I92" s="180">
        <v>64.320089523778194</v>
      </c>
      <c r="J92" s="181">
        <v>0.28334841199902289</v>
      </c>
      <c r="K92" s="12" t="s">
        <v>92</v>
      </c>
      <c r="L92" s="12" t="s">
        <v>91</v>
      </c>
    </row>
    <row r="93" spans="1:12" hidden="1" x14ac:dyDescent="0.3">
      <c r="A93" s="205" t="s">
        <v>157</v>
      </c>
      <c r="B93" s="188" t="s">
        <v>7</v>
      </c>
      <c r="C93" s="11">
        <v>121800</v>
      </c>
      <c r="D93" s="14">
        <v>27648.6</v>
      </c>
      <c r="E93" s="14">
        <v>0</v>
      </c>
      <c r="F93" s="11">
        <v>0</v>
      </c>
      <c r="G93" s="176">
        <f t="shared" si="17"/>
        <v>27648.6</v>
      </c>
      <c r="H93" s="177">
        <f t="shared" si="18"/>
        <v>0.22699999999999998</v>
      </c>
      <c r="I93" s="180">
        <v>58.645089523778182</v>
      </c>
      <c r="J93" s="181">
        <v>0.25834841199902281</v>
      </c>
      <c r="K93" s="12" t="s">
        <v>80</v>
      </c>
      <c r="L93" s="12" t="s">
        <v>91</v>
      </c>
    </row>
    <row r="94" spans="1:12" hidden="1" x14ac:dyDescent="0.3">
      <c r="A94" s="205" t="s">
        <v>158</v>
      </c>
      <c r="B94" s="188" t="s">
        <v>7</v>
      </c>
      <c r="C94" s="11">
        <v>73080</v>
      </c>
      <c r="D94" s="14">
        <v>16808.400000000001</v>
      </c>
      <c r="E94" s="14">
        <v>0</v>
      </c>
      <c r="F94" s="11">
        <v>0</v>
      </c>
      <c r="G94" s="176">
        <f t="shared" si="17"/>
        <v>16808.400000000001</v>
      </c>
      <c r="H94" s="177">
        <f t="shared" si="18"/>
        <v>0.23</v>
      </c>
      <c r="I94" s="190">
        <v>57.0445895237782</v>
      </c>
      <c r="J94" s="191">
        <v>0.24801995445120956</v>
      </c>
      <c r="K94" s="12" t="s">
        <v>80</v>
      </c>
    </row>
    <row r="95" spans="1:12" hidden="1" x14ac:dyDescent="0.3">
      <c r="A95" s="205"/>
      <c r="B95" s="188"/>
      <c r="C95" s="11"/>
      <c r="D95" s="14">
        <v>0</v>
      </c>
      <c r="E95" s="14">
        <v>0</v>
      </c>
      <c r="F95" s="11">
        <v>0</v>
      </c>
      <c r="G95" s="176">
        <f t="shared" si="17"/>
        <v>0</v>
      </c>
      <c r="H95" s="177" t="e">
        <f t="shared" si="18"/>
        <v>#DIV/0!</v>
      </c>
      <c r="I95" s="180"/>
      <c r="J95" s="181"/>
    </row>
    <row r="96" spans="1:12" hidden="1" x14ac:dyDescent="0.3">
      <c r="A96" s="205"/>
      <c r="B96" s="188"/>
      <c r="C96" s="11"/>
      <c r="D96" s="14">
        <v>0</v>
      </c>
      <c r="E96" s="14">
        <v>0</v>
      </c>
      <c r="F96" s="11">
        <v>0</v>
      </c>
      <c r="G96" s="176">
        <f t="shared" si="17"/>
        <v>0</v>
      </c>
      <c r="H96" s="177" t="e">
        <f t="shared" si="18"/>
        <v>#DIV/0!</v>
      </c>
      <c r="I96" s="180"/>
      <c r="J96" s="181"/>
    </row>
    <row r="97" spans="1:13" hidden="1" x14ac:dyDescent="0.3">
      <c r="A97" s="205"/>
      <c r="B97" s="188"/>
      <c r="C97" s="11"/>
      <c r="D97" s="14">
        <v>0</v>
      </c>
      <c r="E97" s="14">
        <v>0</v>
      </c>
      <c r="F97" s="11">
        <v>0</v>
      </c>
      <c r="G97" s="176">
        <f t="shared" si="17"/>
        <v>0</v>
      </c>
      <c r="H97" s="177" t="e">
        <f t="shared" si="18"/>
        <v>#DIV/0!</v>
      </c>
      <c r="I97" s="180"/>
      <c r="J97" s="181"/>
    </row>
    <row r="98" spans="1:13" hidden="1" x14ac:dyDescent="0.3">
      <c r="A98" s="214"/>
      <c r="B98" s="215" t="s">
        <v>35</v>
      </c>
      <c r="C98" s="216">
        <f t="shared" ref="C98:F98" si="19">SUM(C80:C97)</f>
        <v>1242360</v>
      </c>
      <c r="D98" s="217">
        <f>SUM(D80:D97)</f>
        <v>281649.78000000003</v>
      </c>
      <c r="E98" s="217">
        <f t="shared" si="19"/>
        <v>0</v>
      </c>
      <c r="F98" s="216">
        <f t="shared" si="19"/>
        <v>0</v>
      </c>
      <c r="G98" s="198">
        <f t="shared" si="15"/>
        <v>281649.78000000003</v>
      </c>
      <c r="H98" s="199">
        <f>G98/C98</f>
        <v>0.22670544769631992</v>
      </c>
      <c r="I98" s="200"/>
      <c r="J98" s="30"/>
    </row>
    <row r="99" spans="1:13" ht="19.5" hidden="1" thickBot="1" x14ac:dyDescent="0.35">
      <c r="A99" s="188"/>
      <c r="B99" s="218"/>
      <c r="C99" s="189"/>
      <c r="D99" s="186"/>
      <c r="E99" s="186"/>
      <c r="F99" s="189"/>
      <c r="G99" s="202"/>
      <c r="H99" s="203"/>
    </row>
    <row r="100" spans="1:13" hidden="1" x14ac:dyDescent="0.3">
      <c r="A100" s="188"/>
      <c r="B100" s="218"/>
      <c r="C100" s="189"/>
      <c r="D100" s="186"/>
      <c r="E100" s="186"/>
      <c r="F100" s="189"/>
      <c r="G100" s="202"/>
      <c r="H100" s="203"/>
      <c r="I100" s="164" t="s">
        <v>76</v>
      </c>
      <c r="J100" s="164" t="s">
        <v>76</v>
      </c>
    </row>
    <row r="101" spans="1:13" hidden="1" x14ac:dyDescent="0.3">
      <c r="A101" s="188"/>
      <c r="B101" s="218"/>
      <c r="C101" s="189"/>
      <c r="D101" s="186"/>
      <c r="E101" s="186"/>
      <c r="F101" s="189"/>
      <c r="G101" s="202"/>
      <c r="H101" s="203"/>
      <c r="I101" s="166" t="s">
        <v>66</v>
      </c>
      <c r="J101" s="166" t="s">
        <v>66</v>
      </c>
    </row>
    <row r="102" spans="1:13" hidden="1" x14ac:dyDescent="0.3">
      <c r="A102" s="167" t="s">
        <v>78</v>
      </c>
      <c r="B102" s="208" t="s">
        <v>34</v>
      </c>
      <c r="C102" s="208" t="s">
        <v>0</v>
      </c>
      <c r="D102" s="208" t="s">
        <v>1</v>
      </c>
      <c r="E102" s="209" t="s">
        <v>2</v>
      </c>
      <c r="F102" s="208" t="s">
        <v>3</v>
      </c>
      <c r="G102" s="170" t="s">
        <v>73</v>
      </c>
      <c r="H102" s="171" t="s">
        <v>72</v>
      </c>
      <c r="I102" s="210" t="s">
        <v>77</v>
      </c>
      <c r="J102" s="210" t="s">
        <v>50</v>
      </c>
    </row>
    <row r="103" spans="1:13" hidden="1" x14ac:dyDescent="0.3">
      <c r="A103" s="205" t="s">
        <v>159</v>
      </c>
      <c r="B103" s="174" t="s">
        <v>67</v>
      </c>
      <c r="C103" s="185">
        <v>6400</v>
      </c>
      <c r="D103" s="186">
        <v>8108.8</v>
      </c>
      <c r="E103" s="14">
        <v>0</v>
      </c>
      <c r="F103" s="11">
        <v>0</v>
      </c>
      <c r="G103" s="176">
        <f t="shared" ref="G103:G118" si="20">D103-E103</f>
        <v>8108.8</v>
      </c>
      <c r="H103" s="177">
        <f t="shared" ref="H103:H118" si="21">G103/C103</f>
        <v>1.2670000000000001</v>
      </c>
      <c r="I103" s="180">
        <v>366.61016815924438</v>
      </c>
      <c r="J103" s="181">
        <v>0.2893529346166096</v>
      </c>
      <c r="K103" s="182" t="s">
        <v>88</v>
      </c>
      <c r="L103" s="12" t="s">
        <v>91</v>
      </c>
    </row>
    <row r="104" spans="1:13" hidden="1" x14ac:dyDescent="0.3">
      <c r="A104" s="205" t="s">
        <v>160</v>
      </c>
      <c r="B104" s="174" t="s">
        <v>67</v>
      </c>
      <c r="C104" s="189">
        <v>3200</v>
      </c>
      <c r="D104" s="186">
        <v>4054.4</v>
      </c>
      <c r="E104" s="14">
        <v>0</v>
      </c>
      <c r="F104" s="11">
        <v>0</v>
      </c>
      <c r="G104" s="176">
        <f t="shared" si="20"/>
        <v>4054.4</v>
      </c>
      <c r="H104" s="177">
        <f t="shared" si="21"/>
        <v>1.2670000000000001</v>
      </c>
      <c r="I104" s="180">
        <v>366.61016815924438</v>
      </c>
      <c r="J104" s="181">
        <v>0.2893529346166096</v>
      </c>
      <c r="K104" s="182" t="s">
        <v>88</v>
      </c>
      <c r="L104" s="12" t="s">
        <v>91</v>
      </c>
    </row>
    <row r="105" spans="1:13" hidden="1" x14ac:dyDescent="0.3">
      <c r="A105" s="188" t="s">
        <v>161</v>
      </c>
      <c r="B105" s="174" t="s">
        <v>67</v>
      </c>
      <c r="C105" s="189">
        <f>3200+3200</f>
        <v>6400</v>
      </c>
      <c r="D105" s="186">
        <f>4320+4320</f>
        <v>8640</v>
      </c>
      <c r="E105" s="14">
        <v>0</v>
      </c>
      <c r="F105" s="11">
        <v>0</v>
      </c>
      <c r="G105" s="176">
        <f t="shared" si="20"/>
        <v>8640</v>
      </c>
      <c r="H105" s="177">
        <f t="shared" si="21"/>
        <v>1.35</v>
      </c>
      <c r="I105" s="180">
        <v>438.94466815924443</v>
      </c>
      <c r="J105" s="181">
        <v>0.32514419863647737</v>
      </c>
      <c r="K105" s="182" t="s">
        <v>88</v>
      </c>
      <c r="L105" s="12" t="s">
        <v>91</v>
      </c>
    </row>
    <row r="106" spans="1:13" hidden="1" x14ac:dyDescent="0.3">
      <c r="A106" s="205" t="s">
        <v>152</v>
      </c>
      <c r="B106" s="174" t="s">
        <v>67</v>
      </c>
      <c r="C106" s="189">
        <f>3200+6400</f>
        <v>9600</v>
      </c>
      <c r="D106" s="186">
        <f>4153.6+8307.2</f>
        <v>12460.800000000001</v>
      </c>
      <c r="E106" s="14">
        <v>0</v>
      </c>
      <c r="F106" s="11">
        <v>0</v>
      </c>
      <c r="G106" s="176">
        <f t="shared" si="20"/>
        <v>12460.800000000001</v>
      </c>
      <c r="H106" s="177">
        <f t="shared" si="21"/>
        <v>1.298</v>
      </c>
      <c r="I106" s="180">
        <v>337.81266815924425</v>
      </c>
      <c r="J106" s="181">
        <v>0.26025629288077368</v>
      </c>
      <c r="K106" s="182" t="s">
        <v>80</v>
      </c>
    </row>
    <row r="107" spans="1:13" hidden="1" x14ac:dyDescent="0.3">
      <c r="A107" s="205" t="s">
        <v>162</v>
      </c>
      <c r="B107" s="174" t="s">
        <v>67</v>
      </c>
      <c r="C107" s="189">
        <v>3200</v>
      </c>
      <c r="D107" s="186">
        <v>4384</v>
      </c>
      <c r="E107" s="14">
        <v>0</v>
      </c>
      <c r="F107" s="11">
        <v>0</v>
      </c>
      <c r="G107" s="176">
        <f t="shared" si="20"/>
        <v>4384</v>
      </c>
      <c r="H107" s="177">
        <f t="shared" si="21"/>
        <v>1.37</v>
      </c>
      <c r="I107" s="180">
        <v>397.46466815924441</v>
      </c>
      <c r="J107" s="181">
        <v>0.29012019573667475</v>
      </c>
      <c r="K107" s="182" t="s">
        <v>80</v>
      </c>
    </row>
    <row r="108" spans="1:13" hidden="1" x14ac:dyDescent="0.3">
      <c r="A108" s="188" t="s">
        <v>163</v>
      </c>
      <c r="B108" s="174" t="s">
        <v>67</v>
      </c>
      <c r="C108" s="189">
        <v>128000</v>
      </c>
      <c r="D108" s="186">
        <v>153600</v>
      </c>
      <c r="E108" s="14">
        <v>0</v>
      </c>
      <c r="F108" s="11">
        <v>0</v>
      </c>
      <c r="G108" s="176">
        <f t="shared" si="20"/>
        <v>153600</v>
      </c>
      <c r="H108" s="177">
        <f t="shared" si="21"/>
        <v>1.2</v>
      </c>
      <c r="I108" s="190">
        <v>206.21966815924441</v>
      </c>
      <c r="J108" s="191">
        <v>0.17184972346603702</v>
      </c>
      <c r="K108" s="182" t="s">
        <v>80</v>
      </c>
      <c r="L108" s="12" t="s">
        <v>91</v>
      </c>
      <c r="M108" s="182">
        <v>8.5000000000000006E-2</v>
      </c>
    </row>
    <row r="109" spans="1:13" hidden="1" x14ac:dyDescent="0.3">
      <c r="A109" s="188" t="s">
        <v>164</v>
      </c>
      <c r="B109" s="174" t="s">
        <v>67</v>
      </c>
      <c r="C109" s="189">
        <v>3200</v>
      </c>
      <c r="D109" s="186">
        <v>4192</v>
      </c>
      <c r="E109" s="14">
        <v>0</v>
      </c>
      <c r="F109" s="11">
        <v>0</v>
      </c>
      <c r="G109" s="176">
        <f t="shared" si="20"/>
        <v>4192</v>
      </c>
      <c r="H109" s="177">
        <f t="shared" si="21"/>
        <v>1.31</v>
      </c>
      <c r="I109" s="180">
        <v>404.0846681592443</v>
      </c>
      <c r="J109" s="181">
        <v>0.30846157874751473</v>
      </c>
      <c r="K109" s="182" t="s">
        <v>88</v>
      </c>
      <c r="L109" s="12" t="s">
        <v>91</v>
      </c>
    </row>
    <row r="110" spans="1:13" hidden="1" x14ac:dyDescent="0.3">
      <c r="A110" s="188" t="s">
        <v>165</v>
      </c>
      <c r="B110" s="174" t="s">
        <v>67</v>
      </c>
      <c r="C110" s="11">
        <v>3200</v>
      </c>
      <c r="D110" s="14">
        <v>4192</v>
      </c>
      <c r="E110" s="14">
        <v>0</v>
      </c>
      <c r="F110" s="11">
        <v>0</v>
      </c>
      <c r="G110" s="176">
        <f t="shared" si="20"/>
        <v>4192</v>
      </c>
      <c r="H110" s="177">
        <f t="shared" si="21"/>
        <v>1.31</v>
      </c>
      <c r="I110" s="180">
        <v>371.3346681592443</v>
      </c>
      <c r="J110" s="181">
        <v>0.28346157874751476</v>
      </c>
      <c r="K110" s="12" t="s">
        <v>80</v>
      </c>
      <c r="L110" s="12" t="s">
        <v>91</v>
      </c>
    </row>
    <row r="111" spans="1:13" hidden="1" x14ac:dyDescent="0.3">
      <c r="A111" s="205" t="s">
        <v>158</v>
      </c>
      <c r="B111" s="174" t="s">
        <v>67</v>
      </c>
      <c r="C111" s="11">
        <v>16000</v>
      </c>
      <c r="D111" s="14">
        <v>20640</v>
      </c>
      <c r="E111" s="14">
        <v>0</v>
      </c>
      <c r="F111" s="11">
        <v>0</v>
      </c>
      <c r="G111" s="176">
        <f t="shared" si="20"/>
        <v>20640</v>
      </c>
      <c r="H111" s="177">
        <f t="shared" si="21"/>
        <v>1.29</v>
      </c>
      <c r="I111" s="180">
        <v>331.18466815924432</v>
      </c>
      <c r="J111" s="181">
        <v>0.25673230089863902</v>
      </c>
      <c r="K111" s="12" t="s">
        <v>80</v>
      </c>
    </row>
    <row r="112" spans="1:13" hidden="1" x14ac:dyDescent="0.3">
      <c r="A112" s="194" t="s">
        <v>141</v>
      </c>
      <c r="B112" s="174" t="s">
        <v>67</v>
      </c>
      <c r="C112" s="11">
        <v>12800</v>
      </c>
      <c r="D112" s="14">
        <v>16217.6</v>
      </c>
      <c r="E112" s="14">
        <v>0</v>
      </c>
      <c r="F112" s="11">
        <v>0</v>
      </c>
      <c r="G112" s="176">
        <f t="shared" ref="G112:G116" si="22">D112-E112</f>
        <v>16217.6</v>
      </c>
      <c r="H112" s="177">
        <f t="shared" ref="H112:H116" si="23">G112/C112</f>
        <v>1.2670000000000001</v>
      </c>
      <c r="I112" s="180">
        <v>334.93516815924443</v>
      </c>
      <c r="J112" s="181">
        <v>0.26435293461660969</v>
      </c>
      <c r="K112" s="12" t="s">
        <v>80</v>
      </c>
      <c r="L112" s="12" t="s">
        <v>91</v>
      </c>
    </row>
    <row r="113" spans="1:11" hidden="1" x14ac:dyDescent="0.3">
      <c r="A113" s="206"/>
      <c r="B113" s="206"/>
      <c r="C113" s="11"/>
      <c r="D113" s="14"/>
      <c r="E113" s="14">
        <v>0</v>
      </c>
      <c r="F113" s="11">
        <v>0</v>
      </c>
      <c r="G113" s="176">
        <f t="shared" si="22"/>
        <v>0</v>
      </c>
      <c r="H113" s="177" t="e">
        <f t="shared" si="23"/>
        <v>#DIV/0!</v>
      </c>
      <c r="I113" s="180"/>
      <c r="J113" s="181"/>
    </row>
    <row r="114" spans="1:11" hidden="1" x14ac:dyDescent="0.3">
      <c r="A114" s="206"/>
      <c r="B114" s="206"/>
      <c r="C114" s="11"/>
      <c r="D114" s="14"/>
      <c r="E114" s="14">
        <v>0</v>
      </c>
      <c r="F114" s="11">
        <v>0</v>
      </c>
      <c r="G114" s="176">
        <f t="shared" si="22"/>
        <v>0</v>
      </c>
      <c r="H114" s="177" t="e">
        <f t="shared" si="23"/>
        <v>#DIV/0!</v>
      </c>
      <c r="I114" s="180"/>
      <c r="J114" s="181"/>
    </row>
    <row r="115" spans="1:11" hidden="1" x14ac:dyDescent="0.3">
      <c r="A115" s="206"/>
      <c r="B115" s="206"/>
      <c r="C115" s="11"/>
      <c r="D115" s="14"/>
      <c r="E115" s="14">
        <v>0</v>
      </c>
      <c r="F115" s="11">
        <v>0</v>
      </c>
      <c r="G115" s="176">
        <f t="shared" si="22"/>
        <v>0</v>
      </c>
      <c r="H115" s="177" t="e">
        <f t="shared" si="23"/>
        <v>#DIV/0!</v>
      </c>
      <c r="I115" s="180"/>
      <c r="J115" s="181"/>
    </row>
    <row r="116" spans="1:11" hidden="1" x14ac:dyDescent="0.3">
      <c r="A116" s="206"/>
      <c r="B116" s="206"/>
      <c r="C116" s="11"/>
      <c r="D116" s="14"/>
      <c r="E116" s="14">
        <v>0</v>
      </c>
      <c r="F116" s="11">
        <v>0</v>
      </c>
      <c r="G116" s="176">
        <f t="shared" si="22"/>
        <v>0</v>
      </c>
      <c r="H116" s="177" t="e">
        <f t="shared" si="23"/>
        <v>#DIV/0!</v>
      </c>
      <c r="I116" s="180"/>
      <c r="J116" s="181"/>
    </row>
    <row r="117" spans="1:11" hidden="1" x14ac:dyDescent="0.3">
      <c r="A117" s="206"/>
      <c r="B117" s="206"/>
      <c r="C117" s="11"/>
      <c r="D117" s="14"/>
      <c r="E117" s="14">
        <v>0</v>
      </c>
      <c r="F117" s="11">
        <v>0</v>
      </c>
      <c r="G117" s="176">
        <f t="shared" si="20"/>
        <v>0</v>
      </c>
      <c r="H117" s="177" t="e">
        <f t="shared" si="21"/>
        <v>#DIV/0!</v>
      </c>
      <c r="I117" s="180"/>
      <c r="J117" s="181"/>
    </row>
    <row r="118" spans="1:11" hidden="1" x14ac:dyDescent="0.3">
      <c r="A118" s="219"/>
      <c r="B118" s="220" t="s">
        <v>35</v>
      </c>
      <c r="C118" s="219">
        <f>SUM(C103:C117)</f>
        <v>192000</v>
      </c>
      <c r="D118" s="198">
        <f>SUM(D103:D117)</f>
        <v>236489.60000000001</v>
      </c>
      <c r="E118" s="198">
        <f t="shared" ref="E118:F118" si="24">SUM(E103:E117)</f>
        <v>0</v>
      </c>
      <c r="F118" s="219">
        <f t="shared" si="24"/>
        <v>0</v>
      </c>
      <c r="G118" s="198">
        <f t="shared" si="20"/>
        <v>236489.60000000001</v>
      </c>
      <c r="H118" s="199">
        <f t="shared" si="21"/>
        <v>1.2317166666666668</v>
      </c>
      <c r="I118" s="200"/>
      <c r="J118" s="30"/>
    </row>
    <row r="119" spans="1:11" ht="19.5" hidden="1" thickBot="1" x14ac:dyDescent="0.35">
      <c r="A119" s="163"/>
      <c r="B119" s="221"/>
      <c r="C119" s="163"/>
      <c r="D119" s="202"/>
      <c r="E119" s="202"/>
      <c r="F119" s="163"/>
      <c r="G119" s="176"/>
      <c r="H119" s="207"/>
    </row>
    <row r="120" spans="1:11" hidden="1" x14ac:dyDescent="0.3">
      <c r="A120" s="163"/>
      <c r="B120" s="221"/>
      <c r="C120" s="163"/>
      <c r="D120" s="202"/>
      <c r="E120" s="202"/>
      <c r="F120" s="163"/>
      <c r="G120" s="176"/>
      <c r="H120" s="203"/>
      <c r="I120" s="164" t="s">
        <v>76</v>
      </c>
      <c r="J120" s="164" t="s">
        <v>76</v>
      </c>
    </row>
    <row r="121" spans="1:11" hidden="1" x14ac:dyDescent="0.3">
      <c r="A121" s="163"/>
      <c r="B121" s="221"/>
      <c r="C121" s="163"/>
      <c r="D121" s="163"/>
      <c r="E121" s="163"/>
      <c r="F121" s="163"/>
      <c r="G121" s="176"/>
      <c r="H121" s="203"/>
      <c r="I121" s="166" t="s">
        <v>66</v>
      </c>
      <c r="J121" s="166" t="s">
        <v>66</v>
      </c>
    </row>
    <row r="122" spans="1:11" hidden="1" x14ac:dyDescent="0.3">
      <c r="A122" s="167" t="s">
        <v>78</v>
      </c>
      <c r="B122" s="208" t="s">
        <v>39</v>
      </c>
      <c r="C122" s="208" t="s">
        <v>0</v>
      </c>
      <c r="D122" s="208" t="s">
        <v>1</v>
      </c>
      <c r="E122" s="209" t="s">
        <v>2</v>
      </c>
      <c r="F122" s="208" t="s">
        <v>3</v>
      </c>
      <c r="G122" s="170" t="s">
        <v>73</v>
      </c>
      <c r="H122" s="171" t="s">
        <v>72</v>
      </c>
      <c r="I122" s="210" t="s">
        <v>77</v>
      </c>
      <c r="J122" s="210" t="s">
        <v>50</v>
      </c>
    </row>
    <row r="123" spans="1:11" hidden="1" x14ac:dyDescent="0.3">
      <c r="A123" s="205"/>
      <c r="B123" s="174"/>
      <c r="C123" s="175"/>
      <c r="D123" s="14"/>
      <c r="E123" s="14">
        <v>0</v>
      </c>
      <c r="F123" s="11">
        <v>0</v>
      </c>
      <c r="G123" s="176">
        <f>D123-E123</f>
        <v>0</v>
      </c>
      <c r="H123" s="177" t="e">
        <f>G123/C123</f>
        <v>#DIV/0!</v>
      </c>
      <c r="I123" s="206"/>
      <c r="J123" s="222"/>
      <c r="K123" s="182"/>
    </row>
    <row r="124" spans="1:11" hidden="1" x14ac:dyDescent="0.3">
      <c r="A124" s="205"/>
      <c r="B124" s="174"/>
      <c r="C124" s="175"/>
      <c r="D124" s="14"/>
      <c r="E124" s="14"/>
      <c r="F124" s="11"/>
      <c r="G124" s="176">
        <f>D124-E124</f>
        <v>0</v>
      </c>
      <c r="H124" s="177" t="e">
        <f>G124/C124</f>
        <v>#DIV/0!</v>
      </c>
      <c r="I124" s="206"/>
      <c r="J124" s="206"/>
    </row>
    <row r="125" spans="1:11" hidden="1" x14ac:dyDescent="0.3">
      <c r="A125" s="219"/>
      <c r="B125" s="220" t="s">
        <v>35</v>
      </c>
      <c r="C125" s="219">
        <f t="shared" ref="C125:F125" si="25">SUM(C123:C123)</f>
        <v>0</v>
      </c>
      <c r="D125" s="198">
        <f>SUM(D123:D124)</f>
        <v>0</v>
      </c>
      <c r="E125" s="198">
        <f t="shared" si="25"/>
        <v>0</v>
      </c>
      <c r="F125" s="219">
        <f t="shared" si="25"/>
        <v>0</v>
      </c>
      <c r="G125" s="198">
        <f>D125-E125</f>
        <v>0</v>
      </c>
      <c r="H125" s="199" t="e">
        <f>G125/C125</f>
        <v>#DIV/0!</v>
      </c>
      <c r="I125" s="200"/>
      <c r="J125" s="223"/>
    </row>
    <row r="126" spans="1:11" ht="19.5" hidden="1" thickBot="1" x14ac:dyDescent="0.35">
      <c r="A126" s="163"/>
      <c r="B126" s="221"/>
      <c r="C126" s="163"/>
      <c r="D126" s="202"/>
      <c r="E126" s="202"/>
      <c r="F126" s="163"/>
      <c r="G126" s="176"/>
      <c r="H126" s="207"/>
    </row>
    <row r="127" spans="1:11" hidden="1" x14ac:dyDescent="0.3">
      <c r="A127" s="163"/>
      <c r="B127" s="221"/>
      <c r="C127" s="163"/>
      <c r="D127" s="202"/>
      <c r="E127" s="202"/>
      <c r="F127" s="163"/>
      <c r="G127" s="176"/>
      <c r="H127" s="203"/>
      <c r="I127" s="164" t="s">
        <v>76</v>
      </c>
      <c r="J127" s="164" t="s">
        <v>76</v>
      </c>
    </row>
    <row r="128" spans="1:11" hidden="1" x14ac:dyDescent="0.3">
      <c r="A128" s="163"/>
      <c r="B128" s="221"/>
      <c r="C128" s="163"/>
      <c r="D128" s="163"/>
      <c r="E128" s="163"/>
      <c r="F128" s="163"/>
      <c r="G128" s="176"/>
      <c r="H128" s="203"/>
      <c r="I128" s="166" t="s">
        <v>66</v>
      </c>
      <c r="J128" s="166" t="s">
        <v>66</v>
      </c>
    </row>
    <row r="129" spans="1:11" hidden="1" x14ac:dyDescent="0.3">
      <c r="A129" s="167" t="s">
        <v>78</v>
      </c>
      <c r="B129" s="208" t="s">
        <v>41</v>
      </c>
      <c r="C129" s="208" t="s">
        <v>0</v>
      </c>
      <c r="D129" s="208" t="s">
        <v>1</v>
      </c>
      <c r="E129" s="209" t="s">
        <v>2</v>
      </c>
      <c r="F129" s="208" t="s">
        <v>3</v>
      </c>
      <c r="G129" s="170" t="s">
        <v>73</v>
      </c>
      <c r="H129" s="171" t="s">
        <v>72</v>
      </c>
      <c r="I129" s="210" t="s">
        <v>77</v>
      </c>
      <c r="J129" s="210" t="s">
        <v>50</v>
      </c>
    </row>
    <row r="130" spans="1:11" hidden="1" x14ac:dyDescent="0.3">
      <c r="A130" s="205"/>
      <c r="B130" s="174"/>
      <c r="C130" s="175"/>
      <c r="D130" s="14"/>
      <c r="E130" s="14">
        <v>0</v>
      </c>
      <c r="F130" s="11">
        <v>0</v>
      </c>
      <c r="G130" s="176">
        <f>D130-E130</f>
        <v>0</v>
      </c>
      <c r="H130" s="177" t="e">
        <f>G130/C130</f>
        <v>#DIV/0!</v>
      </c>
      <c r="I130" s="206"/>
      <c r="J130" s="206"/>
    </row>
    <row r="131" spans="1:11" hidden="1" x14ac:dyDescent="0.3">
      <c r="A131" s="205"/>
      <c r="B131" s="174"/>
      <c r="C131" s="175"/>
      <c r="D131" s="14"/>
      <c r="E131" s="14"/>
      <c r="F131" s="11"/>
      <c r="G131" s="176">
        <f>D131-E131</f>
        <v>0</v>
      </c>
      <c r="H131" s="177" t="e">
        <f>G131/C131</f>
        <v>#DIV/0!</v>
      </c>
      <c r="I131" s="206"/>
      <c r="J131" s="206"/>
    </row>
    <row r="132" spans="1:11" hidden="1" x14ac:dyDescent="0.3">
      <c r="A132" s="219"/>
      <c r="B132" s="220" t="s">
        <v>35</v>
      </c>
      <c r="C132" s="219">
        <f t="shared" ref="C132:F132" si="26">SUM(C130:C130)</f>
        <v>0</v>
      </c>
      <c r="D132" s="198">
        <f t="shared" si="26"/>
        <v>0</v>
      </c>
      <c r="E132" s="198">
        <f t="shared" si="26"/>
        <v>0</v>
      </c>
      <c r="F132" s="219">
        <f t="shared" si="26"/>
        <v>0</v>
      </c>
      <c r="G132" s="198">
        <f>D132-E132</f>
        <v>0</v>
      </c>
      <c r="H132" s="199" t="e">
        <f>G132/C132</f>
        <v>#DIV/0!</v>
      </c>
      <c r="I132" s="200"/>
      <c r="J132" s="200"/>
    </row>
    <row r="133" spans="1:11" ht="19.5" hidden="1" thickBot="1" x14ac:dyDescent="0.35">
      <c r="A133" s="163"/>
      <c r="B133" s="221"/>
      <c r="C133" s="163"/>
      <c r="D133" s="202"/>
      <c r="E133" s="202"/>
      <c r="F133" s="163"/>
      <c r="G133" s="176"/>
      <c r="H133" s="207"/>
    </row>
    <row r="134" spans="1:11" hidden="1" x14ac:dyDescent="0.3">
      <c r="A134" s="163"/>
      <c r="B134" s="221"/>
      <c r="C134" s="163"/>
      <c r="D134" s="202"/>
      <c r="E134" s="202"/>
      <c r="F134" s="163"/>
      <c r="G134" s="176"/>
      <c r="H134" s="203"/>
      <c r="I134" s="164" t="s">
        <v>76</v>
      </c>
      <c r="J134" s="164" t="s">
        <v>76</v>
      </c>
    </row>
    <row r="135" spans="1:11" hidden="1" x14ac:dyDescent="0.3">
      <c r="A135" s="163"/>
      <c r="B135" s="221"/>
      <c r="C135" s="163"/>
      <c r="D135" s="163"/>
      <c r="E135" s="163"/>
      <c r="F135" s="163"/>
      <c r="G135" s="176">
        <f>D135-E135</f>
        <v>0</v>
      </c>
      <c r="H135" s="203"/>
      <c r="I135" s="166" t="s">
        <v>66</v>
      </c>
      <c r="J135" s="166" t="s">
        <v>66</v>
      </c>
    </row>
    <row r="136" spans="1:11" hidden="1" x14ac:dyDescent="0.3">
      <c r="A136" s="167" t="s">
        <v>78</v>
      </c>
      <c r="B136" s="208" t="s">
        <v>42</v>
      </c>
      <c r="C136" s="208" t="s">
        <v>0</v>
      </c>
      <c r="D136" s="208" t="s">
        <v>1</v>
      </c>
      <c r="E136" s="209" t="s">
        <v>2</v>
      </c>
      <c r="F136" s="208" t="s">
        <v>3</v>
      </c>
      <c r="G136" s="170" t="s">
        <v>73</v>
      </c>
      <c r="H136" s="171" t="s">
        <v>72</v>
      </c>
      <c r="I136" s="210" t="s">
        <v>77</v>
      </c>
      <c r="J136" s="210" t="s">
        <v>50</v>
      </c>
    </row>
    <row r="137" spans="1:11" hidden="1" x14ac:dyDescent="0.3">
      <c r="A137" s="205"/>
      <c r="B137" s="174"/>
      <c r="C137" s="175"/>
      <c r="D137" s="14"/>
      <c r="E137" s="14">
        <v>0</v>
      </c>
      <c r="F137" s="11">
        <v>0</v>
      </c>
      <c r="G137" s="176">
        <f>D137-E137</f>
        <v>0</v>
      </c>
      <c r="H137" s="177" t="e">
        <f>G137/C137</f>
        <v>#DIV/0!</v>
      </c>
      <c r="I137" s="180"/>
      <c r="J137" s="224"/>
      <c r="K137" s="182"/>
    </row>
    <row r="138" spans="1:11" hidden="1" x14ac:dyDescent="0.3">
      <c r="A138" s="205"/>
      <c r="B138" s="174"/>
      <c r="C138" s="175"/>
      <c r="D138" s="14"/>
      <c r="E138" s="14">
        <v>0</v>
      </c>
      <c r="F138" s="11">
        <v>0</v>
      </c>
      <c r="G138" s="176">
        <f>D138-E138</f>
        <v>0</v>
      </c>
      <c r="H138" s="177" t="e">
        <f>G138/C138</f>
        <v>#DIV/0!</v>
      </c>
      <c r="I138" s="206"/>
      <c r="J138" s="224"/>
      <c r="K138" s="182"/>
    </row>
    <row r="139" spans="1:11" hidden="1" x14ac:dyDescent="0.3">
      <c r="A139" s="205"/>
      <c r="B139" s="174"/>
      <c r="C139" s="175"/>
      <c r="D139" s="14"/>
      <c r="E139" s="14"/>
      <c r="F139" s="11">
        <v>0</v>
      </c>
      <c r="G139" s="176">
        <f>D139-E139</f>
        <v>0</v>
      </c>
      <c r="H139" s="177" t="e">
        <f>G139/C139</f>
        <v>#DIV/0!</v>
      </c>
      <c r="I139" s="206"/>
      <c r="J139" s="206"/>
    </row>
    <row r="140" spans="1:11" hidden="1" x14ac:dyDescent="0.3">
      <c r="A140" s="205"/>
      <c r="B140" s="174"/>
      <c r="C140" s="175"/>
      <c r="D140" s="14"/>
      <c r="E140" s="14"/>
      <c r="F140" s="11">
        <v>0</v>
      </c>
      <c r="G140" s="176">
        <f>D140-E140</f>
        <v>0</v>
      </c>
      <c r="H140" s="177" t="e">
        <f>G140/C140</f>
        <v>#DIV/0!</v>
      </c>
      <c r="I140" s="206"/>
      <c r="J140" s="206"/>
    </row>
    <row r="141" spans="1:11" hidden="1" x14ac:dyDescent="0.3">
      <c r="A141" s="219"/>
      <c r="B141" s="220" t="s">
        <v>35</v>
      </c>
      <c r="C141" s="219">
        <f>SUM(C137:C140)</f>
        <v>0</v>
      </c>
      <c r="D141" s="198">
        <f>SUM(D137:D140)</f>
        <v>0</v>
      </c>
      <c r="E141" s="198">
        <f>SUM(E137:E140)</f>
        <v>0</v>
      </c>
      <c r="F141" s="219">
        <f>SUM(F137:F140)</f>
        <v>0</v>
      </c>
      <c r="G141" s="198">
        <f>D141-E141</f>
        <v>0</v>
      </c>
      <c r="H141" s="199" t="e">
        <f>G141/C141</f>
        <v>#DIV/0!</v>
      </c>
      <c r="I141" s="200"/>
      <c r="J141" s="201"/>
    </row>
    <row r="142" spans="1:11" hidden="1" x14ac:dyDescent="0.3"/>
    <row r="143" spans="1:11" hidden="1" x14ac:dyDescent="0.3"/>
    <row r="144" spans="1:11" s="162" customFormat="1" ht="13.5" customHeight="1" x14ac:dyDescent="0.3"/>
    <row r="145" spans="1:12" ht="19.5" thickBot="1" x14ac:dyDescent="0.35"/>
    <row r="146" spans="1:12" x14ac:dyDescent="0.3">
      <c r="H146" s="203"/>
      <c r="I146" s="164" t="s">
        <v>76</v>
      </c>
      <c r="J146" s="164" t="s">
        <v>76</v>
      </c>
    </row>
    <row r="147" spans="1:12" x14ac:dyDescent="0.3">
      <c r="H147" s="203"/>
      <c r="I147" s="166" t="s">
        <v>66</v>
      </c>
      <c r="J147" s="166" t="s">
        <v>66</v>
      </c>
    </row>
    <row r="148" spans="1:12" x14ac:dyDescent="0.3">
      <c r="A148" s="167" t="s">
        <v>79</v>
      </c>
      <c r="B148" s="208" t="s">
        <v>30</v>
      </c>
      <c r="C148" s="208" t="s">
        <v>0</v>
      </c>
      <c r="D148" s="208" t="s">
        <v>1</v>
      </c>
      <c r="E148" s="209" t="s">
        <v>2</v>
      </c>
      <c r="F148" s="208" t="s">
        <v>3</v>
      </c>
      <c r="G148" s="170" t="s">
        <v>73</v>
      </c>
      <c r="H148" s="171" t="s">
        <v>72</v>
      </c>
      <c r="I148" s="210" t="s">
        <v>77</v>
      </c>
      <c r="J148" s="210" t="s">
        <v>50</v>
      </c>
    </row>
    <row r="149" spans="1:12" x14ac:dyDescent="0.3">
      <c r="A149" s="76" t="s">
        <v>109</v>
      </c>
      <c r="B149" s="174" t="s">
        <v>94</v>
      </c>
      <c r="C149" s="175">
        <f>840+840+840+840+840</f>
        <v>4200</v>
      </c>
      <c r="D149" s="14">
        <f>121.8+121.8+121.8+121.8+121.8</f>
        <v>609</v>
      </c>
      <c r="E149" s="14">
        <v>0</v>
      </c>
      <c r="F149" s="11">
        <v>0</v>
      </c>
      <c r="G149" s="176">
        <f>D149-E149</f>
        <v>609</v>
      </c>
      <c r="H149" s="177">
        <f>G149/C149</f>
        <v>0.14499999999999999</v>
      </c>
      <c r="I149" s="180">
        <v>63.465933741131565</v>
      </c>
      <c r="J149" s="224">
        <v>0.43769609476642457</v>
      </c>
      <c r="K149" s="12" t="s">
        <v>92</v>
      </c>
      <c r="L149" s="12" t="s">
        <v>91</v>
      </c>
    </row>
    <row r="150" spans="1:12" ht="21" customHeight="1" x14ac:dyDescent="0.3">
      <c r="A150" s="76" t="s">
        <v>110</v>
      </c>
      <c r="B150" s="174" t="s">
        <v>94</v>
      </c>
      <c r="C150" s="175">
        <v>56</v>
      </c>
      <c r="D150" s="14">
        <v>8.1199999999999992</v>
      </c>
      <c r="E150" s="14">
        <v>0</v>
      </c>
      <c r="F150" s="11">
        <v>0</v>
      </c>
      <c r="G150" s="176">
        <f t="shared" ref="G150:G172" si="27">D150-E150</f>
        <v>8.1199999999999992</v>
      </c>
      <c r="H150" s="177">
        <f t="shared" ref="H150:H172" si="28">G150/C150</f>
        <v>0.14499999999999999</v>
      </c>
      <c r="I150" s="180">
        <v>63.465933741131565</v>
      </c>
      <c r="J150" s="224">
        <v>0.43769609476642457</v>
      </c>
      <c r="K150" s="12" t="s">
        <v>92</v>
      </c>
      <c r="L150" s="12" t="s">
        <v>91</v>
      </c>
    </row>
    <row r="151" spans="1:12" x14ac:dyDescent="0.3">
      <c r="A151" s="76" t="s">
        <v>119</v>
      </c>
      <c r="B151" s="174" t="s">
        <v>94</v>
      </c>
      <c r="C151" s="175">
        <v>2016</v>
      </c>
      <c r="D151" s="14">
        <v>292.32</v>
      </c>
      <c r="E151" s="14">
        <v>0</v>
      </c>
      <c r="F151" s="11">
        <v>0</v>
      </c>
      <c r="G151" s="176">
        <f t="shared" si="27"/>
        <v>292.32</v>
      </c>
      <c r="H151" s="177">
        <f t="shared" si="28"/>
        <v>0.14499999999999999</v>
      </c>
      <c r="I151" s="180">
        <v>63.465933741131565</v>
      </c>
      <c r="J151" s="224">
        <v>0.43769609476642457</v>
      </c>
      <c r="K151" s="12" t="s">
        <v>92</v>
      </c>
      <c r="L151" s="12" t="s">
        <v>91</v>
      </c>
    </row>
    <row r="152" spans="1:12" x14ac:dyDescent="0.3">
      <c r="A152" s="76" t="s">
        <v>112</v>
      </c>
      <c r="B152" s="174" t="s">
        <v>94</v>
      </c>
      <c r="C152" s="175">
        <v>1848</v>
      </c>
      <c r="D152" s="14">
        <v>267.95999999999998</v>
      </c>
      <c r="E152" s="14">
        <v>0</v>
      </c>
      <c r="F152" s="11">
        <v>0</v>
      </c>
      <c r="G152" s="176">
        <f t="shared" si="27"/>
        <v>267.95999999999998</v>
      </c>
      <c r="H152" s="177">
        <f t="shared" si="28"/>
        <v>0.14499999999999999</v>
      </c>
      <c r="I152" s="180">
        <v>63.465933741131565</v>
      </c>
      <c r="J152" s="224">
        <v>0.43769609476642457</v>
      </c>
      <c r="K152" s="12" t="s">
        <v>92</v>
      </c>
      <c r="L152" s="12" t="s">
        <v>91</v>
      </c>
    </row>
    <row r="153" spans="1:12" x14ac:dyDescent="0.3">
      <c r="A153" s="76" t="s">
        <v>111</v>
      </c>
      <c r="B153" s="174" t="s">
        <v>94</v>
      </c>
      <c r="C153" s="175">
        <f>56+56</f>
        <v>112</v>
      </c>
      <c r="D153" s="14">
        <f>8.12+8.12</f>
        <v>16.239999999999998</v>
      </c>
      <c r="E153" s="14">
        <v>0</v>
      </c>
      <c r="F153" s="11">
        <v>0</v>
      </c>
      <c r="G153" s="176">
        <f t="shared" si="27"/>
        <v>16.239999999999998</v>
      </c>
      <c r="H153" s="177">
        <f t="shared" si="28"/>
        <v>0.14499999999999999</v>
      </c>
      <c r="I153" s="180">
        <v>63.465933741131565</v>
      </c>
      <c r="J153" s="224">
        <v>0.43769609476642457</v>
      </c>
      <c r="K153" s="12" t="s">
        <v>92</v>
      </c>
      <c r="L153" s="12" t="s">
        <v>91</v>
      </c>
    </row>
    <row r="154" spans="1:12" x14ac:dyDescent="0.3">
      <c r="A154" s="76" t="s">
        <v>169</v>
      </c>
      <c r="B154" s="174" t="s">
        <v>94</v>
      </c>
      <c r="C154" s="175">
        <v>2016</v>
      </c>
      <c r="D154" s="14">
        <v>320.82</v>
      </c>
      <c r="E154" s="14">
        <v>28.5</v>
      </c>
      <c r="F154" s="11">
        <v>0</v>
      </c>
      <c r="G154" s="176">
        <f t="shared" si="27"/>
        <v>292.32</v>
      </c>
      <c r="H154" s="177">
        <f t="shared" si="28"/>
        <v>0.14499999999999999</v>
      </c>
      <c r="I154" s="180"/>
      <c r="J154" s="224"/>
      <c r="K154" s="12" t="s">
        <v>80</v>
      </c>
    </row>
    <row r="155" spans="1:12" x14ac:dyDescent="0.3">
      <c r="A155" s="76" t="s">
        <v>170</v>
      </c>
      <c r="B155" s="174" t="s">
        <v>94</v>
      </c>
      <c r="C155" s="175">
        <f>336+336+336+336</f>
        <v>1344</v>
      </c>
      <c r="D155" s="14">
        <f>48.72+48.72+48.72+48.72</f>
        <v>194.88</v>
      </c>
      <c r="E155" s="14">
        <v>0</v>
      </c>
      <c r="F155" s="11">
        <v>0</v>
      </c>
      <c r="G155" s="176">
        <f t="shared" si="27"/>
        <v>194.88</v>
      </c>
      <c r="H155" s="177">
        <f t="shared" si="28"/>
        <v>0.14499999999999999</v>
      </c>
      <c r="I155" s="180"/>
      <c r="J155" s="224"/>
      <c r="K155" s="12" t="s">
        <v>92</v>
      </c>
      <c r="L155" s="12" t="s">
        <v>91</v>
      </c>
    </row>
    <row r="156" spans="1:12" ht="21" customHeight="1" x14ac:dyDescent="0.3">
      <c r="A156" s="76" t="s">
        <v>171</v>
      </c>
      <c r="B156" s="174" t="s">
        <v>94</v>
      </c>
      <c r="C156" s="11">
        <f>336+366</f>
        <v>702</v>
      </c>
      <c r="D156" s="14">
        <f>54.77+54.77</f>
        <v>109.54</v>
      </c>
      <c r="E156" s="14">
        <v>0</v>
      </c>
      <c r="F156" s="11">
        <v>0</v>
      </c>
      <c r="G156" s="176">
        <f t="shared" si="27"/>
        <v>109.54</v>
      </c>
      <c r="H156" s="177">
        <f t="shared" si="28"/>
        <v>0.15603988603988606</v>
      </c>
      <c r="I156" s="190"/>
      <c r="J156" s="227"/>
      <c r="K156" s="12" t="s">
        <v>92</v>
      </c>
      <c r="L156" s="12" t="s">
        <v>91</v>
      </c>
    </row>
    <row r="157" spans="1:12" x14ac:dyDescent="0.3">
      <c r="A157" s="236" t="s">
        <v>173</v>
      </c>
      <c r="B157" s="174" t="s">
        <v>94</v>
      </c>
      <c r="C157" s="175">
        <v>2240</v>
      </c>
      <c r="D157" s="14">
        <v>324.8</v>
      </c>
      <c r="E157" s="14">
        <v>0</v>
      </c>
      <c r="F157" s="11">
        <v>0</v>
      </c>
      <c r="G157" s="176">
        <f t="shared" si="27"/>
        <v>324.8</v>
      </c>
      <c r="H157" s="177">
        <f t="shared" si="28"/>
        <v>0.14500000000000002</v>
      </c>
      <c r="I157" s="180"/>
      <c r="J157" s="224"/>
      <c r="K157" s="12" t="s">
        <v>92</v>
      </c>
      <c r="L157" s="12" t="s">
        <v>91</v>
      </c>
    </row>
    <row r="158" spans="1:12" x14ac:dyDescent="0.3">
      <c r="A158" s="76" t="s">
        <v>175</v>
      </c>
      <c r="B158" s="174" t="s">
        <v>94</v>
      </c>
      <c r="C158" s="175">
        <v>4788</v>
      </c>
      <c r="D158" s="186">
        <v>761.95</v>
      </c>
      <c r="E158" s="14">
        <v>67.69</v>
      </c>
      <c r="F158" s="11">
        <v>0</v>
      </c>
      <c r="G158" s="176">
        <f t="shared" si="27"/>
        <v>694.26</v>
      </c>
      <c r="H158" s="177">
        <f t="shared" si="28"/>
        <v>0.14499999999999999</v>
      </c>
      <c r="I158" s="180"/>
      <c r="J158" s="224"/>
      <c r="K158" s="12" t="s">
        <v>80</v>
      </c>
    </row>
    <row r="159" spans="1:12" x14ac:dyDescent="0.3">
      <c r="A159" s="76" t="s">
        <v>181</v>
      </c>
      <c r="B159" s="174" t="s">
        <v>182</v>
      </c>
      <c r="C159" s="175">
        <v>4000</v>
      </c>
      <c r="D159" s="186">
        <v>482.9</v>
      </c>
      <c r="E159" s="14">
        <v>42.9</v>
      </c>
      <c r="F159" s="11">
        <v>0</v>
      </c>
      <c r="G159" s="176">
        <f t="shared" si="27"/>
        <v>440</v>
      </c>
      <c r="H159" s="177">
        <f t="shared" si="28"/>
        <v>0.11</v>
      </c>
      <c r="I159" s="180"/>
      <c r="J159" s="224"/>
      <c r="K159" s="12" t="s">
        <v>80</v>
      </c>
    </row>
    <row r="160" spans="1:12" x14ac:dyDescent="0.3">
      <c r="A160" s="76" t="s">
        <v>187</v>
      </c>
      <c r="B160" s="174" t="s">
        <v>94</v>
      </c>
      <c r="C160" s="175">
        <v>2044</v>
      </c>
      <c r="D160" s="186">
        <v>325.27999999999997</v>
      </c>
      <c r="E160" s="14">
        <v>28.9</v>
      </c>
      <c r="F160" s="11">
        <v>0</v>
      </c>
      <c r="G160" s="176">
        <f t="shared" si="27"/>
        <v>296.38</v>
      </c>
      <c r="H160" s="177">
        <f t="shared" si="28"/>
        <v>0.14499999999999999</v>
      </c>
      <c r="I160" s="180"/>
      <c r="J160" s="224"/>
      <c r="K160" s="12" t="s">
        <v>80</v>
      </c>
    </row>
    <row r="161" spans="1:10" x14ac:dyDescent="0.3">
      <c r="A161" s="206"/>
      <c r="B161" s="174"/>
      <c r="C161" s="175"/>
      <c r="D161" s="186"/>
      <c r="E161" s="14">
        <v>0</v>
      </c>
      <c r="F161" s="11">
        <v>0</v>
      </c>
      <c r="G161" s="176">
        <f t="shared" si="27"/>
        <v>0</v>
      </c>
      <c r="H161" s="177" t="e">
        <f t="shared" si="28"/>
        <v>#DIV/0!</v>
      </c>
      <c r="I161" s="180"/>
      <c r="J161" s="224"/>
    </row>
    <row r="162" spans="1:10" ht="14.25" customHeight="1" x14ac:dyDescent="0.3">
      <c r="A162" s="205"/>
      <c r="B162" s="174"/>
      <c r="C162" s="175"/>
      <c r="D162" s="193"/>
      <c r="E162" s="14">
        <v>0</v>
      </c>
      <c r="F162" s="11">
        <v>0</v>
      </c>
      <c r="G162" s="176">
        <f t="shared" si="27"/>
        <v>0</v>
      </c>
      <c r="H162" s="177" t="e">
        <f t="shared" si="28"/>
        <v>#DIV/0!</v>
      </c>
      <c r="I162" s="180"/>
      <c r="J162" s="224"/>
    </row>
    <row r="163" spans="1:10" x14ac:dyDescent="0.3">
      <c r="A163" s="205"/>
      <c r="B163" s="174"/>
      <c r="C163" s="175"/>
      <c r="D163" s="193"/>
      <c r="E163" s="14">
        <v>0</v>
      </c>
      <c r="F163" s="11">
        <v>0</v>
      </c>
      <c r="G163" s="176">
        <f t="shared" si="27"/>
        <v>0</v>
      </c>
      <c r="H163" s="177" t="e">
        <f t="shared" si="28"/>
        <v>#DIV/0!</v>
      </c>
      <c r="I163" s="180"/>
      <c r="J163" s="224"/>
    </row>
    <row r="164" spans="1:10" x14ac:dyDescent="0.3">
      <c r="A164" s="173"/>
      <c r="B164" s="174"/>
      <c r="C164" s="175"/>
      <c r="D164" s="193"/>
      <c r="E164" s="14">
        <v>0</v>
      </c>
      <c r="F164" s="11">
        <v>0</v>
      </c>
      <c r="G164" s="176">
        <f t="shared" si="27"/>
        <v>0</v>
      </c>
      <c r="H164" s="177" t="e">
        <f t="shared" si="28"/>
        <v>#DIV/0!</v>
      </c>
      <c r="I164" s="180"/>
      <c r="J164" s="224"/>
    </row>
    <row r="165" spans="1:10" x14ac:dyDescent="0.3">
      <c r="A165" s="173"/>
      <c r="B165" s="174"/>
      <c r="C165" s="175"/>
      <c r="D165" s="193"/>
      <c r="E165" s="14">
        <v>0</v>
      </c>
      <c r="F165" s="11">
        <v>0</v>
      </c>
      <c r="G165" s="176">
        <f t="shared" si="27"/>
        <v>0</v>
      </c>
      <c r="H165" s="177" t="e">
        <f t="shared" si="28"/>
        <v>#DIV/0!</v>
      </c>
      <c r="I165" s="180"/>
      <c r="J165" s="224"/>
    </row>
    <row r="166" spans="1:10" x14ac:dyDescent="0.3">
      <c r="A166" s="173"/>
      <c r="B166" s="174"/>
      <c r="C166" s="175"/>
      <c r="D166" s="193"/>
      <c r="E166" s="14">
        <v>0</v>
      </c>
      <c r="F166" s="11">
        <v>0</v>
      </c>
      <c r="G166" s="176">
        <f t="shared" si="27"/>
        <v>0</v>
      </c>
      <c r="H166" s="177" t="e">
        <f t="shared" si="28"/>
        <v>#DIV/0!</v>
      </c>
      <c r="I166" s="180"/>
      <c r="J166" s="224"/>
    </row>
    <row r="167" spans="1:10" x14ac:dyDescent="0.3">
      <c r="A167" s="173"/>
      <c r="B167" s="174"/>
      <c r="C167" s="175"/>
      <c r="D167" s="193"/>
      <c r="E167" s="14">
        <v>0</v>
      </c>
      <c r="F167" s="11">
        <v>0</v>
      </c>
      <c r="G167" s="176">
        <f t="shared" si="27"/>
        <v>0</v>
      </c>
      <c r="H167" s="177" t="e">
        <f t="shared" si="28"/>
        <v>#DIV/0!</v>
      </c>
      <c r="I167" s="180"/>
      <c r="J167" s="224"/>
    </row>
    <row r="168" spans="1:10" x14ac:dyDescent="0.3">
      <c r="A168" s="173"/>
      <c r="B168" s="226"/>
      <c r="C168" s="175"/>
      <c r="D168" s="193"/>
      <c r="E168" s="14">
        <v>0</v>
      </c>
      <c r="F168" s="11">
        <v>0</v>
      </c>
      <c r="G168" s="176">
        <f t="shared" si="27"/>
        <v>0</v>
      </c>
      <c r="H168" s="177" t="e">
        <f t="shared" si="28"/>
        <v>#DIV/0!</v>
      </c>
      <c r="I168" s="180"/>
      <c r="J168" s="224"/>
    </row>
    <row r="169" spans="1:10" x14ac:dyDescent="0.3">
      <c r="A169" s="205"/>
      <c r="B169" s="174"/>
      <c r="C169" s="175"/>
      <c r="D169" s="193"/>
      <c r="E169" s="14">
        <v>0</v>
      </c>
      <c r="F169" s="11">
        <v>0</v>
      </c>
      <c r="G169" s="176">
        <f t="shared" ref="G169:G170" si="29">D169-E169</f>
        <v>0</v>
      </c>
      <c r="H169" s="177" t="e">
        <f t="shared" ref="H169:H170" si="30">G169/C169</f>
        <v>#DIV/0!</v>
      </c>
      <c r="I169" s="180"/>
      <c r="J169" s="224"/>
    </row>
    <row r="170" spans="1:10" x14ac:dyDescent="0.3">
      <c r="A170" s="205"/>
      <c r="B170" s="174"/>
      <c r="C170" s="175"/>
      <c r="D170" s="193"/>
      <c r="E170" s="14">
        <v>0</v>
      </c>
      <c r="F170" s="11">
        <v>0</v>
      </c>
      <c r="G170" s="176">
        <f t="shared" si="29"/>
        <v>0</v>
      </c>
      <c r="H170" s="177" t="e">
        <f t="shared" si="30"/>
        <v>#DIV/0!</v>
      </c>
      <c r="I170" s="180"/>
      <c r="J170" s="224"/>
    </row>
    <row r="171" spans="1:10" x14ac:dyDescent="0.3">
      <c r="A171" s="195"/>
      <c r="B171" s="174"/>
      <c r="C171" s="175"/>
      <c r="D171" s="193"/>
      <c r="E171" s="14">
        <v>0</v>
      </c>
      <c r="F171" s="11">
        <v>0</v>
      </c>
      <c r="G171" s="176">
        <f t="shared" si="27"/>
        <v>0</v>
      </c>
      <c r="H171" s="177" t="e">
        <f t="shared" si="28"/>
        <v>#DIV/0!</v>
      </c>
      <c r="I171" s="180"/>
      <c r="J171" s="224"/>
    </row>
    <row r="172" spans="1:10" x14ac:dyDescent="0.3">
      <c r="A172" s="196"/>
      <c r="B172" s="196" t="s">
        <v>35</v>
      </c>
      <c r="C172" s="196">
        <f t="shared" ref="C172:F172" si="31">SUM(C149:C171)</f>
        <v>25366</v>
      </c>
      <c r="D172" s="197">
        <f t="shared" si="31"/>
        <v>3713.8100000000004</v>
      </c>
      <c r="E172" s="197">
        <f t="shared" si="31"/>
        <v>167.99</v>
      </c>
      <c r="F172" s="196">
        <f t="shared" si="31"/>
        <v>0</v>
      </c>
      <c r="G172" s="176">
        <f t="shared" si="27"/>
        <v>3545.8200000000006</v>
      </c>
      <c r="H172" s="177">
        <f t="shared" si="28"/>
        <v>0.13978632815579914</v>
      </c>
      <c r="I172" s="180"/>
      <c r="J172" s="224"/>
    </row>
    <row r="173" spans="1:10" s="204" customFormat="1" ht="19.5" thickBot="1" x14ac:dyDescent="0.35">
      <c r="A173" s="195"/>
      <c r="B173" s="195"/>
      <c r="C173" s="195"/>
      <c r="D173" s="195"/>
      <c r="E173" s="175"/>
      <c r="F173" s="195"/>
      <c r="G173" s="228"/>
    </row>
    <row r="174" spans="1:10" x14ac:dyDescent="0.3">
      <c r="A174" s="229"/>
      <c r="B174" s="229"/>
      <c r="C174" s="229"/>
      <c r="D174" s="229"/>
      <c r="E174" s="230"/>
      <c r="F174" s="229"/>
      <c r="H174" s="203"/>
      <c r="I174" s="164" t="s">
        <v>76</v>
      </c>
      <c r="J174" s="164" t="s">
        <v>76</v>
      </c>
    </row>
    <row r="175" spans="1:10" x14ac:dyDescent="0.3">
      <c r="A175" s="229"/>
      <c r="B175" s="229"/>
      <c r="C175" s="229"/>
      <c r="D175" s="229"/>
      <c r="E175" s="230"/>
      <c r="F175" s="229"/>
      <c r="H175" s="203"/>
      <c r="I175" s="166" t="s">
        <v>66</v>
      </c>
      <c r="J175" s="166" t="s">
        <v>66</v>
      </c>
    </row>
    <row r="176" spans="1:10" x14ac:dyDescent="0.3">
      <c r="A176" s="167" t="s">
        <v>79</v>
      </c>
      <c r="B176" s="168" t="s">
        <v>31</v>
      </c>
      <c r="C176" s="168" t="s">
        <v>0</v>
      </c>
      <c r="D176" s="168" t="s">
        <v>1</v>
      </c>
      <c r="E176" s="169" t="s">
        <v>2</v>
      </c>
      <c r="F176" s="168" t="s">
        <v>3</v>
      </c>
      <c r="G176" s="170" t="s">
        <v>73</v>
      </c>
      <c r="H176" s="171" t="s">
        <v>72</v>
      </c>
      <c r="I176" s="210" t="s">
        <v>77</v>
      </c>
      <c r="J176" s="210" t="s">
        <v>50</v>
      </c>
    </row>
    <row r="177" spans="1:12" x14ac:dyDescent="0.3">
      <c r="A177" s="76" t="s">
        <v>109</v>
      </c>
      <c r="B177" s="174" t="s">
        <v>95</v>
      </c>
      <c r="C177" s="175">
        <f>840+840+840+840+840</f>
        <v>4200</v>
      </c>
      <c r="D177" s="14">
        <f>109.2+109.2+109.2+109.2+109.2</f>
        <v>546</v>
      </c>
      <c r="E177" s="14">
        <v>0</v>
      </c>
      <c r="F177" s="11">
        <v>0</v>
      </c>
      <c r="G177" s="176">
        <f>D177-E177</f>
        <v>546</v>
      </c>
      <c r="H177" s="177">
        <f>G177/C177</f>
        <v>0.13</v>
      </c>
      <c r="I177" s="180">
        <v>54.758412702504387</v>
      </c>
      <c r="J177" s="224">
        <v>0.42121855925003376</v>
      </c>
      <c r="K177" s="12" t="s">
        <v>92</v>
      </c>
      <c r="L177" s="12" t="s">
        <v>91</v>
      </c>
    </row>
    <row r="178" spans="1:12" ht="22.5" customHeight="1" x14ac:dyDescent="0.3">
      <c r="A178" s="76" t="s">
        <v>110</v>
      </c>
      <c r="B178" s="174" t="s">
        <v>95</v>
      </c>
      <c r="C178" s="175">
        <v>56</v>
      </c>
      <c r="D178" s="14">
        <v>7.28</v>
      </c>
      <c r="E178" s="14">
        <v>0</v>
      </c>
      <c r="F178" s="11">
        <v>0</v>
      </c>
      <c r="G178" s="176">
        <f t="shared" ref="G178:G200" si="32">D178-E178</f>
        <v>7.28</v>
      </c>
      <c r="H178" s="177">
        <f t="shared" ref="H178:H200" si="33">G178/C178</f>
        <v>0.13</v>
      </c>
      <c r="I178" s="180">
        <v>54.758412702504387</v>
      </c>
      <c r="J178" s="224">
        <v>0.42121855925003376</v>
      </c>
      <c r="K178" s="12" t="s">
        <v>92</v>
      </c>
      <c r="L178" s="12" t="s">
        <v>91</v>
      </c>
    </row>
    <row r="179" spans="1:12" x14ac:dyDescent="0.3">
      <c r="A179" s="76" t="s">
        <v>119</v>
      </c>
      <c r="B179" s="174" t="s">
        <v>95</v>
      </c>
      <c r="C179" s="175">
        <v>2016</v>
      </c>
      <c r="D179" s="14">
        <v>262.08</v>
      </c>
      <c r="E179" s="14">
        <v>0</v>
      </c>
      <c r="F179" s="11">
        <v>0</v>
      </c>
      <c r="G179" s="176">
        <f t="shared" si="32"/>
        <v>262.08</v>
      </c>
      <c r="H179" s="177">
        <f t="shared" si="33"/>
        <v>0.13</v>
      </c>
      <c r="I179" s="180">
        <v>54.758412702504387</v>
      </c>
      <c r="J179" s="224">
        <v>0.42121855925003376</v>
      </c>
      <c r="K179" s="12" t="s">
        <v>92</v>
      </c>
      <c r="L179" s="12" t="s">
        <v>91</v>
      </c>
    </row>
    <row r="180" spans="1:12" x14ac:dyDescent="0.3">
      <c r="A180" s="76" t="s">
        <v>112</v>
      </c>
      <c r="B180" s="174" t="s">
        <v>95</v>
      </c>
      <c r="C180" s="175">
        <v>1848</v>
      </c>
      <c r="D180" s="14">
        <v>240.24</v>
      </c>
      <c r="E180" s="14">
        <v>0</v>
      </c>
      <c r="F180" s="11">
        <v>0</v>
      </c>
      <c r="G180" s="176">
        <f t="shared" si="32"/>
        <v>240.24</v>
      </c>
      <c r="H180" s="177">
        <f t="shared" si="33"/>
        <v>0.13</v>
      </c>
      <c r="I180" s="180">
        <v>54.758412702504387</v>
      </c>
      <c r="J180" s="224">
        <v>0.42121855925003376</v>
      </c>
      <c r="K180" s="12" t="s">
        <v>92</v>
      </c>
      <c r="L180" s="12" t="s">
        <v>91</v>
      </c>
    </row>
    <row r="181" spans="1:12" x14ac:dyDescent="0.3">
      <c r="A181" s="76" t="s">
        <v>111</v>
      </c>
      <c r="B181" s="174" t="s">
        <v>95</v>
      </c>
      <c r="C181" s="175">
        <f>56+56</f>
        <v>112</v>
      </c>
      <c r="D181" s="14">
        <f>7.28+7.28</f>
        <v>14.56</v>
      </c>
      <c r="E181" s="14">
        <v>0</v>
      </c>
      <c r="F181" s="11">
        <v>0</v>
      </c>
      <c r="G181" s="176">
        <f t="shared" si="32"/>
        <v>14.56</v>
      </c>
      <c r="H181" s="177">
        <f t="shared" si="33"/>
        <v>0.13</v>
      </c>
      <c r="I181" s="180">
        <v>54.758412702504387</v>
      </c>
      <c r="J181" s="224">
        <v>0.42121855925003376</v>
      </c>
      <c r="K181" s="12" t="s">
        <v>92</v>
      </c>
      <c r="L181" s="12" t="s">
        <v>91</v>
      </c>
    </row>
    <row r="182" spans="1:12" x14ac:dyDescent="0.3">
      <c r="A182" s="76" t="s">
        <v>169</v>
      </c>
      <c r="B182" s="174" t="s">
        <v>95</v>
      </c>
      <c r="C182" s="175">
        <v>2016</v>
      </c>
      <c r="D182" s="14">
        <v>270.60000000000002</v>
      </c>
      <c r="E182" s="14">
        <v>8.52</v>
      </c>
      <c r="F182" s="11">
        <v>0</v>
      </c>
      <c r="G182" s="176">
        <f t="shared" si="32"/>
        <v>262.08000000000004</v>
      </c>
      <c r="H182" s="177">
        <f t="shared" si="33"/>
        <v>0.13000000000000003</v>
      </c>
      <c r="I182" s="180"/>
      <c r="J182" s="224"/>
      <c r="K182" s="12" t="s">
        <v>80</v>
      </c>
    </row>
    <row r="183" spans="1:12" ht="21" customHeight="1" x14ac:dyDescent="0.3">
      <c r="A183" s="76" t="s">
        <v>170</v>
      </c>
      <c r="B183" s="174" t="s">
        <v>95</v>
      </c>
      <c r="C183" s="175">
        <f>336+336+336+336</f>
        <v>1344</v>
      </c>
      <c r="D183" s="14">
        <f>43.68+43.68+43.68+43.68</f>
        <v>174.72</v>
      </c>
      <c r="E183" s="14">
        <v>0</v>
      </c>
      <c r="F183" s="11">
        <v>0</v>
      </c>
      <c r="G183" s="176">
        <f t="shared" si="32"/>
        <v>174.72</v>
      </c>
      <c r="H183" s="177">
        <f t="shared" si="33"/>
        <v>0.13</v>
      </c>
      <c r="I183" s="180"/>
      <c r="J183" s="224"/>
      <c r="K183" s="12" t="s">
        <v>92</v>
      </c>
      <c r="L183" s="12" t="s">
        <v>91</v>
      </c>
    </row>
    <row r="184" spans="1:12" x14ac:dyDescent="0.3">
      <c r="A184" s="76" t="s">
        <v>171</v>
      </c>
      <c r="B184" s="174" t="s">
        <v>95</v>
      </c>
      <c r="C184" s="175">
        <f>336+336</f>
        <v>672</v>
      </c>
      <c r="D184" s="14">
        <f>58.8+58.8</f>
        <v>117.6</v>
      </c>
      <c r="E184" s="14">
        <v>0</v>
      </c>
      <c r="F184" s="11">
        <v>0</v>
      </c>
      <c r="G184" s="176">
        <f t="shared" si="32"/>
        <v>117.6</v>
      </c>
      <c r="H184" s="177">
        <f t="shared" si="33"/>
        <v>0.17499999999999999</v>
      </c>
      <c r="I184" s="180"/>
      <c r="J184" s="224"/>
      <c r="K184" s="12" t="s">
        <v>92</v>
      </c>
      <c r="L184" s="12" t="s">
        <v>91</v>
      </c>
    </row>
    <row r="185" spans="1:12" ht="21" customHeight="1" x14ac:dyDescent="0.3">
      <c r="A185" s="236" t="s">
        <v>173</v>
      </c>
      <c r="B185" s="174" t="s">
        <v>95</v>
      </c>
      <c r="C185" s="175">
        <v>2240</v>
      </c>
      <c r="D185" s="14">
        <v>291.2</v>
      </c>
      <c r="E185" s="14">
        <v>0</v>
      </c>
      <c r="F185" s="11">
        <v>0</v>
      </c>
      <c r="G185" s="176">
        <f t="shared" si="32"/>
        <v>291.2</v>
      </c>
      <c r="H185" s="177">
        <f t="shared" si="33"/>
        <v>0.13</v>
      </c>
      <c r="I185" s="180"/>
      <c r="J185" s="224"/>
      <c r="K185" s="12" t="s">
        <v>92</v>
      </c>
      <c r="L185" s="12" t="s">
        <v>91</v>
      </c>
    </row>
    <row r="186" spans="1:12" x14ac:dyDescent="0.3">
      <c r="A186" s="76" t="s">
        <v>175</v>
      </c>
      <c r="B186" s="174" t="s">
        <v>95</v>
      </c>
      <c r="C186" s="175">
        <v>4788</v>
      </c>
      <c r="D186" s="186">
        <v>642.66999999999996</v>
      </c>
      <c r="E186" s="14">
        <v>20.23</v>
      </c>
      <c r="F186" s="11">
        <v>0</v>
      </c>
      <c r="G186" s="176">
        <f t="shared" si="32"/>
        <v>622.43999999999994</v>
      </c>
      <c r="H186" s="177">
        <f t="shared" si="33"/>
        <v>0.12999999999999998</v>
      </c>
      <c r="I186" s="180"/>
      <c r="J186" s="224"/>
      <c r="K186" s="12" t="s">
        <v>80</v>
      </c>
    </row>
    <row r="187" spans="1:12" x14ac:dyDescent="0.3">
      <c r="A187" s="76" t="s">
        <v>187</v>
      </c>
      <c r="B187" s="174" t="s">
        <v>95</v>
      </c>
      <c r="C187" s="175">
        <v>4000</v>
      </c>
      <c r="D187" s="186">
        <v>536.9</v>
      </c>
      <c r="E187" s="14">
        <v>16.899999999999999</v>
      </c>
      <c r="F187" s="11">
        <v>0</v>
      </c>
      <c r="G187" s="176">
        <f t="shared" si="32"/>
        <v>520</v>
      </c>
      <c r="H187" s="177">
        <f t="shared" si="33"/>
        <v>0.13</v>
      </c>
      <c r="I187" s="180"/>
      <c r="J187" s="224"/>
      <c r="K187" s="12" t="s">
        <v>80</v>
      </c>
    </row>
    <row r="188" spans="1:12" x14ac:dyDescent="0.3">
      <c r="A188" s="76" t="s">
        <v>188</v>
      </c>
      <c r="B188" s="174" t="s">
        <v>95</v>
      </c>
      <c r="C188" s="175">
        <v>4000</v>
      </c>
      <c r="D188" s="186">
        <v>520</v>
      </c>
      <c r="E188" s="14">
        <v>0</v>
      </c>
      <c r="F188" s="11">
        <v>0</v>
      </c>
      <c r="G188" s="176">
        <f t="shared" si="32"/>
        <v>520</v>
      </c>
      <c r="H188" s="177">
        <f t="shared" si="33"/>
        <v>0.13</v>
      </c>
      <c r="I188" s="180"/>
      <c r="J188" s="224"/>
      <c r="K188" s="12" t="s">
        <v>92</v>
      </c>
      <c r="L188" s="12" t="s">
        <v>91</v>
      </c>
    </row>
    <row r="189" spans="1:12" x14ac:dyDescent="0.3">
      <c r="A189" s="206"/>
      <c r="B189" s="188"/>
      <c r="C189" s="175"/>
      <c r="D189" s="186"/>
      <c r="E189" s="14">
        <v>0</v>
      </c>
      <c r="F189" s="11">
        <v>0</v>
      </c>
      <c r="G189" s="176">
        <f t="shared" si="32"/>
        <v>0</v>
      </c>
      <c r="H189" s="177" t="e">
        <f t="shared" si="33"/>
        <v>#DIV/0!</v>
      </c>
      <c r="I189" s="180"/>
      <c r="J189" s="224"/>
    </row>
    <row r="190" spans="1:12" x14ac:dyDescent="0.3">
      <c r="A190" s="205"/>
      <c r="B190" s="188"/>
      <c r="C190" s="175"/>
      <c r="D190" s="186"/>
      <c r="E190" s="14">
        <v>0</v>
      </c>
      <c r="F190" s="11">
        <v>0</v>
      </c>
      <c r="G190" s="176">
        <f t="shared" si="32"/>
        <v>0</v>
      </c>
      <c r="H190" s="177" t="e">
        <f t="shared" si="33"/>
        <v>#DIV/0!</v>
      </c>
      <c r="I190" s="180"/>
      <c r="J190" s="224"/>
    </row>
    <row r="191" spans="1:12" x14ac:dyDescent="0.3">
      <c r="A191" s="173"/>
      <c r="B191" s="188"/>
      <c r="C191" s="11"/>
      <c r="D191" s="186"/>
      <c r="E191" s="14">
        <v>0</v>
      </c>
      <c r="F191" s="11">
        <v>0</v>
      </c>
      <c r="G191" s="176">
        <f t="shared" si="32"/>
        <v>0</v>
      </c>
      <c r="H191" s="177" t="e">
        <f t="shared" si="33"/>
        <v>#DIV/0!</v>
      </c>
      <c r="I191" s="180"/>
      <c r="J191" s="224"/>
    </row>
    <row r="192" spans="1:12" x14ac:dyDescent="0.3">
      <c r="A192" s="173"/>
      <c r="B192" s="188"/>
      <c r="C192" s="11"/>
      <c r="D192" s="186"/>
      <c r="E192" s="14">
        <v>0</v>
      </c>
      <c r="F192" s="11">
        <v>0</v>
      </c>
      <c r="G192" s="176">
        <f t="shared" si="32"/>
        <v>0</v>
      </c>
      <c r="H192" s="177" t="e">
        <f t="shared" si="33"/>
        <v>#DIV/0!</v>
      </c>
      <c r="I192" s="180"/>
      <c r="J192" s="224"/>
    </row>
    <row r="193" spans="1:11" x14ac:dyDescent="0.3">
      <c r="A193" s="173"/>
      <c r="B193" s="188"/>
      <c r="C193" s="11"/>
      <c r="D193" s="186"/>
      <c r="E193" s="14">
        <v>0</v>
      </c>
      <c r="F193" s="11">
        <v>0</v>
      </c>
      <c r="G193" s="176">
        <f t="shared" si="32"/>
        <v>0</v>
      </c>
      <c r="H193" s="177" t="e">
        <f t="shared" si="33"/>
        <v>#DIV/0!</v>
      </c>
      <c r="I193" s="180"/>
      <c r="J193" s="224"/>
    </row>
    <row r="194" spans="1:11" x14ac:dyDescent="0.3">
      <c r="A194" s="173"/>
      <c r="B194" s="188"/>
      <c r="C194" s="175"/>
      <c r="D194" s="186"/>
      <c r="E194" s="14">
        <v>0</v>
      </c>
      <c r="F194" s="11">
        <v>0</v>
      </c>
      <c r="G194" s="176">
        <f t="shared" si="32"/>
        <v>0</v>
      </c>
      <c r="H194" s="177" t="e">
        <f t="shared" si="33"/>
        <v>#DIV/0!</v>
      </c>
      <c r="I194" s="180"/>
      <c r="J194" s="224"/>
    </row>
    <row r="195" spans="1:11" x14ac:dyDescent="0.3">
      <c r="A195" s="173"/>
      <c r="B195" s="188"/>
      <c r="C195" s="175"/>
      <c r="D195" s="186"/>
      <c r="E195" s="14">
        <v>0</v>
      </c>
      <c r="F195" s="11">
        <v>0</v>
      </c>
      <c r="G195" s="176">
        <f t="shared" si="32"/>
        <v>0</v>
      </c>
      <c r="H195" s="177" t="e">
        <f t="shared" si="33"/>
        <v>#DIV/0!</v>
      </c>
      <c r="I195" s="180"/>
      <c r="J195" s="224"/>
    </row>
    <row r="196" spans="1:11" x14ac:dyDescent="0.3">
      <c r="A196" s="173"/>
      <c r="B196" s="188"/>
      <c r="C196" s="175"/>
      <c r="D196" s="186"/>
      <c r="E196" s="14">
        <v>0</v>
      </c>
      <c r="F196" s="11">
        <v>0</v>
      </c>
      <c r="G196" s="176">
        <f t="shared" si="32"/>
        <v>0</v>
      </c>
      <c r="H196" s="177" t="e">
        <f t="shared" si="33"/>
        <v>#DIV/0!</v>
      </c>
      <c r="I196" s="180"/>
      <c r="J196" s="224"/>
    </row>
    <row r="197" spans="1:11" x14ac:dyDescent="0.3">
      <c r="A197" s="187"/>
      <c r="B197" s="188"/>
      <c r="C197" s="175"/>
      <c r="D197" s="14"/>
      <c r="E197" s="14">
        <v>0</v>
      </c>
      <c r="F197" s="11">
        <v>0</v>
      </c>
      <c r="G197" s="176">
        <f t="shared" si="32"/>
        <v>0</v>
      </c>
      <c r="H197" s="177" t="e">
        <f t="shared" si="33"/>
        <v>#DIV/0!</v>
      </c>
      <c r="I197" s="180"/>
      <c r="J197" s="224"/>
    </row>
    <row r="198" spans="1:11" x14ac:dyDescent="0.3">
      <c r="A198" s="205"/>
      <c r="B198" s="188"/>
      <c r="C198" s="175"/>
      <c r="D198" s="14"/>
      <c r="E198" s="14"/>
      <c r="F198" s="11"/>
      <c r="G198" s="176">
        <f t="shared" si="32"/>
        <v>0</v>
      </c>
      <c r="H198" s="177" t="e">
        <f t="shared" si="33"/>
        <v>#DIV/0!</v>
      </c>
      <c r="I198" s="180"/>
      <c r="J198" s="224"/>
    </row>
    <row r="199" spans="1:11" x14ac:dyDescent="0.3">
      <c r="A199" s="205"/>
      <c r="B199" s="188"/>
      <c r="C199" s="175"/>
      <c r="D199" s="14"/>
      <c r="E199" s="14"/>
      <c r="F199" s="11"/>
      <c r="G199" s="176">
        <f t="shared" si="32"/>
        <v>0</v>
      </c>
      <c r="H199" s="177" t="e">
        <f t="shared" si="33"/>
        <v>#DIV/0!</v>
      </c>
      <c r="I199" s="180"/>
      <c r="J199" s="224"/>
    </row>
    <row r="200" spans="1:11" ht="15.75" customHeight="1" x14ac:dyDescent="0.3">
      <c r="A200" s="196"/>
      <c r="B200" s="196" t="s">
        <v>35</v>
      </c>
      <c r="C200" s="196">
        <f t="shared" ref="C200:F200" si="34">SUM(C177:C199)</f>
        <v>27292</v>
      </c>
      <c r="D200" s="197">
        <f t="shared" si="34"/>
        <v>3623.85</v>
      </c>
      <c r="E200" s="197">
        <f t="shared" si="34"/>
        <v>45.65</v>
      </c>
      <c r="F200" s="196">
        <f t="shared" si="34"/>
        <v>0</v>
      </c>
      <c r="G200" s="176">
        <f t="shared" si="32"/>
        <v>3578.2</v>
      </c>
      <c r="H200" s="177">
        <f t="shared" si="33"/>
        <v>0.13110801700131905</v>
      </c>
      <c r="I200" s="180"/>
      <c r="J200" s="224"/>
    </row>
    <row r="201" spans="1:11" ht="19.5" thickBot="1" x14ac:dyDescent="0.35">
      <c r="A201" s="205"/>
    </row>
    <row r="202" spans="1:11" x14ac:dyDescent="0.3">
      <c r="A202" s="231"/>
      <c r="H202" s="203"/>
      <c r="I202" s="164" t="s">
        <v>76</v>
      </c>
      <c r="J202" s="164" t="s">
        <v>76</v>
      </c>
    </row>
    <row r="203" spans="1:11" x14ac:dyDescent="0.3">
      <c r="A203" s="231"/>
      <c r="H203" s="203"/>
      <c r="I203" s="166" t="s">
        <v>66</v>
      </c>
      <c r="J203" s="166" t="s">
        <v>66</v>
      </c>
    </row>
    <row r="204" spans="1:11" x14ac:dyDescent="0.3">
      <c r="A204" s="167" t="s">
        <v>79</v>
      </c>
      <c r="B204" s="208" t="s">
        <v>32</v>
      </c>
      <c r="C204" s="208" t="s">
        <v>0</v>
      </c>
      <c r="D204" s="208" t="s">
        <v>1</v>
      </c>
      <c r="E204" s="209" t="s">
        <v>2</v>
      </c>
      <c r="F204" s="208" t="s">
        <v>3</v>
      </c>
      <c r="G204" s="170" t="s">
        <v>73</v>
      </c>
      <c r="H204" s="171" t="s">
        <v>72</v>
      </c>
      <c r="I204" s="210" t="s">
        <v>77</v>
      </c>
      <c r="J204" s="210" t="s">
        <v>50</v>
      </c>
    </row>
    <row r="205" spans="1:11" ht="18.75" customHeight="1" x14ac:dyDescent="0.3">
      <c r="A205" s="205" t="s">
        <v>166</v>
      </c>
      <c r="B205" s="188" t="s">
        <v>118</v>
      </c>
      <c r="C205" s="175">
        <v>176000</v>
      </c>
      <c r="D205" s="14">
        <v>27258</v>
      </c>
      <c r="E205" s="14">
        <v>858</v>
      </c>
      <c r="F205" s="11">
        <v>0</v>
      </c>
      <c r="G205" s="176">
        <f>D205-E205</f>
        <v>26400</v>
      </c>
      <c r="H205" s="177">
        <f>G205/C205</f>
        <v>0.15</v>
      </c>
      <c r="I205" s="180">
        <v>59.218603644583325</v>
      </c>
      <c r="J205" s="224">
        <v>0.3947906909638888</v>
      </c>
      <c r="K205" s="12" t="s">
        <v>80</v>
      </c>
    </row>
    <row r="206" spans="1:11" x14ac:dyDescent="0.3">
      <c r="A206" s="205"/>
      <c r="B206" s="188"/>
      <c r="C206" s="175"/>
      <c r="D206" s="14"/>
      <c r="E206" s="14">
        <v>0</v>
      </c>
      <c r="F206" s="11">
        <v>0</v>
      </c>
      <c r="G206" s="176">
        <f t="shared" ref="G206:G211" si="35">D206-E206</f>
        <v>0</v>
      </c>
      <c r="H206" s="177" t="e">
        <f t="shared" ref="H206:H211" si="36">G206/C206</f>
        <v>#DIV/0!</v>
      </c>
      <c r="I206" s="180"/>
      <c r="J206" s="224"/>
    </row>
    <row r="207" spans="1:11" x14ac:dyDescent="0.3">
      <c r="A207" s="205"/>
      <c r="B207" s="195"/>
      <c r="C207" s="175"/>
      <c r="D207" s="211"/>
      <c r="E207" s="211">
        <v>0</v>
      </c>
      <c r="F207" s="195"/>
      <c r="G207" s="176">
        <f t="shared" si="35"/>
        <v>0</v>
      </c>
      <c r="H207" s="177" t="e">
        <f t="shared" si="36"/>
        <v>#DIV/0!</v>
      </c>
      <c r="I207" s="180"/>
      <c r="J207" s="224"/>
    </row>
    <row r="208" spans="1:11" x14ac:dyDescent="0.3">
      <c r="A208" s="205"/>
      <c r="B208" s="188"/>
      <c r="C208" s="175"/>
      <c r="D208" s="211"/>
      <c r="E208" s="211">
        <v>0</v>
      </c>
      <c r="F208" s="195"/>
      <c r="G208" s="176">
        <f t="shared" si="35"/>
        <v>0</v>
      </c>
      <c r="H208" s="177" t="e">
        <f t="shared" si="36"/>
        <v>#DIV/0!</v>
      </c>
      <c r="I208" s="180"/>
      <c r="J208" s="224"/>
    </row>
    <row r="209" spans="1:12" x14ac:dyDescent="0.3">
      <c r="A209" s="195"/>
      <c r="B209" s="195"/>
      <c r="C209" s="175"/>
      <c r="D209" s="211"/>
      <c r="E209" s="211"/>
      <c r="F209" s="195"/>
      <c r="G209" s="176">
        <f t="shared" si="35"/>
        <v>0</v>
      </c>
      <c r="H209" s="177" t="e">
        <f t="shared" si="36"/>
        <v>#DIV/0!</v>
      </c>
      <c r="I209" s="180"/>
      <c r="J209" s="224"/>
    </row>
    <row r="210" spans="1:12" x14ac:dyDescent="0.3">
      <c r="A210" s="195"/>
      <c r="B210" s="195"/>
      <c r="C210" s="175"/>
      <c r="D210" s="211"/>
      <c r="E210" s="211"/>
      <c r="F210" s="195"/>
      <c r="G210" s="176">
        <f t="shared" si="35"/>
        <v>0</v>
      </c>
      <c r="H210" s="177" t="e">
        <f t="shared" si="36"/>
        <v>#DIV/0!</v>
      </c>
      <c r="I210" s="180"/>
      <c r="J210" s="224"/>
    </row>
    <row r="211" spans="1:12" x14ac:dyDescent="0.3">
      <c r="A211" s="212"/>
      <c r="B211" s="196" t="s">
        <v>35</v>
      </c>
      <c r="C211" s="196">
        <f t="shared" ref="C211:F211" si="37">SUM(C205:C210)</f>
        <v>176000</v>
      </c>
      <c r="D211" s="197">
        <f t="shared" si="37"/>
        <v>27258</v>
      </c>
      <c r="E211" s="197">
        <f t="shared" si="37"/>
        <v>858</v>
      </c>
      <c r="F211" s="196">
        <f t="shared" si="37"/>
        <v>0</v>
      </c>
      <c r="G211" s="176">
        <f t="shared" si="35"/>
        <v>26400</v>
      </c>
      <c r="H211" s="177">
        <f t="shared" si="36"/>
        <v>0.15</v>
      </c>
      <c r="I211" s="180"/>
      <c r="J211" s="224"/>
    </row>
    <row r="212" spans="1:12" ht="19.5" thickBot="1" x14ac:dyDescent="0.35">
      <c r="A212" s="205"/>
      <c r="G212" s="176"/>
    </row>
    <row r="213" spans="1:12" x14ac:dyDescent="0.3">
      <c r="A213" s="231"/>
      <c r="H213" s="203"/>
      <c r="I213" s="164" t="s">
        <v>76</v>
      </c>
      <c r="J213" s="164" t="s">
        <v>76</v>
      </c>
    </row>
    <row r="214" spans="1:12" x14ac:dyDescent="0.3">
      <c r="A214" s="231"/>
      <c r="H214" s="203"/>
      <c r="I214" s="166" t="s">
        <v>66</v>
      </c>
      <c r="J214" s="166" t="s">
        <v>66</v>
      </c>
    </row>
    <row r="215" spans="1:12" x14ac:dyDescent="0.3">
      <c r="A215" s="167" t="s">
        <v>79</v>
      </c>
      <c r="B215" s="208" t="s">
        <v>33</v>
      </c>
      <c r="C215" s="208" t="s">
        <v>0</v>
      </c>
      <c r="D215" s="208" t="s">
        <v>1</v>
      </c>
      <c r="E215" s="209" t="s">
        <v>2</v>
      </c>
      <c r="F215" s="208" t="s">
        <v>3</v>
      </c>
      <c r="G215" s="170" t="s">
        <v>73</v>
      </c>
      <c r="H215" s="171" t="s">
        <v>72</v>
      </c>
      <c r="I215" s="210" t="s">
        <v>77</v>
      </c>
      <c r="J215" s="210" t="s">
        <v>50</v>
      </c>
    </row>
    <row r="216" spans="1:12" x14ac:dyDescent="0.3">
      <c r="A216" s="205" t="s">
        <v>167</v>
      </c>
      <c r="B216" s="188" t="s">
        <v>7</v>
      </c>
      <c r="C216" s="11">
        <v>121800</v>
      </c>
      <c r="D216" s="14">
        <v>25456.2</v>
      </c>
      <c r="E216" s="14">
        <v>0</v>
      </c>
      <c r="F216" s="11">
        <v>0</v>
      </c>
      <c r="G216" s="176">
        <f>D216-E216</f>
        <v>25456.2</v>
      </c>
      <c r="H216" s="177">
        <f>G216/C216</f>
        <v>0.20900000000000002</v>
      </c>
      <c r="I216" s="180"/>
      <c r="J216" s="224"/>
      <c r="K216" s="12" t="s">
        <v>80</v>
      </c>
    </row>
    <row r="217" spans="1:12" x14ac:dyDescent="0.3">
      <c r="A217" s="235" t="s">
        <v>172</v>
      </c>
      <c r="B217" s="188" t="s">
        <v>7</v>
      </c>
      <c r="C217" s="11">
        <v>121800</v>
      </c>
      <c r="D217" s="14">
        <v>26187</v>
      </c>
      <c r="E217" s="14">
        <v>0</v>
      </c>
      <c r="F217" s="11">
        <v>0</v>
      </c>
      <c r="G217" s="176">
        <f t="shared" ref="G217:G240" si="38">D217-E217</f>
        <v>26187</v>
      </c>
      <c r="H217" s="177">
        <f t="shared" ref="H217:H240" si="39">G217/C217</f>
        <v>0.215</v>
      </c>
      <c r="I217" s="180"/>
      <c r="J217" s="224"/>
      <c r="K217" s="182" t="s">
        <v>80</v>
      </c>
      <c r="L217" s="12" t="s">
        <v>91</v>
      </c>
    </row>
    <row r="218" spans="1:12" x14ac:dyDescent="0.3">
      <c r="A218" s="205" t="s">
        <v>148</v>
      </c>
      <c r="B218" s="188" t="s">
        <v>87</v>
      </c>
      <c r="C218" s="11">
        <f>48720+48720</f>
        <v>97440</v>
      </c>
      <c r="D218" s="14">
        <f>12180+12180</f>
        <v>24360</v>
      </c>
      <c r="E218" s="14">
        <v>0</v>
      </c>
      <c r="F218" s="11">
        <v>0</v>
      </c>
      <c r="G218" s="176">
        <f t="shared" si="38"/>
        <v>24360</v>
      </c>
      <c r="H218" s="177">
        <f t="shared" si="39"/>
        <v>0.25</v>
      </c>
      <c r="I218" s="180"/>
      <c r="J218" s="224"/>
      <c r="K218" s="182" t="s">
        <v>80</v>
      </c>
    </row>
    <row r="219" spans="1:12" x14ac:dyDescent="0.3">
      <c r="A219" s="205" t="s">
        <v>148</v>
      </c>
      <c r="B219" s="188" t="s">
        <v>7</v>
      </c>
      <c r="C219" s="11">
        <f>24360+48720</f>
        <v>73080</v>
      </c>
      <c r="D219" s="14">
        <f>5651.52+11303.04</f>
        <v>16954.560000000001</v>
      </c>
      <c r="E219" s="14">
        <v>0</v>
      </c>
      <c r="F219" s="11">
        <v>0</v>
      </c>
      <c r="G219" s="176">
        <f t="shared" si="38"/>
        <v>16954.560000000001</v>
      </c>
      <c r="H219" s="177">
        <f t="shared" si="39"/>
        <v>0.23200000000000001</v>
      </c>
      <c r="I219" s="180"/>
      <c r="J219" s="224"/>
      <c r="K219" s="12" t="s">
        <v>80</v>
      </c>
    </row>
    <row r="220" spans="1:12" x14ac:dyDescent="0.3">
      <c r="A220" s="205" t="s">
        <v>144</v>
      </c>
      <c r="B220" s="188" t="s">
        <v>7</v>
      </c>
      <c r="C220" s="11">
        <v>121800</v>
      </c>
      <c r="D220" s="14">
        <v>26796</v>
      </c>
      <c r="E220" s="14">
        <v>0</v>
      </c>
      <c r="F220" s="11">
        <v>0</v>
      </c>
      <c r="G220" s="176">
        <f t="shared" si="38"/>
        <v>26796</v>
      </c>
      <c r="H220" s="177">
        <f t="shared" si="39"/>
        <v>0.22</v>
      </c>
      <c r="I220" s="180"/>
      <c r="J220" s="224"/>
      <c r="K220" s="12" t="s">
        <v>80</v>
      </c>
      <c r="L220" s="12" t="s">
        <v>91</v>
      </c>
    </row>
    <row r="221" spans="1:12" x14ac:dyDescent="0.3">
      <c r="A221" s="205" t="s">
        <v>151</v>
      </c>
      <c r="B221" s="188" t="s">
        <v>7</v>
      </c>
      <c r="C221" s="11">
        <f>24360+24360</f>
        <v>48720</v>
      </c>
      <c r="D221" s="14">
        <f>5700.24+5700.24</f>
        <v>11400.48</v>
      </c>
      <c r="E221" s="14">
        <v>0</v>
      </c>
      <c r="F221" s="11">
        <v>0</v>
      </c>
      <c r="G221" s="176">
        <f t="shared" si="38"/>
        <v>11400.48</v>
      </c>
      <c r="H221" s="177">
        <f t="shared" si="39"/>
        <v>0.23399999999999999</v>
      </c>
      <c r="I221" s="180"/>
      <c r="J221" s="224"/>
      <c r="K221" s="12" t="s">
        <v>80</v>
      </c>
      <c r="L221" s="12" t="s">
        <v>91</v>
      </c>
    </row>
    <row r="222" spans="1:12" x14ac:dyDescent="0.3">
      <c r="A222" s="205" t="s">
        <v>154</v>
      </c>
      <c r="B222" s="188" t="s">
        <v>7</v>
      </c>
      <c r="C222" s="11">
        <v>24360</v>
      </c>
      <c r="D222" s="14">
        <v>5650.98</v>
      </c>
      <c r="E222" s="14">
        <v>0</v>
      </c>
      <c r="F222" s="11">
        <v>0</v>
      </c>
      <c r="G222" s="176">
        <f t="shared" si="38"/>
        <v>5650.98</v>
      </c>
      <c r="H222" s="177">
        <f t="shared" si="39"/>
        <v>0.23197783251231524</v>
      </c>
      <c r="I222" s="180"/>
      <c r="J222" s="224"/>
      <c r="K222" s="12" t="s">
        <v>92</v>
      </c>
      <c r="L222" s="12" t="s">
        <v>91</v>
      </c>
    </row>
    <row r="223" spans="1:12" x14ac:dyDescent="0.3">
      <c r="A223" s="205"/>
      <c r="B223" s="188"/>
      <c r="C223" s="11"/>
      <c r="D223" s="14"/>
      <c r="E223" s="14">
        <v>0</v>
      </c>
      <c r="F223" s="11">
        <v>0</v>
      </c>
      <c r="G223" s="176">
        <f t="shared" si="38"/>
        <v>0</v>
      </c>
      <c r="H223" s="177" t="e">
        <f t="shared" si="39"/>
        <v>#DIV/0!</v>
      </c>
      <c r="I223" s="190"/>
      <c r="J223" s="227"/>
    </row>
    <row r="224" spans="1:12" x14ac:dyDescent="0.3">
      <c r="A224" s="205"/>
      <c r="B224" s="188"/>
      <c r="C224" s="11"/>
      <c r="D224" s="14"/>
      <c r="E224" s="14">
        <v>0</v>
      </c>
      <c r="F224" s="11">
        <v>0</v>
      </c>
      <c r="G224" s="176">
        <f t="shared" si="38"/>
        <v>0</v>
      </c>
      <c r="H224" s="177" t="e">
        <f t="shared" si="39"/>
        <v>#DIV/0!</v>
      </c>
      <c r="I224" s="190"/>
      <c r="J224" s="227"/>
    </row>
    <row r="225" spans="1:10" x14ac:dyDescent="0.3">
      <c r="A225" s="205"/>
      <c r="B225" s="188"/>
      <c r="C225" s="11"/>
      <c r="D225" s="14"/>
      <c r="E225" s="14">
        <v>0</v>
      </c>
      <c r="F225" s="11">
        <v>0</v>
      </c>
      <c r="G225" s="176">
        <f t="shared" si="38"/>
        <v>0</v>
      </c>
      <c r="H225" s="177" t="e">
        <f t="shared" si="39"/>
        <v>#DIV/0!</v>
      </c>
      <c r="I225" s="180"/>
      <c r="J225" s="224"/>
    </row>
    <row r="226" spans="1:10" x14ac:dyDescent="0.3">
      <c r="A226" s="205"/>
      <c r="B226" s="188"/>
      <c r="C226" s="11"/>
      <c r="D226" s="14"/>
      <c r="E226" s="14">
        <v>0</v>
      </c>
      <c r="F226" s="11">
        <v>0</v>
      </c>
      <c r="G226" s="176">
        <f t="shared" si="38"/>
        <v>0</v>
      </c>
      <c r="H226" s="177" t="e">
        <f t="shared" si="39"/>
        <v>#DIV/0!</v>
      </c>
      <c r="I226" s="180"/>
      <c r="J226" s="224"/>
    </row>
    <row r="227" spans="1:10" x14ac:dyDescent="0.3">
      <c r="A227" s="205" t="s">
        <v>155</v>
      </c>
      <c r="B227" s="188"/>
      <c r="C227" s="11"/>
      <c r="D227" s="14"/>
      <c r="E227" s="14">
        <v>0</v>
      </c>
      <c r="F227" s="11">
        <v>0</v>
      </c>
      <c r="G227" s="176">
        <f t="shared" si="38"/>
        <v>0</v>
      </c>
      <c r="H227" s="177" t="e">
        <f t="shared" si="39"/>
        <v>#DIV/0!</v>
      </c>
      <c r="I227" s="180"/>
      <c r="J227" s="224"/>
    </row>
    <row r="228" spans="1:10" x14ac:dyDescent="0.3">
      <c r="A228" s="205" t="s">
        <v>156</v>
      </c>
      <c r="B228" s="188"/>
      <c r="C228" s="11"/>
      <c r="D228" s="14"/>
      <c r="E228" s="14">
        <v>0</v>
      </c>
      <c r="F228" s="11">
        <v>0</v>
      </c>
      <c r="G228" s="176">
        <f t="shared" ref="G228:G229" si="40">D228-E228</f>
        <v>0</v>
      </c>
      <c r="H228" s="177" t="e">
        <f t="shared" ref="H228:H229" si="41">G228/C228</f>
        <v>#DIV/0!</v>
      </c>
      <c r="I228" s="180"/>
      <c r="J228" s="224"/>
    </row>
    <row r="229" spans="1:10" x14ac:dyDescent="0.3">
      <c r="A229" s="205" t="s">
        <v>157</v>
      </c>
      <c r="B229" s="188"/>
      <c r="C229" s="11"/>
      <c r="D229" s="14"/>
      <c r="E229" s="14">
        <v>0</v>
      </c>
      <c r="F229" s="11">
        <v>0</v>
      </c>
      <c r="G229" s="176">
        <f t="shared" si="40"/>
        <v>0</v>
      </c>
      <c r="H229" s="177" t="e">
        <f t="shared" si="41"/>
        <v>#DIV/0!</v>
      </c>
      <c r="I229" s="180"/>
      <c r="J229" s="224"/>
    </row>
    <row r="230" spans="1:10" x14ac:dyDescent="0.3">
      <c r="A230" s="205" t="s">
        <v>158</v>
      </c>
      <c r="B230" s="188"/>
      <c r="C230" s="11"/>
      <c r="D230" s="14"/>
      <c r="E230" s="14">
        <v>0</v>
      </c>
      <c r="F230" s="11">
        <v>0</v>
      </c>
      <c r="G230" s="176">
        <f t="shared" ref="G230:G239" si="42">D230-E230</f>
        <v>0</v>
      </c>
      <c r="H230" s="177" t="e">
        <f t="shared" ref="H230:H239" si="43">G230/C230</f>
        <v>#DIV/0!</v>
      </c>
      <c r="I230" s="180"/>
      <c r="J230" s="224"/>
    </row>
    <row r="231" spans="1:10" x14ac:dyDescent="0.3">
      <c r="A231" s="188" t="s">
        <v>147</v>
      </c>
      <c r="B231" s="188"/>
      <c r="C231" s="11"/>
      <c r="D231" s="14"/>
      <c r="E231" s="14">
        <v>0</v>
      </c>
      <c r="F231" s="11">
        <v>0</v>
      </c>
      <c r="G231" s="176">
        <f t="shared" si="42"/>
        <v>0</v>
      </c>
      <c r="H231" s="177" t="e">
        <f t="shared" si="43"/>
        <v>#DIV/0!</v>
      </c>
      <c r="I231" s="180"/>
      <c r="J231" s="224"/>
    </row>
    <row r="232" spans="1:10" x14ac:dyDescent="0.3">
      <c r="A232" s="205" t="s">
        <v>153</v>
      </c>
      <c r="B232" s="188"/>
      <c r="C232" s="11"/>
      <c r="D232" s="14"/>
      <c r="E232" s="14">
        <v>0</v>
      </c>
      <c r="F232" s="11">
        <v>0</v>
      </c>
      <c r="G232" s="176">
        <f t="shared" ref="G232:G234" si="44">D232-E232</f>
        <v>0</v>
      </c>
      <c r="H232" s="177" t="e">
        <f t="shared" ref="H232:H234" si="45">G232/C232</f>
        <v>#DIV/0!</v>
      </c>
      <c r="I232" s="180"/>
      <c r="J232" s="224"/>
    </row>
    <row r="233" spans="1:10" x14ac:dyDescent="0.3">
      <c r="A233" s="205" t="s">
        <v>145</v>
      </c>
      <c r="B233" s="188"/>
      <c r="C233" s="11"/>
      <c r="D233" s="14"/>
      <c r="E233" s="14">
        <v>0</v>
      </c>
      <c r="F233" s="11">
        <v>0</v>
      </c>
      <c r="G233" s="176">
        <f t="shared" si="44"/>
        <v>0</v>
      </c>
      <c r="H233" s="177" t="e">
        <f t="shared" si="45"/>
        <v>#DIV/0!</v>
      </c>
      <c r="I233" s="180"/>
      <c r="J233" s="224"/>
    </row>
    <row r="234" spans="1:10" x14ac:dyDescent="0.3">
      <c r="A234" s="205"/>
      <c r="B234" s="188"/>
      <c r="C234" s="11"/>
      <c r="D234" s="14"/>
      <c r="E234" s="14">
        <v>0</v>
      </c>
      <c r="F234" s="11">
        <v>0</v>
      </c>
      <c r="G234" s="176">
        <f t="shared" si="44"/>
        <v>0</v>
      </c>
      <c r="H234" s="177" t="e">
        <f t="shared" si="45"/>
        <v>#DIV/0!</v>
      </c>
      <c r="I234" s="180"/>
      <c r="J234" s="224"/>
    </row>
    <row r="235" spans="1:10" x14ac:dyDescent="0.3">
      <c r="A235" s="205"/>
      <c r="B235" s="188"/>
      <c r="C235" s="11"/>
      <c r="D235" s="14"/>
      <c r="E235" s="14">
        <v>0</v>
      </c>
      <c r="F235" s="11">
        <v>0</v>
      </c>
      <c r="G235" s="176"/>
      <c r="H235" s="177">
        <v>0</v>
      </c>
      <c r="I235" s="180"/>
      <c r="J235" s="224"/>
    </row>
    <row r="236" spans="1:10" x14ac:dyDescent="0.3">
      <c r="A236" s="205"/>
      <c r="B236" s="188"/>
      <c r="C236" s="11"/>
      <c r="D236" s="14"/>
      <c r="E236" s="14">
        <v>0</v>
      </c>
      <c r="F236" s="11">
        <v>0</v>
      </c>
      <c r="G236" s="176"/>
      <c r="H236" s="177">
        <v>0</v>
      </c>
      <c r="I236" s="180"/>
      <c r="J236" s="224"/>
    </row>
    <row r="237" spans="1:10" x14ac:dyDescent="0.3">
      <c r="A237" s="205"/>
      <c r="B237" s="188"/>
      <c r="C237" s="11"/>
      <c r="D237" s="14"/>
      <c r="E237" s="14"/>
      <c r="F237" s="11"/>
      <c r="G237" s="176"/>
      <c r="H237" s="177"/>
      <c r="I237" s="180"/>
      <c r="J237" s="224"/>
    </row>
    <row r="238" spans="1:10" x14ac:dyDescent="0.3">
      <c r="A238" s="205"/>
      <c r="B238" s="188"/>
      <c r="C238" s="11"/>
      <c r="D238" s="14"/>
      <c r="E238" s="14"/>
      <c r="F238" s="11"/>
      <c r="G238" s="176"/>
      <c r="H238" s="177"/>
      <c r="I238" s="180"/>
      <c r="J238" s="224"/>
    </row>
    <row r="239" spans="1:10" x14ac:dyDescent="0.3">
      <c r="A239" s="205"/>
      <c r="B239" s="188"/>
      <c r="C239" s="11"/>
      <c r="D239" s="14"/>
      <c r="E239" s="14">
        <v>0</v>
      </c>
      <c r="F239" s="11">
        <v>0</v>
      </c>
      <c r="G239" s="176">
        <f t="shared" si="42"/>
        <v>0</v>
      </c>
      <c r="H239" s="177" t="e">
        <f t="shared" si="43"/>
        <v>#DIV/0!</v>
      </c>
      <c r="I239" s="180"/>
      <c r="J239" s="224"/>
    </row>
    <row r="240" spans="1:10" x14ac:dyDescent="0.3">
      <c r="A240" s="214"/>
      <c r="B240" s="215" t="s">
        <v>35</v>
      </c>
      <c r="C240" s="216">
        <f t="shared" ref="C240:F240" si="46">SUM(C216:C239)</f>
        <v>609000</v>
      </c>
      <c r="D240" s="217">
        <f>SUM(D216:D239)</f>
        <v>136805.22</v>
      </c>
      <c r="E240" s="217">
        <f t="shared" si="46"/>
        <v>0</v>
      </c>
      <c r="F240" s="216">
        <f t="shared" si="46"/>
        <v>0</v>
      </c>
      <c r="G240" s="198">
        <f t="shared" si="38"/>
        <v>136805.22</v>
      </c>
      <c r="H240" s="199">
        <f t="shared" si="39"/>
        <v>0.2246391133004926</v>
      </c>
      <c r="I240" s="232"/>
      <c r="J240" s="233"/>
    </row>
    <row r="241" spans="1:12" ht="19.5" thickBot="1" x14ac:dyDescent="0.35"/>
    <row r="242" spans="1:12" x14ac:dyDescent="0.3">
      <c r="H242" s="203"/>
      <c r="I242" s="164" t="s">
        <v>76</v>
      </c>
      <c r="J242" s="164" t="s">
        <v>76</v>
      </c>
    </row>
    <row r="243" spans="1:12" x14ac:dyDescent="0.3">
      <c r="H243" s="203"/>
      <c r="I243" s="166" t="s">
        <v>66</v>
      </c>
      <c r="J243" s="166" t="s">
        <v>66</v>
      </c>
    </row>
    <row r="244" spans="1:12" x14ac:dyDescent="0.3">
      <c r="A244" s="167" t="s">
        <v>79</v>
      </c>
      <c r="B244" s="208" t="s">
        <v>34</v>
      </c>
      <c r="C244" s="208" t="s">
        <v>0</v>
      </c>
      <c r="D244" s="208" t="s">
        <v>1</v>
      </c>
      <c r="E244" s="209" t="s">
        <v>2</v>
      </c>
      <c r="F244" s="208" t="s">
        <v>3</v>
      </c>
      <c r="G244" s="170" t="s">
        <v>73</v>
      </c>
      <c r="H244" s="171" t="s">
        <v>72</v>
      </c>
      <c r="I244" s="210" t="s">
        <v>77</v>
      </c>
      <c r="J244" s="210" t="s">
        <v>50</v>
      </c>
    </row>
    <row r="245" spans="1:12" x14ac:dyDescent="0.3">
      <c r="A245" s="205" t="s">
        <v>167</v>
      </c>
      <c r="B245" s="174" t="s">
        <v>168</v>
      </c>
      <c r="C245" s="185">
        <v>32000</v>
      </c>
      <c r="D245" s="186">
        <v>43200</v>
      </c>
      <c r="E245" s="14">
        <v>0</v>
      </c>
      <c r="F245" s="11">
        <v>350</v>
      </c>
      <c r="G245" s="176">
        <f>D245-E245</f>
        <v>43200</v>
      </c>
      <c r="H245" s="177">
        <f>G245/C245</f>
        <v>1.35</v>
      </c>
      <c r="I245" s="180"/>
      <c r="J245" s="224"/>
      <c r="K245" s="12" t="s">
        <v>80</v>
      </c>
    </row>
    <row r="246" spans="1:12" x14ac:dyDescent="0.3">
      <c r="A246" s="205" t="s">
        <v>178</v>
      </c>
      <c r="B246" s="174" t="s">
        <v>67</v>
      </c>
      <c r="C246" s="189">
        <v>3200</v>
      </c>
      <c r="D246" s="186">
        <v>4192</v>
      </c>
      <c r="E246" s="14">
        <v>0</v>
      </c>
      <c r="F246" s="11">
        <v>0</v>
      </c>
      <c r="G246" s="176">
        <f t="shared" ref="G246:G259" si="47">D246-E246</f>
        <v>4192</v>
      </c>
      <c r="H246" s="177">
        <f t="shared" ref="H246:H259" si="48">G246/C246</f>
        <v>1.31</v>
      </c>
      <c r="I246" s="180"/>
      <c r="J246" s="224"/>
      <c r="K246" s="12" t="s">
        <v>80</v>
      </c>
      <c r="L246" s="12" t="s">
        <v>91</v>
      </c>
    </row>
    <row r="247" spans="1:12" x14ac:dyDescent="0.3">
      <c r="A247" s="205" t="s">
        <v>179</v>
      </c>
      <c r="B247" s="174" t="s">
        <v>67</v>
      </c>
      <c r="C247" s="189">
        <v>3200</v>
      </c>
      <c r="D247" s="186">
        <v>4192</v>
      </c>
      <c r="E247" s="14">
        <v>0</v>
      </c>
      <c r="F247" s="11">
        <v>0</v>
      </c>
      <c r="G247" s="176">
        <f t="shared" si="47"/>
        <v>4192</v>
      </c>
      <c r="H247" s="177">
        <f t="shared" si="48"/>
        <v>1.31</v>
      </c>
      <c r="I247" s="190"/>
      <c r="J247" s="227"/>
      <c r="K247" s="12" t="s">
        <v>80</v>
      </c>
      <c r="L247" s="12" t="s">
        <v>91</v>
      </c>
    </row>
    <row r="248" spans="1:12" x14ac:dyDescent="0.3">
      <c r="A248" s="205" t="s">
        <v>180</v>
      </c>
      <c r="B248" s="174" t="s">
        <v>67</v>
      </c>
      <c r="C248" s="189">
        <v>3200</v>
      </c>
      <c r="D248" s="186">
        <v>4192</v>
      </c>
      <c r="E248" s="14">
        <v>0</v>
      </c>
      <c r="F248" s="11">
        <v>0</v>
      </c>
      <c r="G248" s="176">
        <f t="shared" si="47"/>
        <v>4192</v>
      </c>
      <c r="H248" s="177">
        <f t="shared" si="48"/>
        <v>1.31</v>
      </c>
      <c r="I248" s="180"/>
      <c r="J248" s="224"/>
      <c r="K248" s="12" t="s">
        <v>80</v>
      </c>
      <c r="L248" s="12" t="s">
        <v>91</v>
      </c>
    </row>
    <row r="249" spans="1:12" x14ac:dyDescent="0.3">
      <c r="A249" s="205" t="s">
        <v>183</v>
      </c>
      <c r="B249" s="174" t="s">
        <v>67</v>
      </c>
      <c r="C249" s="189">
        <v>9600</v>
      </c>
      <c r="D249" s="186">
        <v>12576</v>
      </c>
      <c r="E249" s="14">
        <v>0</v>
      </c>
      <c r="F249" s="11">
        <v>0</v>
      </c>
      <c r="G249" s="176">
        <f t="shared" si="47"/>
        <v>12576</v>
      </c>
      <c r="H249" s="177">
        <f t="shared" si="48"/>
        <v>1.31</v>
      </c>
      <c r="I249" s="190"/>
      <c r="J249" s="227"/>
      <c r="K249" s="12" t="s">
        <v>80</v>
      </c>
      <c r="L249" s="12" t="s">
        <v>91</v>
      </c>
    </row>
    <row r="250" spans="1:12" x14ac:dyDescent="0.3">
      <c r="A250" s="205" t="s">
        <v>184</v>
      </c>
      <c r="B250" s="174" t="s">
        <v>67</v>
      </c>
      <c r="C250" s="189">
        <v>3200</v>
      </c>
      <c r="D250" s="186">
        <v>4192</v>
      </c>
      <c r="E250" s="14">
        <v>0</v>
      </c>
      <c r="F250" s="11">
        <v>0</v>
      </c>
      <c r="G250" s="176">
        <f t="shared" si="47"/>
        <v>4192</v>
      </c>
      <c r="H250" s="177">
        <f t="shared" si="48"/>
        <v>1.31</v>
      </c>
      <c r="I250" s="180"/>
      <c r="J250" s="224"/>
      <c r="K250" s="12" t="s">
        <v>80</v>
      </c>
      <c r="L250" s="12" t="s">
        <v>91</v>
      </c>
    </row>
    <row r="251" spans="1:12" x14ac:dyDescent="0.3">
      <c r="A251" s="205" t="s">
        <v>185</v>
      </c>
      <c r="B251" s="174" t="s">
        <v>67</v>
      </c>
      <c r="C251" s="11">
        <v>3200</v>
      </c>
      <c r="D251" s="14">
        <v>4192</v>
      </c>
      <c r="E251" s="14">
        <v>0</v>
      </c>
      <c r="F251" s="11">
        <v>0</v>
      </c>
      <c r="G251" s="176">
        <f t="shared" si="47"/>
        <v>4192</v>
      </c>
      <c r="H251" s="177">
        <f t="shared" si="48"/>
        <v>1.31</v>
      </c>
      <c r="I251" s="180"/>
      <c r="J251" s="224"/>
      <c r="K251" s="12" t="s">
        <v>80</v>
      </c>
      <c r="L251" s="12" t="s">
        <v>91</v>
      </c>
    </row>
    <row r="252" spans="1:12" x14ac:dyDescent="0.3">
      <c r="A252" s="205" t="s">
        <v>186</v>
      </c>
      <c r="B252" s="174" t="s">
        <v>67</v>
      </c>
      <c r="C252" s="11">
        <v>3200</v>
      </c>
      <c r="D252" s="14">
        <v>4192</v>
      </c>
      <c r="E252" s="14">
        <v>0</v>
      </c>
      <c r="F252" s="11">
        <v>0</v>
      </c>
      <c r="G252" s="176">
        <f t="shared" si="47"/>
        <v>4192</v>
      </c>
      <c r="H252" s="177">
        <f t="shared" si="48"/>
        <v>1.31</v>
      </c>
      <c r="I252" s="180"/>
      <c r="J252" s="224"/>
      <c r="K252" s="12" t="s">
        <v>80</v>
      </c>
      <c r="L252" s="12" t="s">
        <v>91</v>
      </c>
    </row>
    <row r="253" spans="1:12" x14ac:dyDescent="0.3">
      <c r="A253" s="76" t="s">
        <v>188</v>
      </c>
      <c r="B253" s="174" t="s">
        <v>67</v>
      </c>
      <c r="C253" s="11">
        <v>3200</v>
      </c>
      <c r="D253" s="14">
        <v>4320</v>
      </c>
      <c r="E253" s="14">
        <v>0</v>
      </c>
      <c r="F253" s="11">
        <v>0</v>
      </c>
      <c r="G253" s="176">
        <f t="shared" si="47"/>
        <v>4320</v>
      </c>
      <c r="H253" s="177">
        <f t="shared" si="48"/>
        <v>1.35</v>
      </c>
      <c r="I253" s="180"/>
      <c r="J253" s="224"/>
      <c r="K253" s="12" t="s">
        <v>88</v>
      </c>
      <c r="L253" s="12" t="s">
        <v>91</v>
      </c>
    </row>
    <row r="254" spans="1:12" x14ac:dyDescent="0.3">
      <c r="A254" s="206"/>
      <c r="B254" s="174"/>
      <c r="C254" s="11"/>
      <c r="D254" s="14"/>
      <c r="E254" s="14">
        <v>0</v>
      </c>
      <c r="F254" s="11">
        <v>0</v>
      </c>
      <c r="G254" s="176">
        <f t="shared" si="47"/>
        <v>0</v>
      </c>
      <c r="H254" s="177" t="e">
        <f t="shared" si="48"/>
        <v>#DIV/0!</v>
      </c>
      <c r="I254" s="180"/>
      <c r="J254" s="224"/>
    </row>
    <row r="255" spans="1:12" x14ac:dyDescent="0.3">
      <c r="A255" s="205"/>
      <c r="B255" s="174"/>
      <c r="C255" s="11"/>
      <c r="D255" s="14"/>
      <c r="E255" s="14">
        <v>0</v>
      </c>
      <c r="F255" s="11">
        <v>0</v>
      </c>
      <c r="G255" s="176">
        <f t="shared" si="47"/>
        <v>0</v>
      </c>
      <c r="H255" s="177" t="e">
        <f t="shared" si="48"/>
        <v>#DIV/0!</v>
      </c>
      <c r="I255" s="180"/>
      <c r="J255" s="224"/>
    </row>
    <row r="256" spans="1:12" x14ac:dyDescent="0.3">
      <c r="A256" s="205"/>
      <c r="B256" s="206"/>
      <c r="C256" s="11"/>
      <c r="D256" s="14"/>
      <c r="E256" s="14"/>
      <c r="F256" s="11"/>
      <c r="G256" s="176"/>
      <c r="H256" s="177"/>
      <c r="I256" s="180"/>
      <c r="J256" s="224"/>
    </row>
    <row r="257" spans="1:10" x14ac:dyDescent="0.3">
      <c r="A257" s="205"/>
      <c r="B257" s="206"/>
      <c r="C257" s="11"/>
      <c r="D257" s="14"/>
      <c r="E257" s="14"/>
      <c r="F257" s="11"/>
      <c r="G257" s="176"/>
      <c r="H257" s="177"/>
      <c r="I257" s="180"/>
      <c r="J257" s="224"/>
    </row>
    <row r="258" spans="1:10" x14ac:dyDescent="0.3">
      <c r="A258" s="206"/>
      <c r="B258" s="206"/>
      <c r="C258" s="11"/>
      <c r="D258" s="14"/>
      <c r="E258" s="14">
        <v>0</v>
      </c>
      <c r="F258" s="11">
        <v>0</v>
      </c>
      <c r="G258" s="176">
        <f t="shared" si="47"/>
        <v>0</v>
      </c>
      <c r="H258" s="177">
        <v>0</v>
      </c>
      <c r="I258" s="180"/>
      <c r="J258" s="224"/>
    </row>
    <row r="259" spans="1:10" x14ac:dyDescent="0.3">
      <c r="A259" s="219"/>
      <c r="B259" s="220" t="s">
        <v>35</v>
      </c>
      <c r="C259" s="219">
        <f t="shared" ref="C259:E259" si="49">SUM(C245:C258)</f>
        <v>64000</v>
      </c>
      <c r="D259" s="198">
        <f>SUM(D245:D258)</f>
        <v>85248</v>
      </c>
      <c r="E259" s="198">
        <f t="shared" si="49"/>
        <v>0</v>
      </c>
      <c r="F259" s="219">
        <f>SUM(F245:F258)</f>
        <v>350</v>
      </c>
      <c r="G259" s="198">
        <f t="shared" si="47"/>
        <v>85248</v>
      </c>
      <c r="H259" s="199">
        <f t="shared" si="48"/>
        <v>1.3320000000000001</v>
      </c>
      <c r="I259" s="232"/>
      <c r="J259" s="233"/>
    </row>
    <row r="260" spans="1:10" ht="19.5" thickBot="1" x14ac:dyDescent="0.35"/>
    <row r="261" spans="1:10" x14ac:dyDescent="0.3">
      <c r="H261" s="203"/>
      <c r="I261" s="164" t="s">
        <v>76</v>
      </c>
      <c r="J261" s="164" t="s">
        <v>76</v>
      </c>
    </row>
    <row r="262" spans="1:10" x14ac:dyDescent="0.3">
      <c r="H262" s="203"/>
      <c r="I262" s="166" t="s">
        <v>66</v>
      </c>
      <c r="J262" s="166" t="s">
        <v>66</v>
      </c>
    </row>
    <row r="263" spans="1:10" x14ac:dyDescent="0.3">
      <c r="A263" s="167" t="s">
        <v>79</v>
      </c>
      <c r="B263" s="208" t="s">
        <v>39</v>
      </c>
      <c r="C263" s="208" t="s">
        <v>0</v>
      </c>
      <c r="D263" s="208" t="s">
        <v>1</v>
      </c>
      <c r="E263" s="209" t="s">
        <v>2</v>
      </c>
      <c r="F263" s="208" t="s">
        <v>3</v>
      </c>
      <c r="G263" s="170" t="s">
        <v>73</v>
      </c>
      <c r="H263" s="171" t="s">
        <v>72</v>
      </c>
      <c r="I263" s="210" t="s">
        <v>77</v>
      </c>
      <c r="J263" s="210" t="s">
        <v>50</v>
      </c>
    </row>
    <row r="264" spans="1:10" x14ac:dyDescent="0.3">
      <c r="A264" s="205"/>
      <c r="B264" s="174"/>
      <c r="C264" s="175"/>
      <c r="D264" s="14"/>
      <c r="E264" s="14">
        <v>0</v>
      </c>
      <c r="F264" s="11">
        <v>0</v>
      </c>
      <c r="G264" s="176">
        <f>D264-E264</f>
        <v>0</v>
      </c>
      <c r="H264" s="177" t="e">
        <f>G264/C264</f>
        <v>#DIV/0!</v>
      </c>
      <c r="I264" s="180"/>
      <c r="J264" s="224"/>
    </row>
    <row r="265" spans="1:10" x14ac:dyDescent="0.3">
      <c r="A265" s="205"/>
      <c r="B265" s="174"/>
      <c r="C265" s="175"/>
      <c r="D265" s="14"/>
      <c r="E265" s="14"/>
      <c r="F265" s="11"/>
      <c r="G265" s="176">
        <f t="shared" ref="G265:G266" si="50">D265-E265</f>
        <v>0</v>
      </c>
      <c r="H265" s="177" t="e">
        <f t="shared" ref="H265:H266" si="51">G265/C265</f>
        <v>#DIV/0!</v>
      </c>
      <c r="I265" s="180"/>
      <c r="J265" s="224"/>
    </row>
    <row r="266" spans="1:10" x14ac:dyDescent="0.3">
      <c r="A266" s="219"/>
      <c r="B266" s="220" t="s">
        <v>35</v>
      </c>
      <c r="C266" s="219">
        <f t="shared" ref="C266:F266" si="52">SUM(C264:C264)</f>
        <v>0</v>
      </c>
      <c r="D266" s="198">
        <f t="shared" si="52"/>
        <v>0</v>
      </c>
      <c r="E266" s="198">
        <f t="shared" si="52"/>
        <v>0</v>
      </c>
      <c r="F266" s="219">
        <f t="shared" si="52"/>
        <v>0</v>
      </c>
      <c r="G266" s="198">
        <f t="shared" si="50"/>
        <v>0</v>
      </c>
      <c r="H266" s="199" t="e">
        <f t="shared" si="51"/>
        <v>#DIV/0!</v>
      </c>
      <c r="I266" s="232"/>
      <c r="J266" s="233"/>
    </row>
    <row r="267" spans="1:10" ht="19.5" thickBot="1" x14ac:dyDescent="0.35"/>
    <row r="268" spans="1:10" x14ac:dyDescent="0.3">
      <c r="H268" s="203"/>
      <c r="I268" s="164" t="s">
        <v>76</v>
      </c>
      <c r="J268" s="164" t="s">
        <v>76</v>
      </c>
    </row>
    <row r="269" spans="1:10" x14ac:dyDescent="0.3">
      <c r="H269" s="203"/>
      <c r="I269" s="166" t="s">
        <v>66</v>
      </c>
      <c r="J269" s="166" t="s">
        <v>66</v>
      </c>
    </row>
    <row r="270" spans="1:10" x14ac:dyDescent="0.3">
      <c r="A270" s="167" t="s">
        <v>79</v>
      </c>
      <c r="B270" s="208" t="s">
        <v>41</v>
      </c>
      <c r="C270" s="208" t="s">
        <v>0</v>
      </c>
      <c r="D270" s="208" t="s">
        <v>1</v>
      </c>
      <c r="E270" s="209" t="s">
        <v>2</v>
      </c>
      <c r="F270" s="208" t="s">
        <v>3</v>
      </c>
      <c r="G270" s="170" t="s">
        <v>73</v>
      </c>
      <c r="H270" s="171" t="s">
        <v>72</v>
      </c>
      <c r="I270" s="210" t="s">
        <v>77</v>
      </c>
      <c r="J270" s="210" t="s">
        <v>50</v>
      </c>
    </row>
    <row r="271" spans="1:10" x14ac:dyDescent="0.3">
      <c r="A271" s="205"/>
      <c r="B271" s="174"/>
      <c r="C271" s="175"/>
      <c r="D271" s="14"/>
      <c r="E271" s="14">
        <v>0</v>
      </c>
      <c r="F271" s="11">
        <v>0</v>
      </c>
      <c r="G271" s="176">
        <f>D271-E271</f>
        <v>0</v>
      </c>
      <c r="H271" s="177" t="e">
        <f>G271/C271</f>
        <v>#DIV/0!</v>
      </c>
      <c r="I271" s="180"/>
      <c r="J271" s="224"/>
    </row>
    <row r="272" spans="1:10" x14ac:dyDescent="0.3">
      <c r="A272" s="205"/>
      <c r="B272" s="174"/>
      <c r="C272" s="175"/>
      <c r="D272" s="14"/>
      <c r="E272" s="14"/>
      <c r="F272" s="11"/>
      <c r="G272" s="176">
        <f t="shared" ref="G272:G273" si="53">D272-E272</f>
        <v>0</v>
      </c>
      <c r="H272" s="177" t="e">
        <f t="shared" ref="H272:H273" si="54">G272/C272</f>
        <v>#DIV/0!</v>
      </c>
      <c r="I272" s="180"/>
      <c r="J272" s="224"/>
    </row>
    <row r="273" spans="1:10" x14ac:dyDescent="0.3">
      <c r="A273" s="219"/>
      <c r="B273" s="220" t="s">
        <v>35</v>
      </c>
      <c r="C273" s="219">
        <f t="shared" ref="C273:F273" si="55">SUM(C271:C271)</f>
        <v>0</v>
      </c>
      <c r="D273" s="198">
        <f t="shared" si="55"/>
        <v>0</v>
      </c>
      <c r="E273" s="198">
        <f t="shared" si="55"/>
        <v>0</v>
      </c>
      <c r="F273" s="219">
        <f t="shared" si="55"/>
        <v>0</v>
      </c>
      <c r="G273" s="198">
        <f t="shared" si="53"/>
        <v>0</v>
      </c>
      <c r="H273" s="199" t="e">
        <f t="shared" si="54"/>
        <v>#DIV/0!</v>
      </c>
      <c r="I273" s="232"/>
      <c r="J273" s="233"/>
    </row>
    <row r="274" spans="1:10" ht="19.5" thickBot="1" x14ac:dyDescent="0.35"/>
    <row r="275" spans="1:10" x14ac:dyDescent="0.3">
      <c r="H275" s="203"/>
      <c r="I275" s="164" t="s">
        <v>76</v>
      </c>
      <c r="J275" s="164" t="s">
        <v>76</v>
      </c>
    </row>
    <row r="276" spans="1:10" x14ac:dyDescent="0.3">
      <c r="H276" s="203"/>
      <c r="I276" s="166" t="s">
        <v>66</v>
      </c>
      <c r="J276" s="166" t="s">
        <v>66</v>
      </c>
    </row>
    <row r="277" spans="1:10" x14ac:dyDescent="0.3">
      <c r="A277" s="167" t="s">
        <v>79</v>
      </c>
      <c r="B277" s="208" t="s">
        <v>42</v>
      </c>
      <c r="C277" s="208" t="s">
        <v>0</v>
      </c>
      <c r="D277" s="208" t="s">
        <v>1</v>
      </c>
      <c r="E277" s="209" t="s">
        <v>2</v>
      </c>
      <c r="F277" s="208" t="s">
        <v>3</v>
      </c>
      <c r="G277" s="170" t="s">
        <v>73</v>
      </c>
      <c r="H277" s="171" t="s">
        <v>72</v>
      </c>
      <c r="I277" s="210" t="s">
        <v>77</v>
      </c>
      <c r="J277" s="210" t="s">
        <v>50</v>
      </c>
    </row>
    <row r="278" spans="1:10" x14ac:dyDescent="0.3">
      <c r="A278" s="205"/>
      <c r="B278" s="174"/>
      <c r="C278" s="175"/>
      <c r="D278" s="14"/>
      <c r="E278" s="14">
        <v>0</v>
      </c>
      <c r="F278" s="11">
        <v>0</v>
      </c>
      <c r="G278" s="176">
        <f>D278-E278</f>
        <v>0</v>
      </c>
      <c r="H278" s="177" t="e">
        <f>G278/C278</f>
        <v>#DIV/0!</v>
      </c>
      <c r="I278" s="180"/>
      <c r="J278" s="224"/>
    </row>
    <row r="279" spans="1:10" x14ac:dyDescent="0.3">
      <c r="A279" s="205"/>
      <c r="B279" s="174"/>
      <c r="C279" s="175"/>
      <c r="D279" s="14"/>
      <c r="E279" s="14"/>
      <c r="F279" s="11"/>
      <c r="G279" s="176">
        <f t="shared" ref="G279:G280" si="56">D279-E279</f>
        <v>0</v>
      </c>
      <c r="H279" s="177" t="e">
        <f t="shared" ref="H279:H280" si="57">G279/C279</f>
        <v>#DIV/0!</v>
      </c>
      <c r="I279" s="180"/>
      <c r="J279" s="224"/>
    </row>
    <row r="280" spans="1:10" x14ac:dyDescent="0.3">
      <c r="A280" s="219"/>
      <c r="B280" s="220" t="s">
        <v>35</v>
      </c>
      <c r="C280" s="219">
        <f t="shared" ref="C280:F280" si="58">SUM(C278:C278)</f>
        <v>0</v>
      </c>
      <c r="D280" s="198">
        <f t="shared" si="58"/>
        <v>0</v>
      </c>
      <c r="E280" s="198">
        <f t="shared" si="58"/>
        <v>0</v>
      </c>
      <c r="F280" s="219">
        <f t="shared" si="58"/>
        <v>0</v>
      </c>
      <c r="G280" s="198">
        <f t="shared" si="56"/>
        <v>0</v>
      </c>
      <c r="H280" s="199" t="e">
        <f t="shared" si="57"/>
        <v>#DIV/0!</v>
      </c>
      <c r="I280" s="232"/>
      <c r="J280" s="233"/>
    </row>
    <row r="283" spans="1:10" s="234" customFormat="1" x14ac:dyDescent="0.3"/>
    <row r="284" spans="1:10" s="163" customFormat="1" ht="19.5" hidden="1" thickBot="1" x14ac:dyDescent="0.35"/>
    <row r="285" spans="1:10" s="163" customFormat="1" hidden="1" x14ac:dyDescent="0.3">
      <c r="G285" s="12"/>
      <c r="H285" s="203"/>
      <c r="I285" s="164" t="s">
        <v>76</v>
      </c>
      <c r="J285" s="164" t="s">
        <v>76</v>
      </c>
    </row>
    <row r="286" spans="1:10" s="163" customFormat="1" hidden="1" x14ac:dyDescent="0.3">
      <c r="G286" s="12"/>
      <c r="H286" s="203"/>
      <c r="I286" s="166" t="s">
        <v>66</v>
      </c>
      <c r="J286" s="166" t="s">
        <v>66</v>
      </c>
    </row>
    <row r="287" spans="1:10" hidden="1" x14ac:dyDescent="0.3">
      <c r="A287" s="165" t="s">
        <v>64</v>
      </c>
      <c r="B287" s="208" t="s">
        <v>30</v>
      </c>
      <c r="C287" s="208" t="s">
        <v>0</v>
      </c>
      <c r="D287" s="208" t="s">
        <v>1</v>
      </c>
      <c r="E287" s="209" t="s">
        <v>2</v>
      </c>
      <c r="F287" s="208" t="s">
        <v>3</v>
      </c>
      <c r="G287" s="170" t="s">
        <v>73</v>
      </c>
      <c r="H287" s="171" t="s">
        <v>72</v>
      </c>
      <c r="I287" s="210" t="s">
        <v>77</v>
      </c>
      <c r="J287" s="210" t="s">
        <v>50</v>
      </c>
    </row>
    <row r="288" spans="1:10" hidden="1" x14ac:dyDescent="0.3">
      <c r="A288" s="205"/>
      <c r="B288" s="174"/>
      <c r="C288" s="175"/>
      <c r="D288" s="14"/>
      <c r="E288" s="14"/>
      <c r="F288" s="11">
        <v>0</v>
      </c>
      <c r="G288" s="176">
        <f>D288-E288</f>
        <v>0</v>
      </c>
      <c r="H288" s="177" t="e">
        <f>G288/C288</f>
        <v>#DIV/0!</v>
      </c>
      <c r="I288" s="180"/>
      <c r="J288" s="224"/>
    </row>
    <row r="289" spans="1:10" hidden="1" x14ac:dyDescent="0.3">
      <c r="A289" s="205"/>
      <c r="B289" s="174"/>
      <c r="C289" s="175"/>
      <c r="D289" s="14"/>
      <c r="E289" s="14"/>
      <c r="F289" s="11">
        <v>0</v>
      </c>
      <c r="G289" s="176">
        <f t="shared" ref="G289:G309" si="59">D289-E289</f>
        <v>0</v>
      </c>
      <c r="H289" s="177" t="e">
        <f t="shared" ref="H289:H309" si="60">G289/C289</f>
        <v>#DIV/0!</v>
      </c>
      <c r="I289" s="180"/>
      <c r="J289" s="224"/>
    </row>
    <row r="290" spans="1:10" hidden="1" x14ac:dyDescent="0.3">
      <c r="A290" s="205"/>
      <c r="B290" s="174"/>
      <c r="C290" s="175"/>
      <c r="D290" s="14"/>
      <c r="E290" s="14"/>
      <c r="F290" s="11">
        <v>0</v>
      </c>
      <c r="G290" s="176">
        <f t="shared" si="59"/>
        <v>0</v>
      </c>
      <c r="H290" s="177" t="e">
        <f t="shared" si="60"/>
        <v>#DIV/0!</v>
      </c>
      <c r="I290" s="180"/>
      <c r="J290" s="224"/>
    </row>
    <row r="291" spans="1:10" hidden="1" x14ac:dyDescent="0.3">
      <c r="A291" s="205"/>
      <c r="B291" s="174"/>
      <c r="C291" s="175"/>
      <c r="D291" s="14"/>
      <c r="E291" s="14"/>
      <c r="F291" s="11">
        <v>0</v>
      </c>
      <c r="G291" s="176">
        <f t="shared" si="59"/>
        <v>0</v>
      </c>
      <c r="H291" s="177" t="e">
        <f t="shared" si="60"/>
        <v>#DIV/0!</v>
      </c>
      <c r="I291" s="180"/>
      <c r="J291" s="224"/>
    </row>
    <row r="292" spans="1:10" hidden="1" x14ac:dyDescent="0.3">
      <c r="A292" s="205"/>
      <c r="B292" s="174"/>
      <c r="C292" s="175"/>
      <c r="D292" s="14"/>
      <c r="E292" s="14"/>
      <c r="F292" s="11">
        <v>0</v>
      </c>
      <c r="G292" s="176">
        <f t="shared" si="59"/>
        <v>0</v>
      </c>
      <c r="H292" s="177" t="e">
        <f t="shared" si="60"/>
        <v>#DIV/0!</v>
      </c>
      <c r="I292" s="180"/>
      <c r="J292" s="224"/>
    </row>
    <row r="293" spans="1:10" hidden="1" x14ac:dyDescent="0.3">
      <c r="A293" s="206"/>
      <c r="B293" s="174"/>
      <c r="C293" s="175"/>
      <c r="D293" s="14"/>
      <c r="E293" s="14"/>
      <c r="F293" s="11">
        <v>0</v>
      </c>
      <c r="G293" s="176">
        <f t="shared" si="59"/>
        <v>0</v>
      </c>
      <c r="H293" s="177" t="e">
        <f t="shared" si="60"/>
        <v>#DIV/0!</v>
      </c>
      <c r="I293" s="180"/>
      <c r="J293" s="224"/>
    </row>
    <row r="294" spans="1:10" hidden="1" x14ac:dyDescent="0.3">
      <c r="A294" s="205"/>
      <c r="B294" s="174"/>
      <c r="C294" s="175"/>
      <c r="D294" s="14"/>
      <c r="E294" s="14"/>
      <c r="F294" s="11">
        <v>0</v>
      </c>
      <c r="G294" s="176">
        <f t="shared" si="59"/>
        <v>0</v>
      </c>
      <c r="H294" s="177" t="e">
        <f t="shared" si="60"/>
        <v>#DIV/0!</v>
      </c>
      <c r="I294" s="180"/>
      <c r="J294" s="224"/>
    </row>
    <row r="295" spans="1:10" ht="15" hidden="1" customHeight="1" x14ac:dyDescent="0.3">
      <c r="A295" s="225"/>
      <c r="B295" s="174"/>
      <c r="C295" s="11"/>
      <c r="D295" s="14"/>
      <c r="E295" s="14"/>
      <c r="F295" s="11">
        <v>0</v>
      </c>
      <c r="G295" s="176">
        <f t="shared" si="59"/>
        <v>0</v>
      </c>
      <c r="H295" s="177" t="e">
        <f t="shared" si="60"/>
        <v>#DIV/0!</v>
      </c>
      <c r="I295" s="180"/>
      <c r="J295" s="224"/>
    </row>
    <row r="296" spans="1:10" hidden="1" x14ac:dyDescent="0.3">
      <c r="A296" s="205"/>
      <c r="B296" s="174"/>
      <c r="C296" s="175"/>
      <c r="D296" s="14"/>
      <c r="E296" s="14"/>
      <c r="F296" s="11">
        <v>0</v>
      </c>
      <c r="G296" s="176">
        <f t="shared" si="59"/>
        <v>0</v>
      </c>
      <c r="H296" s="177" t="e">
        <f t="shared" si="60"/>
        <v>#DIV/0!</v>
      </c>
      <c r="I296" s="180"/>
      <c r="J296" s="224"/>
    </row>
    <row r="297" spans="1:10" hidden="1" x14ac:dyDescent="0.3">
      <c r="A297" s="205"/>
      <c r="B297" s="174"/>
      <c r="C297" s="175"/>
      <c r="D297" s="186"/>
      <c r="E297" s="14"/>
      <c r="F297" s="11">
        <v>0</v>
      </c>
      <c r="G297" s="176">
        <f t="shared" si="59"/>
        <v>0</v>
      </c>
      <c r="H297" s="177" t="e">
        <f t="shared" si="60"/>
        <v>#DIV/0!</v>
      </c>
      <c r="I297" s="180"/>
      <c r="J297" s="224"/>
    </row>
    <row r="298" spans="1:10" hidden="1" x14ac:dyDescent="0.3">
      <c r="A298" s="205"/>
      <c r="B298" s="174"/>
      <c r="C298" s="175"/>
      <c r="D298" s="186"/>
      <c r="E298" s="14"/>
      <c r="F298" s="11">
        <v>0</v>
      </c>
      <c r="G298" s="176">
        <f t="shared" si="59"/>
        <v>0</v>
      </c>
      <c r="H298" s="177" t="e">
        <f t="shared" si="60"/>
        <v>#DIV/0!</v>
      </c>
      <c r="I298" s="180"/>
      <c r="J298" s="224"/>
    </row>
    <row r="299" spans="1:10" hidden="1" x14ac:dyDescent="0.3">
      <c r="A299" s="205"/>
      <c r="B299" s="174"/>
      <c r="C299" s="175"/>
      <c r="D299" s="186"/>
      <c r="E299" s="14"/>
      <c r="F299" s="11">
        <v>0</v>
      </c>
      <c r="G299" s="176">
        <f t="shared" si="59"/>
        <v>0</v>
      </c>
      <c r="H299" s="177" t="e">
        <f t="shared" si="60"/>
        <v>#DIV/0!</v>
      </c>
      <c r="I299" s="180"/>
      <c r="J299" s="224"/>
    </row>
    <row r="300" spans="1:10" hidden="1" x14ac:dyDescent="0.3">
      <c r="A300" s="206"/>
      <c r="B300" s="174"/>
      <c r="C300" s="175"/>
      <c r="D300" s="186"/>
      <c r="E300" s="14"/>
      <c r="F300" s="11">
        <v>0</v>
      </c>
      <c r="G300" s="176">
        <f t="shared" si="59"/>
        <v>0</v>
      </c>
      <c r="H300" s="177" t="e">
        <f t="shared" si="60"/>
        <v>#DIV/0!</v>
      </c>
      <c r="I300" s="180"/>
      <c r="J300" s="224"/>
    </row>
    <row r="301" spans="1:10" ht="14.25" hidden="1" customHeight="1" x14ac:dyDescent="0.3">
      <c r="A301" s="205"/>
      <c r="B301" s="174"/>
      <c r="C301" s="175"/>
      <c r="D301" s="193"/>
      <c r="E301" s="14"/>
      <c r="F301" s="11">
        <v>0</v>
      </c>
      <c r="G301" s="176">
        <f t="shared" si="59"/>
        <v>0</v>
      </c>
      <c r="H301" s="177" t="e">
        <f t="shared" si="60"/>
        <v>#DIV/0!</v>
      </c>
      <c r="I301" s="180"/>
      <c r="J301" s="224"/>
    </row>
    <row r="302" spans="1:10" hidden="1" x14ac:dyDescent="0.3">
      <c r="A302" s="205"/>
      <c r="B302" s="174"/>
      <c r="C302" s="175"/>
      <c r="D302" s="193"/>
      <c r="E302" s="14"/>
      <c r="F302" s="11">
        <v>0</v>
      </c>
      <c r="G302" s="176">
        <f t="shared" si="59"/>
        <v>0</v>
      </c>
      <c r="H302" s="177" t="e">
        <f t="shared" si="60"/>
        <v>#DIV/0!</v>
      </c>
      <c r="I302" s="180"/>
      <c r="J302" s="224"/>
    </row>
    <row r="303" spans="1:10" hidden="1" x14ac:dyDescent="0.3">
      <c r="A303" s="205"/>
      <c r="B303" s="174"/>
      <c r="C303" s="175"/>
      <c r="D303" s="193"/>
      <c r="E303" s="14"/>
      <c r="F303" s="11">
        <v>0</v>
      </c>
      <c r="G303" s="176">
        <f t="shared" si="59"/>
        <v>0</v>
      </c>
      <c r="H303" s="177" t="e">
        <f t="shared" si="60"/>
        <v>#DIV/0!</v>
      </c>
      <c r="I303" s="180"/>
      <c r="J303" s="224"/>
    </row>
    <row r="304" spans="1:10" hidden="1" x14ac:dyDescent="0.3">
      <c r="A304" s="205"/>
      <c r="B304" s="174"/>
      <c r="C304" s="175"/>
      <c r="D304" s="193"/>
      <c r="E304" s="14"/>
      <c r="F304" s="11">
        <v>0</v>
      </c>
      <c r="G304" s="176">
        <f t="shared" si="59"/>
        <v>0</v>
      </c>
      <c r="H304" s="177" t="e">
        <f t="shared" si="60"/>
        <v>#DIV/0!</v>
      </c>
      <c r="I304" s="180"/>
      <c r="J304" s="224"/>
    </row>
    <row r="305" spans="1:10" hidden="1" x14ac:dyDescent="0.3">
      <c r="A305" s="205"/>
      <c r="B305" s="174"/>
      <c r="C305" s="175"/>
      <c r="D305" s="193"/>
      <c r="E305" s="14"/>
      <c r="F305" s="11">
        <v>0</v>
      </c>
      <c r="G305" s="176">
        <f t="shared" si="59"/>
        <v>0</v>
      </c>
      <c r="H305" s="177" t="e">
        <f t="shared" si="60"/>
        <v>#DIV/0!</v>
      </c>
      <c r="I305" s="180"/>
      <c r="J305" s="224"/>
    </row>
    <row r="306" spans="1:10" hidden="1" x14ac:dyDescent="0.3">
      <c r="A306" s="205"/>
      <c r="B306" s="174"/>
      <c r="C306" s="175"/>
      <c r="D306" s="193"/>
      <c r="E306" s="14"/>
      <c r="F306" s="11"/>
      <c r="G306" s="176">
        <f t="shared" si="59"/>
        <v>0</v>
      </c>
      <c r="H306" s="177" t="e">
        <f t="shared" si="60"/>
        <v>#DIV/0!</v>
      </c>
      <c r="I306" s="180"/>
      <c r="J306" s="224"/>
    </row>
    <row r="307" spans="1:10" hidden="1" x14ac:dyDescent="0.3">
      <c r="A307" s="205"/>
      <c r="B307" s="174"/>
      <c r="C307" s="175"/>
      <c r="D307" s="193"/>
      <c r="E307" s="14"/>
      <c r="F307" s="11"/>
      <c r="G307" s="176">
        <f t="shared" si="59"/>
        <v>0</v>
      </c>
      <c r="H307" s="177" t="e">
        <f t="shared" si="60"/>
        <v>#DIV/0!</v>
      </c>
      <c r="I307" s="180"/>
      <c r="J307" s="224"/>
    </row>
    <row r="308" spans="1:10" hidden="1" x14ac:dyDescent="0.3">
      <c r="A308" s="195"/>
      <c r="B308" s="174"/>
      <c r="C308" s="175"/>
      <c r="D308" s="193"/>
      <c r="E308" s="14"/>
      <c r="F308" s="11">
        <v>0</v>
      </c>
      <c r="G308" s="176">
        <f t="shared" si="59"/>
        <v>0</v>
      </c>
      <c r="H308" s="177" t="e">
        <f t="shared" si="60"/>
        <v>#DIV/0!</v>
      </c>
      <c r="I308" s="180"/>
      <c r="J308" s="224"/>
    </row>
    <row r="309" spans="1:10" hidden="1" x14ac:dyDescent="0.3">
      <c r="A309" s="196"/>
      <c r="B309" s="196" t="s">
        <v>35</v>
      </c>
      <c r="C309" s="196">
        <f t="shared" ref="C309:F309" si="61">SUM(C288:C308)</f>
        <v>0</v>
      </c>
      <c r="D309" s="197">
        <f t="shared" si="61"/>
        <v>0</v>
      </c>
      <c r="E309" s="197">
        <f t="shared" si="61"/>
        <v>0</v>
      </c>
      <c r="F309" s="196">
        <f t="shared" si="61"/>
        <v>0</v>
      </c>
      <c r="G309" s="198">
        <f t="shared" si="59"/>
        <v>0</v>
      </c>
      <c r="H309" s="199" t="e">
        <f t="shared" si="60"/>
        <v>#DIV/0!</v>
      </c>
      <c r="I309" s="232"/>
      <c r="J309" s="233"/>
    </row>
    <row r="310" spans="1:10" s="204" customFormat="1" ht="19.5" hidden="1" thickBot="1" x14ac:dyDescent="0.35">
      <c r="A310" s="12"/>
      <c r="B310" s="12"/>
      <c r="C310" s="12"/>
      <c r="D310" s="12"/>
      <c r="E310" s="12"/>
      <c r="F310" s="12"/>
      <c r="G310" s="228"/>
    </row>
    <row r="311" spans="1:10" hidden="1" x14ac:dyDescent="0.3">
      <c r="H311" s="203"/>
      <c r="I311" s="164" t="s">
        <v>76</v>
      </c>
      <c r="J311" s="164" t="s">
        <v>76</v>
      </c>
    </row>
    <row r="312" spans="1:10" hidden="1" x14ac:dyDescent="0.3">
      <c r="H312" s="203"/>
      <c r="I312" s="166" t="s">
        <v>66</v>
      </c>
      <c r="J312" s="166" t="s">
        <v>66</v>
      </c>
    </row>
    <row r="313" spans="1:10" hidden="1" x14ac:dyDescent="0.3">
      <c r="A313" s="165" t="s">
        <v>64</v>
      </c>
      <c r="B313" s="168" t="s">
        <v>31</v>
      </c>
      <c r="C313" s="168" t="s">
        <v>0</v>
      </c>
      <c r="D313" s="168" t="s">
        <v>1</v>
      </c>
      <c r="E313" s="169" t="s">
        <v>2</v>
      </c>
      <c r="F313" s="168" t="s">
        <v>3</v>
      </c>
      <c r="G313" s="170" t="s">
        <v>73</v>
      </c>
      <c r="H313" s="171" t="s">
        <v>72</v>
      </c>
      <c r="I313" s="210" t="s">
        <v>77</v>
      </c>
      <c r="J313" s="210" t="s">
        <v>50</v>
      </c>
    </row>
    <row r="314" spans="1:10" hidden="1" x14ac:dyDescent="0.3">
      <c r="A314" s="205"/>
      <c r="B314" s="188"/>
      <c r="C314" s="175"/>
      <c r="D314" s="14"/>
      <c r="E314" s="14"/>
      <c r="F314" s="11">
        <v>0</v>
      </c>
      <c r="G314" s="176">
        <f>D314-E314</f>
        <v>0</v>
      </c>
      <c r="H314" s="177" t="e">
        <f>G314/C314</f>
        <v>#DIV/0!</v>
      </c>
      <c r="I314" s="180"/>
      <c r="J314" s="224"/>
    </row>
    <row r="315" spans="1:10" hidden="1" x14ac:dyDescent="0.3">
      <c r="A315" s="205"/>
      <c r="B315" s="188"/>
      <c r="C315" s="175"/>
      <c r="D315" s="14"/>
      <c r="E315" s="14"/>
      <c r="F315" s="11">
        <v>0</v>
      </c>
      <c r="G315" s="176">
        <f t="shared" ref="G315:G337" si="62">D315-E315</f>
        <v>0</v>
      </c>
      <c r="H315" s="177" t="e">
        <f t="shared" ref="H315:H337" si="63">G315/C315</f>
        <v>#DIV/0!</v>
      </c>
      <c r="I315" s="180"/>
      <c r="J315" s="224"/>
    </row>
    <row r="316" spans="1:10" hidden="1" x14ac:dyDescent="0.3">
      <c r="A316" s="205"/>
      <c r="B316" s="188"/>
      <c r="C316" s="175"/>
      <c r="D316" s="14"/>
      <c r="E316" s="14"/>
      <c r="F316" s="11">
        <v>0</v>
      </c>
      <c r="G316" s="176">
        <f t="shared" si="62"/>
        <v>0</v>
      </c>
      <c r="H316" s="177" t="e">
        <f t="shared" si="63"/>
        <v>#DIV/0!</v>
      </c>
      <c r="I316" s="180"/>
      <c r="J316" s="224"/>
    </row>
    <row r="317" spans="1:10" hidden="1" x14ac:dyDescent="0.3">
      <c r="A317" s="205"/>
      <c r="B317" s="188"/>
      <c r="C317" s="175"/>
      <c r="D317" s="14"/>
      <c r="E317" s="14"/>
      <c r="F317" s="11">
        <v>0</v>
      </c>
      <c r="G317" s="176">
        <f t="shared" si="62"/>
        <v>0</v>
      </c>
      <c r="H317" s="177" t="e">
        <f t="shared" si="63"/>
        <v>#DIV/0!</v>
      </c>
      <c r="I317" s="180"/>
      <c r="J317" s="224"/>
    </row>
    <row r="318" spans="1:10" hidden="1" x14ac:dyDescent="0.3">
      <c r="A318" s="205"/>
      <c r="B318" s="188"/>
      <c r="C318" s="175"/>
      <c r="D318" s="14"/>
      <c r="E318" s="14"/>
      <c r="F318" s="11">
        <v>0</v>
      </c>
      <c r="G318" s="176">
        <f t="shared" si="62"/>
        <v>0</v>
      </c>
      <c r="H318" s="177" t="e">
        <f t="shared" si="63"/>
        <v>#DIV/0!</v>
      </c>
      <c r="I318" s="180"/>
      <c r="J318" s="224"/>
    </row>
    <row r="319" spans="1:10" hidden="1" x14ac:dyDescent="0.3">
      <c r="A319" s="206"/>
      <c r="B319" s="188"/>
      <c r="C319" s="175"/>
      <c r="D319" s="14"/>
      <c r="E319" s="14"/>
      <c r="F319" s="11">
        <v>0</v>
      </c>
      <c r="G319" s="176">
        <f t="shared" si="62"/>
        <v>0</v>
      </c>
      <c r="H319" s="177" t="e">
        <f t="shared" si="63"/>
        <v>#DIV/0!</v>
      </c>
      <c r="I319" s="180"/>
      <c r="J319" s="224"/>
    </row>
    <row r="320" spans="1:10" ht="15" hidden="1" customHeight="1" x14ac:dyDescent="0.3">
      <c r="A320" s="205"/>
      <c r="B320" s="188"/>
      <c r="C320" s="175"/>
      <c r="D320" s="14"/>
      <c r="E320" s="14"/>
      <c r="F320" s="11">
        <v>0</v>
      </c>
      <c r="G320" s="176">
        <f t="shared" si="62"/>
        <v>0</v>
      </c>
      <c r="H320" s="177" t="e">
        <f t="shared" si="63"/>
        <v>#DIV/0!</v>
      </c>
      <c r="I320" s="180"/>
      <c r="J320" s="224"/>
    </row>
    <row r="321" spans="1:10" hidden="1" x14ac:dyDescent="0.3">
      <c r="A321" s="225"/>
      <c r="B321" s="188"/>
      <c r="C321" s="175"/>
      <c r="D321" s="14"/>
      <c r="E321" s="14"/>
      <c r="F321" s="11">
        <v>0</v>
      </c>
      <c r="G321" s="176">
        <f t="shared" si="62"/>
        <v>0</v>
      </c>
      <c r="H321" s="177" t="e">
        <f t="shared" si="63"/>
        <v>#DIV/0!</v>
      </c>
      <c r="I321" s="180"/>
      <c r="J321" s="224"/>
    </row>
    <row r="322" spans="1:10" hidden="1" x14ac:dyDescent="0.3">
      <c r="A322" s="205"/>
      <c r="B322" s="188"/>
      <c r="C322" s="175"/>
      <c r="D322" s="14"/>
      <c r="E322" s="14"/>
      <c r="F322" s="11">
        <v>0</v>
      </c>
      <c r="G322" s="176">
        <f t="shared" si="62"/>
        <v>0</v>
      </c>
      <c r="H322" s="177" t="e">
        <f t="shared" si="63"/>
        <v>#DIV/0!</v>
      </c>
      <c r="I322" s="180"/>
      <c r="J322" s="224"/>
    </row>
    <row r="323" spans="1:10" hidden="1" x14ac:dyDescent="0.3">
      <c r="A323" s="205"/>
      <c r="B323" s="188"/>
      <c r="C323" s="175"/>
      <c r="D323" s="186"/>
      <c r="E323" s="14"/>
      <c r="F323" s="11">
        <v>0</v>
      </c>
      <c r="G323" s="176">
        <f t="shared" si="62"/>
        <v>0</v>
      </c>
      <c r="H323" s="177" t="e">
        <f t="shared" si="63"/>
        <v>#DIV/0!</v>
      </c>
      <c r="I323" s="180"/>
      <c r="J323" s="224"/>
    </row>
    <row r="324" spans="1:10" hidden="1" x14ac:dyDescent="0.3">
      <c r="A324" s="205"/>
      <c r="B324" s="188"/>
      <c r="C324" s="175"/>
      <c r="D324" s="186"/>
      <c r="E324" s="14"/>
      <c r="F324" s="11">
        <v>0</v>
      </c>
      <c r="G324" s="176">
        <f t="shared" si="62"/>
        <v>0</v>
      </c>
      <c r="H324" s="177" t="e">
        <f t="shared" si="63"/>
        <v>#DIV/0!</v>
      </c>
      <c r="I324" s="180"/>
      <c r="J324" s="224"/>
    </row>
    <row r="325" spans="1:10" hidden="1" x14ac:dyDescent="0.3">
      <c r="A325" s="205"/>
      <c r="B325" s="188"/>
      <c r="C325" s="175"/>
      <c r="D325" s="186"/>
      <c r="E325" s="14"/>
      <c r="F325" s="11">
        <v>0</v>
      </c>
      <c r="G325" s="176">
        <f t="shared" si="62"/>
        <v>0</v>
      </c>
      <c r="H325" s="177" t="e">
        <f t="shared" si="63"/>
        <v>#DIV/0!</v>
      </c>
      <c r="I325" s="180"/>
      <c r="J325" s="224"/>
    </row>
    <row r="326" spans="1:10" hidden="1" x14ac:dyDescent="0.3">
      <c r="A326" s="205"/>
      <c r="B326" s="188"/>
      <c r="C326" s="175"/>
      <c r="D326" s="186"/>
      <c r="E326" s="14"/>
      <c r="F326" s="11">
        <v>0</v>
      </c>
      <c r="G326" s="176">
        <f t="shared" si="62"/>
        <v>0</v>
      </c>
      <c r="H326" s="177" t="e">
        <f t="shared" si="63"/>
        <v>#DIV/0!</v>
      </c>
      <c r="I326" s="180"/>
      <c r="J326" s="224"/>
    </row>
    <row r="327" spans="1:10" hidden="1" x14ac:dyDescent="0.3">
      <c r="A327" s="206"/>
      <c r="B327" s="188"/>
      <c r="C327" s="175"/>
      <c r="D327" s="186"/>
      <c r="E327" s="14"/>
      <c r="F327" s="11">
        <v>0</v>
      </c>
      <c r="G327" s="176">
        <f t="shared" si="62"/>
        <v>0</v>
      </c>
      <c r="H327" s="177" t="e">
        <f t="shared" si="63"/>
        <v>#DIV/0!</v>
      </c>
      <c r="I327" s="180"/>
      <c r="J327" s="224"/>
    </row>
    <row r="328" spans="1:10" hidden="1" x14ac:dyDescent="0.3">
      <c r="A328" s="205"/>
      <c r="B328" s="188"/>
      <c r="C328" s="11"/>
      <c r="D328" s="186"/>
      <c r="E328" s="14"/>
      <c r="F328" s="11">
        <v>0</v>
      </c>
      <c r="G328" s="176">
        <f t="shared" si="62"/>
        <v>0</v>
      </c>
      <c r="H328" s="177" t="e">
        <f t="shared" si="63"/>
        <v>#DIV/0!</v>
      </c>
      <c r="I328" s="180"/>
      <c r="J328" s="224"/>
    </row>
    <row r="329" spans="1:10" hidden="1" x14ac:dyDescent="0.3">
      <c r="A329" s="205"/>
      <c r="B329" s="188"/>
      <c r="C329" s="11"/>
      <c r="D329" s="186"/>
      <c r="E329" s="14"/>
      <c r="F329" s="11">
        <v>0</v>
      </c>
      <c r="G329" s="176">
        <f t="shared" si="62"/>
        <v>0</v>
      </c>
      <c r="H329" s="177" t="e">
        <f t="shared" si="63"/>
        <v>#DIV/0!</v>
      </c>
      <c r="I329" s="180"/>
      <c r="J329" s="224"/>
    </row>
    <row r="330" spans="1:10" hidden="1" x14ac:dyDescent="0.3">
      <c r="A330" s="205"/>
      <c r="B330" s="188"/>
      <c r="C330" s="11"/>
      <c r="D330" s="186"/>
      <c r="E330" s="14"/>
      <c r="F330" s="11">
        <v>0</v>
      </c>
      <c r="G330" s="176">
        <f t="shared" si="62"/>
        <v>0</v>
      </c>
      <c r="H330" s="177" t="e">
        <f t="shared" si="63"/>
        <v>#DIV/0!</v>
      </c>
      <c r="I330" s="180"/>
      <c r="J330" s="224"/>
    </row>
    <row r="331" spans="1:10" hidden="1" x14ac:dyDescent="0.3">
      <c r="A331" s="205"/>
      <c r="B331" s="188"/>
      <c r="C331" s="175"/>
      <c r="D331" s="186"/>
      <c r="E331" s="14"/>
      <c r="F331" s="11">
        <v>0</v>
      </c>
      <c r="G331" s="176">
        <f t="shared" si="62"/>
        <v>0</v>
      </c>
      <c r="H331" s="177" t="e">
        <f t="shared" si="63"/>
        <v>#DIV/0!</v>
      </c>
      <c r="I331" s="180"/>
      <c r="J331" s="224"/>
    </row>
    <row r="332" spans="1:10" hidden="1" x14ac:dyDescent="0.3">
      <c r="A332" s="205"/>
      <c r="B332" s="188"/>
      <c r="C332" s="175"/>
      <c r="D332" s="186"/>
      <c r="E332" s="14"/>
      <c r="F332" s="11">
        <v>0</v>
      </c>
      <c r="G332" s="176">
        <f t="shared" si="62"/>
        <v>0</v>
      </c>
      <c r="H332" s="177" t="e">
        <f t="shared" si="63"/>
        <v>#DIV/0!</v>
      </c>
      <c r="I332" s="180"/>
      <c r="J332" s="224"/>
    </row>
    <row r="333" spans="1:10" hidden="1" x14ac:dyDescent="0.3">
      <c r="A333" s="205"/>
      <c r="B333" s="188"/>
      <c r="C333" s="175"/>
      <c r="D333" s="186"/>
      <c r="E333" s="14"/>
      <c r="F333" s="11">
        <v>0</v>
      </c>
      <c r="G333" s="176">
        <f t="shared" si="62"/>
        <v>0</v>
      </c>
      <c r="H333" s="177" t="e">
        <f t="shared" si="63"/>
        <v>#DIV/0!</v>
      </c>
      <c r="I333" s="180"/>
      <c r="J333" s="224"/>
    </row>
    <row r="334" spans="1:10" hidden="1" x14ac:dyDescent="0.3">
      <c r="A334" s="205"/>
      <c r="B334" s="188"/>
      <c r="C334" s="175"/>
      <c r="D334" s="14"/>
      <c r="E334" s="14"/>
      <c r="F334" s="11"/>
      <c r="G334" s="176">
        <f t="shared" si="62"/>
        <v>0</v>
      </c>
      <c r="H334" s="177" t="e">
        <f t="shared" si="63"/>
        <v>#DIV/0!</v>
      </c>
      <c r="I334" s="180"/>
      <c r="J334" s="224"/>
    </row>
    <row r="335" spans="1:10" hidden="1" x14ac:dyDescent="0.3">
      <c r="A335" s="205"/>
      <c r="B335" s="188"/>
      <c r="C335" s="175"/>
      <c r="D335" s="14"/>
      <c r="E335" s="14"/>
      <c r="F335" s="11"/>
      <c r="G335" s="176">
        <f t="shared" si="62"/>
        <v>0</v>
      </c>
      <c r="H335" s="177" t="e">
        <f t="shared" si="63"/>
        <v>#DIV/0!</v>
      </c>
      <c r="I335" s="180"/>
      <c r="J335" s="224"/>
    </row>
    <row r="336" spans="1:10" hidden="1" x14ac:dyDescent="0.3">
      <c r="A336" s="205"/>
      <c r="B336" s="188"/>
      <c r="C336" s="175"/>
      <c r="D336" s="14"/>
      <c r="E336" s="14"/>
      <c r="F336" s="11"/>
      <c r="G336" s="176">
        <f t="shared" si="62"/>
        <v>0</v>
      </c>
      <c r="H336" s="177" t="e">
        <f t="shared" si="63"/>
        <v>#DIV/0!</v>
      </c>
      <c r="I336" s="180"/>
      <c r="J336" s="224"/>
    </row>
    <row r="337" spans="1:10" ht="15.75" hidden="1" customHeight="1" x14ac:dyDescent="0.3">
      <c r="A337" s="196"/>
      <c r="B337" s="196" t="s">
        <v>35</v>
      </c>
      <c r="C337" s="196">
        <f t="shared" ref="C337:F337" si="64">SUM(C314:C336)</f>
        <v>0</v>
      </c>
      <c r="D337" s="197">
        <f t="shared" si="64"/>
        <v>0</v>
      </c>
      <c r="E337" s="197">
        <f t="shared" si="64"/>
        <v>0</v>
      </c>
      <c r="F337" s="196">
        <f t="shared" si="64"/>
        <v>0</v>
      </c>
      <c r="G337" s="198">
        <f t="shared" si="62"/>
        <v>0</v>
      </c>
      <c r="H337" s="199" t="e">
        <f t="shared" si="63"/>
        <v>#DIV/0!</v>
      </c>
      <c r="I337" s="232"/>
      <c r="J337" s="233"/>
    </row>
    <row r="338" spans="1:10" ht="19.5" hidden="1" thickBot="1" x14ac:dyDescent="0.35">
      <c r="A338" s="205"/>
      <c r="G338" s="176"/>
    </row>
    <row r="339" spans="1:10" hidden="1" x14ac:dyDescent="0.3">
      <c r="A339" s="205"/>
      <c r="H339" s="203"/>
      <c r="I339" s="164" t="s">
        <v>76</v>
      </c>
      <c r="J339" s="164" t="s">
        <v>76</v>
      </c>
    </row>
    <row r="340" spans="1:10" hidden="1" x14ac:dyDescent="0.3">
      <c r="A340" s="205"/>
      <c r="H340" s="203"/>
      <c r="I340" s="166" t="s">
        <v>66</v>
      </c>
      <c r="J340" s="166" t="s">
        <v>66</v>
      </c>
    </row>
    <row r="341" spans="1:10" hidden="1" x14ac:dyDescent="0.3">
      <c r="A341" s="165" t="s">
        <v>64</v>
      </c>
      <c r="B341" s="208" t="s">
        <v>32</v>
      </c>
      <c r="C341" s="208" t="s">
        <v>0</v>
      </c>
      <c r="D341" s="208" t="s">
        <v>1</v>
      </c>
      <c r="E341" s="209" t="s">
        <v>2</v>
      </c>
      <c r="F341" s="208" t="s">
        <v>3</v>
      </c>
      <c r="G341" s="170" t="s">
        <v>73</v>
      </c>
      <c r="H341" s="171" t="s">
        <v>72</v>
      </c>
      <c r="I341" s="210" t="s">
        <v>77</v>
      </c>
      <c r="J341" s="210" t="s">
        <v>50</v>
      </c>
    </row>
    <row r="342" spans="1:10" hidden="1" x14ac:dyDescent="0.3">
      <c r="A342" s="205"/>
      <c r="B342" s="188"/>
      <c r="C342" s="175"/>
      <c r="D342" s="14"/>
      <c r="E342" s="14"/>
      <c r="F342" s="11">
        <v>0</v>
      </c>
      <c r="G342" s="176">
        <f>D342-E342</f>
        <v>0</v>
      </c>
      <c r="H342" s="177" t="e">
        <f>G342/C342</f>
        <v>#DIV/0!</v>
      </c>
      <c r="I342" s="180"/>
      <c r="J342" s="224"/>
    </row>
    <row r="343" spans="1:10" hidden="1" x14ac:dyDescent="0.3">
      <c r="A343" s="205"/>
      <c r="B343" s="188"/>
      <c r="C343" s="175"/>
      <c r="D343" s="14"/>
      <c r="E343" s="14"/>
      <c r="F343" s="11">
        <v>0</v>
      </c>
      <c r="G343" s="176">
        <f t="shared" ref="G343:G348" si="65">D343-E343</f>
        <v>0</v>
      </c>
      <c r="H343" s="177" t="e">
        <f t="shared" ref="H343:H348" si="66">G343/C343</f>
        <v>#DIV/0!</v>
      </c>
      <c r="I343" s="180"/>
      <c r="J343" s="224"/>
    </row>
    <row r="344" spans="1:10" hidden="1" x14ac:dyDescent="0.3">
      <c r="A344" s="195"/>
      <c r="B344" s="195"/>
      <c r="C344" s="195"/>
      <c r="D344" s="195"/>
      <c r="E344" s="175"/>
      <c r="F344" s="195"/>
      <c r="G344" s="176">
        <f t="shared" si="65"/>
        <v>0</v>
      </c>
      <c r="H344" s="177" t="e">
        <f t="shared" si="66"/>
        <v>#DIV/0!</v>
      </c>
      <c r="I344" s="180"/>
      <c r="J344" s="224"/>
    </row>
    <row r="345" spans="1:10" hidden="1" x14ac:dyDescent="0.3">
      <c r="A345" s="195"/>
      <c r="B345" s="195"/>
      <c r="C345" s="195"/>
      <c r="D345" s="195"/>
      <c r="E345" s="175"/>
      <c r="F345" s="195"/>
      <c r="G345" s="176">
        <f t="shared" si="65"/>
        <v>0</v>
      </c>
      <c r="H345" s="177" t="e">
        <f t="shared" si="66"/>
        <v>#DIV/0!</v>
      </c>
      <c r="I345" s="180"/>
      <c r="J345" s="224"/>
    </row>
    <row r="346" spans="1:10" hidden="1" x14ac:dyDescent="0.3">
      <c r="A346" s="195"/>
      <c r="B346" s="195"/>
      <c r="C346" s="195"/>
      <c r="D346" s="195"/>
      <c r="E346" s="175"/>
      <c r="F346" s="195"/>
      <c r="G346" s="176">
        <f t="shared" si="65"/>
        <v>0</v>
      </c>
      <c r="H346" s="177" t="e">
        <f t="shared" si="66"/>
        <v>#DIV/0!</v>
      </c>
      <c r="I346" s="180"/>
      <c r="J346" s="224"/>
    </row>
    <row r="347" spans="1:10" hidden="1" x14ac:dyDescent="0.3">
      <c r="A347" s="195"/>
      <c r="B347" s="195"/>
      <c r="C347" s="195"/>
      <c r="D347" s="195"/>
      <c r="E347" s="175"/>
      <c r="F347" s="195"/>
      <c r="G347" s="176">
        <f t="shared" si="65"/>
        <v>0</v>
      </c>
      <c r="H347" s="177" t="e">
        <f t="shared" si="66"/>
        <v>#DIV/0!</v>
      </c>
      <c r="I347" s="180"/>
      <c r="J347" s="224"/>
    </row>
    <row r="348" spans="1:10" hidden="1" x14ac:dyDescent="0.3">
      <c r="A348" s="212"/>
      <c r="B348" s="196" t="s">
        <v>35</v>
      </c>
      <c r="C348" s="196">
        <f t="shared" ref="C348:F348" si="67">SUM(C342:C347)</f>
        <v>0</v>
      </c>
      <c r="D348" s="197">
        <f t="shared" si="67"/>
        <v>0</v>
      </c>
      <c r="E348" s="197">
        <f t="shared" si="67"/>
        <v>0</v>
      </c>
      <c r="F348" s="196">
        <f t="shared" si="67"/>
        <v>0</v>
      </c>
      <c r="G348" s="198">
        <f t="shared" si="65"/>
        <v>0</v>
      </c>
      <c r="H348" s="199" t="e">
        <f t="shared" si="66"/>
        <v>#DIV/0!</v>
      </c>
      <c r="I348" s="232"/>
      <c r="J348" s="233"/>
    </row>
    <row r="349" spans="1:10" ht="19.5" hidden="1" thickBot="1" x14ac:dyDescent="0.35">
      <c r="A349" s="205"/>
      <c r="G349" s="176"/>
    </row>
    <row r="350" spans="1:10" hidden="1" x14ac:dyDescent="0.3">
      <c r="A350" s="205"/>
      <c r="H350" s="203"/>
      <c r="I350" s="164" t="s">
        <v>76</v>
      </c>
      <c r="J350" s="164" t="s">
        <v>76</v>
      </c>
    </row>
    <row r="351" spans="1:10" hidden="1" x14ac:dyDescent="0.3">
      <c r="A351" s="205"/>
      <c r="H351" s="203"/>
      <c r="I351" s="166" t="s">
        <v>66</v>
      </c>
      <c r="J351" s="166" t="s">
        <v>66</v>
      </c>
    </row>
    <row r="352" spans="1:10" hidden="1" x14ac:dyDescent="0.3">
      <c r="A352" s="165" t="s">
        <v>64</v>
      </c>
      <c r="B352" s="208" t="s">
        <v>33</v>
      </c>
      <c r="C352" s="208" t="s">
        <v>0</v>
      </c>
      <c r="D352" s="208" t="s">
        <v>1</v>
      </c>
      <c r="E352" s="209" t="s">
        <v>2</v>
      </c>
      <c r="F352" s="208" t="s">
        <v>3</v>
      </c>
      <c r="G352" s="170" t="s">
        <v>73</v>
      </c>
      <c r="H352" s="171" t="s">
        <v>72</v>
      </c>
      <c r="I352" s="210" t="s">
        <v>77</v>
      </c>
      <c r="J352" s="210" t="s">
        <v>50</v>
      </c>
    </row>
    <row r="353" spans="1:10" hidden="1" x14ac:dyDescent="0.3">
      <c r="A353" s="205"/>
      <c r="B353" s="188"/>
      <c r="C353" s="11"/>
      <c r="D353" s="14"/>
      <c r="E353" s="14">
        <v>0</v>
      </c>
      <c r="F353" s="11">
        <v>0</v>
      </c>
      <c r="G353" s="176">
        <f>D353-E353</f>
        <v>0</v>
      </c>
      <c r="H353" s="177" t="e">
        <f>G353/C353</f>
        <v>#DIV/0!</v>
      </c>
      <c r="I353" s="180"/>
      <c r="J353" s="224"/>
    </row>
    <row r="354" spans="1:10" hidden="1" x14ac:dyDescent="0.3">
      <c r="A354" s="205"/>
      <c r="B354" s="188"/>
      <c r="C354" s="11"/>
      <c r="D354" s="14"/>
      <c r="E354" s="14">
        <v>0</v>
      </c>
      <c r="F354" s="11">
        <v>0</v>
      </c>
      <c r="G354" s="176">
        <f t="shared" ref="G354:G366" si="68">D354-E354</f>
        <v>0</v>
      </c>
      <c r="H354" s="177" t="e">
        <f t="shared" ref="H354:H366" si="69">G354/C354</f>
        <v>#DIV/0!</v>
      </c>
      <c r="I354" s="180"/>
      <c r="J354" s="224"/>
    </row>
    <row r="355" spans="1:10" hidden="1" x14ac:dyDescent="0.3">
      <c r="A355" s="205"/>
      <c r="B355" s="188"/>
      <c r="C355" s="11"/>
      <c r="D355" s="14"/>
      <c r="E355" s="14">
        <v>0</v>
      </c>
      <c r="F355" s="11">
        <v>0</v>
      </c>
      <c r="G355" s="176">
        <f t="shared" si="68"/>
        <v>0</v>
      </c>
      <c r="H355" s="177" t="e">
        <f t="shared" si="69"/>
        <v>#DIV/0!</v>
      </c>
      <c r="I355" s="180"/>
      <c r="J355" s="224"/>
    </row>
    <row r="356" spans="1:10" hidden="1" x14ac:dyDescent="0.3">
      <c r="A356" s="205"/>
      <c r="B356" s="188"/>
      <c r="C356" s="11"/>
      <c r="D356" s="14"/>
      <c r="E356" s="14">
        <v>0</v>
      </c>
      <c r="F356" s="11">
        <v>0</v>
      </c>
      <c r="G356" s="176">
        <f t="shared" si="68"/>
        <v>0</v>
      </c>
      <c r="H356" s="177" t="e">
        <f t="shared" si="69"/>
        <v>#DIV/0!</v>
      </c>
      <c r="I356" s="180"/>
      <c r="J356" s="224"/>
    </row>
    <row r="357" spans="1:10" hidden="1" x14ac:dyDescent="0.3">
      <c r="A357" s="205"/>
      <c r="B357" s="188"/>
      <c r="C357" s="11"/>
      <c r="D357" s="14"/>
      <c r="E357" s="14">
        <v>0</v>
      </c>
      <c r="F357" s="11">
        <v>0</v>
      </c>
      <c r="G357" s="176">
        <f t="shared" si="68"/>
        <v>0</v>
      </c>
      <c r="H357" s="177" t="e">
        <f t="shared" si="69"/>
        <v>#DIV/0!</v>
      </c>
      <c r="I357" s="180"/>
      <c r="J357" s="224"/>
    </row>
    <row r="358" spans="1:10" hidden="1" x14ac:dyDescent="0.3">
      <c r="A358" s="205"/>
      <c r="B358" s="188"/>
      <c r="C358" s="11"/>
      <c r="D358" s="14"/>
      <c r="E358" s="14">
        <v>0</v>
      </c>
      <c r="F358" s="11">
        <v>0</v>
      </c>
      <c r="G358" s="176">
        <f t="shared" si="68"/>
        <v>0</v>
      </c>
      <c r="H358" s="177" t="e">
        <f t="shared" si="69"/>
        <v>#DIV/0!</v>
      </c>
      <c r="I358" s="180"/>
      <c r="J358" s="224"/>
    </row>
    <row r="359" spans="1:10" hidden="1" x14ac:dyDescent="0.3">
      <c r="A359" s="205"/>
      <c r="B359" s="188"/>
      <c r="C359" s="11"/>
      <c r="D359" s="14"/>
      <c r="E359" s="14">
        <v>0</v>
      </c>
      <c r="F359" s="11">
        <v>0</v>
      </c>
      <c r="G359" s="176">
        <f t="shared" si="68"/>
        <v>0</v>
      </c>
      <c r="H359" s="177" t="e">
        <f t="shared" si="69"/>
        <v>#DIV/0!</v>
      </c>
      <c r="I359" s="180"/>
      <c r="J359" s="224"/>
    </row>
    <row r="360" spans="1:10" hidden="1" x14ac:dyDescent="0.3">
      <c r="A360" s="205"/>
      <c r="B360" s="188"/>
      <c r="C360" s="11"/>
      <c r="D360" s="14"/>
      <c r="E360" s="14">
        <v>0</v>
      </c>
      <c r="F360" s="11">
        <v>0</v>
      </c>
      <c r="G360" s="176">
        <f t="shared" si="68"/>
        <v>0</v>
      </c>
      <c r="H360" s="177" t="e">
        <f t="shared" si="69"/>
        <v>#DIV/0!</v>
      </c>
      <c r="I360" s="180"/>
      <c r="J360" s="224"/>
    </row>
    <row r="361" spans="1:10" hidden="1" x14ac:dyDescent="0.3">
      <c r="A361" s="205"/>
      <c r="B361" s="188"/>
      <c r="C361" s="11"/>
      <c r="D361" s="14"/>
      <c r="E361" s="14">
        <v>0</v>
      </c>
      <c r="F361" s="11">
        <v>0</v>
      </c>
      <c r="G361" s="176">
        <f t="shared" si="68"/>
        <v>0</v>
      </c>
      <c r="H361" s="177" t="e">
        <f t="shared" si="69"/>
        <v>#DIV/0!</v>
      </c>
      <c r="I361" s="180"/>
      <c r="J361" s="224"/>
    </row>
    <row r="362" spans="1:10" hidden="1" x14ac:dyDescent="0.3">
      <c r="A362" s="205"/>
      <c r="B362" s="188"/>
      <c r="C362" s="11"/>
      <c r="D362" s="14"/>
      <c r="E362" s="14">
        <v>0</v>
      </c>
      <c r="F362" s="11">
        <v>0</v>
      </c>
      <c r="G362" s="176">
        <f t="shared" si="68"/>
        <v>0</v>
      </c>
      <c r="H362" s="177" t="e">
        <f t="shared" si="69"/>
        <v>#DIV/0!</v>
      </c>
      <c r="I362" s="180"/>
      <c r="J362" s="224"/>
    </row>
    <row r="363" spans="1:10" hidden="1" x14ac:dyDescent="0.3">
      <c r="A363" s="205"/>
      <c r="B363" s="188"/>
      <c r="C363" s="11"/>
      <c r="D363" s="14"/>
      <c r="E363" s="14">
        <v>0</v>
      </c>
      <c r="F363" s="11">
        <v>0</v>
      </c>
      <c r="G363" s="176">
        <f t="shared" si="68"/>
        <v>0</v>
      </c>
      <c r="H363" s="177" t="e">
        <f t="shared" si="69"/>
        <v>#DIV/0!</v>
      </c>
      <c r="I363" s="180"/>
      <c r="J363" s="224"/>
    </row>
    <row r="364" spans="1:10" hidden="1" x14ac:dyDescent="0.3">
      <c r="A364" s="205"/>
      <c r="B364" s="188"/>
      <c r="C364" s="11"/>
      <c r="D364" s="14"/>
      <c r="E364" s="14">
        <v>0</v>
      </c>
      <c r="F364" s="11">
        <v>0</v>
      </c>
      <c r="G364" s="176">
        <f t="shared" si="68"/>
        <v>0</v>
      </c>
      <c r="H364" s="177" t="e">
        <f t="shared" si="69"/>
        <v>#DIV/0!</v>
      </c>
      <c r="I364" s="180"/>
      <c r="J364" s="224"/>
    </row>
    <row r="365" spans="1:10" hidden="1" x14ac:dyDescent="0.3">
      <c r="A365" s="205"/>
      <c r="B365" s="188"/>
      <c r="C365" s="11"/>
      <c r="D365" s="14"/>
      <c r="E365" s="14">
        <v>0</v>
      </c>
      <c r="F365" s="11">
        <v>0</v>
      </c>
      <c r="G365" s="176">
        <f t="shared" si="68"/>
        <v>0</v>
      </c>
      <c r="H365" s="177" t="e">
        <f t="shared" si="69"/>
        <v>#DIV/0!</v>
      </c>
      <c r="I365" s="180"/>
      <c r="J365" s="224"/>
    </row>
    <row r="366" spans="1:10" hidden="1" x14ac:dyDescent="0.3">
      <c r="A366" s="214"/>
      <c r="B366" s="215" t="s">
        <v>35</v>
      </c>
      <c r="C366" s="216">
        <f t="shared" ref="C366:F366" si="70">SUM(C353:C365)</f>
        <v>0</v>
      </c>
      <c r="D366" s="217">
        <f t="shared" si="70"/>
        <v>0</v>
      </c>
      <c r="E366" s="217">
        <f t="shared" si="70"/>
        <v>0</v>
      </c>
      <c r="F366" s="216">
        <f t="shared" si="70"/>
        <v>0</v>
      </c>
      <c r="G366" s="198">
        <f t="shared" si="68"/>
        <v>0</v>
      </c>
      <c r="H366" s="199" t="e">
        <f t="shared" si="69"/>
        <v>#DIV/0!</v>
      </c>
      <c r="I366" s="232"/>
      <c r="J366" s="233"/>
    </row>
    <row r="367" spans="1:10" ht="19.5" hidden="1" thickBot="1" x14ac:dyDescent="0.35">
      <c r="A367" s="205"/>
      <c r="G367" s="176"/>
    </row>
    <row r="368" spans="1:10" hidden="1" x14ac:dyDescent="0.3">
      <c r="A368" s="205"/>
      <c r="H368" s="203"/>
      <c r="I368" s="164" t="s">
        <v>76</v>
      </c>
      <c r="J368" s="164" t="s">
        <v>76</v>
      </c>
    </row>
    <row r="369" spans="1:10" hidden="1" x14ac:dyDescent="0.3">
      <c r="A369" s="205"/>
      <c r="H369" s="203"/>
      <c r="I369" s="166" t="s">
        <v>66</v>
      </c>
      <c r="J369" s="166" t="s">
        <v>66</v>
      </c>
    </row>
    <row r="370" spans="1:10" hidden="1" x14ac:dyDescent="0.3">
      <c r="A370" s="165" t="s">
        <v>64</v>
      </c>
      <c r="B370" s="208" t="s">
        <v>34</v>
      </c>
      <c r="C370" s="208" t="s">
        <v>0</v>
      </c>
      <c r="D370" s="208" t="s">
        <v>1</v>
      </c>
      <c r="E370" s="209" t="s">
        <v>2</v>
      </c>
      <c r="F370" s="208" t="s">
        <v>3</v>
      </c>
      <c r="G370" s="170" t="s">
        <v>73</v>
      </c>
      <c r="H370" s="171" t="s">
        <v>72</v>
      </c>
      <c r="I370" s="210" t="s">
        <v>77</v>
      </c>
      <c r="J370" s="210" t="s">
        <v>50</v>
      </c>
    </row>
    <row r="371" spans="1:10" hidden="1" x14ac:dyDescent="0.3">
      <c r="A371" s="205"/>
      <c r="B371" s="174"/>
      <c r="C371" s="185"/>
      <c r="D371" s="186"/>
      <c r="E371" s="14">
        <v>0</v>
      </c>
      <c r="F371" s="11">
        <v>0</v>
      </c>
      <c r="G371" s="176">
        <f>D371-E371</f>
        <v>0</v>
      </c>
      <c r="H371" s="177" t="e">
        <f>G371/C371</f>
        <v>#DIV/0!</v>
      </c>
      <c r="I371" s="180"/>
      <c r="J371" s="224"/>
    </row>
    <row r="372" spans="1:10" hidden="1" x14ac:dyDescent="0.3">
      <c r="A372" s="205"/>
      <c r="B372" s="174"/>
      <c r="C372" s="189"/>
      <c r="D372" s="186"/>
      <c r="E372" s="14">
        <v>0</v>
      </c>
      <c r="F372" s="11">
        <v>0</v>
      </c>
      <c r="G372" s="176">
        <f t="shared" ref="G372:G381" si="71">D372-E372</f>
        <v>0</v>
      </c>
      <c r="H372" s="177" t="e">
        <f t="shared" ref="H372:H381" si="72">G372/C372</f>
        <v>#DIV/0!</v>
      </c>
      <c r="I372" s="180"/>
      <c r="J372" s="224"/>
    </row>
    <row r="373" spans="1:10" hidden="1" x14ac:dyDescent="0.3">
      <c r="A373" s="225"/>
      <c r="B373" s="174"/>
      <c r="C373" s="189"/>
      <c r="D373" s="186"/>
      <c r="E373" s="14">
        <v>0</v>
      </c>
      <c r="F373" s="11">
        <v>0</v>
      </c>
      <c r="G373" s="176">
        <f t="shared" si="71"/>
        <v>0</v>
      </c>
      <c r="H373" s="177" t="e">
        <f t="shared" si="72"/>
        <v>#DIV/0!</v>
      </c>
      <c r="I373" s="180"/>
      <c r="J373" s="224"/>
    </row>
    <row r="374" spans="1:10" hidden="1" x14ac:dyDescent="0.3">
      <c r="A374" s="205"/>
      <c r="B374" s="174"/>
      <c r="C374" s="189"/>
      <c r="D374" s="186"/>
      <c r="E374" s="14">
        <v>0</v>
      </c>
      <c r="F374" s="11">
        <v>0</v>
      </c>
      <c r="G374" s="176">
        <f t="shared" si="71"/>
        <v>0</v>
      </c>
      <c r="H374" s="177" t="e">
        <f t="shared" si="72"/>
        <v>#DIV/0!</v>
      </c>
      <c r="I374" s="180"/>
      <c r="J374" s="224"/>
    </row>
    <row r="375" spans="1:10" hidden="1" x14ac:dyDescent="0.3">
      <c r="A375" s="206"/>
      <c r="B375" s="174"/>
      <c r="C375" s="189"/>
      <c r="D375" s="186"/>
      <c r="E375" s="14">
        <v>0</v>
      </c>
      <c r="F375" s="11">
        <v>0</v>
      </c>
      <c r="G375" s="176">
        <f t="shared" si="71"/>
        <v>0</v>
      </c>
      <c r="H375" s="177" t="e">
        <f t="shared" si="72"/>
        <v>#DIV/0!</v>
      </c>
      <c r="I375" s="180"/>
      <c r="J375" s="224"/>
    </row>
    <row r="376" spans="1:10" hidden="1" x14ac:dyDescent="0.3">
      <c r="A376" s="205"/>
      <c r="B376" s="174"/>
      <c r="C376" s="189"/>
      <c r="D376" s="186"/>
      <c r="E376" s="14">
        <v>0</v>
      </c>
      <c r="F376" s="11">
        <v>0</v>
      </c>
      <c r="G376" s="176">
        <f t="shared" si="71"/>
        <v>0</v>
      </c>
      <c r="H376" s="177" t="e">
        <f t="shared" si="72"/>
        <v>#DIV/0!</v>
      </c>
      <c r="I376" s="180"/>
      <c r="J376" s="224"/>
    </row>
    <row r="377" spans="1:10" hidden="1" x14ac:dyDescent="0.3">
      <c r="A377" s="205"/>
      <c r="B377" s="174"/>
      <c r="C377" s="11"/>
      <c r="D377" s="14"/>
      <c r="E377" s="14">
        <v>0</v>
      </c>
      <c r="F377" s="11">
        <v>0</v>
      </c>
      <c r="G377" s="176">
        <f t="shared" si="71"/>
        <v>0</v>
      </c>
      <c r="H377" s="177" t="e">
        <f t="shared" si="72"/>
        <v>#DIV/0!</v>
      </c>
      <c r="I377" s="180"/>
      <c r="J377" s="224"/>
    </row>
    <row r="378" spans="1:10" hidden="1" x14ac:dyDescent="0.3">
      <c r="A378" s="205"/>
      <c r="B378" s="174"/>
      <c r="C378" s="11"/>
      <c r="D378" s="14"/>
      <c r="E378" s="14">
        <v>0</v>
      </c>
      <c r="F378" s="11">
        <v>0</v>
      </c>
      <c r="G378" s="176">
        <f t="shared" si="71"/>
        <v>0</v>
      </c>
      <c r="H378" s="177" t="e">
        <f t="shared" si="72"/>
        <v>#DIV/0!</v>
      </c>
      <c r="I378" s="180"/>
      <c r="J378" s="224"/>
    </row>
    <row r="379" spans="1:10" hidden="1" x14ac:dyDescent="0.3">
      <c r="A379" s="206"/>
      <c r="B379" s="174"/>
      <c r="C379" s="11"/>
      <c r="D379" s="14"/>
      <c r="E379" s="14">
        <v>0</v>
      </c>
      <c r="F379" s="11">
        <v>0</v>
      </c>
      <c r="G379" s="176">
        <f t="shared" si="71"/>
        <v>0</v>
      </c>
      <c r="H379" s="177" t="e">
        <f t="shared" si="72"/>
        <v>#DIV/0!</v>
      </c>
      <c r="I379" s="180"/>
      <c r="J379" s="224"/>
    </row>
    <row r="380" spans="1:10" hidden="1" x14ac:dyDescent="0.3">
      <c r="A380" s="206"/>
      <c r="B380" s="206"/>
      <c r="C380" s="11"/>
      <c r="D380" s="14"/>
      <c r="E380" s="14">
        <v>0</v>
      </c>
      <c r="F380" s="11">
        <v>0</v>
      </c>
      <c r="G380" s="176">
        <f t="shared" si="71"/>
        <v>0</v>
      </c>
      <c r="H380" s="177" t="e">
        <f t="shared" si="72"/>
        <v>#DIV/0!</v>
      </c>
      <c r="I380" s="180"/>
      <c r="J380" s="224"/>
    </row>
    <row r="381" spans="1:10" hidden="1" x14ac:dyDescent="0.3">
      <c r="A381" s="219"/>
      <c r="B381" s="220" t="s">
        <v>35</v>
      </c>
      <c r="C381" s="219">
        <f t="shared" ref="C381:F381" si="73">SUM(C371:C380)</f>
        <v>0</v>
      </c>
      <c r="D381" s="198">
        <f>SUM(D371:D380)</f>
        <v>0</v>
      </c>
      <c r="E381" s="198">
        <f t="shared" si="73"/>
        <v>0</v>
      </c>
      <c r="F381" s="219">
        <f t="shared" si="73"/>
        <v>0</v>
      </c>
      <c r="G381" s="198">
        <f t="shared" si="71"/>
        <v>0</v>
      </c>
      <c r="H381" s="199" t="e">
        <f t="shared" si="72"/>
        <v>#DIV/0!</v>
      </c>
      <c r="I381" s="232"/>
      <c r="J381" s="233"/>
    </row>
    <row r="382" spans="1:10" ht="19.5" hidden="1" thickBot="1" x14ac:dyDescent="0.35"/>
    <row r="383" spans="1:10" hidden="1" x14ac:dyDescent="0.3">
      <c r="H383" s="203"/>
      <c r="I383" s="164" t="s">
        <v>76</v>
      </c>
      <c r="J383" s="164" t="s">
        <v>76</v>
      </c>
    </row>
    <row r="384" spans="1:10" hidden="1" x14ac:dyDescent="0.3">
      <c r="H384" s="203"/>
      <c r="I384" s="166" t="s">
        <v>66</v>
      </c>
      <c r="J384" s="166" t="s">
        <v>66</v>
      </c>
    </row>
    <row r="385" spans="1:10" hidden="1" x14ac:dyDescent="0.3">
      <c r="A385" s="165" t="s">
        <v>64</v>
      </c>
      <c r="B385" s="208" t="s">
        <v>39</v>
      </c>
      <c r="C385" s="208" t="s">
        <v>0</v>
      </c>
      <c r="D385" s="208" t="s">
        <v>1</v>
      </c>
      <c r="E385" s="209" t="s">
        <v>2</v>
      </c>
      <c r="F385" s="208" t="s">
        <v>3</v>
      </c>
      <c r="G385" s="170" t="s">
        <v>73</v>
      </c>
      <c r="H385" s="171" t="s">
        <v>72</v>
      </c>
      <c r="I385" s="210" t="s">
        <v>77</v>
      </c>
      <c r="J385" s="210" t="s">
        <v>50</v>
      </c>
    </row>
    <row r="386" spans="1:10" hidden="1" x14ac:dyDescent="0.3">
      <c r="A386" s="205"/>
      <c r="B386" s="174"/>
      <c r="C386" s="175"/>
      <c r="D386" s="14"/>
      <c r="E386" s="14">
        <v>0</v>
      </c>
      <c r="F386" s="11">
        <v>0</v>
      </c>
      <c r="G386" s="176">
        <f>D386-E386</f>
        <v>0</v>
      </c>
      <c r="H386" s="177" t="e">
        <f>G386/C386</f>
        <v>#DIV/0!</v>
      </c>
      <c r="I386" s="180"/>
      <c r="J386" s="224"/>
    </row>
    <row r="387" spans="1:10" hidden="1" x14ac:dyDescent="0.3">
      <c r="A387" s="205"/>
      <c r="B387" s="174"/>
      <c r="C387" s="175"/>
      <c r="D387" s="14"/>
      <c r="E387" s="14"/>
      <c r="F387" s="11"/>
      <c r="G387" s="176">
        <f t="shared" ref="G387:G388" si="74">D387-E387</f>
        <v>0</v>
      </c>
      <c r="H387" s="177" t="e">
        <f t="shared" ref="H387:H388" si="75">G387/C387</f>
        <v>#DIV/0!</v>
      </c>
      <c r="I387" s="180"/>
      <c r="J387" s="224"/>
    </row>
    <row r="388" spans="1:10" hidden="1" x14ac:dyDescent="0.3">
      <c r="A388" s="219"/>
      <c r="B388" s="220" t="s">
        <v>35</v>
      </c>
      <c r="C388" s="219">
        <f t="shared" ref="C388:F388" si="76">SUM(C386:C386)</f>
        <v>0</v>
      </c>
      <c r="D388" s="198">
        <f t="shared" si="76"/>
        <v>0</v>
      </c>
      <c r="E388" s="198">
        <f t="shared" si="76"/>
        <v>0</v>
      </c>
      <c r="F388" s="219">
        <f t="shared" si="76"/>
        <v>0</v>
      </c>
      <c r="G388" s="198">
        <f t="shared" si="74"/>
        <v>0</v>
      </c>
      <c r="H388" s="199" t="e">
        <f t="shared" si="75"/>
        <v>#DIV/0!</v>
      </c>
      <c r="I388" s="232"/>
      <c r="J388" s="233"/>
    </row>
    <row r="389" spans="1:10" ht="19.5" hidden="1" thickBot="1" x14ac:dyDescent="0.35"/>
    <row r="390" spans="1:10" hidden="1" x14ac:dyDescent="0.3">
      <c r="H390" s="203"/>
      <c r="I390" s="164" t="s">
        <v>76</v>
      </c>
      <c r="J390" s="164" t="s">
        <v>76</v>
      </c>
    </row>
    <row r="391" spans="1:10" hidden="1" x14ac:dyDescent="0.3">
      <c r="H391" s="203"/>
      <c r="I391" s="166" t="s">
        <v>66</v>
      </c>
      <c r="J391" s="166" t="s">
        <v>66</v>
      </c>
    </row>
    <row r="392" spans="1:10" hidden="1" x14ac:dyDescent="0.3">
      <c r="A392" s="165" t="s">
        <v>64</v>
      </c>
      <c r="B392" s="208" t="s">
        <v>41</v>
      </c>
      <c r="C392" s="208" t="s">
        <v>0</v>
      </c>
      <c r="D392" s="208" t="s">
        <v>1</v>
      </c>
      <c r="E392" s="209" t="s">
        <v>2</v>
      </c>
      <c r="F392" s="208" t="s">
        <v>3</v>
      </c>
      <c r="G392" s="170" t="s">
        <v>73</v>
      </c>
      <c r="H392" s="171" t="s">
        <v>72</v>
      </c>
      <c r="I392" s="210" t="s">
        <v>77</v>
      </c>
      <c r="J392" s="210" t="s">
        <v>50</v>
      </c>
    </row>
    <row r="393" spans="1:10" hidden="1" x14ac:dyDescent="0.3">
      <c r="A393" s="205"/>
      <c r="B393" s="174"/>
      <c r="C393" s="175"/>
      <c r="D393" s="14"/>
      <c r="E393" s="14">
        <v>0</v>
      </c>
      <c r="F393" s="11">
        <v>0</v>
      </c>
      <c r="G393" s="176">
        <f>D393-E393</f>
        <v>0</v>
      </c>
      <c r="H393" s="177" t="e">
        <f>G393/C393</f>
        <v>#DIV/0!</v>
      </c>
      <c r="I393" s="180"/>
      <c r="J393" s="224"/>
    </row>
    <row r="394" spans="1:10" hidden="1" x14ac:dyDescent="0.3">
      <c r="A394" s="205"/>
      <c r="B394" s="174"/>
      <c r="C394" s="175"/>
      <c r="D394" s="14"/>
      <c r="E394" s="14"/>
      <c r="F394" s="11"/>
      <c r="G394" s="176">
        <f t="shared" ref="G394:G395" si="77">D394-E394</f>
        <v>0</v>
      </c>
      <c r="H394" s="177" t="e">
        <f t="shared" ref="H394:H395" si="78">G394/C394</f>
        <v>#DIV/0!</v>
      </c>
      <c r="I394" s="180"/>
      <c r="J394" s="224"/>
    </row>
    <row r="395" spans="1:10" hidden="1" x14ac:dyDescent="0.3">
      <c r="A395" s="219"/>
      <c r="B395" s="220" t="s">
        <v>35</v>
      </c>
      <c r="C395" s="219">
        <f t="shared" ref="C395:F395" si="79">SUM(C393:C393)</f>
        <v>0</v>
      </c>
      <c r="D395" s="198">
        <f t="shared" si="79"/>
        <v>0</v>
      </c>
      <c r="E395" s="198">
        <f t="shared" si="79"/>
        <v>0</v>
      </c>
      <c r="F395" s="219">
        <f t="shared" si="79"/>
        <v>0</v>
      </c>
      <c r="G395" s="198">
        <f t="shared" si="77"/>
        <v>0</v>
      </c>
      <c r="H395" s="199" t="e">
        <f t="shared" si="78"/>
        <v>#DIV/0!</v>
      </c>
      <c r="I395" s="232"/>
      <c r="J395" s="233"/>
    </row>
    <row r="396" spans="1:10" ht="19.5" hidden="1" thickBot="1" x14ac:dyDescent="0.35"/>
    <row r="397" spans="1:10" hidden="1" x14ac:dyDescent="0.3">
      <c r="H397" s="203"/>
      <c r="I397" s="164" t="s">
        <v>76</v>
      </c>
      <c r="J397" s="164" t="s">
        <v>76</v>
      </c>
    </row>
    <row r="398" spans="1:10" hidden="1" x14ac:dyDescent="0.3">
      <c r="H398" s="203"/>
      <c r="I398" s="166" t="s">
        <v>66</v>
      </c>
      <c r="J398" s="166" t="s">
        <v>66</v>
      </c>
    </row>
    <row r="399" spans="1:10" hidden="1" x14ac:dyDescent="0.3">
      <c r="A399" s="165" t="s">
        <v>64</v>
      </c>
      <c r="B399" s="208" t="s">
        <v>42</v>
      </c>
      <c r="C399" s="208" t="s">
        <v>0</v>
      </c>
      <c r="D399" s="208" t="s">
        <v>1</v>
      </c>
      <c r="E399" s="209" t="s">
        <v>2</v>
      </c>
      <c r="F399" s="208" t="s">
        <v>3</v>
      </c>
      <c r="G399" s="170" t="s">
        <v>73</v>
      </c>
      <c r="H399" s="171" t="s">
        <v>72</v>
      </c>
      <c r="I399" s="210" t="s">
        <v>77</v>
      </c>
      <c r="J399" s="210" t="s">
        <v>50</v>
      </c>
    </row>
    <row r="400" spans="1:10" hidden="1" x14ac:dyDescent="0.3">
      <c r="A400" s="205"/>
      <c r="B400" s="174"/>
      <c r="C400" s="175"/>
      <c r="D400" s="14"/>
      <c r="E400" s="14">
        <v>0</v>
      </c>
      <c r="F400" s="11">
        <v>0</v>
      </c>
      <c r="G400" s="176">
        <f>D400-E400</f>
        <v>0</v>
      </c>
      <c r="H400" s="177" t="e">
        <f>G400/C400</f>
        <v>#DIV/0!</v>
      </c>
      <c r="I400" s="180"/>
      <c r="J400" s="224"/>
    </row>
    <row r="401" spans="1:10" hidden="1" x14ac:dyDescent="0.3">
      <c r="A401" s="205"/>
      <c r="B401" s="174"/>
      <c r="C401" s="175"/>
      <c r="D401" s="14"/>
      <c r="E401" s="14">
        <v>0</v>
      </c>
      <c r="F401" s="11">
        <v>0</v>
      </c>
      <c r="G401" s="176">
        <f t="shared" ref="G401:G407" si="80">D401-E401</f>
        <v>0</v>
      </c>
      <c r="H401" s="177" t="e">
        <f t="shared" ref="H401:H407" si="81">G401/C401</f>
        <v>#DIV/0!</v>
      </c>
      <c r="I401" s="180"/>
      <c r="J401" s="224"/>
    </row>
    <row r="402" spans="1:10" hidden="1" x14ac:dyDescent="0.3">
      <c r="A402" s="205"/>
      <c r="B402" s="174"/>
      <c r="C402" s="175"/>
      <c r="D402" s="14"/>
      <c r="E402" s="14">
        <v>0</v>
      </c>
      <c r="F402" s="11">
        <v>0</v>
      </c>
      <c r="G402" s="176">
        <f t="shared" si="80"/>
        <v>0</v>
      </c>
      <c r="H402" s="177" t="e">
        <f t="shared" si="81"/>
        <v>#DIV/0!</v>
      </c>
      <c r="I402" s="180"/>
      <c r="J402" s="224"/>
    </row>
    <row r="403" spans="1:10" hidden="1" x14ac:dyDescent="0.3">
      <c r="A403" s="205"/>
      <c r="B403" s="174"/>
      <c r="C403" s="175"/>
      <c r="D403" s="14"/>
      <c r="E403" s="14">
        <v>0</v>
      </c>
      <c r="F403" s="11">
        <v>0</v>
      </c>
      <c r="G403" s="176">
        <f t="shared" si="80"/>
        <v>0</v>
      </c>
      <c r="H403" s="177" t="e">
        <f t="shared" si="81"/>
        <v>#DIV/0!</v>
      </c>
      <c r="I403" s="180"/>
      <c r="J403" s="224"/>
    </row>
    <row r="404" spans="1:10" hidden="1" x14ac:dyDescent="0.3">
      <c r="A404" s="205"/>
      <c r="B404" s="174"/>
      <c r="C404" s="175"/>
      <c r="D404" s="14"/>
      <c r="E404" s="14">
        <v>0</v>
      </c>
      <c r="F404" s="11">
        <v>0</v>
      </c>
      <c r="G404" s="176">
        <f t="shared" si="80"/>
        <v>0</v>
      </c>
      <c r="H404" s="177" t="e">
        <f t="shared" si="81"/>
        <v>#DIV/0!</v>
      </c>
      <c r="I404" s="180"/>
      <c r="J404" s="224"/>
    </row>
    <row r="405" spans="1:10" hidden="1" x14ac:dyDescent="0.3">
      <c r="A405" s="205"/>
      <c r="B405" s="174"/>
      <c r="C405" s="175"/>
      <c r="D405" s="14"/>
      <c r="E405" s="14">
        <v>0</v>
      </c>
      <c r="F405" s="11">
        <v>0</v>
      </c>
      <c r="G405" s="176">
        <f t="shared" si="80"/>
        <v>0</v>
      </c>
      <c r="H405" s="177" t="e">
        <f t="shared" si="81"/>
        <v>#DIV/0!</v>
      </c>
      <c r="I405" s="180"/>
      <c r="J405" s="224"/>
    </row>
    <row r="406" spans="1:10" hidden="1" x14ac:dyDescent="0.3">
      <c r="A406" s="205"/>
      <c r="B406" s="174"/>
      <c r="C406" s="175"/>
      <c r="D406" s="14"/>
      <c r="E406" s="14">
        <v>0</v>
      </c>
      <c r="F406" s="11">
        <v>0</v>
      </c>
      <c r="G406" s="176">
        <f t="shared" si="80"/>
        <v>0</v>
      </c>
      <c r="H406" s="177" t="e">
        <f t="shared" si="81"/>
        <v>#DIV/0!</v>
      </c>
      <c r="I406" s="180"/>
      <c r="J406" s="224"/>
    </row>
    <row r="407" spans="1:10" hidden="1" x14ac:dyDescent="0.3">
      <c r="A407" s="219"/>
      <c r="B407" s="220" t="s">
        <v>35</v>
      </c>
      <c r="C407" s="219">
        <f>SUM(C400:C406)</f>
        <v>0</v>
      </c>
      <c r="D407" s="198">
        <f>SUM(D400:D406)</f>
        <v>0</v>
      </c>
      <c r="E407" s="198">
        <f t="shared" ref="E407" si="82">SUM(E400:E400)</f>
        <v>0</v>
      </c>
      <c r="F407" s="219">
        <f>SUM(F400:F406)</f>
        <v>0</v>
      </c>
      <c r="G407" s="198">
        <f t="shared" si="80"/>
        <v>0</v>
      </c>
      <c r="H407" s="199" t="e">
        <f t="shared" si="81"/>
        <v>#DIV/0!</v>
      </c>
      <c r="I407" s="232"/>
      <c r="J407" s="233"/>
    </row>
    <row r="408" spans="1:10" hidden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abSelected="1" zoomScale="85" zoomScaleNormal="85" workbookViewId="0">
      <pane xSplit="1" topLeftCell="B1" activePane="topRight" state="frozen"/>
      <selection pane="topRight" activeCell="B64" sqref="B64"/>
    </sheetView>
  </sheetViews>
  <sheetFormatPr defaultRowHeight="15.75" x14ac:dyDescent="0.25"/>
  <cols>
    <col min="1" max="1" width="47.28515625" style="9" customWidth="1"/>
    <col min="2" max="2" width="51.7109375" style="9" customWidth="1"/>
    <col min="3" max="3" width="15.5703125" style="9" customWidth="1"/>
    <col min="4" max="4" width="18.28515625" style="9" bestFit="1" customWidth="1"/>
    <col min="5" max="5" width="12.5703125" style="9" bestFit="1" customWidth="1"/>
    <col min="6" max="6" width="8.5703125" style="9" customWidth="1"/>
    <col min="7" max="7" width="14.28515625" style="9" hidden="1" customWidth="1"/>
    <col min="8" max="8" width="13.5703125" style="9" customWidth="1"/>
    <col min="9" max="9" width="15.7109375" style="9" bestFit="1" customWidth="1"/>
    <col min="10" max="10" width="16.42578125" style="9" customWidth="1"/>
    <col min="11" max="16384" width="9.140625" style="9"/>
  </cols>
  <sheetData>
    <row r="1" spans="1:12" x14ac:dyDescent="0.25">
      <c r="A1" s="36"/>
      <c r="B1" s="36"/>
      <c r="C1" s="36"/>
      <c r="D1" s="36"/>
      <c r="E1" s="36"/>
      <c r="F1" s="36"/>
    </row>
    <row r="2" spans="1:12" hidden="1" x14ac:dyDescent="0.25">
      <c r="A2" s="37"/>
      <c r="B2" s="37"/>
      <c r="C2" s="37"/>
      <c r="D2" s="37"/>
      <c r="E2" s="37"/>
      <c r="F2" s="37"/>
      <c r="I2" s="38" t="s">
        <v>76</v>
      </c>
      <c r="J2" s="38" t="s">
        <v>76</v>
      </c>
    </row>
    <row r="3" spans="1:12" hidden="1" x14ac:dyDescent="0.25">
      <c r="A3" s="37"/>
      <c r="B3" s="37"/>
      <c r="C3" s="37"/>
      <c r="D3" s="37"/>
      <c r="E3" s="37"/>
      <c r="F3" s="37"/>
      <c r="I3" s="40" t="s">
        <v>66</v>
      </c>
      <c r="J3" s="40" t="s">
        <v>66</v>
      </c>
    </row>
    <row r="4" spans="1:12" hidden="1" x14ac:dyDescent="0.25">
      <c r="A4" s="39" t="s">
        <v>90</v>
      </c>
      <c r="B4" s="57" t="s">
        <v>28</v>
      </c>
      <c r="C4" s="57" t="s">
        <v>0</v>
      </c>
      <c r="D4" s="57" t="s">
        <v>1</v>
      </c>
      <c r="E4" s="58" t="s">
        <v>2</v>
      </c>
      <c r="F4" s="57" t="s">
        <v>3</v>
      </c>
      <c r="G4" s="41" t="s">
        <v>74</v>
      </c>
      <c r="H4" s="41" t="s">
        <v>72</v>
      </c>
      <c r="I4" s="59" t="s">
        <v>77</v>
      </c>
      <c r="J4" s="59" t="s">
        <v>50</v>
      </c>
    </row>
    <row r="5" spans="1:12" hidden="1" x14ac:dyDescent="0.25">
      <c r="A5" s="76" t="s">
        <v>109</v>
      </c>
      <c r="B5" s="32" t="s">
        <v>4</v>
      </c>
      <c r="C5" s="50">
        <f>840+840+980+840+840+840+840+840+840+280+280+840+840+840</f>
        <v>10780</v>
      </c>
      <c r="D5" s="49">
        <f>1396.08+1396.08+1628.76+1396.08+1396.08+1396.08+1396.08+1396.08+1396.08+465.36+465.36+1365+1365+1365</f>
        <v>17823.120000000003</v>
      </c>
      <c r="E5" s="43">
        <v>0</v>
      </c>
      <c r="F5" s="44">
        <v>0</v>
      </c>
      <c r="G5" s="45">
        <f t="shared" ref="G5:G25" si="0">D5-E5</f>
        <v>17823.120000000003</v>
      </c>
      <c r="H5" s="64">
        <f t="shared" ref="H5:H25" si="1">G5/C5</f>
        <v>1.6533506493506496</v>
      </c>
      <c r="I5" s="46">
        <v>395.36966815924438</v>
      </c>
      <c r="J5" s="65">
        <v>0.30413051396864954</v>
      </c>
      <c r="K5" s="9" t="s">
        <v>88</v>
      </c>
      <c r="L5" s="9" t="s">
        <v>91</v>
      </c>
    </row>
    <row r="6" spans="1:12" hidden="1" x14ac:dyDescent="0.25">
      <c r="A6" s="76" t="s">
        <v>110</v>
      </c>
      <c r="B6" s="32" t="s">
        <v>4</v>
      </c>
      <c r="C6" s="50">
        <f>112+560+140</f>
        <v>812</v>
      </c>
      <c r="D6" s="49">
        <f>176.4+882+220.5</f>
        <v>1278.9000000000001</v>
      </c>
      <c r="E6" s="43">
        <v>0</v>
      </c>
      <c r="F6" s="44">
        <v>0</v>
      </c>
      <c r="G6" s="45">
        <f t="shared" si="0"/>
        <v>1278.9000000000001</v>
      </c>
      <c r="H6" s="64">
        <f t="shared" si="1"/>
        <v>1.5750000000000002</v>
      </c>
      <c r="I6" s="46">
        <v>334.36466815924427</v>
      </c>
      <c r="J6" s="65">
        <v>0.27184119362540182</v>
      </c>
      <c r="K6" s="9" t="s">
        <v>88</v>
      </c>
      <c r="L6" s="9" t="s">
        <v>91</v>
      </c>
    </row>
    <row r="7" spans="1:12" hidden="1" x14ac:dyDescent="0.25">
      <c r="A7" s="76" t="s">
        <v>111</v>
      </c>
      <c r="B7" s="32" t="s">
        <v>4</v>
      </c>
      <c r="C7" s="50">
        <f>84+84+28+56</f>
        <v>252</v>
      </c>
      <c r="D7" s="49">
        <f>139.61+139.61+48.3+96.6</f>
        <v>424.12</v>
      </c>
      <c r="E7" s="43">
        <v>0</v>
      </c>
      <c r="F7" s="44">
        <v>0</v>
      </c>
      <c r="G7" s="45">
        <f t="shared" si="0"/>
        <v>424.12</v>
      </c>
      <c r="H7" s="64">
        <f t="shared" si="1"/>
        <v>1.6830158730158731</v>
      </c>
      <c r="I7" s="46">
        <v>412.79966815924433</v>
      </c>
      <c r="J7" s="65">
        <v>0.31272702133276087</v>
      </c>
      <c r="K7" s="47" t="s">
        <v>88</v>
      </c>
      <c r="L7" s="9" t="s">
        <v>91</v>
      </c>
    </row>
    <row r="8" spans="1:12" hidden="1" x14ac:dyDescent="0.25">
      <c r="A8" s="76" t="s">
        <v>112</v>
      </c>
      <c r="B8" s="32" t="s">
        <v>4</v>
      </c>
      <c r="C8" s="50">
        <f>756+1848+1848</f>
        <v>4452</v>
      </c>
      <c r="D8" s="49">
        <f>1228.5+3003+3003</f>
        <v>7234.5</v>
      </c>
      <c r="E8" s="43">
        <v>0</v>
      </c>
      <c r="F8" s="44">
        <v>0</v>
      </c>
      <c r="G8" s="45">
        <f t="shared" si="0"/>
        <v>7234.5</v>
      </c>
      <c r="H8" s="64">
        <f t="shared" si="1"/>
        <v>1.625</v>
      </c>
      <c r="I8" s="46">
        <v>377.93966815924432</v>
      </c>
      <c r="J8" s="65">
        <v>0.29526536574940959</v>
      </c>
      <c r="K8" s="9" t="s">
        <v>88</v>
      </c>
      <c r="L8" s="9" t="s">
        <v>91</v>
      </c>
    </row>
    <row r="9" spans="1:12" hidden="1" x14ac:dyDescent="0.25">
      <c r="A9" s="76" t="s">
        <v>113</v>
      </c>
      <c r="B9" s="32" t="s">
        <v>4</v>
      </c>
      <c r="C9" s="50">
        <v>2240</v>
      </c>
      <c r="D9" s="49">
        <v>3528</v>
      </c>
      <c r="E9" s="43">
        <v>0</v>
      </c>
      <c r="F9" s="44">
        <v>0</v>
      </c>
      <c r="G9" s="45">
        <f t="shared" si="0"/>
        <v>3528</v>
      </c>
      <c r="H9" s="64">
        <f t="shared" si="1"/>
        <v>1.575</v>
      </c>
      <c r="I9" s="46">
        <v>334.36466815924427</v>
      </c>
      <c r="J9" s="65">
        <v>0.27184119362540182</v>
      </c>
      <c r="K9" s="9" t="s">
        <v>88</v>
      </c>
      <c r="L9" s="9" t="s">
        <v>91</v>
      </c>
    </row>
    <row r="10" spans="1:12" hidden="1" x14ac:dyDescent="0.25">
      <c r="A10" s="76" t="s">
        <v>114</v>
      </c>
      <c r="B10" s="32" t="s">
        <v>4</v>
      </c>
      <c r="C10" s="50">
        <f>3024+3024+3024+3024+420</f>
        <v>12516</v>
      </c>
      <c r="D10" s="49">
        <f>4914+4914+4914+5393.12+682.5</f>
        <v>20817.62</v>
      </c>
      <c r="E10" s="43">
        <v>479.12</v>
      </c>
      <c r="F10" s="44">
        <v>0</v>
      </c>
      <c r="G10" s="45">
        <f t="shared" si="0"/>
        <v>20338.5</v>
      </c>
      <c r="H10" s="64">
        <f t="shared" si="1"/>
        <v>1.625</v>
      </c>
      <c r="I10" s="46">
        <v>377.93966815924432</v>
      </c>
      <c r="J10" s="65">
        <v>0.29526536574940959</v>
      </c>
      <c r="K10" s="9" t="s">
        <v>88</v>
      </c>
      <c r="L10" s="9" t="s">
        <v>91</v>
      </c>
    </row>
    <row r="11" spans="1:12" hidden="1" x14ac:dyDescent="0.25">
      <c r="A11" s="76" t="s">
        <v>115</v>
      </c>
      <c r="B11" s="32" t="s">
        <v>4</v>
      </c>
      <c r="C11" s="50">
        <v>6020</v>
      </c>
      <c r="D11" s="49">
        <v>9180.5</v>
      </c>
      <c r="E11" s="43">
        <v>0</v>
      </c>
      <c r="F11" s="44">
        <v>350</v>
      </c>
      <c r="G11" s="45">
        <f t="shared" si="0"/>
        <v>9180.5</v>
      </c>
      <c r="H11" s="64">
        <f t="shared" si="1"/>
        <v>1.5249999999999999</v>
      </c>
      <c r="I11" s="51">
        <v>239.99184815924446</v>
      </c>
      <c r="J11" s="66">
        <v>0.20338292216885123</v>
      </c>
      <c r="K11" s="9" t="s">
        <v>80</v>
      </c>
    </row>
    <row r="12" spans="1:12" ht="15" hidden="1" customHeight="1" x14ac:dyDescent="0.25">
      <c r="A12" s="76" t="s">
        <v>106</v>
      </c>
      <c r="B12" s="32" t="s">
        <v>4</v>
      </c>
      <c r="C12" s="50">
        <v>1400</v>
      </c>
      <c r="D12" s="49">
        <v>2415</v>
      </c>
      <c r="E12" s="43">
        <v>0</v>
      </c>
      <c r="F12" s="44">
        <v>0</v>
      </c>
      <c r="G12" s="45">
        <f t="shared" si="0"/>
        <v>2415</v>
      </c>
      <c r="H12" s="64">
        <f t="shared" si="1"/>
        <v>1.7250000000000001</v>
      </c>
      <c r="I12" s="46">
        <v>465.08966815924441</v>
      </c>
      <c r="J12" s="67">
        <v>0.33702149866611913</v>
      </c>
      <c r="K12" s="9" t="s">
        <v>88</v>
      </c>
      <c r="L12" s="9" t="s">
        <v>91</v>
      </c>
    </row>
    <row r="13" spans="1:12" ht="16.5" hidden="1" customHeight="1" x14ac:dyDescent="0.25">
      <c r="A13" s="76" t="s">
        <v>107</v>
      </c>
      <c r="B13" s="32" t="s">
        <v>4</v>
      </c>
      <c r="C13" s="50">
        <f>2016+6944+6944</f>
        <v>15904</v>
      </c>
      <c r="D13" s="49">
        <f>3595.41+12384.19+12384.19</f>
        <v>28363.79</v>
      </c>
      <c r="E13" s="43">
        <f>319.41+110.19</f>
        <v>429.6</v>
      </c>
      <c r="F13" s="44">
        <v>0</v>
      </c>
      <c r="G13" s="45">
        <f t="shared" si="0"/>
        <v>27934.190000000002</v>
      </c>
      <c r="H13" s="64">
        <f t="shared" si="1"/>
        <v>1.7564254275653925</v>
      </c>
      <c r="I13" s="46">
        <v>414.03466815924435</v>
      </c>
      <c r="J13" s="65">
        <v>0.29786666774046355</v>
      </c>
      <c r="K13" s="47" t="s">
        <v>80</v>
      </c>
    </row>
    <row r="14" spans="1:12" hidden="1" x14ac:dyDescent="0.25">
      <c r="A14" s="76" t="s">
        <v>108</v>
      </c>
      <c r="B14" s="32" t="s">
        <v>4</v>
      </c>
      <c r="C14" s="50">
        <v>1288</v>
      </c>
      <c r="D14" s="49">
        <v>1964.2</v>
      </c>
      <c r="E14" s="43">
        <v>0</v>
      </c>
      <c r="F14" s="44">
        <v>0</v>
      </c>
      <c r="G14" s="45">
        <f t="shared" si="0"/>
        <v>1964.2</v>
      </c>
      <c r="H14" s="64">
        <f t="shared" si="1"/>
        <v>1.5250000000000001</v>
      </c>
      <c r="I14" s="51">
        <v>269.54966815924445</v>
      </c>
      <c r="J14" s="66">
        <v>0.22843192216885122</v>
      </c>
      <c r="K14" s="9" t="s">
        <v>88</v>
      </c>
      <c r="L14" s="9" t="s">
        <v>91</v>
      </c>
    </row>
    <row r="15" spans="1:12" hidden="1" x14ac:dyDescent="0.25">
      <c r="A15" s="52" t="s">
        <v>98</v>
      </c>
      <c r="B15" s="32" t="s">
        <v>4</v>
      </c>
      <c r="C15" s="50">
        <f>336+336</f>
        <v>672</v>
      </c>
      <c r="D15" s="49">
        <f>588.33+585.65</f>
        <v>1173.98</v>
      </c>
      <c r="E15" s="43">
        <v>0</v>
      </c>
      <c r="F15" s="44">
        <v>0</v>
      </c>
      <c r="G15" s="45">
        <f t="shared" si="0"/>
        <v>1173.98</v>
      </c>
      <c r="H15" s="64">
        <f t="shared" si="1"/>
        <v>1.7469940476190478</v>
      </c>
      <c r="I15" s="46">
        <v>482.51966815924436</v>
      </c>
      <c r="J15" s="67">
        <v>0.34465690582803171</v>
      </c>
      <c r="K15" s="9" t="s">
        <v>88</v>
      </c>
      <c r="L15" s="9" t="s">
        <v>91</v>
      </c>
    </row>
    <row r="16" spans="1:12" hidden="1" x14ac:dyDescent="0.25">
      <c r="A16" s="52" t="s">
        <v>104</v>
      </c>
      <c r="B16" s="32" t="s">
        <v>4</v>
      </c>
      <c r="C16" s="50">
        <v>504</v>
      </c>
      <c r="D16" s="49">
        <v>898.85</v>
      </c>
      <c r="E16" s="43">
        <v>79.849999999999994</v>
      </c>
      <c r="F16" s="44">
        <v>0</v>
      </c>
      <c r="G16" s="45">
        <f t="shared" si="0"/>
        <v>819</v>
      </c>
      <c r="H16" s="64">
        <f t="shared" si="1"/>
        <v>1.625</v>
      </c>
      <c r="I16" s="48">
        <v>322.89966815924436</v>
      </c>
      <c r="J16" s="67">
        <v>0.25226536574940966</v>
      </c>
      <c r="K16" s="47" t="s">
        <v>80</v>
      </c>
    </row>
    <row r="17" spans="1:12" hidden="1" x14ac:dyDescent="0.25">
      <c r="A17" s="76" t="s">
        <v>105</v>
      </c>
      <c r="B17" s="32" t="s">
        <v>4</v>
      </c>
      <c r="C17" s="50">
        <v>420</v>
      </c>
      <c r="D17" s="49">
        <v>682.5</v>
      </c>
      <c r="E17" s="43">
        <v>0</v>
      </c>
      <c r="F17" s="44">
        <v>0</v>
      </c>
      <c r="G17" s="45">
        <f t="shared" si="0"/>
        <v>682.5</v>
      </c>
      <c r="H17" s="64">
        <f t="shared" si="1"/>
        <v>1.625</v>
      </c>
      <c r="I17" s="46">
        <v>377.93966815924432</v>
      </c>
      <c r="J17" s="65">
        <v>0.29526536574940959</v>
      </c>
      <c r="K17" s="9" t="s">
        <v>88</v>
      </c>
      <c r="L17" s="9" t="s">
        <v>91</v>
      </c>
    </row>
    <row r="18" spans="1:12" hidden="1" x14ac:dyDescent="0.25">
      <c r="A18" s="76" t="s">
        <v>116</v>
      </c>
      <c r="B18" s="32" t="s">
        <v>4</v>
      </c>
      <c r="C18" s="50">
        <v>3220</v>
      </c>
      <c r="D18" s="49">
        <v>5565.97</v>
      </c>
      <c r="E18" s="43">
        <v>494.47</v>
      </c>
      <c r="F18" s="44">
        <v>0</v>
      </c>
      <c r="G18" s="45">
        <f t="shared" ref="G18:G24" si="2">D18-E18</f>
        <v>5071.5</v>
      </c>
      <c r="H18" s="64">
        <f t="shared" ref="H18:H24" si="3">G18/C18</f>
        <v>1.575</v>
      </c>
      <c r="I18" s="51">
        <v>281.4746681592444</v>
      </c>
      <c r="J18" s="66">
        <v>0.22884119362540195</v>
      </c>
      <c r="K18" s="9" t="s">
        <v>80</v>
      </c>
    </row>
    <row r="19" spans="1:12" hidden="1" x14ac:dyDescent="0.25">
      <c r="A19" s="32"/>
      <c r="B19" s="32"/>
      <c r="C19" s="50"/>
      <c r="D19" s="49"/>
      <c r="E19" s="43">
        <v>0</v>
      </c>
      <c r="F19" s="44">
        <v>0</v>
      </c>
      <c r="G19" s="45">
        <f t="shared" si="2"/>
        <v>0</v>
      </c>
      <c r="H19" s="64" t="e">
        <f t="shared" si="3"/>
        <v>#DIV/0!</v>
      </c>
      <c r="I19" s="15"/>
      <c r="J19" s="65"/>
    </row>
    <row r="20" spans="1:12" hidden="1" x14ac:dyDescent="0.25">
      <c r="A20" s="32"/>
      <c r="B20" s="32"/>
      <c r="C20" s="50"/>
      <c r="D20" s="49"/>
      <c r="E20" s="43">
        <v>0</v>
      </c>
      <c r="F20" s="44">
        <v>0</v>
      </c>
      <c r="G20" s="45">
        <f t="shared" si="2"/>
        <v>0</v>
      </c>
      <c r="H20" s="64" t="e">
        <f t="shared" si="3"/>
        <v>#DIV/0!</v>
      </c>
      <c r="I20" s="15"/>
      <c r="J20" s="65"/>
    </row>
    <row r="21" spans="1:12" hidden="1" x14ac:dyDescent="0.25">
      <c r="A21" s="32"/>
      <c r="B21" s="32"/>
      <c r="C21" s="50"/>
      <c r="D21" s="49"/>
      <c r="E21" s="43">
        <v>0</v>
      </c>
      <c r="F21" s="44">
        <v>0</v>
      </c>
      <c r="G21" s="45">
        <f t="shared" si="2"/>
        <v>0</v>
      </c>
      <c r="H21" s="64" t="e">
        <f t="shared" si="3"/>
        <v>#DIV/0!</v>
      </c>
      <c r="I21" s="15"/>
      <c r="J21" s="65"/>
    </row>
    <row r="22" spans="1:12" hidden="1" x14ac:dyDescent="0.25">
      <c r="A22" s="32"/>
      <c r="B22" s="32"/>
      <c r="C22" s="50"/>
      <c r="D22" s="49"/>
      <c r="E22" s="43">
        <v>0</v>
      </c>
      <c r="F22" s="44">
        <v>0</v>
      </c>
      <c r="G22" s="45">
        <f t="shared" si="2"/>
        <v>0</v>
      </c>
      <c r="H22" s="64" t="e">
        <f t="shared" si="3"/>
        <v>#DIV/0!</v>
      </c>
      <c r="I22" s="15"/>
      <c r="J22" s="65"/>
    </row>
    <row r="23" spans="1:12" hidden="1" x14ac:dyDescent="0.25">
      <c r="A23" s="32"/>
      <c r="B23" s="32"/>
      <c r="C23" s="50"/>
      <c r="D23" s="49"/>
      <c r="E23" s="43">
        <v>0</v>
      </c>
      <c r="F23" s="44">
        <v>0</v>
      </c>
      <c r="G23" s="45">
        <f t="shared" si="2"/>
        <v>0</v>
      </c>
      <c r="H23" s="64" t="e">
        <f t="shared" si="3"/>
        <v>#DIV/0!</v>
      </c>
      <c r="I23" s="15"/>
      <c r="J23" s="65"/>
    </row>
    <row r="24" spans="1:12" hidden="1" x14ac:dyDescent="0.25">
      <c r="A24" s="32"/>
      <c r="B24" s="32"/>
      <c r="C24" s="50"/>
      <c r="D24" s="49"/>
      <c r="E24" s="43">
        <v>0</v>
      </c>
      <c r="F24" s="44">
        <v>0</v>
      </c>
      <c r="G24" s="45">
        <f t="shared" si="2"/>
        <v>0</v>
      </c>
      <c r="H24" s="64" t="e">
        <f t="shared" si="3"/>
        <v>#DIV/0!</v>
      </c>
      <c r="I24" s="15"/>
      <c r="J24" s="65"/>
    </row>
    <row r="25" spans="1:12" hidden="1" x14ac:dyDescent="0.25">
      <c r="A25" s="61"/>
      <c r="B25" s="61"/>
      <c r="C25" s="61">
        <f t="shared" ref="C25:F25" si="4">SUM(C5:C24)</f>
        <v>60480</v>
      </c>
      <c r="D25" s="54">
        <f>SUM(D5:D24)</f>
        <v>101351.05</v>
      </c>
      <c r="E25" s="54">
        <f t="shared" si="4"/>
        <v>1483.04</v>
      </c>
      <c r="F25" s="61">
        <f t="shared" si="4"/>
        <v>350</v>
      </c>
      <c r="G25" s="45">
        <f t="shared" si="0"/>
        <v>99868.010000000009</v>
      </c>
      <c r="H25" s="68">
        <f t="shared" si="1"/>
        <v>1.6512567791005293</v>
      </c>
      <c r="I25" s="55"/>
      <c r="J25" s="55"/>
    </row>
    <row r="26" spans="1:12" s="37" customFormat="1" ht="16.5" hidden="1" thickBot="1" x14ac:dyDescent="0.3">
      <c r="A26" s="22"/>
      <c r="B26" s="22"/>
      <c r="C26" s="22"/>
      <c r="D26" s="69"/>
      <c r="E26" s="69"/>
      <c r="F26" s="22"/>
      <c r="G26" s="45"/>
      <c r="H26" s="45"/>
    </row>
    <row r="27" spans="1:12" s="37" customFormat="1" hidden="1" x14ac:dyDescent="0.25">
      <c r="A27" s="22"/>
      <c r="B27" s="22"/>
      <c r="C27" s="22"/>
      <c r="D27" s="69"/>
      <c r="E27" s="69"/>
      <c r="F27" s="22"/>
      <c r="G27" s="45"/>
      <c r="H27" s="45"/>
      <c r="I27" s="38" t="s">
        <v>76</v>
      </c>
      <c r="J27" s="38" t="s">
        <v>76</v>
      </c>
    </row>
    <row r="28" spans="1:12" s="37" customFormat="1" hidden="1" x14ac:dyDescent="0.25">
      <c r="A28" s="22"/>
      <c r="B28" s="22"/>
      <c r="C28" s="22"/>
      <c r="D28" s="69"/>
      <c r="E28" s="69"/>
      <c r="F28" s="22"/>
      <c r="G28" s="45"/>
      <c r="H28" s="45"/>
      <c r="I28" s="40" t="s">
        <v>66</v>
      </c>
      <c r="J28" s="40" t="s">
        <v>66</v>
      </c>
    </row>
    <row r="29" spans="1:12" hidden="1" x14ac:dyDescent="0.25">
      <c r="A29" s="39" t="s">
        <v>90</v>
      </c>
      <c r="B29" s="57" t="s">
        <v>36</v>
      </c>
      <c r="C29" s="57" t="s">
        <v>0</v>
      </c>
      <c r="D29" s="57" t="s">
        <v>1</v>
      </c>
      <c r="E29" s="58" t="s">
        <v>2</v>
      </c>
      <c r="F29" s="57" t="s">
        <v>3</v>
      </c>
      <c r="G29" s="41" t="s">
        <v>74</v>
      </c>
      <c r="H29" s="41" t="s">
        <v>72</v>
      </c>
      <c r="I29" s="59" t="s">
        <v>77</v>
      </c>
      <c r="J29" s="59" t="s">
        <v>50</v>
      </c>
    </row>
    <row r="30" spans="1:12" s="37" customFormat="1" hidden="1" x14ac:dyDescent="0.25">
      <c r="A30" s="53" t="s">
        <v>99</v>
      </c>
      <c r="B30" s="70" t="s">
        <v>86</v>
      </c>
      <c r="C30" s="22">
        <f>5+13</f>
        <v>18</v>
      </c>
      <c r="D30" s="69">
        <f>72.45+188.37</f>
        <v>260.82</v>
      </c>
      <c r="E30" s="69">
        <v>0</v>
      </c>
      <c r="F30" s="22">
        <v>0</v>
      </c>
      <c r="G30" s="45">
        <f>D30-E30</f>
        <v>260.82</v>
      </c>
      <c r="H30" s="64">
        <f>G30/C30</f>
        <v>14.49</v>
      </c>
      <c r="I30" s="46">
        <v>6.8340188073368422</v>
      </c>
      <c r="J30" s="65">
        <v>0.47163690871889868</v>
      </c>
      <c r="K30" s="71" t="s">
        <v>88</v>
      </c>
    </row>
    <row r="31" spans="1:12" hidden="1" x14ac:dyDescent="0.25">
      <c r="A31" s="22"/>
      <c r="B31" s="22"/>
      <c r="C31" s="22"/>
      <c r="D31" s="69"/>
      <c r="E31" s="69"/>
      <c r="F31" s="22"/>
      <c r="G31" s="45">
        <f>D31-E31</f>
        <v>0</v>
      </c>
      <c r="H31" s="64" t="e">
        <f>G31/C31</f>
        <v>#DIV/0!</v>
      </c>
      <c r="I31" s="15"/>
      <c r="J31" s="15"/>
    </row>
    <row r="32" spans="1:12" hidden="1" x14ac:dyDescent="0.25">
      <c r="A32" s="22"/>
      <c r="B32" s="22"/>
      <c r="C32" s="22"/>
      <c r="D32" s="69"/>
      <c r="E32" s="69"/>
      <c r="F32" s="22"/>
      <c r="G32" s="45">
        <f>D32-E32</f>
        <v>0</v>
      </c>
      <c r="H32" s="64" t="e">
        <f>G32/C32</f>
        <v>#DIV/0!</v>
      </c>
      <c r="I32" s="15"/>
      <c r="J32" s="15"/>
    </row>
    <row r="33" spans="1:12" s="37" customFormat="1" hidden="1" x14ac:dyDescent="0.25">
      <c r="A33" s="55"/>
      <c r="B33" s="55"/>
      <c r="C33" s="60">
        <f t="shared" ref="C33:F33" si="5">SUM(C30:C32)</f>
        <v>18</v>
      </c>
      <c r="D33" s="68">
        <f>SUM(D30:D32)</f>
        <v>260.82</v>
      </c>
      <c r="E33" s="68">
        <f t="shared" si="5"/>
        <v>0</v>
      </c>
      <c r="F33" s="55">
        <f t="shared" si="5"/>
        <v>0</v>
      </c>
      <c r="G33" s="45">
        <f>D33-E33</f>
        <v>260.82</v>
      </c>
      <c r="H33" s="68">
        <f>G33/C33</f>
        <v>14.49</v>
      </c>
      <c r="I33" s="55"/>
      <c r="J33" s="56"/>
    </row>
    <row r="34" spans="1:12" ht="16.5" hidden="1" thickBot="1" x14ac:dyDescent="0.3">
      <c r="G34" s="45"/>
      <c r="H34" s="45"/>
    </row>
    <row r="35" spans="1:12" hidden="1" x14ac:dyDescent="0.25">
      <c r="G35" s="45"/>
      <c r="H35" s="45"/>
      <c r="I35" s="38" t="s">
        <v>76</v>
      </c>
      <c r="J35" s="38" t="s">
        <v>76</v>
      </c>
    </row>
    <row r="36" spans="1:12" hidden="1" x14ac:dyDescent="0.25">
      <c r="G36" s="45"/>
      <c r="H36" s="45"/>
      <c r="I36" s="40" t="s">
        <v>66</v>
      </c>
      <c r="J36" s="40" t="s">
        <v>66</v>
      </c>
    </row>
    <row r="37" spans="1:12" hidden="1" x14ac:dyDescent="0.25">
      <c r="A37" s="39" t="s">
        <v>90</v>
      </c>
      <c r="B37" s="57" t="s">
        <v>29</v>
      </c>
      <c r="C37" s="57" t="s">
        <v>0</v>
      </c>
      <c r="D37" s="57" t="s">
        <v>1</v>
      </c>
      <c r="E37" s="58" t="s">
        <v>2</v>
      </c>
      <c r="F37" s="57" t="s">
        <v>3</v>
      </c>
      <c r="G37" s="41" t="s">
        <v>74</v>
      </c>
      <c r="H37" s="41" t="s">
        <v>72</v>
      </c>
      <c r="I37" s="59" t="s">
        <v>77</v>
      </c>
      <c r="J37" s="59" t="s">
        <v>50</v>
      </c>
    </row>
    <row r="38" spans="1:12" ht="18.75" hidden="1" customHeight="1" x14ac:dyDescent="0.25">
      <c r="A38" s="53" t="s">
        <v>99</v>
      </c>
      <c r="B38" s="70" t="s">
        <v>69</v>
      </c>
      <c r="C38" s="42">
        <f>1055+669+27+1785+1785+1017+994+315+700+1310+1785+1000+2100+1000+1974+1974+1974+1974</f>
        <v>23438</v>
      </c>
      <c r="D38" s="43">
        <f>16563.5+10503.3+423.9+28024.5+28024.5+15966.9+15605.8+4945.5+10990+20567+28024.5+15700+32970+15700+30991.8+30991.8+30991.8+30991.8</f>
        <v>367976.6</v>
      </c>
      <c r="E38" s="43">
        <v>0</v>
      </c>
      <c r="F38" s="44">
        <f>400+350+350+350+400+350+350+350+350</f>
        <v>3250</v>
      </c>
      <c r="G38" s="45">
        <f t="shared" ref="G38:G47" si="6">D38-E38</f>
        <v>367976.6</v>
      </c>
      <c r="H38" s="64">
        <f t="shared" ref="H38:H47" si="7">G38/C38</f>
        <v>15.7</v>
      </c>
      <c r="I38" s="48">
        <v>4.2663018627889482</v>
      </c>
      <c r="J38" s="67">
        <v>0.27173897215216231</v>
      </c>
      <c r="K38" s="9" t="s">
        <v>80</v>
      </c>
    </row>
    <row r="39" spans="1:12" ht="18" hidden="1" customHeight="1" x14ac:dyDescent="0.25">
      <c r="A39" s="53" t="s">
        <v>100</v>
      </c>
      <c r="B39" s="70" t="s">
        <v>93</v>
      </c>
      <c r="C39" s="42">
        <f>4+4</f>
        <v>8</v>
      </c>
      <c r="D39" s="43">
        <f>68+64</f>
        <v>132</v>
      </c>
      <c r="E39" s="43">
        <v>0</v>
      </c>
      <c r="F39" s="44">
        <v>0</v>
      </c>
      <c r="G39" s="45">
        <f t="shared" si="6"/>
        <v>132</v>
      </c>
      <c r="H39" s="64">
        <f t="shared" si="7"/>
        <v>16.5</v>
      </c>
      <c r="I39" s="46">
        <v>5.7767618627889483</v>
      </c>
      <c r="J39" s="65">
        <v>0.3501067795629666</v>
      </c>
      <c r="K39" s="47" t="s">
        <v>92</v>
      </c>
      <c r="L39" s="9" t="s">
        <v>91</v>
      </c>
    </row>
    <row r="40" spans="1:12" ht="18" hidden="1" customHeight="1" x14ac:dyDescent="0.25">
      <c r="A40" s="53" t="s">
        <v>101</v>
      </c>
      <c r="B40" s="72" t="s">
        <v>97</v>
      </c>
      <c r="C40" s="42">
        <v>1360</v>
      </c>
      <c r="D40" s="43">
        <v>23120</v>
      </c>
      <c r="E40" s="43">
        <v>0</v>
      </c>
      <c r="F40" s="44">
        <v>0</v>
      </c>
      <c r="G40" s="45">
        <f t="shared" si="6"/>
        <v>23120</v>
      </c>
      <c r="H40" s="64">
        <f t="shared" si="7"/>
        <v>17</v>
      </c>
      <c r="I40" s="46">
        <v>5.7875118627889464</v>
      </c>
      <c r="J40" s="65">
        <v>0.34044187428170275</v>
      </c>
      <c r="K40" s="9" t="s">
        <v>80</v>
      </c>
      <c r="L40" s="9" t="s">
        <v>91</v>
      </c>
    </row>
    <row r="41" spans="1:12" ht="19.5" hidden="1" customHeight="1" x14ac:dyDescent="0.25">
      <c r="A41" s="53" t="s">
        <v>102</v>
      </c>
      <c r="B41" s="72" t="s">
        <v>97</v>
      </c>
      <c r="C41" s="42">
        <v>50</v>
      </c>
      <c r="D41" s="43">
        <v>850</v>
      </c>
      <c r="E41" s="43">
        <v>0</v>
      </c>
      <c r="F41" s="44">
        <v>0</v>
      </c>
      <c r="G41" s="45">
        <f t="shared" si="6"/>
        <v>850</v>
      </c>
      <c r="H41" s="64">
        <f t="shared" si="7"/>
        <v>17</v>
      </c>
      <c r="I41" s="46">
        <v>5.9065118627889479</v>
      </c>
      <c r="J41" s="65">
        <v>0.34744187428170287</v>
      </c>
      <c r="K41" s="47" t="s">
        <v>92</v>
      </c>
    </row>
    <row r="42" spans="1:12" hidden="1" x14ac:dyDescent="0.25">
      <c r="A42" s="53"/>
      <c r="B42" s="72"/>
      <c r="C42" s="42"/>
      <c r="D42" s="43"/>
      <c r="E42" s="43">
        <v>0</v>
      </c>
      <c r="F42" s="44">
        <v>0</v>
      </c>
      <c r="G42" s="45">
        <f t="shared" si="6"/>
        <v>0</v>
      </c>
      <c r="H42" s="64" t="e">
        <f t="shared" si="7"/>
        <v>#DIV/0!</v>
      </c>
      <c r="I42" s="46"/>
      <c r="J42" s="65"/>
      <c r="K42" s="47"/>
    </row>
    <row r="43" spans="1:12" hidden="1" x14ac:dyDescent="0.25">
      <c r="A43" s="53"/>
      <c r="B43" s="72"/>
      <c r="C43" s="42"/>
      <c r="D43" s="43"/>
      <c r="E43" s="43">
        <v>0</v>
      </c>
      <c r="F43" s="44">
        <v>0</v>
      </c>
      <c r="G43" s="45">
        <f t="shared" si="6"/>
        <v>0</v>
      </c>
      <c r="H43" s="64" t="e">
        <f t="shared" si="7"/>
        <v>#DIV/0!</v>
      </c>
      <c r="I43" s="46"/>
      <c r="J43" s="65"/>
    </row>
    <row r="44" spans="1:12" hidden="1" x14ac:dyDescent="0.25">
      <c r="A44" s="53"/>
      <c r="B44" s="72"/>
      <c r="C44" s="42"/>
      <c r="D44" s="43"/>
      <c r="E44" s="43">
        <v>0</v>
      </c>
      <c r="F44" s="44">
        <v>0</v>
      </c>
      <c r="G44" s="45">
        <f t="shared" si="6"/>
        <v>0</v>
      </c>
      <c r="H44" s="64" t="e">
        <f t="shared" si="7"/>
        <v>#DIV/0!</v>
      </c>
      <c r="I44" s="46"/>
      <c r="J44" s="65"/>
    </row>
    <row r="45" spans="1:12" hidden="1" x14ac:dyDescent="0.25">
      <c r="A45" s="53"/>
      <c r="B45" s="72"/>
      <c r="C45" s="42"/>
      <c r="D45" s="43"/>
      <c r="E45" s="43">
        <v>0</v>
      </c>
      <c r="F45" s="44">
        <v>0</v>
      </c>
      <c r="G45" s="45">
        <f t="shared" si="6"/>
        <v>0</v>
      </c>
      <c r="H45" s="64" t="e">
        <f t="shared" si="7"/>
        <v>#DIV/0!</v>
      </c>
      <c r="I45" s="46"/>
      <c r="J45" s="65"/>
    </row>
    <row r="46" spans="1:12" hidden="1" x14ac:dyDescent="0.25">
      <c r="A46" s="53"/>
      <c r="B46" s="72"/>
      <c r="C46" s="42"/>
      <c r="D46" s="43"/>
      <c r="E46" s="43">
        <v>0</v>
      </c>
      <c r="F46" s="44">
        <v>0</v>
      </c>
      <c r="G46" s="45">
        <f t="shared" si="6"/>
        <v>0</v>
      </c>
      <c r="H46" s="64" t="e">
        <f t="shared" si="7"/>
        <v>#DIV/0!</v>
      </c>
      <c r="I46" s="46"/>
      <c r="J46" s="65"/>
    </row>
    <row r="47" spans="1:12" hidden="1" x14ac:dyDescent="0.25">
      <c r="A47" s="61" t="s">
        <v>27</v>
      </c>
      <c r="B47" s="61"/>
      <c r="C47" s="62">
        <f t="shared" ref="C47:F47" si="8">SUM(C38:C46)</f>
        <v>24856</v>
      </c>
      <c r="D47" s="73">
        <f>SUM(D38:D46)</f>
        <v>392078.6</v>
      </c>
      <c r="E47" s="73">
        <f t="shared" si="8"/>
        <v>0</v>
      </c>
      <c r="F47" s="62">
        <f t="shared" si="8"/>
        <v>3250</v>
      </c>
      <c r="G47" s="45">
        <f t="shared" si="6"/>
        <v>392078.6</v>
      </c>
      <c r="H47" s="68">
        <f t="shared" si="7"/>
        <v>15.774002252977148</v>
      </c>
      <c r="I47" s="55"/>
      <c r="J47" s="56"/>
    </row>
    <row r="48" spans="1:12" hidden="1" x14ac:dyDescent="0.25"/>
    <row r="49" spans="1:12" s="36" customFormat="1" ht="16.5" thickBot="1" x14ac:dyDescent="0.3"/>
    <row r="50" spans="1:12" x14ac:dyDescent="0.25">
      <c r="I50" s="38" t="s">
        <v>76</v>
      </c>
      <c r="J50" s="38" t="s">
        <v>76</v>
      </c>
    </row>
    <row r="51" spans="1:12" x14ac:dyDescent="0.25">
      <c r="I51" s="40" t="s">
        <v>66</v>
      </c>
      <c r="J51" s="40" t="s">
        <v>66</v>
      </c>
    </row>
    <row r="52" spans="1:12" x14ac:dyDescent="0.25">
      <c r="A52" s="39" t="s">
        <v>117</v>
      </c>
      <c r="B52" s="57" t="s">
        <v>28</v>
      </c>
      <c r="C52" s="57" t="s">
        <v>0</v>
      </c>
      <c r="D52" s="57" t="s">
        <v>1</v>
      </c>
      <c r="E52" s="58" t="s">
        <v>2</v>
      </c>
      <c r="F52" s="57" t="s">
        <v>3</v>
      </c>
      <c r="G52" s="41" t="s">
        <v>74</v>
      </c>
      <c r="H52" s="41" t="s">
        <v>72</v>
      </c>
      <c r="I52" s="59" t="s">
        <v>77</v>
      </c>
      <c r="J52" s="59" t="s">
        <v>50</v>
      </c>
    </row>
    <row r="53" spans="1:12" x14ac:dyDescent="0.25">
      <c r="A53" s="76" t="s">
        <v>109</v>
      </c>
      <c r="B53" s="32" t="s">
        <v>4</v>
      </c>
      <c r="C53" s="50">
        <f>840+840+840+840+840</f>
        <v>4200</v>
      </c>
      <c r="D53" s="49">
        <f>1365+1365+1365+1365+1365</f>
        <v>6825</v>
      </c>
      <c r="E53" s="43">
        <v>0</v>
      </c>
      <c r="F53" s="44">
        <v>0</v>
      </c>
      <c r="G53" s="45">
        <f>D53-E53</f>
        <v>6825</v>
      </c>
      <c r="H53" s="64">
        <f>G53/C53</f>
        <v>1.625</v>
      </c>
      <c r="I53" s="46">
        <v>377.93966815924432</v>
      </c>
      <c r="J53" s="65">
        <v>0.29526536574940959</v>
      </c>
      <c r="K53" s="9" t="s">
        <v>92</v>
      </c>
      <c r="L53" s="9" t="s">
        <v>91</v>
      </c>
    </row>
    <row r="54" spans="1:12" x14ac:dyDescent="0.25">
      <c r="A54" s="76" t="s">
        <v>119</v>
      </c>
      <c r="B54" s="32" t="s">
        <v>4</v>
      </c>
      <c r="C54" s="50">
        <v>2016</v>
      </c>
      <c r="D54" s="49">
        <v>3477.6</v>
      </c>
      <c r="E54" s="43">
        <v>0</v>
      </c>
      <c r="F54" s="44">
        <v>0</v>
      </c>
      <c r="G54" s="45">
        <f t="shared" ref="G54:G67" si="9">D54-E54</f>
        <v>3477.6</v>
      </c>
      <c r="H54" s="64">
        <f t="shared" ref="H54:H67" si="10">G54/C54</f>
        <v>1.7249999999999999</v>
      </c>
      <c r="I54" s="48">
        <v>465.08966815924441</v>
      </c>
      <c r="J54" s="67">
        <v>0.33702149866611913</v>
      </c>
      <c r="K54" s="9" t="s">
        <v>92</v>
      </c>
      <c r="L54" s="9" t="s">
        <v>91</v>
      </c>
    </row>
    <row r="55" spans="1:12" x14ac:dyDescent="0.25">
      <c r="A55" s="76" t="s">
        <v>110</v>
      </c>
      <c r="B55" s="32" t="s">
        <v>4</v>
      </c>
      <c r="C55" s="50">
        <v>56</v>
      </c>
      <c r="D55" s="49">
        <v>88.2</v>
      </c>
      <c r="E55" s="43">
        <v>0</v>
      </c>
      <c r="F55" s="44">
        <v>0</v>
      </c>
      <c r="G55" s="45">
        <f t="shared" si="9"/>
        <v>88.2</v>
      </c>
      <c r="H55" s="64">
        <f t="shared" si="10"/>
        <v>1.575</v>
      </c>
      <c r="I55" s="46">
        <v>334.36466815924427</v>
      </c>
      <c r="J55" s="65">
        <v>0.27184119362540182</v>
      </c>
      <c r="K55" s="9" t="s">
        <v>92</v>
      </c>
      <c r="L55" s="9" t="s">
        <v>91</v>
      </c>
    </row>
    <row r="56" spans="1:12" x14ac:dyDescent="0.25">
      <c r="A56" s="76" t="s">
        <v>112</v>
      </c>
      <c r="B56" s="32" t="s">
        <v>4</v>
      </c>
      <c r="C56" s="50">
        <v>1848</v>
      </c>
      <c r="D56" s="49">
        <v>3003</v>
      </c>
      <c r="E56" s="43">
        <v>0</v>
      </c>
      <c r="F56" s="44">
        <v>0</v>
      </c>
      <c r="G56" s="45">
        <f t="shared" si="9"/>
        <v>3003</v>
      </c>
      <c r="H56" s="64">
        <f t="shared" si="10"/>
        <v>1.625</v>
      </c>
      <c r="I56" s="46">
        <v>377.93966815924432</v>
      </c>
      <c r="J56" s="65">
        <v>0.29526536574940959</v>
      </c>
      <c r="K56" s="9" t="s">
        <v>92</v>
      </c>
      <c r="L56" s="9" t="s">
        <v>91</v>
      </c>
    </row>
    <row r="57" spans="1:12" x14ac:dyDescent="0.25">
      <c r="A57" s="76" t="s">
        <v>111</v>
      </c>
      <c r="B57" s="32" t="s">
        <v>4</v>
      </c>
      <c r="C57" s="50">
        <f>56+56</f>
        <v>112</v>
      </c>
      <c r="D57" s="49">
        <f>96.6+96.6</f>
        <v>193.2</v>
      </c>
      <c r="E57" s="43">
        <v>0</v>
      </c>
      <c r="F57" s="44">
        <v>0</v>
      </c>
      <c r="G57" s="45">
        <f t="shared" si="9"/>
        <v>193.2</v>
      </c>
      <c r="H57" s="64">
        <f t="shared" si="10"/>
        <v>1.7249999999999999</v>
      </c>
      <c r="I57" s="48">
        <v>465.08966815924441</v>
      </c>
      <c r="J57" s="67">
        <v>0.33702149866611913</v>
      </c>
      <c r="K57" s="9" t="s">
        <v>92</v>
      </c>
      <c r="L57" s="9" t="s">
        <v>91</v>
      </c>
    </row>
    <row r="58" spans="1:12" x14ac:dyDescent="0.25">
      <c r="A58" s="76" t="s">
        <v>169</v>
      </c>
      <c r="B58" s="32" t="s">
        <v>4</v>
      </c>
      <c r="C58" s="50">
        <v>2016</v>
      </c>
      <c r="D58" s="49">
        <v>3595.41</v>
      </c>
      <c r="E58" s="43">
        <v>319.41000000000003</v>
      </c>
      <c r="F58" s="44">
        <v>0</v>
      </c>
      <c r="G58" s="45">
        <f t="shared" si="9"/>
        <v>3276</v>
      </c>
      <c r="H58" s="64">
        <f t="shared" si="10"/>
        <v>1.625</v>
      </c>
      <c r="I58" s="15"/>
      <c r="J58" s="65"/>
      <c r="K58" s="9" t="s">
        <v>80</v>
      </c>
    </row>
    <row r="59" spans="1:12" x14ac:dyDescent="0.25">
      <c r="A59" s="76" t="s">
        <v>170</v>
      </c>
      <c r="B59" s="32" t="s">
        <v>4</v>
      </c>
      <c r="C59" s="50">
        <f>336+336+336+336</f>
        <v>1344</v>
      </c>
      <c r="D59" s="49">
        <f>529.2+529.2+529.2+529.2</f>
        <v>2116.8000000000002</v>
      </c>
      <c r="E59" s="43">
        <v>0</v>
      </c>
      <c r="F59" s="44">
        <v>0</v>
      </c>
      <c r="G59" s="45">
        <f t="shared" si="9"/>
        <v>2116.8000000000002</v>
      </c>
      <c r="H59" s="64">
        <f t="shared" si="10"/>
        <v>1.5750000000000002</v>
      </c>
      <c r="I59" s="74"/>
      <c r="J59" s="66"/>
      <c r="K59" s="9" t="s">
        <v>92</v>
      </c>
      <c r="L59" s="9" t="s">
        <v>91</v>
      </c>
    </row>
    <row r="60" spans="1:12" ht="15" customHeight="1" x14ac:dyDescent="0.25">
      <c r="A60" s="76" t="s">
        <v>171</v>
      </c>
      <c r="B60" s="32" t="s">
        <v>4</v>
      </c>
      <c r="C60" s="50">
        <f>336+336</f>
        <v>672</v>
      </c>
      <c r="D60" s="49">
        <f>588.34+588.34</f>
        <v>1176.68</v>
      </c>
      <c r="E60" s="43">
        <v>0</v>
      </c>
      <c r="F60" s="44">
        <v>0</v>
      </c>
      <c r="G60" s="45">
        <f t="shared" si="9"/>
        <v>1176.68</v>
      </c>
      <c r="H60" s="64">
        <f t="shared" si="10"/>
        <v>1.7510119047619048</v>
      </c>
      <c r="I60" s="74"/>
      <c r="J60" s="66"/>
      <c r="K60" s="9" t="s">
        <v>92</v>
      </c>
      <c r="L60" s="9" t="s">
        <v>91</v>
      </c>
    </row>
    <row r="61" spans="1:12" ht="16.5" customHeight="1" x14ac:dyDescent="0.25">
      <c r="A61" s="236" t="s">
        <v>174</v>
      </c>
      <c r="B61" s="32" t="s">
        <v>4</v>
      </c>
      <c r="C61" s="50">
        <v>2240</v>
      </c>
      <c r="D61" s="49">
        <v>3528</v>
      </c>
      <c r="E61" s="43">
        <v>0</v>
      </c>
      <c r="F61" s="44">
        <v>0</v>
      </c>
      <c r="G61" s="45">
        <f t="shared" si="9"/>
        <v>3528</v>
      </c>
      <c r="H61" s="64">
        <f t="shared" si="10"/>
        <v>1.575</v>
      </c>
      <c r="I61" s="46"/>
      <c r="J61" s="65"/>
      <c r="K61" s="9" t="s">
        <v>92</v>
      </c>
      <c r="L61" s="9" t="s">
        <v>91</v>
      </c>
    </row>
    <row r="62" spans="1:12" x14ac:dyDescent="0.25">
      <c r="A62" s="76" t="s">
        <v>175</v>
      </c>
      <c r="B62" s="32" t="s">
        <v>4</v>
      </c>
      <c r="C62" s="50">
        <v>4788</v>
      </c>
      <c r="D62" s="49">
        <v>8539.1</v>
      </c>
      <c r="E62" s="43">
        <v>758.6</v>
      </c>
      <c r="F62" s="44">
        <v>0</v>
      </c>
      <c r="G62" s="45">
        <f t="shared" si="9"/>
        <v>7780.5</v>
      </c>
      <c r="H62" s="64">
        <f t="shared" si="10"/>
        <v>1.625</v>
      </c>
      <c r="I62" s="51"/>
      <c r="J62" s="66"/>
      <c r="K62" s="9" t="s">
        <v>80</v>
      </c>
    </row>
    <row r="63" spans="1:12" x14ac:dyDescent="0.25">
      <c r="A63" s="76" t="s">
        <v>187</v>
      </c>
      <c r="B63" s="32" t="s">
        <v>4</v>
      </c>
      <c r="C63" s="50">
        <v>2044</v>
      </c>
      <c r="D63" s="49">
        <v>3869.68</v>
      </c>
      <c r="E63" s="43">
        <v>343.78</v>
      </c>
      <c r="F63" s="44">
        <v>0</v>
      </c>
      <c r="G63" s="45">
        <f t="shared" si="9"/>
        <v>3525.8999999999996</v>
      </c>
      <c r="H63" s="64">
        <f t="shared" si="10"/>
        <v>1.7249999999999999</v>
      </c>
      <c r="I63" s="46"/>
      <c r="J63" s="65"/>
      <c r="K63" s="9" t="s">
        <v>80</v>
      </c>
    </row>
    <row r="64" spans="1:12" x14ac:dyDescent="0.25">
      <c r="A64" s="76"/>
      <c r="B64" s="32"/>
      <c r="C64" s="44"/>
      <c r="D64" s="43"/>
      <c r="E64" s="43">
        <v>0</v>
      </c>
      <c r="F64" s="44">
        <v>0</v>
      </c>
      <c r="G64" s="45">
        <f t="shared" si="9"/>
        <v>0</v>
      </c>
      <c r="H64" s="64" t="e">
        <f t="shared" si="10"/>
        <v>#DIV/0!</v>
      </c>
      <c r="I64" s="46"/>
      <c r="J64" s="65"/>
    </row>
    <row r="65" spans="1:10" x14ac:dyDescent="0.25">
      <c r="A65" s="76"/>
      <c r="B65" s="32"/>
      <c r="C65" s="44"/>
      <c r="D65" s="43"/>
      <c r="E65" s="43">
        <v>0</v>
      </c>
      <c r="F65" s="44">
        <v>0</v>
      </c>
      <c r="G65" s="45">
        <f t="shared" si="9"/>
        <v>0</v>
      </c>
      <c r="H65" s="64" t="e">
        <f t="shared" si="10"/>
        <v>#DIV/0!</v>
      </c>
      <c r="I65" s="15"/>
      <c r="J65" s="65"/>
    </row>
    <row r="66" spans="1:10" x14ac:dyDescent="0.25">
      <c r="A66" s="76"/>
      <c r="B66" s="32"/>
      <c r="C66" s="44"/>
      <c r="D66" s="43"/>
      <c r="E66" s="43">
        <v>0</v>
      </c>
      <c r="F66" s="44">
        <v>0</v>
      </c>
      <c r="G66" s="45">
        <f t="shared" si="9"/>
        <v>0</v>
      </c>
      <c r="H66" s="64" t="e">
        <f t="shared" si="10"/>
        <v>#DIV/0!</v>
      </c>
      <c r="I66" s="15"/>
      <c r="J66" s="65"/>
    </row>
    <row r="67" spans="1:10" x14ac:dyDescent="0.25">
      <c r="A67" s="76"/>
      <c r="B67" s="32"/>
      <c r="C67" s="44"/>
      <c r="D67" s="43"/>
      <c r="E67" s="43">
        <v>0</v>
      </c>
      <c r="F67" s="44">
        <v>0</v>
      </c>
      <c r="G67" s="45">
        <f t="shared" si="9"/>
        <v>0</v>
      </c>
      <c r="H67" s="64" t="e">
        <f t="shared" si="10"/>
        <v>#DIV/0!</v>
      </c>
      <c r="I67" s="15"/>
      <c r="J67" s="65"/>
    </row>
    <row r="68" spans="1:10" x14ac:dyDescent="0.25">
      <c r="A68" s="76"/>
      <c r="B68" s="15"/>
      <c r="C68" s="44"/>
      <c r="D68" s="43"/>
      <c r="E68" s="43">
        <v>0</v>
      </c>
      <c r="F68" s="44">
        <v>0</v>
      </c>
      <c r="G68" s="45">
        <f t="shared" ref="G68:G72" si="11">D68-E68</f>
        <v>0</v>
      </c>
      <c r="H68" s="64" t="e">
        <f t="shared" ref="H68:H72" si="12">G68/C68</f>
        <v>#DIV/0!</v>
      </c>
      <c r="I68" s="15"/>
      <c r="J68" s="65"/>
    </row>
    <row r="69" spans="1:10" x14ac:dyDescent="0.25">
      <c r="A69" s="76"/>
      <c r="B69" s="15"/>
      <c r="C69" s="44"/>
      <c r="D69" s="43"/>
      <c r="E69" s="43">
        <v>0</v>
      </c>
      <c r="F69" s="44">
        <v>0</v>
      </c>
      <c r="G69" s="45">
        <f t="shared" si="11"/>
        <v>0</v>
      </c>
      <c r="H69" s="64" t="e">
        <f t="shared" si="12"/>
        <v>#DIV/0!</v>
      </c>
      <c r="I69" s="15"/>
      <c r="J69" s="65"/>
    </row>
    <row r="70" spans="1:10" x14ac:dyDescent="0.25">
      <c r="A70" s="76"/>
      <c r="B70" s="15"/>
      <c r="C70" s="44"/>
      <c r="D70" s="43"/>
      <c r="E70" s="43">
        <v>0</v>
      </c>
      <c r="F70" s="44">
        <v>0</v>
      </c>
      <c r="G70" s="45">
        <f t="shared" si="11"/>
        <v>0</v>
      </c>
      <c r="H70" s="64" t="e">
        <f t="shared" si="12"/>
        <v>#DIV/0!</v>
      </c>
      <c r="I70" s="15"/>
      <c r="J70" s="65"/>
    </row>
    <row r="71" spans="1:10" x14ac:dyDescent="0.25">
      <c r="A71" s="76"/>
      <c r="B71" s="15"/>
      <c r="C71" s="44"/>
      <c r="D71" s="43"/>
      <c r="E71" s="43">
        <v>0</v>
      </c>
      <c r="F71" s="44">
        <v>0</v>
      </c>
      <c r="G71" s="45">
        <f t="shared" si="11"/>
        <v>0</v>
      </c>
      <c r="H71" s="64" t="e">
        <f t="shared" si="12"/>
        <v>#DIV/0!</v>
      </c>
      <c r="I71" s="15"/>
      <c r="J71" s="65"/>
    </row>
    <row r="72" spans="1:10" x14ac:dyDescent="0.25">
      <c r="A72" s="76"/>
      <c r="B72" s="15"/>
      <c r="C72" s="44"/>
      <c r="D72" s="43"/>
      <c r="E72" s="43">
        <v>0</v>
      </c>
      <c r="F72" s="44">
        <v>0</v>
      </c>
      <c r="G72" s="45">
        <f t="shared" si="11"/>
        <v>0</v>
      </c>
      <c r="H72" s="64" t="e">
        <f t="shared" si="12"/>
        <v>#DIV/0!</v>
      </c>
      <c r="I72" s="15"/>
      <c r="J72" s="65"/>
    </row>
    <row r="73" spans="1:10" x14ac:dyDescent="0.25">
      <c r="A73" s="61"/>
      <c r="B73" s="61"/>
      <c r="C73" s="61">
        <f t="shared" ref="C73:F73" si="13">SUM(C53:C72)</f>
        <v>21336</v>
      </c>
      <c r="D73" s="54">
        <f t="shared" si="13"/>
        <v>36412.670000000006</v>
      </c>
      <c r="E73" s="54">
        <f t="shared" si="13"/>
        <v>1421.79</v>
      </c>
      <c r="F73" s="61">
        <f t="shared" si="13"/>
        <v>0</v>
      </c>
      <c r="G73" s="54">
        <f t="shared" ref="G73" si="14">D73-E73</f>
        <v>34990.880000000005</v>
      </c>
      <c r="H73" s="68">
        <f t="shared" ref="H73" si="15">G73/C73</f>
        <v>1.639992500937383</v>
      </c>
      <c r="I73" s="55"/>
      <c r="J73" s="55"/>
    </row>
    <row r="74" spans="1:10" s="37" customFormat="1" ht="16.5" thickBot="1" x14ac:dyDescent="0.3">
      <c r="A74" s="22"/>
      <c r="B74" s="22"/>
      <c r="C74" s="22"/>
      <c r="D74" s="69"/>
      <c r="E74" s="69"/>
      <c r="F74" s="22"/>
    </row>
    <row r="75" spans="1:10" s="37" customFormat="1" x14ac:dyDescent="0.25">
      <c r="A75" s="22"/>
      <c r="B75" s="22"/>
      <c r="C75" s="22"/>
      <c r="D75" s="69"/>
      <c r="E75" s="69"/>
      <c r="F75" s="22"/>
      <c r="H75" s="9"/>
      <c r="I75" s="38" t="s">
        <v>76</v>
      </c>
      <c r="J75" s="38" t="s">
        <v>76</v>
      </c>
    </row>
    <row r="76" spans="1:10" s="37" customFormat="1" x14ac:dyDescent="0.25">
      <c r="A76" s="22"/>
      <c r="B76" s="22"/>
      <c r="C76" s="22"/>
      <c r="D76" s="69"/>
      <c r="E76" s="69"/>
      <c r="F76" s="22"/>
      <c r="H76" s="9"/>
      <c r="I76" s="40" t="s">
        <v>66</v>
      </c>
      <c r="J76" s="40" t="s">
        <v>66</v>
      </c>
    </row>
    <row r="77" spans="1:10" x14ac:dyDescent="0.25">
      <c r="A77" s="39" t="s">
        <v>79</v>
      </c>
      <c r="B77" s="57" t="s">
        <v>36</v>
      </c>
      <c r="C77" s="57" t="s">
        <v>0</v>
      </c>
      <c r="D77" s="57" t="s">
        <v>1</v>
      </c>
      <c r="E77" s="58" t="s">
        <v>2</v>
      </c>
      <c r="F77" s="57" t="s">
        <v>3</v>
      </c>
      <c r="G77" s="41" t="s">
        <v>74</v>
      </c>
      <c r="H77" s="41" t="s">
        <v>72</v>
      </c>
      <c r="I77" s="59" t="s">
        <v>77</v>
      </c>
      <c r="J77" s="59" t="s">
        <v>50</v>
      </c>
    </row>
    <row r="78" spans="1:10" s="37" customFormat="1" x14ac:dyDescent="0.25">
      <c r="A78" s="53"/>
      <c r="B78" s="22"/>
      <c r="C78" s="22"/>
      <c r="D78" s="69"/>
      <c r="E78" s="69">
        <v>0</v>
      </c>
      <c r="F78" s="22">
        <v>0</v>
      </c>
      <c r="G78" s="45">
        <f>D78-E78</f>
        <v>0</v>
      </c>
      <c r="H78" s="64" t="e">
        <f>G78/C78</f>
        <v>#DIV/0!</v>
      </c>
      <c r="I78" s="75"/>
      <c r="J78" s="65"/>
    </row>
    <row r="79" spans="1:10" x14ac:dyDescent="0.25">
      <c r="A79" s="22"/>
      <c r="B79" s="22"/>
      <c r="C79" s="22"/>
      <c r="D79" s="69"/>
      <c r="E79" s="69"/>
      <c r="F79" s="22"/>
      <c r="G79" s="45">
        <f t="shared" ref="G79:G80" si="16">D79-E79</f>
        <v>0</v>
      </c>
      <c r="H79" s="64" t="e">
        <f t="shared" ref="H79:H80" si="17">G79/C79</f>
        <v>#DIV/0!</v>
      </c>
      <c r="I79" s="15"/>
      <c r="J79" s="65"/>
    </row>
    <row r="80" spans="1:10" x14ac:dyDescent="0.25">
      <c r="A80" s="22"/>
      <c r="B80" s="22"/>
      <c r="C80" s="22"/>
      <c r="D80" s="69"/>
      <c r="E80" s="69"/>
      <c r="F80" s="22"/>
      <c r="G80" s="45">
        <f t="shared" si="16"/>
        <v>0</v>
      </c>
      <c r="H80" s="64" t="e">
        <f t="shared" si="17"/>
        <v>#DIV/0!</v>
      </c>
      <c r="I80" s="15"/>
      <c r="J80" s="65"/>
    </row>
    <row r="81" spans="1:12" s="37" customFormat="1" x14ac:dyDescent="0.25">
      <c r="A81" s="55"/>
      <c r="B81" s="55"/>
      <c r="C81" s="55">
        <f t="shared" ref="C81:F81" si="18">SUM(C78:C80)</f>
        <v>0</v>
      </c>
      <c r="D81" s="68">
        <f t="shared" si="18"/>
        <v>0</v>
      </c>
      <c r="E81" s="68">
        <f t="shared" si="18"/>
        <v>0</v>
      </c>
      <c r="F81" s="55">
        <f t="shared" si="18"/>
        <v>0</v>
      </c>
      <c r="G81" s="54">
        <f t="shared" ref="G81" si="19">D81-E81</f>
        <v>0</v>
      </c>
      <c r="H81" s="68" t="e">
        <f t="shared" ref="H81" si="20">G81/C81</f>
        <v>#DIV/0!</v>
      </c>
      <c r="I81" s="55"/>
      <c r="J81" s="56"/>
    </row>
    <row r="82" spans="1:12" ht="16.5" thickBot="1" x14ac:dyDescent="0.3"/>
    <row r="83" spans="1:12" x14ac:dyDescent="0.25">
      <c r="I83" s="38" t="s">
        <v>76</v>
      </c>
      <c r="J83" s="38" t="s">
        <v>76</v>
      </c>
    </row>
    <row r="84" spans="1:12" x14ac:dyDescent="0.25">
      <c r="I84" s="40" t="s">
        <v>66</v>
      </c>
      <c r="J84" s="40" t="s">
        <v>66</v>
      </c>
    </row>
    <row r="85" spans="1:12" x14ac:dyDescent="0.25">
      <c r="A85" s="39" t="s">
        <v>79</v>
      </c>
      <c r="B85" s="57" t="s">
        <v>29</v>
      </c>
      <c r="C85" s="57" t="s">
        <v>0</v>
      </c>
      <c r="D85" s="57" t="s">
        <v>1</v>
      </c>
      <c r="E85" s="58" t="s">
        <v>2</v>
      </c>
      <c r="F85" s="57" t="s">
        <v>3</v>
      </c>
      <c r="G85" s="41" t="s">
        <v>74</v>
      </c>
      <c r="H85" s="41" t="s">
        <v>72</v>
      </c>
      <c r="I85" s="59" t="s">
        <v>77</v>
      </c>
      <c r="J85" s="59" t="s">
        <v>50</v>
      </c>
    </row>
    <row r="86" spans="1:12" ht="15" customHeight="1" x14ac:dyDescent="0.25">
      <c r="A86" s="53" t="s">
        <v>99</v>
      </c>
      <c r="B86" s="70" t="s">
        <v>69</v>
      </c>
      <c r="C86" s="42">
        <f>1457+1974+2100+2100</f>
        <v>7631</v>
      </c>
      <c r="D86" s="43">
        <f>22874.9+30991.8+32970+32970</f>
        <v>119806.7</v>
      </c>
      <c r="E86" s="43">
        <v>0</v>
      </c>
      <c r="F86" s="44">
        <f>400+350+400+400</f>
        <v>1550</v>
      </c>
      <c r="G86" s="45">
        <f>D86-E86</f>
        <v>119806.7</v>
      </c>
      <c r="H86" s="64">
        <f>G86/C86</f>
        <v>15.7</v>
      </c>
      <c r="I86" s="48"/>
      <c r="J86" s="67"/>
      <c r="K86" s="9" t="s">
        <v>103</v>
      </c>
    </row>
    <row r="87" spans="1:12" x14ac:dyDescent="0.25">
      <c r="A87" s="53" t="s">
        <v>120</v>
      </c>
      <c r="B87" s="72" t="s">
        <v>121</v>
      </c>
      <c r="C87" s="42">
        <v>25</v>
      </c>
      <c r="D87" s="43">
        <v>425</v>
      </c>
      <c r="E87" s="43">
        <v>0</v>
      </c>
      <c r="F87" s="44">
        <v>0</v>
      </c>
      <c r="G87" s="45">
        <f t="shared" ref="G87:G93" si="21">D87-E87</f>
        <v>425</v>
      </c>
      <c r="H87" s="64">
        <f t="shared" ref="H87:H93" si="22">G87/C87</f>
        <v>17</v>
      </c>
      <c r="I87" s="46">
        <v>6.2125118627889471</v>
      </c>
      <c r="J87" s="65">
        <v>0.36544187428170277</v>
      </c>
      <c r="K87" s="9" t="s">
        <v>92</v>
      </c>
      <c r="L87" s="9" t="s">
        <v>91</v>
      </c>
    </row>
    <row r="88" spans="1:12" ht="16.5" customHeight="1" x14ac:dyDescent="0.25">
      <c r="A88" s="53" t="s">
        <v>177</v>
      </c>
      <c r="B88" s="70" t="s">
        <v>176</v>
      </c>
      <c r="C88" s="42">
        <v>1400</v>
      </c>
      <c r="D88" s="43">
        <v>22400</v>
      </c>
      <c r="E88" s="43">
        <v>0</v>
      </c>
      <c r="F88" s="44">
        <v>0</v>
      </c>
      <c r="G88" s="45">
        <f t="shared" si="21"/>
        <v>22400</v>
      </c>
      <c r="H88" s="64">
        <f t="shared" si="22"/>
        <v>16</v>
      </c>
      <c r="I88" s="46"/>
      <c r="J88" s="65"/>
      <c r="K88" s="9" t="s">
        <v>103</v>
      </c>
    </row>
    <row r="89" spans="1:12" ht="15.75" customHeight="1" x14ac:dyDescent="0.25">
      <c r="A89" s="53"/>
      <c r="B89" s="72"/>
      <c r="C89" s="42"/>
      <c r="D89" s="43"/>
      <c r="E89" s="43">
        <v>0</v>
      </c>
      <c r="F89" s="44">
        <v>0</v>
      </c>
      <c r="G89" s="45">
        <f t="shared" si="21"/>
        <v>0</v>
      </c>
      <c r="H89" s="64" t="e">
        <f t="shared" si="22"/>
        <v>#DIV/0!</v>
      </c>
      <c r="I89" s="15"/>
      <c r="J89" s="65"/>
    </row>
    <row r="90" spans="1:12" x14ac:dyDescent="0.25">
      <c r="A90" s="53"/>
      <c r="B90" s="70"/>
      <c r="C90" s="42"/>
      <c r="D90" s="43"/>
      <c r="E90" s="43">
        <v>0</v>
      </c>
      <c r="F90" s="44">
        <v>0</v>
      </c>
      <c r="G90" s="45">
        <f t="shared" si="21"/>
        <v>0</v>
      </c>
      <c r="H90" s="64" t="e">
        <f t="shared" si="22"/>
        <v>#DIV/0!</v>
      </c>
      <c r="I90" s="15"/>
      <c r="J90" s="65"/>
    </row>
    <row r="91" spans="1:12" ht="15.75" customHeight="1" x14ac:dyDescent="0.25">
      <c r="A91" s="53"/>
      <c r="B91" s="72"/>
      <c r="C91" s="42"/>
      <c r="D91" s="43"/>
      <c r="E91" s="43">
        <v>0</v>
      </c>
      <c r="F91" s="44">
        <v>0</v>
      </c>
      <c r="G91" s="45">
        <f t="shared" si="21"/>
        <v>0</v>
      </c>
      <c r="H91" s="64" t="e">
        <f t="shared" si="22"/>
        <v>#DIV/0!</v>
      </c>
      <c r="I91" s="15"/>
      <c r="J91" s="65"/>
    </row>
    <row r="92" spans="1:12" x14ac:dyDescent="0.25">
      <c r="A92" s="53"/>
      <c r="B92" s="72"/>
      <c r="C92" s="42"/>
      <c r="D92" s="43"/>
      <c r="E92" s="43">
        <v>0</v>
      </c>
      <c r="F92" s="44">
        <v>0</v>
      </c>
      <c r="G92" s="45">
        <f t="shared" si="21"/>
        <v>0</v>
      </c>
      <c r="H92" s="64" t="e">
        <f t="shared" si="22"/>
        <v>#DIV/0!</v>
      </c>
      <c r="I92" s="15"/>
      <c r="J92" s="65"/>
    </row>
    <row r="93" spans="1:12" x14ac:dyDescent="0.25">
      <c r="A93" s="53"/>
      <c r="B93" s="72"/>
      <c r="C93" s="42"/>
      <c r="D93" s="43"/>
      <c r="E93" s="43">
        <v>0</v>
      </c>
      <c r="F93" s="44">
        <v>0</v>
      </c>
      <c r="G93" s="45">
        <f t="shared" si="21"/>
        <v>0</v>
      </c>
      <c r="H93" s="64" t="e">
        <f t="shared" si="22"/>
        <v>#DIV/0!</v>
      </c>
      <c r="I93" s="15"/>
      <c r="J93" s="65"/>
    </row>
    <row r="94" spans="1:12" x14ac:dyDescent="0.25">
      <c r="A94" s="53"/>
      <c r="B94" s="72"/>
      <c r="C94" s="42"/>
      <c r="D94" s="43"/>
      <c r="E94" s="43">
        <v>0</v>
      </c>
      <c r="F94" s="44">
        <v>0</v>
      </c>
      <c r="G94" s="45">
        <f>D94-E94</f>
        <v>0</v>
      </c>
      <c r="H94" s="64" t="e">
        <f>G94/C94</f>
        <v>#DIV/0!</v>
      </c>
      <c r="I94" s="15"/>
      <c r="J94" s="65"/>
    </row>
    <row r="95" spans="1:12" x14ac:dyDescent="0.25">
      <c r="A95" s="61" t="s">
        <v>27</v>
      </c>
      <c r="B95" s="61"/>
      <c r="C95" s="62">
        <f t="shared" ref="C95:F95" si="23">SUM(C86:C94)</f>
        <v>9056</v>
      </c>
      <c r="D95" s="73">
        <f t="shared" si="23"/>
        <v>142631.70000000001</v>
      </c>
      <c r="E95" s="73">
        <f t="shared" si="23"/>
        <v>0</v>
      </c>
      <c r="F95" s="62">
        <f t="shared" si="23"/>
        <v>1550</v>
      </c>
      <c r="G95" s="54">
        <f>D95-E95</f>
        <v>142631.70000000001</v>
      </c>
      <c r="H95" s="68">
        <f>G95/C95</f>
        <v>15.749966872791521</v>
      </c>
      <c r="I95" s="55"/>
      <c r="J95" s="56"/>
    </row>
    <row r="97" spans="1:10" s="63" customFormat="1" x14ac:dyDescent="0.25"/>
    <row r="98" spans="1:10" s="37" customFormat="1" hidden="1" x14ac:dyDescent="0.25">
      <c r="G98" s="9"/>
      <c r="H98" s="9"/>
      <c r="I98" s="38" t="s">
        <v>76</v>
      </c>
      <c r="J98" s="38" t="s">
        <v>76</v>
      </c>
    </row>
    <row r="99" spans="1:10" s="37" customFormat="1" hidden="1" x14ac:dyDescent="0.25">
      <c r="G99" s="9"/>
      <c r="H99" s="9"/>
      <c r="I99" s="40" t="s">
        <v>66</v>
      </c>
      <c r="J99" s="40" t="s">
        <v>66</v>
      </c>
    </row>
    <row r="100" spans="1:10" hidden="1" x14ac:dyDescent="0.25">
      <c r="A100" s="39" t="s">
        <v>79</v>
      </c>
      <c r="B100" s="57" t="s">
        <v>28</v>
      </c>
      <c r="C100" s="57" t="s">
        <v>0</v>
      </c>
      <c r="D100" s="57" t="s">
        <v>1</v>
      </c>
      <c r="E100" s="58" t="s">
        <v>2</v>
      </c>
      <c r="F100" s="57" t="s">
        <v>3</v>
      </c>
      <c r="G100" s="41" t="s">
        <v>74</v>
      </c>
      <c r="H100" s="41" t="s">
        <v>72</v>
      </c>
      <c r="I100" s="59" t="s">
        <v>77</v>
      </c>
      <c r="J100" s="59" t="s">
        <v>50</v>
      </c>
    </row>
    <row r="101" spans="1:10" hidden="1" x14ac:dyDescent="0.25">
      <c r="A101" s="53"/>
      <c r="B101" s="32"/>
      <c r="C101" s="50"/>
      <c r="D101" s="49"/>
      <c r="E101" s="43">
        <v>0</v>
      </c>
      <c r="F101" s="44">
        <v>0</v>
      </c>
      <c r="G101" s="45">
        <f>D101-E101</f>
        <v>0</v>
      </c>
      <c r="H101" s="64" t="e">
        <f>G101/C101</f>
        <v>#DIV/0!</v>
      </c>
      <c r="I101" s="15"/>
      <c r="J101" s="65"/>
    </row>
    <row r="102" spans="1:10" hidden="1" x14ac:dyDescent="0.25">
      <c r="A102" s="53"/>
      <c r="B102" s="32"/>
      <c r="C102" s="50"/>
      <c r="D102" s="49"/>
      <c r="E102" s="43">
        <v>0</v>
      </c>
      <c r="F102" s="44">
        <v>0</v>
      </c>
      <c r="G102" s="45">
        <f t="shared" ref="G102:G121" si="24">D102-E102</f>
        <v>0</v>
      </c>
      <c r="H102" s="64" t="e">
        <f t="shared" ref="H102:H121" si="25">G102/C102</f>
        <v>#DIV/0!</v>
      </c>
      <c r="I102" s="15"/>
      <c r="J102" s="65"/>
    </row>
    <row r="103" spans="1:10" hidden="1" x14ac:dyDescent="0.25">
      <c r="A103" s="53"/>
      <c r="B103" s="32"/>
      <c r="C103" s="50"/>
      <c r="D103" s="49"/>
      <c r="E103" s="43">
        <v>0</v>
      </c>
      <c r="F103" s="44">
        <v>0</v>
      </c>
      <c r="G103" s="45">
        <f t="shared" si="24"/>
        <v>0</v>
      </c>
      <c r="H103" s="64" t="e">
        <f t="shared" si="25"/>
        <v>#DIV/0!</v>
      </c>
      <c r="I103" s="15"/>
      <c r="J103" s="65"/>
    </row>
    <row r="104" spans="1:10" hidden="1" x14ac:dyDescent="0.25">
      <c r="A104" s="53"/>
      <c r="B104" s="32"/>
      <c r="C104" s="50"/>
      <c r="D104" s="49"/>
      <c r="E104" s="43">
        <v>0</v>
      </c>
      <c r="F104" s="44">
        <v>0</v>
      </c>
      <c r="G104" s="45">
        <f t="shared" si="24"/>
        <v>0</v>
      </c>
      <c r="H104" s="64" t="e">
        <f t="shared" si="25"/>
        <v>#DIV/0!</v>
      </c>
      <c r="I104" s="15"/>
      <c r="J104" s="65"/>
    </row>
    <row r="105" spans="1:10" hidden="1" x14ac:dyDescent="0.25">
      <c r="A105" s="53"/>
      <c r="B105" s="32"/>
      <c r="C105" s="50"/>
      <c r="D105" s="49"/>
      <c r="E105" s="43">
        <v>0</v>
      </c>
      <c r="F105" s="44">
        <v>0</v>
      </c>
      <c r="G105" s="45">
        <f t="shared" si="24"/>
        <v>0</v>
      </c>
      <c r="H105" s="64" t="e">
        <f t="shared" si="25"/>
        <v>#DIV/0!</v>
      </c>
      <c r="I105" s="15"/>
      <c r="J105" s="65"/>
    </row>
    <row r="106" spans="1:10" hidden="1" x14ac:dyDescent="0.25">
      <c r="A106" s="15"/>
      <c r="B106" s="32"/>
      <c r="C106" s="50"/>
      <c r="D106" s="49"/>
      <c r="E106" s="43">
        <v>0</v>
      </c>
      <c r="F106" s="44">
        <v>0</v>
      </c>
      <c r="G106" s="45">
        <f t="shared" si="24"/>
        <v>0</v>
      </c>
      <c r="H106" s="64" t="e">
        <f t="shared" si="25"/>
        <v>#DIV/0!</v>
      </c>
      <c r="I106" s="15"/>
      <c r="J106" s="65"/>
    </row>
    <row r="107" spans="1:10" hidden="1" x14ac:dyDescent="0.25">
      <c r="A107" s="53"/>
      <c r="B107" s="32"/>
      <c r="C107" s="50"/>
      <c r="D107" s="49"/>
      <c r="E107" s="43">
        <v>0</v>
      </c>
      <c r="F107" s="44">
        <v>0</v>
      </c>
      <c r="G107" s="45">
        <f t="shared" si="24"/>
        <v>0</v>
      </c>
      <c r="H107" s="64" t="e">
        <f t="shared" si="25"/>
        <v>#DIV/0!</v>
      </c>
      <c r="I107" s="15"/>
      <c r="J107" s="65"/>
    </row>
    <row r="108" spans="1:10" ht="15" hidden="1" customHeight="1" x14ac:dyDescent="0.25">
      <c r="A108" s="53"/>
      <c r="B108" s="32"/>
      <c r="C108" s="50"/>
      <c r="D108" s="49"/>
      <c r="E108" s="43">
        <v>0</v>
      </c>
      <c r="F108" s="44">
        <v>0</v>
      </c>
      <c r="G108" s="45">
        <f t="shared" si="24"/>
        <v>0</v>
      </c>
      <c r="H108" s="64" t="e">
        <f t="shared" si="25"/>
        <v>#DIV/0!</v>
      </c>
      <c r="I108" s="15"/>
      <c r="J108" s="65"/>
    </row>
    <row r="109" spans="1:10" hidden="1" x14ac:dyDescent="0.25">
      <c r="A109" s="53"/>
      <c r="B109" s="32"/>
      <c r="C109" s="50"/>
      <c r="D109" s="49"/>
      <c r="E109" s="43">
        <v>0</v>
      </c>
      <c r="F109" s="44">
        <v>0</v>
      </c>
      <c r="G109" s="45">
        <f t="shared" si="24"/>
        <v>0</v>
      </c>
      <c r="H109" s="64" t="e">
        <f t="shared" si="25"/>
        <v>#DIV/0!</v>
      </c>
      <c r="I109" s="15"/>
      <c r="J109" s="65"/>
    </row>
    <row r="110" spans="1:10" hidden="1" x14ac:dyDescent="0.25">
      <c r="A110" s="53"/>
      <c r="B110" s="32"/>
      <c r="C110" s="50"/>
      <c r="D110" s="49"/>
      <c r="E110" s="43">
        <v>0</v>
      </c>
      <c r="F110" s="44">
        <v>0</v>
      </c>
      <c r="G110" s="45">
        <f t="shared" si="24"/>
        <v>0</v>
      </c>
      <c r="H110" s="64" t="e">
        <f t="shared" si="25"/>
        <v>#DIV/0!</v>
      </c>
      <c r="I110" s="15"/>
      <c r="J110" s="65"/>
    </row>
    <row r="111" spans="1:10" hidden="1" x14ac:dyDescent="0.25">
      <c r="A111" s="15"/>
      <c r="B111" s="32"/>
      <c r="C111" s="50"/>
      <c r="D111" s="49"/>
      <c r="E111" s="43">
        <v>0</v>
      </c>
      <c r="F111" s="44">
        <v>0</v>
      </c>
      <c r="G111" s="45">
        <f t="shared" si="24"/>
        <v>0</v>
      </c>
      <c r="H111" s="64" t="e">
        <f t="shared" si="25"/>
        <v>#DIV/0!</v>
      </c>
      <c r="I111" s="15"/>
      <c r="J111" s="65"/>
    </row>
    <row r="112" spans="1:10" hidden="1" x14ac:dyDescent="0.25">
      <c r="A112" s="53"/>
      <c r="B112" s="32"/>
      <c r="C112" s="44"/>
      <c r="D112" s="43"/>
      <c r="E112" s="43">
        <v>0</v>
      </c>
      <c r="F112" s="44">
        <v>0</v>
      </c>
      <c r="G112" s="45">
        <f t="shared" si="24"/>
        <v>0</v>
      </c>
      <c r="H112" s="64" t="e">
        <f t="shared" si="25"/>
        <v>#DIV/0!</v>
      </c>
      <c r="I112" s="15"/>
      <c r="J112" s="65"/>
    </row>
    <row r="113" spans="1:10" hidden="1" x14ac:dyDescent="0.25">
      <c r="A113" s="53"/>
      <c r="B113" s="32"/>
      <c r="C113" s="44"/>
      <c r="D113" s="43"/>
      <c r="E113" s="43">
        <v>0</v>
      </c>
      <c r="F113" s="44">
        <v>0</v>
      </c>
      <c r="G113" s="45">
        <f t="shared" si="24"/>
        <v>0</v>
      </c>
      <c r="H113" s="64" t="e">
        <f t="shared" si="25"/>
        <v>#DIV/0!</v>
      </c>
      <c r="I113" s="15"/>
      <c r="J113" s="65"/>
    </row>
    <row r="114" spans="1:10" hidden="1" x14ac:dyDescent="0.25">
      <c r="A114" s="53"/>
      <c r="B114" s="32"/>
      <c r="C114" s="44"/>
      <c r="D114" s="43"/>
      <c r="E114" s="43"/>
      <c r="F114" s="44">
        <v>0</v>
      </c>
      <c r="G114" s="45">
        <f t="shared" si="24"/>
        <v>0</v>
      </c>
      <c r="H114" s="64" t="e">
        <f t="shared" si="25"/>
        <v>#DIV/0!</v>
      </c>
      <c r="I114" s="15"/>
      <c r="J114" s="65"/>
    </row>
    <row r="115" spans="1:10" hidden="1" x14ac:dyDescent="0.25">
      <c r="A115" s="53"/>
      <c r="B115" s="32"/>
      <c r="C115" s="44"/>
      <c r="D115" s="43"/>
      <c r="E115" s="43"/>
      <c r="F115" s="44">
        <v>0</v>
      </c>
      <c r="G115" s="45">
        <f t="shared" si="24"/>
        <v>0</v>
      </c>
      <c r="H115" s="64" t="e">
        <f t="shared" si="25"/>
        <v>#DIV/0!</v>
      </c>
      <c r="I115" s="15"/>
      <c r="J115" s="65"/>
    </row>
    <row r="116" spans="1:10" hidden="1" x14ac:dyDescent="0.25">
      <c r="A116" s="15"/>
      <c r="B116" s="15"/>
      <c r="C116" s="44"/>
      <c r="D116" s="43"/>
      <c r="E116" s="43"/>
      <c r="F116" s="44"/>
      <c r="G116" s="45">
        <f t="shared" si="24"/>
        <v>0</v>
      </c>
      <c r="H116" s="64" t="e">
        <f t="shared" si="25"/>
        <v>#DIV/0!</v>
      </c>
      <c r="I116" s="15"/>
      <c r="J116" s="65"/>
    </row>
    <row r="117" spans="1:10" hidden="1" x14ac:dyDescent="0.25">
      <c r="A117" s="15"/>
      <c r="B117" s="15"/>
      <c r="C117" s="44"/>
      <c r="D117" s="43"/>
      <c r="E117" s="43"/>
      <c r="F117" s="44"/>
      <c r="G117" s="45">
        <f t="shared" si="24"/>
        <v>0</v>
      </c>
      <c r="H117" s="64" t="e">
        <f t="shared" si="25"/>
        <v>#DIV/0!</v>
      </c>
      <c r="I117" s="15"/>
      <c r="J117" s="65"/>
    </row>
    <row r="118" spans="1:10" hidden="1" x14ac:dyDescent="0.25">
      <c r="A118" s="15"/>
      <c r="B118" s="15"/>
      <c r="C118" s="44"/>
      <c r="D118" s="43"/>
      <c r="E118" s="43"/>
      <c r="F118" s="44"/>
      <c r="G118" s="45">
        <f t="shared" si="24"/>
        <v>0</v>
      </c>
      <c r="H118" s="64" t="e">
        <f t="shared" si="25"/>
        <v>#DIV/0!</v>
      </c>
      <c r="I118" s="15"/>
      <c r="J118" s="65"/>
    </row>
    <row r="119" spans="1:10" hidden="1" x14ac:dyDescent="0.25">
      <c r="A119" s="15"/>
      <c r="B119" s="15"/>
      <c r="C119" s="44"/>
      <c r="D119" s="43"/>
      <c r="E119" s="43"/>
      <c r="F119" s="44"/>
      <c r="G119" s="45">
        <f t="shared" si="24"/>
        <v>0</v>
      </c>
      <c r="H119" s="64" t="e">
        <f t="shared" si="25"/>
        <v>#DIV/0!</v>
      </c>
      <c r="I119" s="15"/>
      <c r="J119" s="65"/>
    </row>
    <row r="120" spans="1:10" hidden="1" x14ac:dyDescent="0.25">
      <c r="A120" s="15"/>
      <c r="B120" s="15"/>
      <c r="C120" s="44"/>
      <c r="D120" s="43"/>
      <c r="E120" s="43"/>
      <c r="F120" s="44"/>
      <c r="G120" s="45">
        <f t="shared" si="24"/>
        <v>0</v>
      </c>
      <c r="H120" s="64" t="e">
        <f t="shared" si="25"/>
        <v>#DIV/0!</v>
      </c>
      <c r="I120" s="15"/>
      <c r="J120" s="65"/>
    </row>
    <row r="121" spans="1:10" hidden="1" x14ac:dyDescent="0.25">
      <c r="A121" s="61"/>
      <c r="B121" s="61"/>
      <c r="C121" s="61">
        <f t="shared" ref="C121:F121" si="26">SUM(C101:C120)</f>
        <v>0</v>
      </c>
      <c r="D121" s="54">
        <f t="shared" si="26"/>
        <v>0</v>
      </c>
      <c r="E121" s="54">
        <f t="shared" si="26"/>
        <v>0</v>
      </c>
      <c r="F121" s="61">
        <f t="shared" si="26"/>
        <v>0</v>
      </c>
      <c r="G121" s="54">
        <f t="shared" si="24"/>
        <v>0</v>
      </c>
      <c r="H121" s="68" t="e">
        <f t="shared" si="25"/>
        <v>#DIV/0!</v>
      </c>
      <c r="I121" s="55">
        <v>363.43</v>
      </c>
      <c r="J121" s="56">
        <v>0.28199999999999997</v>
      </c>
    </row>
    <row r="122" spans="1:10" s="37" customFormat="1" ht="16.5" hidden="1" thickBot="1" x14ac:dyDescent="0.3">
      <c r="A122" s="9"/>
      <c r="B122" s="9"/>
      <c r="C122" s="9"/>
      <c r="D122" s="9"/>
      <c r="E122" s="9"/>
      <c r="F122" s="9"/>
    </row>
    <row r="123" spans="1:10" s="37" customFormat="1" hidden="1" x14ac:dyDescent="0.25">
      <c r="A123" s="9"/>
      <c r="B123" s="9"/>
      <c r="C123" s="9"/>
      <c r="D123" s="9"/>
      <c r="E123" s="9"/>
      <c r="F123" s="9"/>
      <c r="G123" s="9"/>
      <c r="H123" s="9"/>
      <c r="I123" s="38" t="s">
        <v>76</v>
      </c>
      <c r="J123" s="38" t="s">
        <v>76</v>
      </c>
    </row>
    <row r="124" spans="1:10" s="37" customFormat="1" hidden="1" x14ac:dyDescent="0.25">
      <c r="A124" s="9"/>
      <c r="B124" s="9"/>
      <c r="C124" s="9"/>
      <c r="D124" s="9"/>
      <c r="E124" s="9"/>
      <c r="F124" s="9"/>
      <c r="G124" s="9"/>
      <c r="H124" s="9"/>
      <c r="I124" s="40" t="s">
        <v>66</v>
      </c>
      <c r="J124" s="40" t="s">
        <v>66</v>
      </c>
    </row>
    <row r="125" spans="1:10" hidden="1" x14ac:dyDescent="0.25">
      <c r="A125" s="39" t="s">
        <v>79</v>
      </c>
      <c r="B125" s="57" t="s">
        <v>36</v>
      </c>
      <c r="C125" s="57" t="s">
        <v>0</v>
      </c>
      <c r="D125" s="57" t="s">
        <v>1</v>
      </c>
      <c r="E125" s="58" t="s">
        <v>2</v>
      </c>
      <c r="F125" s="57" t="s">
        <v>3</v>
      </c>
      <c r="G125" s="41" t="s">
        <v>74</v>
      </c>
      <c r="H125" s="41" t="s">
        <v>72</v>
      </c>
      <c r="I125" s="59" t="s">
        <v>77</v>
      </c>
      <c r="J125" s="59" t="s">
        <v>50</v>
      </c>
    </row>
    <row r="126" spans="1:10" hidden="1" x14ac:dyDescent="0.25">
      <c r="A126" s="53"/>
      <c r="B126" s="22"/>
      <c r="C126" s="22"/>
      <c r="D126" s="69"/>
      <c r="E126" s="43">
        <v>0</v>
      </c>
      <c r="F126" s="44">
        <v>0</v>
      </c>
      <c r="G126" s="45">
        <f>D126-E126</f>
        <v>0</v>
      </c>
      <c r="H126" s="64" t="e">
        <f>G126/C126</f>
        <v>#DIV/0!</v>
      </c>
      <c r="I126" s="15"/>
      <c r="J126" s="65"/>
    </row>
    <row r="127" spans="1:10" hidden="1" x14ac:dyDescent="0.25">
      <c r="A127" s="22"/>
      <c r="B127" s="22"/>
      <c r="C127" s="22"/>
      <c r="D127" s="69"/>
      <c r="E127" s="69"/>
      <c r="F127" s="22"/>
      <c r="G127" s="45">
        <f t="shared" ref="G127:G128" si="27">D127-E127</f>
        <v>0</v>
      </c>
      <c r="H127" s="64" t="e">
        <f t="shared" ref="H127:H128" si="28">G127/C127</f>
        <v>#DIV/0!</v>
      </c>
      <c r="I127" s="15"/>
      <c r="J127" s="65"/>
    </row>
    <row r="128" spans="1:10" s="37" customFormat="1" hidden="1" x14ac:dyDescent="0.25">
      <c r="A128" s="55"/>
      <c r="B128" s="55"/>
      <c r="C128" s="55">
        <f t="shared" ref="C128:F128" si="29">SUM(C126:C127)</f>
        <v>0</v>
      </c>
      <c r="D128" s="68">
        <f t="shared" si="29"/>
        <v>0</v>
      </c>
      <c r="E128" s="68">
        <f t="shared" si="29"/>
        <v>0</v>
      </c>
      <c r="F128" s="55">
        <f t="shared" si="29"/>
        <v>0</v>
      </c>
      <c r="G128" s="54">
        <f t="shared" si="27"/>
        <v>0</v>
      </c>
      <c r="H128" s="68" t="e">
        <f t="shared" si="28"/>
        <v>#DIV/0!</v>
      </c>
      <c r="I128" s="55"/>
      <c r="J128" s="56"/>
    </row>
    <row r="129" spans="1:10" ht="16.5" hidden="1" thickBot="1" x14ac:dyDescent="0.3"/>
    <row r="130" spans="1:10" hidden="1" x14ac:dyDescent="0.25">
      <c r="I130" s="38" t="s">
        <v>76</v>
      </c>
      <c r="J130" s="38" t="s">
        <v>76</v>
      </c>
    </row>
    <row r="131" spans="1:10" hidden="1" x14ac:dyDescent="0.25">
      <c r="I131" s="40" t="s">
        <v>66</v>
      </c>
      <c r="J131" s="40" t="s">
        <v>66</v>
      </c>
    </row>
    <row r="132" spans="1:10" hidden="1" x14ac:dyDescent="0.25">
      <c r="A132" s="39" t="s">
        <v>79</v>
      </c>
      <c r="B132" s="57" t="s">
        <v>29</v>
      </c>
      <c r="C132" s="57" t="s">
        <v>0</v>
      </c>
      <c r="D132" s="57" t="s">
        <v>1</v>
      </c>
      <c r="E132" s="58" t="s">
        <v>2</v>
      </c>
      <c r="F132" s="57" t="s">
        <v>3</v>
      </c>
      <c r="G132" s="41" t="s">
        <v>74</v>
      </c>
      <c r="H132" s="41" t="s">
        <v>72</v>
      </c>
      <c r="I132" s="59" t="s">
        <v>77</v>
      </c>
      <c r="J132" s="59" t="s">
        <v>50</v>
      </c>
    </row>
    <row r="133" spans="1:10" hidden="1" x14ac:dyDescent="0.25">
      <c r="A133" s="53"/>
      <c r="B133" s="70"/>
      <c r="C133" s="42"/>
      <c r="D133" s="43"/>
      <c r="E133" s="43">
        <v>0</v>
      </c>
      <c r="F133" s="44">
        <v>0</v>
      </c>
      <c r="G133" s="45">
        <f>D133-E133</f>
        <v>0</v>
      </c>
      <c r="H133" s="64" t="e">
        <f>G133/C133</f>
        <v>#DIV/0!</v>
      </c>
      <c r="I133" s="15"/>
      <c r="J133" s="65"/>
    </row>
    <row r="134" spans="1:10" hidden="1" x14ac:dyDescent="0.25">
      <c r="A134" s="53"/>
      <c r="B134" s="70"/>
      <c r="C134" s="42"/>
      <c r="D134" s="43"/>
      <c r="E134" s="43">
        <v>0</v>
      </c>
      <c r="F134" s="44">
        <v>0</v>
      </c>
      <c r="G134" s="45">
        <f t="shared" ref="G134:G142" si="30">D134-E134</f>
        <v>0</v>
      </c>
      <c r="H134" s="64" t="e">
        <f t="shared" ref="H134:H142" si="31">G134/C134</f>
        <v>#DIV/0!</v>
      </c>
      <c r="I134" s="15"/>
      <c r="J134" s="65"/>
    </row>
    <row r="135" spans="1:10" hidden="1" x14ac:dyDescent="0.25">
      <c r="A135" s="53"/>
      <c r="B135" s="72"/>
      <c r="C135" s="42"/>
      <c r="D135" s="43"/>
      <c r="E135" s="43">
        <v>0</v>
      </c>
      <c r="F135" s="44">
        <v>0</v>
      </c>
      <c r="G135" s="45">
        <f t="shared" si="30"/>
        <v>0</v>
      </c>
      <c r="H135" s="64" t="e">
        <f t="shared" si="31"/>
        <v>#DIV/0!</v>
      </c>
      <c r="I135" s="15"/>
      <c r="J135" s="65"/>
    </row>
    <row r="136" spans="1:10" hidden="1" x14ac:dyDescent="0.25">
      <c r="A136" s="53"/>
      <c r="B136" s="70"/>
      <c r="C136" s="42"/>
      <c r="D136" s="43"/>
      <c r="E136" s="43">
        <v>0</v>
      </c>
      <c r="F136" s="44">
        <v>0</v>
      </c>
      <c r="G136" s="45">
        <f t="shared" si="30"/>
        <v>0</v>
      </c>
      <c r="H136" s="64" t="e">
        <f t="shared" si="31"/>
        <v>#DIV/0!</v>
      </c>
      <c r="I136" s="15"/>
      <c r="J136" s="65"/>
    </row>
    <row r="137" spans="1:10" hidden="1" x14ac:dyDescent="0.25">
      <c r="A137" s="53"/>
      <c r="B137" s="72"/>
      <c r="C137" s="42"/>
      <c r="D137" s="43"/>
      <c r="E137" s="43">
        <v>0</v>
      </c>
      <c r="F137" s="44">
        <v>0</v>
      </c>
      <c r="G137" s="45">
        <f t="shared" si="30"/>
        <v>0</v>
      </c>
      <c r="H137" s="64" t="e">
        <f t="shared" si="31"/>
        <v>#DIV/0!</v>
      </c>
      <c r="I137" s="15"/>
      <c r="J137" s="65"/>
    </row>
    <row r="138" spans="1:10" hidden="1" x14ac:dyDescent="0.25">
      <c r="A138" s="53"/>
      <c r="B138" s="72"/>
      <c r="C138" s="42"/>
      <c r="D138" s="43"/>
      <c r="E138" s="43">
        <v>0</v>
      </c>
      <c r="F138" s="44">
        <v>0</v>
      </c>
      <c r="G138" s="45">
        <f t="shared" si="30"/>
        <v>0</v>
      </c>
      <c r="H138" s="64" t="e">
        <f t="shared" si="31"/>
        <v>#DIV/0!</v>
      </c>
      <c r="I138" s="15"/>
      <c r="J138" s="65"/>
    </row>
    <row r="139" spans="1:10" hidden="1" x14ac:dyDescent="0.25">
      <c r="A139" s="53"/>
      <c r="B139" s="72"/>
      <c r="C139" s="42"/>
      <c r="D139" s="43"/>
      <c r="E139" s="43">
        <v>0</v>
      </c>
      <c r="F139" s="44">
        <v>0</v>
      </c>
      <c r="G139" s="45">
        <f t="shared" si="30"/>
        <v>0</v>
      </c>
      <c r="H139" s="64" t="e">
        <f t="shared" si="31"/>
        <v>#DIV/0!</v>
      </c>
      <c r="I139" s="15"/>
      <c r="J139" s="65"/>
    </row>
    <row r="140" spans="1:10" hidden="1" x14ac:dyDescent="0.25">
      <c r="A140" s="53"/>
      <c r="B140" s="72"/>
      <c r="C140" s="42"/>
      <c r="D140" s="43"/>
      <c r="E140" s="43">
        <v>0</v>
      </c>
      <c r="F140" s="44">
        <v>0</v>
      </c>
      <c r="G140" s="45">
        <f t="shared" si="30"/>
        <v>0</v>
      </c>
      <c r="H140" s="64" t="e">
        <f t="shared" si="31"/>
        <v>#DIV/0!</v>
      </c>
      <c r="I140" s="15"/>
      <c r="J140" s="65"/>
    </row>
    <row r="141" spans="1:10" hidden="1" x14ac:dyDescent="0.25">
      <c r="A141" s="53"/>
      <c r="B141" s="72"/>
      <c r="C141" s="42"/>
      <c r="D141" s="43"/>
      <c r="E141" s="43">
        <v>0</v>
      </c>
      <c r="F141" s="44">
        <v>0</v>
      </c>
      <c r="G141" s="45">
        <f t="shared" si="30"/>
        <v>0</v>
      </c>
      <c r="H141" s="64" t="e">
        <f t="shared" si="31"/>
        <v>#DIV/0!</v>
      </c>
      <c r="I141" s="15"/>
      <c r="J141" s="65"/>
    </row>
    <row r="142" spans="1:10" hidden="1" x14ac:dyDescent="0.25">
      <c r="A142" s="61" t="s">
        <v>27</v>
      </c>
      <c r="B142" s="61"/>
      <c r="C142" s="62">
        <f t="shared" ref="C142:F142" si="32">SUM(C133:C141)</f>
        <v>0</v>
      </c>
      <c r="D142" s="73">
        <f t="shared" si="32"/>
        <v>0</v>
      </c>
      <c r="E142" s="73">
        <f t="shared" si="32"/>
        <v>0</v>
      </c>
      <c r="F142" s="62">
        <f t="shared" si="32"/>
        <v>0</v>
      </c>
      <c r="G142" s="54">
        <f t="shared" si="30"/>
        <v>0</v>
      </c>
      <c r="H142" s="68" t="e">
        <f t="shared" si="31"/>
        <v>#DIV/0!</v>
      </c>
      <c r="I142" s="55">
        <v>363.43</v>
      </c>
      <c r="J142" s="56">
        <v>0.28199999999999997</v>
      </c>
    </row>
    <row r="143" spans="1:10" hidden="1" x14ac:dyDescent="0.25"/>
    <row r="144" spans="1:10" hidden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50" zoomScaleNormal="50" workbookViewId="0">
      <selection activeCell="Q12" sqref="Q12"/>
    </sheetView>
  </sheetViews>
  <sheetFormatPr defaultRowHeight="23.25" x14ac:dyDescent="0.35"/>
  <cols>
    <col min="1" max="1" width="66.7109375" style="80" bestFit="1" customWidth="1"/>
    <col min="2" max="2" width="29.28515625" style="80" bestFit="1" customWidth="1"/>
    <col min="3" max="3" width="27.28515625" style="80" bestFit="1" customWidth="1"/>
    <col min="4" max="4" width="22.140625" style="80" bestFit="1" customWidth="1"/>
    <col min="5" max="5" width="21.28515625" style="80" bestFit="1" customWidth="1"/>
    <col min="6" max="6" width="22.140625" style="80" bestFit="1" customWidth="1"/>
    <col min="7" max="8" width="25" style="80" bestFit="1" customWidth="1"/>
    <col min="9" max="16384" width="9.140625" style="80"/>
  </cols>
  <sheetData>
    <row r="1" spans="1:11" ht="24" thickBot="1" x14ac:dyDescent="0.4">
      <c r="A1" s="239" t="s">
        <v>51</v>
      </c>
      <c r="B1" s="79"/>
      <c r="C1" s="79"/>
      <c r="D1" s="79"/>
      <c r="E1" s="79"/>
      <c r="F1" s="79"/>
    </row>
    <row r="2" spans="1:11" s="79" customFormat="1" ht="11.25" customHeight="1" x14ac:dyDescent="0.35">
      <c r="A2" s="240"/>
      <c r="B2" s="81"/>
      <c r="C2" s="81"/>
      <c r="G2" s="82" t="s">
        <v>76</v>
      </c>
      <c r="H2" s="82" t="s">
        <v>76</v>
      </c>
      <c r="I2" s="80"/>
      <c r="J2" s="80"/>
      <c r="K2" s="80"/>
    </row>
    <row r="3" spans="1:11" x14ac:dyDescent="0.35">
      <c r="A3" s="83" t="s">
        <v>89</v>
      </c>
      <c r="B3" s="84" t="s">
        <v>23</v>
      </c>
      <c r="C3" s="84" t="s">
        <v>24</v>
      </c>
      <c r="D3" s="85"/>
      <c r="E3" s="85"/>
      <c r="F3" s="86" t="s">
        <v>49</v>
      </c>
      <c r="G3" s="87" t="s">
        <v>66</v>
      </c>
      <c r="H3" s="87" t="s">
        <v>66</v>
      </c>
    </row>
    <row r="4" spans="1:11" x14ac:dyDescent="0.35">
      <c r="A4" s="88" t="s">
        <v>16</v>
      </c>
      <c r="B4" s="89" t="s">
        <v>19</v>
      </c>
      <c r="C4" s="89" t="s">
        <v>20</v>
      </c>
      <c r="D4" s="85" t="s">
        <v>2</v>
      </c>
      <c r="E4" s="85" t="s">
        <v>3</v>
      </c>
      <c r="F4" s="90" t="s">
        <v>48</v>
      </c>
      <c r="G4" s="91" t="s">
        <v>77</v>
      </c>
      <c r="H4" s="91" t="s">
        <v>50</v>
      </c>
    </row>
    <row r="5" spans="1:11" x14ac:dyDescent="0.35">
      <c r="A5" s="92" t="s">
        <v>9</v>
      </c>
      <c r="B5" s="93">
        <f>'INJEÇÃO '!C28</f>
        <v>204480</v>
      </c>
      <c r="C5" s="94">
        <f>'INJEÇÃO '!D28 - D5</f>
        <v>25653.090000000004</v>
      </c>
      <c r="D5" s="94">
        <f>'INJEÇÃO '!E28</f>
        <v>1308.9599999999998</v>
      </c>
      <c r="E5" s="155"/>
      <c r="F5" s="96">
        <f t="shared" ref="F5:F14" si="0">C5/B5</f>
        <v>0.12545525234741786</v>
      </c>
      <c r="G5" s="156">
        <v>42.910933741131572</v>
      </c>
      <c r="H5" s="157">
        <v>0.34328746992905262</v>
      </c>
    </row>
    <row r="6" spans="1:11" ht="24" customHeight="1" x14ac:dyDescent="0.35">
      <c r="A6" s="99" t="s">
        <v>10</v>
      </c>
      <c r="B6" s="100">
        <f>'INJEÇÃO '!C64</f>
        <v>250480</v>
      </c>
      <c r="C6" s="101">
        <f>'INJEÇÃO '!D64 - D6</f>
        <v>30031.719999999998</v>
      </c>
      <c r="D6" s="101">
        <f>'INJEÇÃO '!E64</f>
        <v>612.91999999999996</v>
      </c>
      <c r="E6" s="155"/>
      <c r="F6" s="102">
        <f t="shared" si="0"/>
        <v>0.11989667837751516</v>
      </c>
      <c r="G6" s="156">
        <v>54.758412702504387</v>
      </c>
      <c r="H6" s="157">
        <v>0.42121855925003376</v>
      </c>
    </row>
    <row r="7" spans="1:11" ht="26.25" customHeight="1" x14ac:dyDescent="0.35">
      <c r="A7" s="103" t="s">
        <v>11</v>
      </c>
      <c r="B7" s="100">
        <f>'INJEÇÃO '!C75</f>
        <v>0</v>
      </c>
      <c r="C7" s="101">
        <f>'INJEÇÃO '!D75 - D7</f>
        <v>0</v>
      </c>
      <c r="D7" s="101">
        <f>'INJEÇÃO '!E75</f>
        <v>0</v>
      </c>
      <c r="E7" s="155"/>
      <c r="F7" s="102" t="e">
        <f t="shared" si="0"/>
        <v>#DIV/0!</v>
      </c>
      <c r="G7" s="156"/>
      <c r="H7" s="157"/>
    </row>
    <row r="8" spans="1:11" x14ac:dyDescent="0.35">
      <c r="A8" s="103" t="s">
        <v>12</v>
      </c>
      <c r="B8" s="100">
        <f>'INJEÇÃO '!C98</f>
        <v>1242360</v>
      </c>
      <c r="C8" s="101">
        <f>'INJEÇÃO '!D98 - D8</f>
        <v>281649.78000000003</v>
      </c>
      <c r="D8" s="101">
        <f>'INJEÇÃO '!E98</f>
        <v>0</v>
      </c>
      <c r="E8" s="155"/>
      <c r="F8" s="102">
        <f t="shared" si="0"/>
        <v>0.22670544769631992</v>
      </c>
      <c r="G8" s="156">
        <v>58.645089523778182</v>
      </c>
      <c r="H8" s="157">
        <v>0.25834841199902281</v>
      </c>
    </row>
    <row r="9" spans="1:11" x14ac:dyDescent="0.35">
      <c r="A9" s="103" t="s">
        <v>13</v>
      </c>
      <c r="B9" s="100">
        <f>'INJEÇÃO '!C118</f>
        <v>192000</v>
      </c>
      <c r="C9" s="101">
        <f>'INJEÇÃO '!D118 - D9</f>
        <v>236489.60000000001</v>
      </c>
      <c r="D9" s="101">
        <f>'INJEÇÃO '!E118</f>
        <v>0</v>
      </c>
      <c r="E9" s="155"/>
      <c r="F9" s="102">
        <f t="shared" si="0"/>
        <v>1.2317166666666668</v>
      </c>
      <c r="G9" s="158">
        <v>305.30766815924437</v>
      </c>
      <c r="H9" s="159">
        <v>0.24781466571367239</v>
      </c>
    </row>
    <row r="10" spans="1:11" x14ac:dyDescent="0.35">
      <c r="A10" s="103" t="s">
        <v>82</v>
      </c>
      <c r="B10" s="100">
        <f>'INJEÇÃO '!C125</f>
        <v>0</v>
      </c>
      <c r="C10" s="101">
        <f>'INJEÇÃO '!D125 - D10</f>
        <v>0</v>
      </c>
      <c r="D10" s="101">
        <f>'INJEÇÃO '!E125</f>
        <v>0</v>
      </c>
      <c r="E10" s="155"/>
      <c r="F10" s="102" t="e">
        <f t="shared" si="0"/>
        <v>#DIV/0!</v>
      </c>
      <c r="G10" s="156"/>
      <c r="H10" s="157"/>
    </row>
    <row r="11" spans="1:11" x14ac:dyDescent="0.35">
      <c r="A11" s="103" t="s">
        <v>81</v>
      </c>
      <c r="B11" s="100">
        <f>'INJEÇÃO '!C141</f>
        <v>0</v>
      </c>
      <c r="C11" s="101">
        <f>'INJEÇÃO '!D141 - D11</f>
        <v>0</v>
      </c>
      <c r="D11" s="101">
        <f>'INJEÇÃO '!E141</f>
        <v>0</v>
      </c>
      <c r="E11" s="155"/>
      <c r="F11" s="102" t="e">
        <f t="shared" si="0"/>
        <v>#DIV/0!</v>
      </c>
      <c r="G11" s="156"/>
      <c r="H11" s="157"/>
    </row>
    <row r="12" spans="1:11" x14ac:dyDescent="0.35">
      <c r="A12" s="103" t="s">
        <v>8</v>
      </c>
      <c r="B12" s="104">
        <f>SOPRO!C25</f>
        <v>60480</v>
      </c>
      <c r="C12" s="101">
        <f>SOPRO!D25 - D12</f>
        <v>99868.010000000009</v>
      </c>
      <c r="D12" s="101">
        <f>SOPRO!E25</f>
        <v>1483.04</v>
      </c>
      <c r="E12" s="155">
        <v>350</v>
      </c>
      <c r="F12" s="102">
        <f t="shared" si="0"/>
        <v>1.6512567791005293</v>
      </c>
      <c r="G12" s="156">
        <v>364.55759035924439</v>
      </c>
      <c r="H12" s="157">
        <v>0.27999814927745348</v>
      </c>
    </row>
    <row r="13" spans="1:11" x14ac:dyDescent="0.35">
      <c r="A13" s="103" t="s">
        <v>83</v>
      </c>
      <c r="B13" s="104">
        <f>SOPRO!C33</f>
        <v>18</v>
      </c>
      <c r="C13" s="101">
        <f>SOPRO!D33 - D13</f>
        <v>260.82</v>
      </c>
      <c r="D13" s="101">
        <f>SOPRO!E33</f>
        <v>0</v>
      </c>
      <c r="E13" s="155"/>
      <c r="F13" s="102">
        <f t="shared" si="0"/>
        <v>14.49</v>
      </c>
      <c r="G13" s="156">
        <v>6.7325888073368434</v>
      </c>
      <c r="H13" s="157">
        <v>0.46463690871889879</v>
      </c>
    </row>
    <row r="14" spans="1:11" x14ac:dyDescent="0.35">
      <c r="A14" s="103" t="s">
        <v>38</v>
      </c>
      <c r="B14" s="104">
        <f>SOPRO!C47</f>
        <v>24856</v>
      </c>
      <c r="C14" s="101">
        <f>SOPRO!D47 - D14</f>
        <v>392078.6</v>
      </c>
      <c r="D14" s="101">
        <f>SOPRO!E47</f>
        <v>0</v>
      </c>
      <c r="E14" s="155">
        <v>3250</v>
      </c>
      <c r="F14" s="102">
        <f t="shared" si="0"/>
        <v>15.774002252977148</v>
      </c>
      <c r="G14" s="156">
        <v>4.6192518827889462</v>
      </c>
      <c r="H14" s="157">
        <v>0.29283960205331216</v>
      </c>
    </row>
    <row r="15" spans="1:11" x14ac:dyDescent="0.35">
      <c r="A15" s="105"/>
      <c r="B15" s="106"/>
      <c r="C15" s="107"/>
      <c r="D15" s="107"/>
      <c r="E15" s="107"/>
      <c r="F15" s="95"/>
      <c r="G15" s="97"/>
      <c r="H15" s="98"/>
    </row>
    <row r="16" spans="1:11" x14ac:dyDescent="0.35">
      <c r="A16" s="105"/>
      <c r="B16" s="106"/>
      <c r="C16" s="107"/>
      <c r="D16" s="107"/>
      <c r="E16" s="107"/>
      <c r="F16" s="95"/>
      <c r="G16" s="97"/>
      <c r="H16" s="98"/>
    </row>
    <row r="17" spans="1:16" ht="24" thickBot="1" x14ac:dyDescent="0.4">
      <c r="A17" s="105"/>
      <c r="B17" s="106"/>
      <c r="C17" s="107"/>
      <c r="D17" s="107"/>
      <c r="M17" s="107"/>
      <c r="N17" s="95"/>
    </row>
    <row r="18" spans="1:16" s="79" customFormat="1" ht="20.25" customHeight="1" x14ac:dyDescent="0.35">
      <c r="C18" s="108"/>
      <c r="D18" s="108"/>
      <c r="G18" s="82" t="s">
        <v>76</v>
      </c>
      <c r="H18" s="82" t="s">
        <v>76</v>
      </c>
      <c r="I18" s="80"/>
      <c r="J18" s="80"/>
      <c r="K18" s="80"/>
      <c r="M18" s="108"/>
      <c r="N18" s="108"/>
    </row>
    <row r="19" spans="1:16" x14ac:dyDescent="0.35">
      <c r="A19" s="109" t="s">
        <v>117</v>
      </c>
      <c r="B19" s="110" t="s">
        <v>23</v>
      </c>
      <c r="C19" s="111" t="s">
        <v>24</v>
      </c>
      <c r="D19" s="112"/>
      <c r="E19" s="112"/>
      <c r="F19" s="113" t="s">
        <v>49</v>
      </c>
      <c r="G19" s="87" t="s">
        <v>66</v>
      </c>
      <c r="H19" s="87" t="s">
        <v>66</v>
      </c>
    </row>
    <row r="20" spans="1:16" x14ac:dyDescent="0.35">
      <c r="A20" s="114" t="s">
        <v>16</v>
      </c>
      <c r="B20" s="115" t="s">
        <v>19</v>
      </c>
      <c r="C20" s="116" t="s">
        <v>20</v>
      </c>
      <c r="D20" s="112" t="s">
        <v>2</v>
      </c>
      <c r="E20" s="112" t="s">
        <v>3</v>
      </c>
      <c r="F20" s="117" t="s">
        <v>48</v>
      </c>
      <c r="G20" s="91" t="s">
        <v>77</v>
      </c>
      <c r="H20" s="91" t="s">
        <v>50</v>
      </c>
    </row>
    <row r="21" spans="1:16" x14ac:dyDescent="0.35">
      <c r="A21" s="118" t="s">
        <v>9</v>
      </c>
      <c r="B21" s="119">
        <f>'INJEÇÃO '!C172</f>
        <v>25366</v>
      </c>
      <c r="C21" s="120">
        <f>'INJEÇÃO '!D172</f>
        <v>3713.8100000000004</v>
      </c>
      <c r="D21" s="120">
        <f>'INJEÇÃO '!E172</f>
        <v>167.99</v>
      </c>
      <c r="E21" s="155"/>
      <c r="F21" s="121">
        <f t="shared" ref="F21:F30" si="1">C21/B21</f>
        <v>0.14640897264054248</v>
      </c>
      <c r="G21" s="156">
        <v>59.840933741131565</v>
      </c>
      <c r="H21" s="157">
        <v>0.41269609476642455</v>
      </c>
      <c r="M21" s="122"/>
    </row>
    <row r="22" spans="1:16" x14ac:dyDescent="0.35">
      <c r="A22" s="123" t="s">
        <v>10</v>
      </c>
      <c r="B22" s="124">
        <f>'INJEÇÃO '!C200</f>
        <v>27292</v>
      </c>
      <c r="C22" s="125">
        <f>'INJEÇÃO '!D200</f>
        <v>3623.85</v>
      </c>
      <c r="D22" s="125">
        <f>'INJEÇÃO '!E200</f>
        <v>45.65</v>
      </c>
      <c r="E22" s="155"/>
      <c r="F22" s="126">
        <f t="shared" si="1"/>
        <v>0.13278066832771507</v>
      </c>
      <c r="G22" s="156">
        <v>54.758412702504387</v>
      </c>
      <c r="H22" s="157">
        <v>0.42121855925003376</v>
      </c>
      <c r="M22" s="122"/>
    </row>
    <row r="23" spans="1:16" x14ac:dyDescent="0.35">
      <c r="A23" s="127" t="s">
        <v>11</v>
      </c>
      <c r="B23" s="124">
        <f>'INJEÇÃO '!C211</f>
        <v>176000</v>
      </c>
      <c r="C23" s="125">
        <f>'INJEÇÃO '!D211 - D23</f>
        <v>26400</v>
      </c>
      <c r="D23" s="125">
        <f>'INJEÇÃO '!E211</f>
        <v>858</v>
      </c>
      <c r="E23" s="155"/>
      <c r="F23" s="126">
        <f t="shared" si="1"/>
        <v>0.15</v>
      </c>
      <c r="G23" s="156">
        <v>61.918603644583314</v>
      </c>
      <c r="H23" s="157">
        <v>0.41279069096388876</v>
      </c>
      <c r="M23" s="122"/>
    </row>
    <row r="24" spans="1:16" x14ac:dyDescent="0.35">
      <c r="A24" s="127" t="s">
        <v>12</v>
      </c>
      <c r="B24" s="124">
        <f>'INJEÇÃO '!C240</f>
        <v>609000</v>
      </c>
      <c r="C24" s="125">
        <f>'INJEÇÃO '!D240</f>
        <v>136805.22</v>
      </c>
      <c r="D24" s="125">
        <f>'INJEÇÃO '!E240</f>
        <v>0</v>
      </c>
      <c r="E24" s="155"/>
      <c r="F24" s="126">
        <f t="shared" si="1"/>
        <v>0.2246391133004926</v>
      </c>
      <c r="G24" s="156"/>
      <c r="H24" s="157"/>
      <c r="M24" s="122"/>
    </row>
    <row r="25" spans="1:16" x14ac:dyDescent="0.35">
      <c r="A25" s="127" t="s">
        <v>13</v>
      </c>
      <c r="B25" s="124">
        <f>'INJEÇÃO '!C259</f>
        <v>64000</v>
      </c>
      <c r="C25" s="125">
        <f>'INJEÇÃO '!D259</f>
        <v>85248</v>
      </c>
      <c r="D25" s="125">
        <f>'INJEÇÃO '!E259</f>
        <v>0</v>
      </c>
      <c r="E25" s="155"/>
      <c r="F25" s="126">
        <f t="shared" si="1"/>
        <v>1.3320000000000001</v>
      </c>
      <c r="G25" s="156"/>
      <c r="H25" s="157"/>
      <c r="M25" s="122"/>
    </row>
    <row r="26" spans="1:16" x14ac:dyDescent="0.35">
      <c r="A26" s="127" t="s">
        <v>84</v>
      </c>
      <c r="B26" s="124">
        <f>'INJEÇÃO '!C266</f>
        <v>0</v>
      </c>
      <c r="C26" s="125">
        <f>'INJEÇÃO '!D266</f>
        <v>0</v>
      </c>
      <c r="D26" s="125">
        <f>'INJEÇÃO '!E266</f>
        <v>0</v>
      </c>
      <c r="E26" s="155"/>
      <c r="F26" s="126" t="e">
        <f t="shared" si="1"/>
        <v>#DIV/0!</v>
      </c>
      <c r="G26" s="156"/>
      <c r="H26" s="157"/>
      <c r="M26" s="122"/>
    </row>
    <row r="27" spans="1:16" x14ac:dyDescent="0.35">
      <c r="A27" s="127" t="s">
        <v>15</v>
      </c>
      <c r="B27" s="124">
        <f>'INJEÇÃO '!C280</f>
        <v>0</v>
      </c>
      <c r="C27" s="125">
        <f>'INJEÇÃO '!D280</f>
        <v>0</v>
      </c>
      <c r="D27" s="125">
        <f>'INJEÇÃO '!E280</f>
        <v>0</v>
      </c>
      <c r="E27" s="155"/>
      <c r="F27" s="126" t="e">
        <f t="shared" si="1"/>
        <v>#DIV/0!</v>
      </c>
      <c r="G27" s="156"/>
      <c r="H27" s="157"/>
      <c r="M27" s="122"/>
    </row>
    <row r="28" spans="1:16" x14ac:dyDescent="0.35">
      <c r="A28" s="127" t="s">
        <v>8</v>
      </c>
      <c r="B28" s="128">
        <f>SOPRO!C73</f>
        <v>21336</v>
      </c>
      <c r="C28" s="125">
        <f>SOPRO!D73</f>
        <v>36412.670000000006</v>
      </c>
      <c r="D28" s="125">
        <f>SOPRO!E73</f>
        <v>1421.79</v>
      </c>
      <c r="E28" s="127"/>
      <c r="F28" s="126">
        <f t="shared" si="1"/>
        <v>1.7066305774278219</v>
      </c>
      <c r="G28" s="156">
        <v>377.25490015924458</v>
      </c>
      <c r="H28" s="157">
        <v>0.2864501899462753</v>
      </c>
      <c r="M28" s="122"/>
    </row>
    <row r="29" spans="1:16" x14ac:dyDescent="0.35">
      <c r="A29" s="127" t="s">
        <v>38</v>
      </c>
      <c r="B29" s="128">
        <f>SOPRO!C95</f>
        <v>9056</v>
      </c>
      <c r="C29" s="125">
        <f>SOPRO!D95</f>
        <v>142631.70000000001</v>
      </c>
      <c r="D29" s="125">
        <f>SOPRO!E95</f>
        <v>0</v>
      </c>
      <c r="E29" s="155">
        <v>400</v>
      </c>
      <c r="F29" s="126">
        <f t="shared" si="1"/>
        <v>15.749966872791521</v>
      </c>
      <c r="G29" s="156">
        <v>4.4351798627889476</v>
      </c>
      <c r="H29" s="157">
        <v>0.28213612358708318</v>
      </c>
      <c r="M29" s="122"/>
    </row>
    <row r="30" spans="1:16" x14ac:dyDescent="0.35">
      <c r="A30" s="127" t="s">
        <v>36</v>
      </c>
      <c r="B30" s="128">
        <f>SOPRO!C96</f>
        <v>0</v>
      </c>
      <c r="C30" s="125">
        <f>SOPRO!D96</f>
        <v>0</v>
      </c>
      <c r="D30" s="125">
        <f>SOPRO!E33</f>
        <v>0</v>
      </c>
      <c r="E30" s="127"/>
      <c r="F30" s="126" t="e">
        <f t="shared" si="1"/>
        <v>#DIV/0!</v>
      </c>
      <c r="G30" s="127"/>
      <c r="H30" s="127"/>
      <c r="M30" s="122"/>
      <c r="O30" s="97"/>
      <c r="P30" s="98"/>
    </row>
    <row r="31" spans="1:16" x14ac:dyDescent="0.35">
      <c r="B31" s="129"/>
      <c r="C31" s="130"/>
      <c r="D31" s="130"/>
      <c r="E31" s="130"/>
      <c r="F31" s="95"/>
    </row>
    <row r="32" spans="1:16" hidden="1" x14ac:dyDescent="0.35">
      <c r="B32" s="129"/>
      <c r="C32" s="130"/>
      <c r="D32" s="130"/>
      <c r="E32" s="130"/>
      <c r="F32" s="95"/>
      <c r="G32" s="82" t="s">
        <v>76</v>
      </c>
      <c r="H32" s="82" t="s">
        <v>76</v>
      </c>
    </row>
    <row r="33" spans="1:8" hidden="1" x14ac:dyDescent="0.35">
      <c r="A33" s="131" t="s">
        <v>64</v>
      </c>
      <c r="B33" s="132" t="s">
        <v>23</v>
      </c>
      <c r="C33" s="133" t="s">
        <v>24</v>
      </c>
      <c r="D33" s="134" t="s">
        <v>49</v>
      </c>
      <c r="E33" s="135"/>
      <c r="F33" s="135"/>
      <c r="G33" s="87" t="s">
        <v>66</v>
      </c>
      <c r="H33" s="87" t="s">
        <v>66</v>
      </c>
    </row>
    <row r="34" spans="1:8" hidden="1" x14ac:dyDescent="0.35">
      <c r="A34" s="136" t="s">
        <v>16</v>
      </c>
      <c r="B34" s="137" t="s">
        <v>19</v>
      </c>
      <c r="C34" s="138" t="s">
        <v>20</v>
      </c>
      <c r="D34" s="139" t="s">
        <v>48</v>
      </c>
      <c r="E34" s="135"/>
      <c r="F34" s="135" t="s">
        <v>3</v>
      </c>
      <c r="G34" s="91" t="s">
        <v>77</v>
      </c>
      <c r="H34" s="91" t="s">
        <v>50</v>
      </c>
    </row>
    <row r="35" spans="1:8" hidden="1" x14ac:dyDescent="0.35">
      <c r="A35" s="118" t="s">
        <v>9</v>
      </c>
      <c r="B35" s="119">
        <f>'INJEÇÃO '!C172</f>
        <v>25366</v>
      </c>
      <c r="C35" s="120">
        <f>'INJEÇÃO '!D172</f>
        <v>3713.8100000000004</v>
      </c>
      <c r="D35" s="120">
        <f>C35/B35</f>
        <v>0.14640897264054248</v>
      </c>
      <c r="E35" s="130"/>
      <c r="F35" s="95"/>
    </row>
    <row r="36" spans="1:8" hidden="1" x14ac:dyDescent="0.35">
      <c r="A36" s="123" t="s">
        <v>10</v>
      </c>
      <c r="B36" s="124">
        <f>'INJEÇÃO '!C200</f>
        <v>27292</v>
      </c>
      <c r="C36" s="125">
        <f>'INJEÇÃO '!E200</f>
        <v>45.65</v>
      </c>
      <c r="D36" s="125">
        <f t="shared" ref="D36:D41" si="2">C36/B36</f>
        <v>1.6726513263960133E-3</v>
      </c>
      <c r="E36" s="130"/>
      <c r="F36" s="95"/>
    </row>
    <row r="37" spans="1:8" hidden="1" x14ac:dyDescent="0.35">
      <c r="A37" s="127" t="s">
        <v>11</v>
      </c>
      <c r="B37" s="124">
        <f>'INJEÇÃO '!C211</f>
        <v>176000</v>
      </c>
      <c r="C37" s="125">
        <f>'INJEÇÃO '!D211</f>
        <v>27258</v>
      </c>
      <c r="D37" s="125">
        <f t="shared" si="2"/>
        <v>0.15487500000000001</v>
      </c>
      <c r="E37" s="130"/>
      <c r="F37" s="95"/>
    </row>
    <row r="38" spans="1:8" hidden="1" x14ac:dyDescent="0.35">
      <c r="A38" s="127" t="s">
        <v>12</v>
      </c>
      <c r="B38" s="124">
        <f>'INJEÇÃO '!C240</f>
        <v>609000</v>
      </c>
      <c r="C38" s="125">
        <f>'INJEÇÃO '!D240</f>
        <v>136805.22</v>
      </c>
      <c r="D38" s="125">
        <f t="shared" si="2"/>
        <v>0.2246391133004926</v>
      </c>
      <c r="E38" s="130"/>
      <c r="F38" s="95"/>
    </row>
    <row r="39" spans="1:8" hidden="1" x14ac:dyDescent="0.35">
      <c r="A39" s="127" t="s">
        <v>13</v>
      </c>
      <c r="B39" s="124">
        <f>'INJEÇÃO '!C259</f>
        <v>64000</v>
      </c>
      <c r="C39" s="125">
        <f>'INJEÇÃO '!D259</f>
        <v>85248</v>
      </c>
      <c r="D39" s="125">
        <f t="shared" si="2"/>
        <v>1.3320000000000001</v>
      </c>
      <c r="E39" s="130"/>
      <c r="F39" s="95"/>
    </row>
    <row r="40" spans="1:8" hidden="1" x14ac:dyDescent="0.35">
      <c r="A40" s="127" t="s">
        <v>8</v>
      </c>
      <c r="B40" s="124">
        <f>SOPRO!C73</f>
        <v>21336</v>
      </c>
      <c r="C40" s="125">
        <f>SOPRO!D73</f>
        <v>36412.670000000006</v>
      </c>
      <c r="D40" s="125">
        <f>C40/B40</f>
        <v>1.7066305774278219</v>
      </c>
      <c r="E40" s="130"/>
      <c r="F40" s="95"/>
    </row>
    <row r="41" spans="1:8" hidden="1" x14ac:dyDescent="0.35">
      <c r="A41" s="127" t="s">
        <v>38</v>
      </c>
      <c r="B41" s="124">
        <f>SOPRO!C95</f>
        <v>9056</v>
      </c>
      <c r="C41" s="125">
        <f>SOPRO!D95</f>
        <v>142631.70000000001</v>
      </c>
      <c r="D41" s="125">
        <f t="shared" si="2"/>
        <v>15.749966872791521</v>
      </c>
      <c r="E41" s="130"/>
      <c r="F41" s="95"/>
    </row>
    <row r="42" spans="1:8" hidden="1" x14ac:dyDescent="0.35">
      <c r="A42" s="127" t="s">
        <v>36</v>
      </c>
      <c r="B42" s="124">
        <f>SOPRO!C128</f>
        <v>0</v>
      </c>
      <c r="C42" s="125">
        <f>SOPRO!D81</f>
        <v>0</v>
      </c>
      <c r="D42" s="125" t="e">
        <f t="shared" ref="D42" si="3">C42/B42</f>
        <v>#DIV/0!</v>
      </c>
      <c r="E42" s="130"/>
      <c r="F42" s="95"/>
    </row>
    <row r="43" spans="1:8" hidden="1" x14ac:dyDescent="0.35">
      <c r="A43" s="127" t="s">
        <v>15</v>
      </c>
      <c r="B43" s="124">
        <f>'INJEÇÃO '!C280</f>
        <v>0</v>
      </c>
      <c r="C43" s="125">
        <f>'INJEÇÃO '!D280</f>
        <v>0</v>
      </c>
      <c r="D43" s="125" t="e">
        <f t="shared" ref="D43" si="4">C43/B43</f>
        <v>#DIV/0!</v>
      </c>
      <c r="E43" s="130"/>
      <c r="F43" s="95"/>
    </row>
    <row r="44" spans="1:8" ht="24" thickBot="1" x14ac:dyDescent="0.4">
      <c r="B44" s="140"/>
      <c r="C44" s="130"/>
      <c r="D44" s="130"/>
      <c r="E44" s="130"/>
      <c r="F44" s="95"/>
    </row>
    <row r="45" spans="1:8" x14ac:dyDescent="0.35">
      <c r="G45" s="82" t="s">
        <v>76</v>
      </c>
      <c r="H45" s="82" t="s">
        <v>76</v>
      </c>
    </row>
    <row r="46" spans="1:8" x14ac:dyDescent="0.35">
      <c r="A46" s="141" t="s">
        <v>16</v>
      </c>
      <c r="B46" s="142" t="s">
        <v>23</v>
      </c>
      <c r="C46" s="143" t="s">
        <v>24</v>
      </c>
      <c r="D46" s="144"/>
      <c r="E46" s="144"/>
      <c r="F46" s="145" t="s">
        <v>49</v>
      </c>
      <c r="G46" s="87" t="s">
        <v>66</v>
      </c>
      <c r="H46" s="87" t="s">
        <v>66</v>
      </c>
    </row>
    <row r="47" spans="1:8" x14ac:dyDescent="0.35">
      <c r="A47" s="146"/>
      <c r="B47" s="147" t="s">
        <v>19</v>
      </c>
      <c r="C47" s="148" t="s">
        <v>20</v>
      </c>
      <c r="D47" s="144" t="s">
        <v>2</v>
      </c>
      <c r="E47" s="144" t="s">
        <v>3</v>
      </c>
      <c r="F47" s="149" t="s">
        <v>48</v>
      </c>
      <c r="G47" s="91" t="s">
        <v>77</v>
      </c>
      <c r="H47" s="91" t="s">
        <v>50</v>
      </c>
    </row>
    <row r="48" spans="1:8" x14ac:dyDescent="0.35">
      <c r="A48" s="118" t="s">
        <v>9</v>
      </c>
      <c r="B48" s="119">
        <f t="shared" ref="B48:D52" si="5">SUM(B5,B21)</f>
        <v>229846</v>
      </c>
      <c r="C48" s="120">
        <f t="shared" si="5"/>
        <v>29366.900000000005</v>
      </c>
      <c r="D48" s="120">
        <f t="shared" si="5"/>
        <v>1476.9499999999998</v>
      </c>
      <c r="E48" s="155"/>
      <c r="F48" s="96">
        <f t="shared" ref="F48:F56" si="6">C48/B48</f>
        <v>0.12776772273609288</v>
      </c>
      <c r="G48" s="156">
        <v>43.757433741131564</v>
      </c>
      <c r="H48" s="157">
        <v>0.34728122016771085</v>
      </c>
    </row>
    <row r="49" spans="1:17" x14ac:dyDescent="0.35">
      <c r="A49" s="123" t="s">
        <v>10</v>
      </c>
      <c r="B49" s="119">
        <f t="shared" si="5"/>
        <v>277772</v>
      </c>
      <c r="C49" s="120">
        <f t="shared" si="5"/>
        <v>33655.57</v>
      </c>
      <c r="D49" s="120">
        <f t="shared" si="5"/>
        <v>658.56999999999994</v>
      </c>
      <c r="E49" s="155"/>
      <c r="F49" s="96">
        <f t="shared" si="6"/>
        <v>0.12116257218150138</v>
      </c>
      <c r="G49" s="156">
        <v>46.293412702504384</v>
      </c>
      <c r="H49" s="157">
        <v>0.38577843918753651</v>
      </c>
    </row>
    <row r="50" spans="1:17" x14ac:dyDescent="0.35">
      <c r="A50" s="127" t="s">
        <v>11</v>
      </c>
      <c r="B50" s="119">
        <f t="shared" si="5"/>
        <v>176000</v>
      </c>
      <c r="C50" s="120">
        <f t="shared" si="5"/>
        <v>26400</v>
      </c>
      <c r="D50" s="120">
        <f t="shared" si="5"/>
        <v>858</v>
      </c>
      <c r="E50" s="155"/>
      <c r="F50" s="96">
        <f t="shared" si="6"/>
        <v>0.15</v>
      </c>
      <c r="G50" s="156">
        <v>61.918603644583314</v>
      </c>
      <c r="H50" s="157">
        <v>0.41279069096388876</v>
      </c>
    </row>
    <row r="51" spans="1:17" x14ac:dyDescent="0.35">
      <c r="A51" s="127" t="s">
        <v>12</v>
      </c>
      <c r="B51" s="119">
        <f t="shared" si="5"/>
        <v>1851360</v>
      </c>
      <c r="C51" s="120">
        <f t="shared" si="5"/>
        <v>418455</v>
      </c>
      <c r="D51" s="120">
        <f t="shared" si="5"/>
        <v>0</v>
      </c>
      <c r="E51" s="155"/>
      <c r="F51" s="96">
        <f t="shared" si="6"/>
        <v>0.22602573243453461</v>
      </c>
      <c r="G51" s="156">
        <v>58.645089523778182</v>
      </c>
      <c r="H51" s="157">
        <v>0.25834841199902281</v>
      </c>
    </row>
    <row r="52" spans="1:17" x14ac:dyDescent="0.35">
      <c r="A52" s="127" t="s">
        <v>13</v>
      </c>
      <c r="B52" s="119">
        <f t="shared" si="5"/>
        <v>256000</v>
      </c>
      <c r="C52" s="120">
        <f t="shared" si="5"/>
        <v>321737.59999999998</v>
      </c>
      <c r="D52" s="120">
        <f t="shared" si="5"/>
        <v>0</v>
      </c>
      <c r="E52" s="155"/>
      <c r="F52" s="96">
        <f t="shared" si="6"/>
        <v>1.2567874999999999</v>
      </c>
      <c r="G52" s="156">
        <v>305.30766815924437</v>
      </c>
      <c r="H52" s="157">
        <v>0.24781466571367239</v>
      </c>
    </row>
    <row r="53" spans="1:17" x14ac:dyDescent="0.35">
      <c r="A53" s="127" t="s">
        <v>8</v>
      </c>
      <c r="B53" s="119">
        <f>SUM(B12,B28)</f>
        <v>81816</v>
      </c>
      <c r="C53" s="120">
        <f>SUM(C12,C28)</f>
        <v>136280.68000000002</v>
      </c>
      <c r="D53" s="120">
        <f>SUM(D12,D28)</f>
        <v>2904.83</v>
      </c>
      <c r="E53" s="155">
        <v>350</v>
      </c>
      <c r="F53" s="96">
        <f t="shared" si="6"/>
        <v>1.6656971741468665</v>
      </c>
      <c r="G53" s="156">
        <v>364.56266815924437</v>
      </c>
      <c r="H53" s="157">
        <v>0.28000204927745342</v>
      </c>
      <c r="P53" s="97"/>
      <c r="Q53" s="98"/>
    </row>
    <row r="54" spans="1:17" x14ac:dyDescent="0.35">
      <c r="A54" s="127" t="s">
        <v>38</v>
      </c>
      <c r="B54" s="119">
        <f>SUM(B14,B29)</f>
        <v>33912</v>
      </c>
      <c r="C54" s="120">
        <f>SUM(C14,C29)</f>
        <v>534710.30000000005</v>
      </c>
      <c r="D54" s="120">
        <f>SUM(D14,D29)</f>
        <v>0</v>
      </c>
      <c r="E54" s="155">
        <f>SUM(E29,E14)</f>
        <v>3650</v>
      </c>
      <c r="F54" s="96">
        <f t="shared" si="6"/>
        <v>15.767583746166551</v>
      </c>
      <c r="G54" s="156"/>
      <c r="H54" s="157"/>
      <c r="P54" s="97"/>
      <c r="Q54" s="98"/>
    </row>
    <row r="55" spans="1:17" x14ac:dyDescent="0.35">
      <c r="A55" s="127" t="s">
        <v>36</v>
      </c>
      <c r="B55" s="124">
        <f>B30</f>
        <v>0</v>
      </c>
      <c r="C55" s="120">
        <f>C30</f>
        <v>0</v>
      </c>
      <c r="D55" s="120">
        <f>D30</f>
        <v>0</v>
      </c>
      <c r="E55" s="126"/>
      <c r="F55" s="126" t="e">
        <f t="shared" si="6"/>
        <v>#DIV/0!</v>
      </c>
      <c r="G55" s="156"/>
      <c r="H55" s="157"/>
      <c r="O55" s="95"/>
      <c r="P55" s="97"/>
      <c r="Q55" s="98"/>
    </row>
    <row r="56" spans="1:17" x14ac:dyDescent="0.35">
      <c r="A56" s="127" t="s">
        <v>15</v>
      </c>
      <c r="B56" s="124">
        <f>B43</f>
        <v>0</v>
      </c>
      <c r="C56" s="120">
        <f>C43</f>
        <v>0</v>
      </c>
      <c r="D56" s="120" t="e">
        <f>D43</f>
        <v>#DIV/0!</v>
      </c>
      <c r="E56" s="126"/>
      <c r="F56" s="126" t="e">
        <f t="shared" si="6"/>
        <v>#DIV/0!</v>
      </c>
      <c r="G56" s="156"/>
      <c r="H56" s="157"/>
    </row>
    <row r="57" spans="1:17" x14ac:dyDescent="0.35">
      <c r="A57" s="79"/>
      <c r="B57" s="150"/>
      <c r="C57" s="151"/>
      <c r="D57" s="151"/>
      <c r="E57" s="151"/>
      <c r="F57" s="152"/>
    </row>
    <row r="58" spans="1:17" x14ac:dyDescent="0.35">
      <c r="A58" s="153" t="s">
        <v>52</v>
      </c>
      <c r="B58" s="154" t="s">
        <v>53</v>
      </c>
      <c r="C58" s="154" t="s">
        <v>54</v>
      </c>
      <c r="D58" s="153" t="s">
        <v>55</v>
      </c>
      <c r="E58" s="153"/>
      <c r="F58" s="79"/>
    </row>
  </sheetData>
  <mergeCells count="1">
    <mergeCell ref="A1:A2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RESUMO</vt:lpstr>
      <vt:lpstr>INJEÇÃO </vt:lpstr>
      <vt:lpstr>SOPRO</vt:lpstr>
      <vt:lpstr>Planilha1</vt:lpstr>
      <vt:lpstr>RESUMO!Area_de_impressao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2022-12-22T20:50:56Z</dcterms:modified>
</cp:coreProperties>
</file>