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EDUARDO\Desktop\Dashboard_Apontamento\"/>
    </mc:Choice>
  </mc:AlternateContent>
  <xr:revisionPtr revIDLastSave="0" documentId="13_ncr:1_{A1E76360-84E8-4FD2-9890-B16DEE29A84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ase" sheetId="2" r:id="rId1"/>
    <sheet name="Resumo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3" l="1"/>
  <c r="E26" i="3"/>
  <c r="E27" i="3"/>
  <c r="E28" i="3"/>
  <c r="E29" i="3"/>
  <c r="E30" i="3"/>
  <c r="E31" i="3"/>
  <c r="E32" i="3"/>
  <c r="E33" i="3"/>
  <c r="E34" i="3"/>
  <c r="E24" i="3"/>
  <c r="E14" i="3"/>
  <c r="E15" i="3"/>
  <c r="E16" i="3"/>
  <c r="E17" i="3"/>
  <c r="E18" i="3"/>
  <c r="E19" i="3"/>
  <c r="E20" i="3"/>
  <c r="E21" i="3"/>
  <c r="E22" i="3"/>
  <c r="E23" i="3"/>
  <c r="E13" i="3"/>
  <c r="H25" i="3" l="1"/>
  <c r="H26" i="3"/>
  <c r="H27" i="3"/>
  <c r="H28" i="3"/>
  <c r="H29" i="3"/>
  <c r="H30" i="3"/>
  <c r="H31" i="3"/>
  <c r="H32" i="3"/>
  <c r="H33" i="3"/>
  <c r="H34" i="3"/>
  <c r="H24" i="3"/>
  <c r="F25" i="3"/>
  <c r="F26" i="3"/>
  <c r="F27" i="3"/>
  <c r="F28" i="3"/>
  <c r="F29" i="3"/>
  <c r="F30" i="3"/>
  <c r="F31" i="3"/>
  <c r="F32" i="3"/>
  <c r="F33" i="3"/>
  <c r="F34" i="3"/>
  <c r="G25" i="3"/>
  <c r="G26" i="3"/>
  <c r="G27" i="3"/>
  <c r="G28" i="3"/>
  <c r="G29" i="3"/>
  <c r="G30" i="3"/>
  <c r="G31" i="3"/>
  <c r="G32" i="3"/>
  <c r="G33" i="3"/>
  <c r="G34" i="3"/>
  <c r="G24" i="3"/>
  <c r="F24" i="3"/>
  <c r="D25" i="3"/>
  <c r="D26" i="3"/>
  <c r="D27" i="3"/>
  <c r="D28" i="3"/>
  <c r="D29" i="3"/>
  <c r="D30" i="3"/>
  <c r="D31" i="3"/>
  <c r="D32" i="3"/>
  <c r="D33" i="3"/>
  <c r="D34" i="3"/>
  <c r="D24" i="3"/>
  <c r="H14" i="3"/>
  <c r="H15" i="3"/>
  <c r="H16" i="3"/>
  <c r="H17" i="3"/>
  <c r="H18" i="3"/>
  <c r="H19" i="3"/>
  <c r="H20" i="3"/>
  <c r="H21" i="3"/>
  <c r="H22" i="3"/>
  <c r="H23" i="3"/>
  <c r="H13" i="3"/>
  <c r="G14" i="3"/>
  <c r="G15" i="3"/>
  <c r="G16" i="3"/>
  <c r="G17" i="3"/>
  <c r="G18" i="3"/>
  <c r="G19" i="3"/>
  <c r="G20" i="3"/>
  <c r="G21" i="3"/>
  <c r="G22" i="3"/>
  <c r="G23" i="3"/>
  <c r="G13" i="3"/>
  <c r="F16" i="3"/>
  <c r="F19" i="3"/>
  <c r="F20" i="3"/>
  <c r="D14" i="3"/>
  <c r="D15" i="3"/>
  <c r="D16" i="3"/>
  <c r="D17" i="3"/>
  <c r="D18" i="3"/>
  <c r="D19" i="3"/>
  <c r="D20" i="3"/>
  <c r="D21" i="3"/>
  <c r="D22" i="3"/>
  <c r="D23" i="3"/>
  <c r="D13" i="3"/>
  <c r="H3" i="3"/>
  <c r="H4" i="3"/>
  <c r="H5" i="3"/>
  <c r="H6" i="3"/>
  <c r="H7" i="3"/>
  <c r="H8" i="3"/>
  <c r="H9" i="3"/>
  <c r="H10" i="3"/>
  <c r="H11" i="3"/>
  <c r="H12" i="3"/>
  <c r="H2" i="3"/>
  <c r="G3" i="3"/>
  <c r="G4" i="3"/>
  <c r="G5" i="3"/>
  <c r="G6" i="3"/>
  <c r="G7" i="3"/>
  <c r="G8" i="3"/>
  <c r="G9" i="3"/>
  <c r="G10" i="3"/>
  <c r="G11" i="3"/>
  <c r="G12" i="3"/>
  <c r="G2" i="3"/>
  <c r="E10" i="3"/>
  <c r="E11" i="3"/>
  <c r="E12" i="3"/>
  <c r="I105" i="2"/>
  <c r="J105" i="2" s="1"/>
  <c r="I106" i="2"/>
  <c r="J106" i="2" s="1"/>
  <c r="I100" i="2"/>
  <c r="J100" i="2" s="1"/>
  <c r="I101" i="2"/>
  <c r="J101" i="2" s="1"/>
  <c r="I102" i="2"/>
  <c r="J102" i="2" s="1"/>
  <c r="I103" i="2"/>
  <c r="J103" i="2" s="1"/>
  <c r="I104" i="2"/>
  <c r="J104" i="2" s="1"/>
  <c r="I96" i="2"/>
  <c r="I97" i="2"/>
  <c r="J97" i="2" s="1"/>
  <c r="I98" i="2"/>
  <c r="J98" i="2" s="1"/>
  <c r="I99" i="2"/>
  <c r="J99" i="2" s="1"/>
  <c r="I95" i="2"/>
  <c r="J95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 s="1"/>
  <c r="I87" i="2"/>
  <c r="J87" i="2" s="1"/>
  <c r="I88" i="2"/>
  <c r="J88" i="2" s="1"/>
  <c r="I89" i="2"/>
  <c r="J89" i="2" s="1"/>
  <c r="I90" i="2"/>
  <c r="J90" i="2" s="1"/>
  <c r="I91" i="2"/>
  <c r="J91" i="2" s="1"/>
  <c r="I92" i="2"/>
  <c r="J92" i="2" s="1"/>
  <c r="I93" i="2"/>
  <c r="J93" i="2" s="1"/>
  <c r="I94" i="2"/>
  <c r="J94" i="2" s="1"/>
  <c r="F23" i="3" l="1"/>
  <c r="F15" i="3"/>
  <c r="F22" i="3"/>
  <c r="F18" i="3"/>
  <c r="F14" i="3"/>
  <c r="F21" i="3"/>
  <c r="F17" i="3"/>
  <c r="F13" i="3"/>
  <c r="E4" i="3"/>
  <c r="J96" i="2"/>
  <c r="E2" i="3"/>
  <c r="E3" i="3"/>
  <c r="D3" i="3"/>
  <c r="D4" i="3"/>
  <c r="D5" i="3"/>
  <c r="D6" i="3"/>
  <c r="D7" i="3"/>
  <c r="D8" i="3"/>
  <c r="D9" i="3"/>
  <c r="D10" i="3"/>
  <c r="F10" i="3" s="1"/>
  <c r="D11" i="3"/>
  <c r="F11" i="3" s="1"/>
  <c r="D12" i="3"/>
  <c r="F12" i="3" s="1"/>
  <c r="D2" i="3"/>
  <c r="F4" i="3" l="1"/>
  <c r="F3" i="3"/>
  <c r="F2" i="3"/>
  <c r="I80" i="2"/>
  <c r="I75" i="2"/>
  <c r="I76" i="2"/>
  <c r="J76" i="2" s="1"/>
  <c r="I77" i="2"/>
  <c r="J77" i="2" s="1"/>
  <c r="I78" i="2"/>
  <c r="J78" i="2" s="1"/>
  <c r="I79" i="2"/>
  <c r="J79" i="2" s="1"/>
  <c r="I70" i="2"/>
  <c r="I71" i="2"/>
  <c r="J71" i="2" s="1"/>
  <c r="I72" i="2"/>
  <c r="J72" i="2" s="1"/>
  <c r="I73" i="2"/>
  <c r="J73" i="2" s="1"/>
  <c r="I74" i="2"/>
  <c r="J74" i="2" s="1"/>
  <c r="I61" i="2"/>
  <c r="J61" i="2" s="1"/>
  <c r="I62" i="2"/>
  <c r="J62" i="2" s="1"/>
  <c r="I63" i="2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60" i="2"/>
  <c r="J63" i="2"/>
  <c r="J70" i="2" l="1"/>
  <c r="E5" i="3"/>
  <c r="F5" i="3" s="1"/>
  <c r="J75" i="2"/>
  <c r="J60" i="2"/>
  <c r="E9" i="3"/>
  <c r="F9" i="3" s="1"/>
  <c r="J80" i="2"/>
  <c r="E7" i="3"/>
  <c r="F7" i="3" s="1"/>
  <c r="I59" i="2"/>
  <c r="J59" i="2" s="1"/>
  <c r="I58" i="2"/>
  <c r="J58" i="2" s="1"/>
  <c r="I57" i="2"/>
  <c r="J57" i="2" s="1"/>
  <c r="I56" i="2"/>
  <c r="J56" i="2" s="1"/>
  <c r="I55" i="2"/>
  <c r="J55" i="2" s="1"/>
  <c r="I54" i="2"/>
  <c r="J54" i="2" s="1"/>
  <c r="I53" i="2"/>
  <c r="J53" i="2" s="1"/>
  <c r="I52" i="2"/>
  <c r="J52" i="2" s="1"/>
  <c r="I51" i="2"/>
  <c r="J51" i="2" s="1"/>
  <c r="I50" i="2"/>
  <c r="J50" i="2" s="1"/>
  <c r="I49" i="2"/>
  <c r="J49" i="2" s="1"/>
  <c r="I48" i="2"/>
  <c r="J48" i="2" s="1"/>
  <c r="I47" i="2"/>
  <c r="J47" i="2" s="1"/>
  <c r="I46" i="2"/>
  <c r="J46" i="2" s="1"/>
  <c r="I45" i="2"/>
  <c r="I44" i="2"/>
  <c r="J44" i="2" s="1"/>
  <c r="I43" i="2"/>
  <c r="J43" i="2" s="1"/>
  <c r="I42" i="2"/>
  <c r="J42" i="2" s="1"/>
  <c r="I41" i="2"/>
  <c r="J41" i="2" s="1"/>
  <c r="I40" i="2"/>
  <c r="J40" i="2" s="1"/>
  <c r="I39" i="2"/>
  <c r="J39" i="2" s="1"/>
  <c r="I38" i="2"/>
  <c r="J38" i="2" s="1"/>
  <c r="I37" i="2"/>
  <c r="J37" i="2" s="1"/>
  <c r="I36" i="2"/>
  <c r="J36" i="2" s="1"/>
  <c r="I34" i="2"/>
  <c r="J34" i="2" s="1"/>
  <c r="I33" i="2"/>
  <c r="J33" i="2" s="1"/>
  <c r="I32" i="2"/>
  <c r="J32" i="2" s="1"/>
  <c r="I31" i="2"/>
  <c r="J31" i="2" s="1"/>
  <c r="I30" i="2"/>
  <c r="J30" i="2" s="1"/>
  <c r="I29" i="2"/>
  <c r="J29" i="2" s="1"/>
  <c r="I27" i="2"/>
  <c r="J27" i="2" s="1"/>
  <c r="I26" i="2"/>
  <c r="J26" i="2" s="1"/>
  <c r="I25" i="2"/>
  <c r="J25" i="2" s="1"/>
  <c r="I24" i="2"/>
  <c r="J24" i="2" s="1"/>
  <c r="I23" i="2"/>
  <c r="J23" i="2" s="1"/>
  <c r="G35" i="2"/>
  <c r="I35" i="2" s="1"/>
  <c r="J35" i="2" s="1"/>
  <c r="G28" i="2"/>
  <c r="I28" i="2" s="1"/>
  <c r="J28" i="2" s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" i="2"/>
  <c r="E6" i="3" l="1"/>
  <c r="F6" i="3" s="1"/>
  <c r="J45" i="2"/>
  <c r="E8" i="3"/>
  <c r="F8" i="3" s="1"/>
</calcChain>
</file>

<file path=xl/sharedStrings.xml><?xml version="1.0" encoding="utf-8"?>
<sst xmlns="http://schemas.openxmlformats.org/spreadsheetml/2006/main" count="717" uniqueCount="104">
  <si>
    <t>Data</t>
  </si>
  <si>
    <t>Produto</t>
  </si>
  <si>
    <t xml:space="preserve">VALOR DA VENDA </t>
  </si>
  <si>
    <t>IPI</t>
  </si>
  <si>
    <t>FRETE</t>
  </si>
  <si>
    <t>VALOR SEM IPI</t>
  </si>
  <si>
    <t>PREÇO UND</t>
  </si>
  <si>
    <t>PAGAMENTO</t>
  </si>
  <si>
    <t>PEDIDO</t>
  </si>
  <si>
    <t>MARGEM R$</t>
  </si>
  <si>
    <t>MARGEM %</t>
  </si>
  <si>
    <t>0012 : ALÇA - 5 LITROS - AZUL</t>
  </si>
  <si>
    <t>0763 : ALÇA - 5 LITROS - AZUL RECICLADO</t>
  </si>
  <si>
    <t>0765: ALÇA - 5 LITROS - BRANCA RECICLADO</t>
  </si>
  <si>
    <t>Á VISTA</t>
  </si>
  <si>
    <t>PRAZO</t>
  </si>
  <si>
    <t xml:space="preserve">PRAZO </t>
  </si>
  <si>
    <t>FORA</t>
  </si>
  <si>
    <t xml:space="preserve">J FERREIRA LIMA COMERCIO </t>
  </si>
  <si>
    <t>ANTONIO SAVIO CABRAL</t>
  </si>
  <si>
    <t>A.A BITTAR</t>
  </si>
  <si>
    <t xml:space="preserve">AURISTEL S. CHAGAS </t>
  </si>
  <si>
    <t>ROBSON DA SILVA OLIVEIRA</t>
  </si>
  <si>
    <t>MBS COMERCIO E INDUSTRIA</t>
  </si>
  <si>
    <t>NEOLIMP</t>
  </si>
  <si>
    <t xml:space="preserve">ME DA SILVA </t>
  </si>
  <si>
    <t>D E A INDUSTRIA EMBALAGENS</t>
  </si>
  <si>
    <t>PAULO JOSE DO NASCIMENTO</t>
  </si>
  <si>
    <t>TINTAS FREVO</t>
  </si>
  <si>
    <t>RAFAEL FERREIRA DA SILVA</t>
  </si>
  <si>
    <t>UNILUX INDUSTRIA E COMERCIO</t>
  </si>
  <si>
    <t>R.BERNARDO DA SILVA JUNIOR</t>
  </si>
  <si>
    <t>SUPREMUS</t>
  </si>
  <si>
    <t>RISHON PERFUMES</t>
  </si>
  <si>
    <t>DINAPLAST</t>
  </si>
  <si>
    <t>TERRA MAR</t>
  </si>
  <si>
    <t>JOSE ADALBERTO</t>
  </si>
  <si>
    <t>LEVO &amp; DCASA</t>
  </si>
  <si>
    <t>NINA BEBIDAS</t>
  </si>
  <si>
    <t>INDUSTRIA ORIENTAL</t>
  </si>
  <si>
    <t>0015 : TAMPA - 5 LITROS - AZUL</t>
  </si>
  <si>
    <t>0762 : TAMPA - 5 LITROS - AZUL RECICLADO</t>
  </si>
  <si>
    <t>0764:TAMPA - 5 LITROS - BRANCA RECICLADO</t>
  </si>
  <si>
    <t xml:space="preserve">Á VISTA </t>
  </si>
  <si>
    <t>MULTIPACK EMBALAGENS</t>
  </si>
  <si>
    <t>BRILHOTEX - INDUSTRIA</t>
  </si>
  <si>
    <t xml:space="preserve">MARILUX INDUSTRIA E COMERCIO </t>
  </si>
  <si>
    <t>LIMPA FACIL INDUSTRIA</t>
  </si>
  <si>
    <t>ROSATEX DO NORDESTE PRODUTOS</t>
  </si>
  <si>
    <t xml:space="preserve">EDITE OLIVEIRA SEVERIANO </t>
  </si>
  <si>
    <t>MAP INDUSTRIA E COMERCIO</t>
  </si>
  <si>
    <t>LIMPA FACIL INDUSTRIA COMERCIO</t>
  </si>
  <si>
    <t xml:space="preserve">ARCANJO DISTRIBUIDORA </t>
  </si>
  <si>
    <t>DIVINUS CONDIMENTOS LTDA</t>
  </si>
  <si>
    <t>CIHUTA</t>
  </si>
  <si>
    <t>L DOS SANTOS</t>
  </si>
  <si>
    <t>ALANE COSTA</t>
  </si>
  <si>
    <t>0001: PRE-FORMA 15,7G - RECICLADO</t>
  </si>
  <si>
    <t>0067: PRE-FORMA 15,7G - PRATA</t>
  </si>
  <si>
    <t>0009: PRE-FORMA 83G - RECICLADO</t>
  </si>
  <si>
    <t xml:space="preserve">STARLUX IND E COM </t>
  </si>
  <si>
    <t>FORTPET IND. E COMERCIO</t>
  </si>
  <si>
    <t>FLAVIO PATROCINIO</t>
  </si>
  <si>
    <t>M R DA SILVA</t>
  </si>
  <si>
    <t>DD GASPAR</t>
  </si>
  <si>
    <t>1ª SEMANA</t>
  </si>
  <si>
    <t>2ª SEMANA</t>
  </si>
  <si>
    <t>CARUARU POLPAS</t>
  </si>
  <si>
    <t>0485:TAMPA P/ GARRAFÃO - 10/20L - LARANJA</t>
  </si>
  <si>
    <t>CRISTAL TROPICAL</t>
  </si>
  <si>
    <t>GARRAFA SOPRADA 5L DIVERSOS</t>
  </si>
  <si>
    <t>GARRAFÃO 10L  DIVERSOS SOPRO</t>
  </si>
  <si>
    <t>GARRAFÃO 20L DIVERSOS SOPRO</t>
  </si>
  <si>
    <t>ALÇA - 5 LITROS - DIVERSOS</t>
  </si>
  <si>
    <t>TAMPA - 5 LITROS - DIVERSOS</t>
  </si>
  <si>
    <t>PRE-FORMA 15,7G - DIVERSOS</t>
  </si>
  <si>
    <t>PRE-FORMA 83G - DIVERSOS</t>
  </si>
  <si>
    <t>PRE-FORMA  155G - DIVERSOS</t>
  </si>
  <si>
    <t>PRE-FORMA 400G - DIVERSOS</t>
  </si>
  <si>
    <t>PRE-FORMA 700G - DIVERSOS</t>
  </si>
  <si>
    <t>PRODUTO</t>
  </si>
  <si>
    <t>SOPRO</t>
  </si>
  <si>
    <t>INJEÇÃO</t>
  </si>
  <si>
    <t>CENTRO DE LUCRO</t>
  </si>
  <si>
    <t>QUANTIDADE</t>
  </si>
  <si>
    <t>VALOR DA VENDA</t>
  </si>
  <si>
    <t>VALOR UNITARIO</t>
  </si>
  <si>
    <t>VALOR DO IPI</t>
  </si>
  <si>
    <t>VALOR DO FRETE</t>
  </si>
  <si>
    <t>TAMPA P/ GARRAFÃO - 10/20L -DIVERSOS</t>
  </si>
  <si>
    <t>0125 : GARRAFA SOPRADA 5L CRISTAL</t>
  </si>
  <si>
    <t>0122: GARRAFÃO 10L ROSCA AZUL CLARO</t>
  </si>
  <si>
    <t>GARRAFÃO 20LT AZUL CLARO ROSCA</t>
  </si>
  <si>
    <t>0133 : GARRAFAO 20L BAT AZUL ROYAL</t>
  </si>
  <si>
    <t>0134:GARRAFÃO 20L BATOQUE AZUL CLARO</t>
  </si>
  <si>
    <t>PAULO ROGÉRIO</t>
  </si>
  <si>
    <t>CALEVI MINERADORA E COMÉRCIO</t>
  </si>
  <si>
    <t>BOAZ LIMA</t>
  </si>
  <si>
    <t>0134:GARRAFÃO 20L BAT. AZUL CLARO</t>
  </si>
  <si>
    <t>RICARDO FERREIRA</t>
  </si>
  <si>
    <t>PERIODO</t>
  </si>
  <si>
    <t>TODOS</t>
  </si>
  <si>
    <t>Cliente</t>
  </si>
  <si>
    <t>Tipo_Prod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</si>
</sst>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R$&quot;\ #,##0.00;\-&quot;R$&quot;\ #,##0.00"/>
    <numFmt numFmtId="44" formatCode="_-&quot;R$&quot;\ * #,##0.00_-;\-&quot;R$&quot;\ * #,##0.00_-;_-&quot;R$&quot;\ * &quot;-&quot;??_-;_-@_-"/>
    <numFmt numFmtId="164" formatCode="_-&quot;R$&quot;\ * #,##0.000_-;\-&quot;R$&quot;\ * #,##0.000_-;_-&quot;R$&quot;\ 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i/>
      <sz val="11"/>
      <color theme="0"/>
      <name val="Cambria"/>
      <family val="1"/>
    </font>
    <font>
      <sz val="10"/>
      <color theme="1"/>
      <name val="Arial"/>
      <family val="2"/>
    </font>
    <font>
      <u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60">
    <xf numFmtId="0" fontId="0" fillId="0" borderId="0" xfId="0"/>
    <xf numFmtId="44" fontId="2" fillId="0" borderId="0" xfId="1" applyFont="1"/>
    <xf numFmtId="0" fontId="6" fillId="0" borderId="0" xfId="0" applyFont="1" applyAlignment="1">
      <alignment horizontal="left"/>
    </xf>
    <xf numFmtId="44" fontId="6" fillId="0" borderId="0" xfId="1" applyFont="1" applyBorder="1" applyAlignment="1">
      <alignment horizontal="left"/>
    </xf>
    <xf numFmtId="164" fontId="6" fillId="0" borderId="0" xfId="1" applyNumberFormat="1" applyFont="1" applyBorder="1" applyAlignment="1">
      <alignment horizontal="left"/>
    </xf>
    <xf numFmtId="10" fontId="6" fillId="0" borderId="0" xfId="2" applyNumberFormat="1" applyFont="1" applyBorder="1" applyAlignment="1">
      <alignment horizontal="center"/>
    </xf>
    <xf numFmtId="0" fontId="7" fillId="0" borderId="0" xfId="0" applyFont="1" applyAlignment="1">
      <alignment horizontal="left"/>
    </xf>
    <xf numFmtId="44" fontId="7" fillId="0" borderId="0" xfId="1" applyFont="1" applyBorder="1" applyAlignment="1">
      <alignment horizontal="left"/>
    </xf>
    <xf numFmtId="10" fontId="7" fillId="0" borderId="0" xfId="2" applyNumberFormat="1" applyFont="1" applyBorder="1" applyAlignment="1">
      <alignment horizontal="center"/>
    </xf>
    <xf numFmtId="16" fontId="6" fillId="0" borderId="0" xfId="0" applyNumberFormat="1" applyFont="1" applyAlignment="1">
      <alignment horizontal="left"/>
    </xf>
    <xf numFmtId="44" fontId="3" fillId="0" borderId="0" xfId="1" applyFont="1" applyBorder="1" applyAlignment="1">
      <alignment horizontal="left"/>
    </xf>
    <xf numFmtId="10" fontId="3" fillId="0" borderId="0" xfId="2" applyNumberFormat="1" applyFont="1" applyFill="1" applyBorder="1" applyAlignment="1">
      <alignment horizontal="center"/>
    </xf>
    <xf numFmtId="44" fontId="4" fillId="0" borderId="0" xfId="1" applyFont="1" applyBorder="1" applyAlignment="1">
      <alignment horizontal="left"/>
    </xf>
    <xf numFmtId="10" fontId="4" fillId="0" borderId="0" xfId="2" applyNumberFormat="1" applyFont="1" applyFill="1" applyBorder="1" applyAlignment="1">
      <alignment horizontal="center"/>
    </xf>
    <xf numFmtId="44" fontId="5" fillId="0" borderId="0" xfId="1" applyFont="1" applyBorder="1" applyAlignment="1">
      <alignment horizontal="left"/>
    </xf>
    <xf numFmtId="10" fontId="5" fillId="0" borderId="0" xfId="2" applyNumberFormat="1" applyFont="1" applyFill="1" applyBorder="1" applyAlignment="1">
      <alignment horizontal="center"/>
    </xf>
    <xf numFmtId="0" fontId="2" fillId="0" borderId="0" xfId="0" applyFont="1"/>
    <xf numFmtId="10" fontId="2" fillId="0" borderId="0" xfId="0" applyNumberFormat="1" applyFont="1"/>
    <xf numFmtId="0" fontId="11" fillId="3" borderId="1" xfId="3" applyFont="1" applyFill="1" applyBorder="1" applyAlignment="1">
      <alignment horizontal="center" vertical="center"/>
    </xf>
    <xf numFmtId="0" fontId="11" fillId="3" borderId="2" xfId="3" applyFont="1" applyFill="1" applyBorder="1" applyAlignment="1">
      <alignment horizontal="center" vertical="center"/>
    </xf>
    <xf numFmtId="0" fontId="1" fillId="0" borderId="0" xfId="0" applyFont="1"/>
    <xf numFmtId="7" fontId="7" fillId="0" borderId="0" xfId="1" applyNumberFormat="1" applyFont="1" applyBorder="1" applyAlignment="1">
      <alignment horizontal="center"/>
    </xf>
    <xf numFmtId="7" fontId="6" fillId="0" borderId="0" xfId="1" applyNumberFormat="1" applyFont="1" applyBorder="1" applyAlignment="1">
      <alignment horizontal="center"/>
    </xf>
    <xf numFmtId="0" fontId="13" fillId="0" borderId="0" xfId="0" applyFont="1" applyAlignment="1">
      <alignment horizontal="left"/>
    </xf>
    <xf numFmtId="16" fontId="13" fillId="0" borderId="0" xfId="0" applyNumberFormat="1" applyFont="1" applyAlignment="1">
      <alignment horizontal="left"/>
    </xf>
    <xf numFmtId="0" fontId="0" fillId="0" borderId="0" xfId="0" applyBorder="1"/>
    <xf numFmtId="0" fontId="12" fillId="2" borderId="0" xfId="0" applyFont="1" applyFill="1" applyBorder="1"/>
    <xf numFmtId="0" fontId="10" fillId="2" borderId="0" xfId="0" applyFont="1" applyFill="1" applyBorder="1" applyAlignment="1">
      <alignment horizontal="center"/>
    </xf>
    <xf numFmtId="44" fontId="0" fillId="2" borderId="0" xfId="1" applyFont="1" applyFill="1" applyBorder="1"/>
    <xf numFmtId="164" fontId="0" fillId="2" borderId="0" xfId="0" applyNumberFormat="1" applyFill="1" applyBorder="1"/>
    <xf numFmtId="10" fontId="0" fillId="2" borderId="0" xfId="2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wrapText="1"/>
    </xf>
    <xf numFmtId="0" fontId="12" fillId="2" borderId="0" xfId="0" applyFont="1" applyFill="1" applyBorder="1" applyAlignment="1">
      <alignment horizontal="left"/>
    </xf>
    <xf numFmtId="0" fontId="0" fillId="0" borderId="3" xfId="0" applyBorder="1"/>
    <xf numFmtId="0" fontId="12" fillId="2" borderId="3" xfId="0" applyFont="1" applyFill="1" applyBorder="1"/>
    <xf numFmtId="0" fontId="10" fillId="2" borderId="3" xfId="0" applyFont="1" applyFill="1" applyBorder="1" applyAlignment="1">
      <alignment horizontal="center"/>
    </xf>
    <xf numFmtId="44" fontId="0" fillId="2" borderId="3" xfId="1" applyFont="1" applyFill="1" applyBorder="1"/>
    <xf numFmtId="164" fontId="0" fillId="2" borderId="3" xfId="0" applyNumberFormat="1" applyFill="1" applyBorder="1"/>
    <xf numFmtId="10" fontId="0" fillId="2" borderId="3" xfId="2" applyNumberFormat="1" applyFont="1" applyFill="1" applyBorder="1" applyAlignment="1">
      <alignment horizontal="center"/>
    </xf>
    <xf numFmtId="0" fontId="0" fillId="0" borderId="4" xfId="0" applyBorder="1"/>
    <xf numFmtId="0" fontId="12" fillId="2" borderId="4" xfId="0" applyFont="1" applyFill="1" applyBorder="1"/>
    <xf numFmtId="0" fontId="10" fillId="2" borderId="4" xfId="0" applyFont="1" applyFill="1" applyBorder="1" applyAlignment="1">
      <alignment horizontal="center"/>
    </xf>
    <xf numFmtId="44" fontId="0" fillId="2" borderId="4" xfId="1" applyFont="1" applyFill="1" applyBorder="1"/>
    <xf numFmtId="164" fontId="0" fillId="2" borderId="4" xfId="0" applyNumberFormat="1" applyFill="1" applyBorder="1"/>
    <xf numFmtId="1" fontId="11" fillId="3" borderId="1" xfId="3" applyNumberFormat="1" applyFont="1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1" fontId="0" fillId="0" borderId="0" xfId="0" applyNumberFormat="1"/>
    <xf numFmtId="0" fontId="0" fillId="0" borderId="5" xfId="0" applyBorder="1"/>
    <xf numFmtId="0" fontId="12" fillId="2" borderId="5" xfId="0" applyFont="1" applyFill="1" applyBorder="1"/>
    <xf numFmtId="0" fontId="10" fillId="2" borderId="5" xfId="0" applyFont="1" applyFill="1" applyBorder="1" applyAlignment="1">
      <alignment horizontal="center"/>
    </xf>
    <xf numFmtId="44" fontId="0" fillId="2" borderId="5" xfId="1" applyFont="1" applyFill="1" applyBorder="1"/>
    <xf numFmtId="164" fontId="0" fillId="2" borderId="5" xfId="0" applyNumberFormat="1" applyFill="1" applyBorder="1"/>
    <xf numFmtId="1" fontId="0" fillId="2" borderId="5" xfId="0" applyNumberFormat="1" applyFill="1" applyBorder="1" applyAlignment="1">
      <alignment horizontal="center"/>
    </xf>
    <xf numFmtId="10" fontId="0" fillId="0" borderId="4" xfId="2" applyNumberFormat="1" applyFont="1" applyBorder="1"/>
    <xf numFmtId="10" fontId="0" fillId="0" borderId="0" xfId="2" applyNumberFormat="1" applyFont="1" applyBorder="1"/>
    <xf numFmtId="10" fontId="0" fillId="0" borderId="5" xfId="2" applyNumberFormat="1" applyFont="1" applyBorder="1"/>
    <xf numFmtId="2" fontId="0" fillId="0" borderId="0" xfId="0" applyNumberFormat="1" applyBorder="1"/>
    <xf numFmtId="2" fontId="0" fillId="0" borderId="4" xfId="0" applyNumberFormat="1" applyBorder="1"/>
  </cellXfs>
  <cellStyles count="4">
    <cellStyle name="Moeda" xfId="1" builtinId="4"/>
    <cellStyle name="Normal" xfId="0" builtinId="0"/>
    <cellStyle name="Normal 3" xfId="3" xr:uid="{FF9A072F-7142-48E4-8262-33118EA919C2}"/>
    <cellStyle name="Porcentagem" xfId="2" builtinId="5"/>
  </cellStyles>
  <dxfs count="18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1" formatCode="&quot;R$&quot;\ #,##0.00;\-&quot;R$&quot;\ 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1" formatCode="dd/mmm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D14692-B1BB-42AD-9ABD-B04A57E4179E}" name="Tabela1" displayName="Tabela1" ref="A1:N115" totalsRowShown="0" headerRowDxfId="17" headerRowBorderDxfId="16" tableBorderDxfId="15" headerRowCellStyle="Moeda">
  <autoFilter ref="A1:N115" xr:uid="{80D14692-B1BB-42AD-9ABD-B04A57E4179E}"/>
  <tableColumns count="14">
    <tableColumn id="1" xr3:uid="{2BA3AA7E-CDD2-4179-85ED-A39DE48DD27D}" name="Data" dataDxfId="14"/>
    <tableColumn id="14" xr3:uid="{324BDDDD-99CC-49F6-9B7D-AAD02A2677CA}" name="Tipo_Prod" dataDxfId="13"/>
    <tableColumn id="2" xr3:uid="{CD55BF5E-E84B-4866-82F5-C3B7C78FE55C}" name="Produto" dataDxfId="12"/>
    <tableColumn id="3" xr3:uid="{DB879D03-44AB-4E63-B235-8EDBF675E4FF}" name="Cliente" dataDxfId="11"/>
    <tableColumn id="4" xr3:uid="{7FDA3F30-7369-43C4-8F6C-0C76301DBE33}" name="QUANTIDADE" dataDxfId="10"/>
    <tableColumn id="5" xr3:uid="{EEE15A61-16D6-4784-A1D6-D413E7E1DFE8}" name="VALOR DA VENDA " dataDxfId="9" dataCellStyle="Moeda"/>
    <tableColumn id="6" xr3:uid="{54609472-4ED3-41AB-ADFB-150568E35788}" name="IPI" dataDxfId="8" dataCellStyle="Moeda"/>
    <tableColumn id="7" xr3:uid="{FA0D1FE2-1DDF-4CFA-AA97-1B200D4B7182}" name="FRETE" dataDxfId="7"/>
    <tableColumn id="8" xr3:uid="{A260C141-D69C-44F0-A15F-52FAD6826AD9}" name="VALOR SEM IPI" dataDxfId="6" dataCellStyle="Moeda"/>
    <tableColumn id="9" xr3:uid="{EAC07363-42C9-46CE-AC5D-0FB11F29F7DE}" name="PREÇO UND" dataDxfId="5" dataCellStyle="Moeda"/>
    <tableColumn id="10" xr3:uid="{A2A16435-1E86-4A37-8888-7FCEE1E9D018}" name="PAGAMENTO" dataDxfId="4"/>
    <tableColumn id="11" xr3:uid="{21E4AAEE-DC30-4983-8D81-1127C4EC5B12}" name="PEDIDO" dataDxfId="3"/>
    <tableColumn id="12" xr3:uid="{2C9CF2F5-9274-46AF-86CA-469293FF8796}" name="MARGEM R$" dataDxfId="2" dataCellStyle="Moeda"/>
    <tableColumn id="13" xr3:uid="{4F8D1298-063C-48D5-97AF-B3B1185DCC78}" name="MARGEM %" dataDxfId="1" dataCellStyle="Porcentagem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2539-4D1A-4046-B0FD-0428025889EC}">
  <dimension ref="A1:N121"/>
  <sheetViews>
    <sheetView tabSelected="1" zoomScale="60" zoomScaleNormal="60" workbookViewId="0">
      <pane ySplit="1" topLeftCell="A2" activePane="bottomLeft" state="frozen"/>
      <selection pane="bottomLeft" activeCell="D8" sqref="D8"/>
    </sheetView>
  </sheetViews>
  <sheetFormatPr defaultRowHeight="15" x14ac:dyDescent="0.2"/>
  <cols>
    <col min="1" max="1" width="15.5703125" style="2" customWidth="1"/>
    <col min="2" max="2" width="18.85546875" style="2" customWidth="1"/>
    <col min="3" max="3" width="56" style="2" customWidth="1"/>
    <col min="4" max="4" width="46" style="2" customWidth="1"/>
    <col min="5" max="5" width="26.140625" style="2" customWidth="1"/>
    <col min="6" max="6" width="31.7109375" style="2" customWidth="1"/>
    <col min="7" max="7" width="16.42578125" style="2" customWidth="1"/>
    <col min="8" max="8" width="15.140625" style="2" customWidth="1"/>
    <col min="9" max="9" width="30.28515625" style="3" customWidth="1"/>
    <col min="10" max="10" width="23.5703125" style="4" customWidth="1"/>
    <col min="11" max="11" width="27.42578125" style="2" customWidth="1"/>
    <col min="12" max="12" width="15" style="2" customWidth="1"/>
    <col min="13" max="13" width="24" style="3" customWidth="1"/>
    <col min="14" max="14" width="21.140625" style="5" customWidth="1"/>
    <col min="15" max="16384" width="9.140625" style="2"/>
  </cols>
  <sheetData>
    <row r="1" spans="1:14" s="6" customFormat="1" ht="20.25" x14ac:dyDescent="0.3">
      <c r="A1" s="6" t="s">
        <v>0</v>
      </c>
      <c r="B1" s="6" t="s">
        <v>103</v>
      </c>
      <c r="C1" s="6" t="s">
        <v>1</v>
      </c>
      <c r="D1" s="6" t="s">
        <v>102</v>
      </c>
      <c r="E1" s="6" t="s">
        <v>84</v>
      </c>
      <c r="F1" s="6" t="s">
        <v>2</v>
      </c>
      <c r="G1" s="6" t="s">
        <v>3</v>
      </c>
      <c r="H1" s="6" t="s">
        <v>4</v>
      </c>
      <c r="I1" s="7" t="s">
        <v>5</v>
      </c>
      <c r="J1" s="21" t="s">
        <v>6</v>
      </c>
      <c r="K1" s="6" t="s">
        <v>7</v>
      </c>
      <c r="L1" s="6" t="s">
        <v>8</v>
      </c>
      <c r="M1" s="7" t="s">
        <v>9</v>
      </c>
      <c r="N1" s="8" t="s">
        <v>10</v>
      </c>
    </row>
    <row r="2" spans="1:14" x14ac:dyDescent="0.2">
      <c r="A2" s="9" t="s">
        <v>65</v>
      </c>
      <c r="B2" s="9" t="s">
        <v>73</v>
      </c>
      <c r="C2" s="2" t="s">
        <v>11</v>
      </c>
      <c r="D2" s="2" t="s">
        <v>20</v>
      </c>
      <c r="E2" s="2">
        <v>10780</v>
      </c>
      <c r="F2" s="3">
        <v>1711.77</v>
      </c>
      <c r="G2" s="3">
        <v>0</v>
      </c>
      <c r="H2" s="2">
        <v>0</v>
      </c>
      <c r="I2" s="3">
        <v>1711.77</v>
      </c>
      <c r="J2" s="22">
        <f>I2/E2</f>
        <v>0.158791280148423</v>
      </c>
      <c r="K2" s="2" t="s">
        <v>14</v>
      </c>
      <c r="L2" s="2" t="s">
        <v>17</v>
      </c>
      <c r="M2" s="10">
        <v>60.557669049131576</v>
      </c>
      <c r="N2" s="11">
        <v>0.38086584307629923</v>
      </c>
    </row>
    <row r="3" spans="1:14" x14ac:dyDescent="0.2">
      <c r="A3" s="9" t="s">
        <v>65</v>
      </c>
      <c r="B3" s="9" t="s">
        <v>73</v>
      </c>
      <c r="C3" s="2" t="s">
        <v>11</v>
      </c>
      <c r="D3" s="2" t="s">
        <v>18</v>
      </c>
      <c r="E3" s="2">
        <v>812</v>
      </c>
      <c r="F3" s="3">
        <v>117.74</v>
      </c>
      <c r="G3" s="3">
        <v>0</v>
      </c>
      <c r="H3" s="2">
        <v>0</v>
      </c>
      <c r="I3" s="3">
        <v>117.74</v>
      </c>
      <c r="J3" s="22">
        <f t="shared" ref="J3:J43" si="0">I3/E3</f>
        <v>0.14499999999999999</v>
      </c>
      <c r="K3" s="2" t="s">
        <v>14</v>
      </c>
      <c r="L3" s="2" t="s">
        <v>17</v>
      </c>
      <c r="M3" s="10">
        <v>48.356669049131582</v>
      </c>
      <c r="N3" s="11">
        <v>0.33349426930435577</v>
      </c>
    </row>
    <row r="4" spans="1:14" x14ac:dyDescent="0.2">
      <c r="A4" s="9" t="s">
        <v>65</v>
      </c>
      <c r="B4" s="9" t="s">
        <v>73</v>
      </c>
      <c r="C4" s="2" t="s">
        <v>11</v>
      </c>
      <c r="D4" s="2" t="s">
        <v>19</v>
      </c>
      <c r="E4" s="2">
        <v>252</v>
      </c>
      <c r="F4" s="3">
        <v>39.559999999999995</v>
      </c>
      <c r="G4" s="3">
        <v>0</v>
      </c>
      <c r="H4" s="2">
        <v>0</v>
      </c>
      <c r="I4" s="3">
        <v>39.559999999999995</v>
      </c>
      <c r="J4" s="22">
        <f t="shared" si="0"/>
        <v>0.15698412698412698</v>
      </c>
      <c r="K4" s="2" t="s">
        <v>14</v>
      </c>
      <c r="L4" s="2" t="s">
        <v>17</v>
      </c>
      <c r="M4" s="12">
        <v>61.429169049131573</v>
      </c>
      <c r="N4" s="13">
        <v>0.38393230655707233</v>
      </c>
    </row>
    <row r="5" spans="1:14" x14ac:dyDescent="0.2">
      <c r="A5" s="24" t="s">
        <v>65</v>
      </c>
      <c r="B5" s="9" t="s">
        <v>73</v>
      </c>
      <c r="C5" s="2" t="s">
        <v>11</v>
      </c>
      <c r="D5" s="2" t="s">
        <v>21</v>
      </c>
      <c r="E5" s="2">
        <v>4452</v>
      </c>
      <c r="F5" s="3">
        <v>645.54</v>
      </c>
      <c r="G5" s="3">
        <v>0</v>
      </c>
      <c r="H5" s="2">
        <v>0</v>
      </c>
      <c r="I5" s="3">
        <v>645.54</v>
      </c>
      <c r="J5" s="22">
        <f t="shared" si="0"/>
        <v>0.14499999999999999</v>
      </c>
      <c r="K5" s="2" t="s">
        <v>14</v>
      </c>
      <c r="L5" s="2" t="s">
        <v>17</v>
      </c>
      <c r="M5" s="10">
        <v>48.356669049131582</v>
      </c>
      <c r="N5" s="11">
        <v>0.33349426930435577</v>
      </c>
    </row>
    <row r="6" spans="1:14" x14ac:dyDescent="0.2">
      <c r="A6" s="9" t="s">
        <v>65</v>
      </c>
      <c r="B6" s="9" t="s">
        <v>73</v>
      </c>
      <c r="C6" s="2" t="s">
        <v>12</v>
      </c>
      <c r="D6" s="2" t="s">
        <v>27</v>
      </c>
      <c r="E6" s="2">
        <v>10000</v>
      </c>
      <c r="F6" s="3">
        <v>1207.25</v>
      </c>
      <c r="G6" s="3">
        <v>107.25</v>
      </c>
      <c r="H6" s="2">
        <v>0</v>
      </c>
      <c r="I6" s="3">
        <v>1100</v>
      </c>
      <c r="J6" s="22">
        <f t="shared" si="0"/>
        <v>0.11</v>
      </c>
      <c r="K6" s="2" t="s">
        <v>15</v>
      </c>
      <c r="M6" s="10">
        <v>28.233433741131563</v>
      </c>
      <c r="N6" s="11">
        <v>0.25666757946483237</v>
      </c>
    </row>
    <row r="7" spans="1:14" x14ac:dyDescent="0.2">
      <c r="A7" s="9" t="s">
        <v>65</v>
      </c>
      <c r="B7" s="9" t="s">
        <v>73</v>
      </c>
      <c r="C7" s="2" t="s">
        <v>11</v>
      </c>
      <c r="D7" s="2" t="s">
        <v>22</v>
      </c>
      <c r="E7" s="2">
        <v>2240</v>
      </c>
      <c r="F7" s="3">
        <v>324.8</v>
      </c>
      <c r="G7" s="3">
        <v>0</v>
      </c>
      <c r="H7" s="2">
        <v>0</v>
      </c>
      <c r="I7" s="3">
        <v>324.8</v>
      </c>
      <c r="J7" s="22">
        <f t="shared" si="0"/>
        <v>0.14500000000000002</v>
      </c>
      <c r="K7" s="2" t="s">
        <v>14</v>
      </c>
      <c r="L7" s="2" t="s">
        <v>17</v>
      </c>
      <c r="M7" s="10">
        <v>48.356669049131582</v>
      </c>
      <c r="N7" s="11">
        <v>0.33349426930435577</v>
      </c>
    </row>
    <row r="8" spans="1:14" x14ac:dyDescent="0.2">
      <c r="A8" s="9" t="s">
        <v>65</v>
      </c>
      <c r="B8" s="9" t="s">
        <v>73</v>
      </c>
      <c r="C8" s="2" t="s">
        <v>11</v>
      </c>
      <c r="D8" s="2" t="s">
        <v>24</v>
      </c>
      <c r="E8" s="2">
        <v>12516</v>
      </c>
      <c r="F8" s="3">
        <v>1857.5700000000002</v>
      </c>
      <c r="G8" s="3">
        <v>42.75</v>
      </c>
      <c r="H8" s="2">
        <v>0</v>
      </c>
      <c r="I8" s="3">
        <v>1814.8200000000002</v>
      </c>
      <c r="J8" s="22">
        <f t="shared" si="0"/>
        <v>0.14500000000000002</v>
      </c>
      <c r="K8" s="2" t="s">
        <v>14</v>
      </c>
      <c r="L8" s="2" t="s">
        <v>17</v>
      </c>
      <c r="M8" s="10">
        <v>48.356669049131582</v>
      </c>
      <c r="N8" s="11">
        <v>0.33349426930435577</v>
      </c>
    </row>
    <row r="9" spans="1:14" x14ac:dyDescent="0.2">
      <c r="A9" s="9" t="s">
        <v>65</v>
      </c>
      <c r="B9" s="9" t="s">
        <v>73</v>
      </c>
      <c r="C9" s="2" t="s">
        <v>13</v>
      </c>
      <c r="D9" s="2" t="s">
        <v>26</v>
      </c>
      <c r="E9" s="2">
        <v>34000</v>
      </c>
      <c r="F9" s="3">
        <v>3731.5</v>
      </c>
      <c r="G9" s="3">
        <v>331.5</v>
      </c>
      <c r="H9" s="2">
        <v>0</v>
      </c>
      <c r="I9" s="3">
        <v>3400</v>
      </c>
      <c r="J9" s="22">
        <f t="shared" si="0"/>
        <v>0.1</v>
      </c>
      <c r="K9" s="2" t="s">
        <v>15</v>
      </c>
      <c r="L9" s="2" t="s">
        <v>17</v>
      </c>
      <c r="M9" s="14">
        <v>21.748433741131578</v>
      </c>
      <c r="N9" s="15">
        <v>0.21748433741131579</v>
      </c>
    </row>
    <row r="10" spans="1:14" x14ac:dyDescent="0.2">
      <c r="A10" s="9" t="s">
        <v>65</v>
      </c>
      <c r="B10" s="9" t="s">
        <v>73</v>
      </c>
      <c r="C10" s="2" t="s">
        <v>11</v>
      </c>
      <c r="D10" s="2" t="s">
        <v>23</v>
      </c>
      <c r="E10" s="2">
        <v>8000</v>
      </c>
      <c r="F10" s="3">
        <v>1290.6600000000001</v>
      </c>
      <c r="G10" s="3">
        <v>114.66</v>
      </c>
      <c r="H10" s="2">
        <v>0</v>
      </c>
      <c r="I10" s="3">
        <v>1176</v>
      </c>
      <c r="J10" s="22">
        <f t="shared" si="0"/>
        <v>0.14699999999999999</v>
      </c>
      <c r="K10" s="2" t="s">
        <v>15</v>
      </c>
      <c r="M10" s="10">
        <v>43.778669049131565</v>
      </c>
      <c r="N10" s="11">
        <v>0.29781407516416031</v>
      </c>
    </row>
    <row r="11" spans="1:14" x14ac:dyDescent="0.2">
      <c r="A11" s="9" t="s">
        <v>65</v>
      </c>
      <c r="B11" s="9" t="s">
        <v>73</v>
      </c>
      <c r="C11" s="2" t="s">
        <v>12</v>
      </c>
      <c r="D11" s="2" t="s">
        <v>28</v>
      </c>
      <c r="E11" s="2">
        <v>6020</v>
      </c>
      <c r="F11" s="3">
        <v>872.9</v>
      </c>
      <c r="G11" s="3">
        <v>0</v>
      </c>
      <c r="H11" s="2">
        <v>0</v>
      </c>
      <c r="I11" s="3">
        <v>872.9</v>
      </c>
      <c r="J11" s="22">
        <f t="shared" si="0"/>
        <v>0.14499999999999999</v>
      </c>
      <c r="K11" s="2" t="s">
        <v>15</v>
      </c>
      <c r="M11" s="10">
        <v>57.230933741131565</v>
      </c>
      <c r="N11" s="11">
        <v>0.39469609476642459</v>
      </c>
    </row>
    <row r="12" spans="1:14" x14ac:dyDescent="0.2">
      <c r="A12" s="9" t="s">
        <v>65</v>
      </c>
      <c r="B12" s="9" t="s">
        <v>73</v>
      </c>
      <c r="C12" s="2" t="s">
        <v>12</v>
      </c>
      <c r="D12" s="2" t="s">
        <v>29</v>
      </c>
      <c r="E12" s="2">
        <v>1400</v>
      </c>
      <c r="F12" s="3">
        <v>203</v>
      </c>
      <c r="G12" s="3">
        <v>0</v>
      </c>
      <c r="H12" s="2">
        <v>0</v>
      </c>
      <c r="I12" s="3">
        <v>203</v>
      </c>
      <c r="J12" s="22">
        <f t="shared" si="0"/>
        <v>0.14499999999999999</v>
      </c>
      <c r="K12" s="2" t="s">
        <v>14</v>
      </c>
      <c r="L12" s="2" t="s">
        <v>17</v>
      </c>
      <c r="M12" s="10">
        <v>63.465933741131565</v>
      </c>
      <c r="N12" s="11">
        <v>0.43769609476642457</v>
      </c>
    </row>
    <row r="13" spans="1:14" x14ac:dyDescent="0.2">
      <c r="A13" s="9" t="s">
        <v>65</v>
      </c>
      <c r="B13" s="9" t="s">
        <v>73</v>
      </c>
      <c r="C13" s="2" t="s">
        <v>12</v>
      </c>
      <c r="D13" s="2" t="s">
        <v>30</v>
      </c>
      <c r="E13" s="2">
        <v>15904</v>
      </c>
      <c r="F13" s="3">
        <v>2530.92</v>
      </c>
      <c r="G13" s="3">
        <v>224.84</v>
      </c>
      <c r="H13" s="2">
        <v>0</v>
      </c>
      <c r="I13" s="3">
        <v>2306.08</v>
      </c>
      <c r="J13" s="22">
        <f t="shared" si="0"/>
        <v>0.14499999999999999</v>
      </c>
      <c r="K13" s="2" t="s">
        <v>15</v>
      </c>
      <c r="M13" s="10">
        <v>57.230933741131565</v>
      </c>
      <c r="N13" s="11">
        <v>0.39469609476642459</v>
      </c>
    </row>
    <row r="14" spans="1:14" x14ac:dyDescent="0.2">
      <c r="A14" s="9" t="s">
        <v>65</v>
      </c>
      <c r="B14" s="9" t="s">
        <v>73</v>
      </c>
      <c r="C14" s="2" t="s">
        <v>12</v>
      </c>
      <c r="D14" s="2" t="s">
        <v>31</v>
      </c>
      <c r="E14" s="2">
        <v>1288</v>
      </c>
      <c r="F14" s="3">
        <v>186.76</v>
      </c>
      <c r="G14" s="3">
        <v>0</v>
      </c>
      <c r="H14" s="2">
        <v>0</v>
      </c>
      <c r="I14" s="3">
        <v>186.76</v>
      </c>
      <c r="J14" s="22">
        <f t="shared" si="0"/>
        <v>0.14499999999999999</v>
      </c>
      <c r="K14" s="2" t="s">
        <v>14</v>
      </c>
      <c r="M14" s="10">
        <v>60.855933741131565</v>
      </c>
      <c r="N14" s="11">
        <v>0.41969609476642455</v>
      </c>
    </row>
    <row r="15" spans="1:14" x14ac:dyDescent="0.2">
      <c r="A15" s="9" t="s">
        <v>65</v>
      </c>
      <c r="B15" s="9" t="s">
        <v>73</v>
      </c>
      <c r="C15" s="2" t="s">
        <v>12</v>
      </c>
      <c r="D15" s="2" t="s">
        <v>32</v>
      </c>
      <c r="E15" s="2">
        <v>672</v>
      </c>
      <c r="F15" s="3">
        <v>109.54</v>
      </c>
      <c r="G15" s="3">
        <v>0</v>
      </c>
      <c r="H15" s="2">
        <v>0</v>
      </c>
      <c r="I15" s="3">
        <v>109.54</v>
      </c>
      <c r="J15" s="22">
        <f t="shared" si="0"/>
        <v>0.16300595238095239</v>
      </c>
      <c r="K15" s="2" t="s">
        <v>14</v>
      </c>
      <c r="M15" s="10">
        <v>76.218933741131579</v>
      </c>
      <c r="N15" s="11">
        <v>0.46760082049773977</v>
      </c>
    </row>
    <row r="16" spans="1:14" x14ac:dyDescent="0.2">
      <c r="A16" s="9" t="s">
        <v>65</v>
      </c>
      <c r="B16" s="9" t="s">
        <v>73</v>
      </c>
      <c r="C16" s="2" t="s">
        <v>12</v>
      </c>
      <c r="D16" s="2" t="s">
        <v>33</v>
      </c>
      <c r="E16" s="2">
        <v>504</v>
      </c>
      <c r="F16" s="3">
        <v>80.209999999999994</v>
      </c>
      <c r="G16" s="3">
        <v>7.13</v>
      </c>
      <c r="H16" s="2">
        <v>0</v>
      </c>
      <c r="I16" s="3">
        <v>73.08</v>
      </c>
      <c r="J16" s="22">
        <f t="shared" si="0"/>
        <v>0.14499999999999999</v>
      </c>
      <c r="K16" s="2" t="s">
        <v>15</v>
      </c>
      <c r="M16" s="10">
        <v>57.230933741131565</v>
      </c>
      <c r="N16" s="11">
        <v>0.39469609476642459</v>
      </c>
    </row>
    <row r="17" spans="1:14" x14ac:dyDescent="0.2">
      <c r="A17" s="9" t="s">
        <v>65</v>
      </c>
      <c r="B17" s="9" t="s">
        <v>73</v>
      </c>
      <c r="C17" s="2" t="s">
        <v>12</v>
      </c>
      <c r="D17" s="2" t="s">
        <v>34</v>
      </c>
      <c r="E17" s="2">
        <v>60000</v>
      </c>
      <c r="F17" s="3">
        <v>6300</v>
      </c>
      <c r="G17" s="3">
        <v>0</v>
      </c>
      <c r="H17" s="2">
        <v>0</v>
      </c>
      <c r="I17" s="3">
        <v>6300</v>
      </c>
      <c r="J17" s="22">
        <f t="shared" si="0"/>
        <v>0.105</v>
      </c>
      <c r="K17" s="2" t="s">
        <v>16</v>
      </c>
      <c r="L17" s="2" t="s">
        <v>17</v>
      </c>
      <c r="M17" s="14">
        <v>19.680933741131568</v>
      </c>
      <c r="N17" s="15">
        <v>0.18743746420125304</v>
      </c>
    </row>
    <row r="18" spans="1:14" x14ac:dyDescent="0.2">
      <c r="A18" s="9" t="s">
        <v>65</v>
      </c>
      <c r="B18" s="9" t="s">
        <v>73</v>
      </c>
      <c r="C18" s="2" t="s">
        <v>12</v>
      </c>
      <c r="D18" s="2" t="s">
        <v>35</v>
      </c>
      <c r="E18" s="2">
        <v>420</v>
      </c>
      <c r="F18" s="3">
        <v>60.9</v>
      </c>
      <c r="G18" s="3">
        <v>0</v>
      </c>
      <c r="H18" s="2">
        <v>0</v>
      </c>
      <c r="I18" s="3">
        <v>60.9</v>
      </c>
      <c r="J18" s="22">
        <f t="shared" si="0"/>
        <v>0.14499999999999999</v>
      </c>
      <c r="K18" s="2" t="s">
        <v>14</v>
      </c>
      <c r="L18" s="2" t="s">
        <v>17</v>
      </c>
      <c r="M18" s="10">
        <v>63.465933741131565</v>
      </c>
      <c r="N18" s="11">
        <v>0.43769609476642457</v>
      </c>
    </row>
    <row r="19" spans="1:14" x14ac:dyDescent="0.2">
      <c r="A19" s="9" t="s">
        <v>65</v>
      </c>
      <c r="B19" s="9" t="s">
        <v>73</v>
      </c>
      <c r="C19" s="2" t="s">
        <v>12</v>
      </c>
      <c r="D19" s="2" t="s">
        <v>36</v>
      </c>
      <c r="E19" s="2">
        <v>3220</v>
      </c>
      <c r="F19" s="3">
        <v>432.2</v>
      </c>
      <c r="G19" s="3">
        <v>13.6</v>
      </c>
      <c r="H19" s="2">
        <v>0</v>
      </c>
      <c r="I19" s="3">
        <v>418.59999999999997</v>
      </c>
      <c r="J19" s="22">
        <f t="shared" si="0"/>
        <v>0.12999999999999998</v>
      </c>
      <c r="K19" s="2" t="s">
        <v>15</v>
      </c>
      <c r="M19" s="10">
        <v>44.80343374113157</v>
      </c>
      <c r="N19" s="11">
        <v>0.34464179800870437</v>
      </c>
    </row>
    <row r="20" spans="1:14" x14ac:dyDescent="0.2">
      <c r="A20" s="9" t="s">
        <v>65</v>
      </c>
      <c r="B20" s="9" t="s">
        <v>73</v>
      </c>
      <c r="C20" s="2" t="s">
        <v>12</v>
      </c>
      <c r="D20" s="2" t="s">
        <v>37</v>
      </c>
      <c r="E20" s="2">
        <v>16000</v>
      </c>
      <c r="F20" s="3">
        <v>2370.6</v>
      </c>
      <c r="G20" s="3">
        <v>210.6</v>
      </c>
      <c r="H20" s="2">
        <v>0</v>
      </c>
      <c r="I20" s="3">
        <v>2160</v>
      </c>
      <c r="J20" s="22">
        <f t="shared" si="0"/>
        <v>0.13500000000000001</v>
      </c>
      <c r="K20" s="2" t="s">
        <v>15</v>
      </c>
      <c r="M20" s="10">
        <v>48.945933741131569</v>
      </c>
      <c r="N20" s="11">
        <v>0.36256247215653015</v>
      </c>
    </row>
    <row r="21" spans="1:14" x14ac:dyDescent="0.2">
      <c r="A21" s="9" t="s">
        <v>65</v>
      </c>
      <c r="B21" s="9" t="s">
        <v>73</v>
      </c>
      <c r="C21" s="2" t="s">
        <v>12</v>
      </c>
      <c r="D21" s="2" t="s">
        <v>38</v>
      </c>
      <c r="E21" s="2">
        <v>4000</v>
      </c>
      <c r="F21" s="3">
        <v>636.54999999999995</v>
      </c>
      <c r="G21" s="3">
        <v>56.55</v>
      </c>
      <c r="H21" s="2">
        <v>0</v>
      </c>
      <c r="I21" s="3">
        <v>580</v>
      </c>
      <c r="J21" s="22">
        <f t="shared" si="0"/>
        <v>0.14499999999999999</v>
      </c>
      <c r="K21" s="2" t="s">
        <v>15</v>
      </c>
      <c r="L21" s="2" t="s">
        <v>17</v>
      </c>
      <c r="M21" s="10">
        <v>59.840933741131565</v>
      </c>
      <c r="N21" s="11">
        <v>0.41269609476642455</v>
      </c>
    </row>
    <row r="22" spans="1:14" x14ac:dyDescent="0.2">
      <c r="A22" s="9" t="s">
        <v>65</v>
      </c>
      <c r="B22" s="9" t="s">
        <v>73</v>
      </c>
      <c r="C22" s="2" t="s">
        <v>12</v>
      </c>
      <c r="D22" s="2" t="s">
        <v>39</v>
      </c>
      <c r="E22" s="2">
        <v>12000</v>
      </c>
      <c r="F22" s="3">
        <v>2252.08</v>
      </c>
      <c r="G22" s="3">
        <v>200.08</v>
      </c>
      <c r="H22" s="2">
        <v>0</v>
      </c>
      <c r="I22" s="3">
        <v>2052</v>
      </c>
      <c r="J22" s="22">
        <f t="shared" si="0"/>
        <v>0.17100000000000001</v>
      </c>
      <c r="K22" s="2" t="s">
        <v>15</v>
      </c>
      <c r="L22" s="2" t="s">
        <v>17</v>
      </c>
      <c r="M22" s="10">
        <v>81.849933741131565</v>
      </c>
      <c r="N22" s="11">
        <v>0.47865458328147115</v>
      </c>
    </row>
    <row r="23" spans="1:14" x14ac:dyDescent="0.2">
      <c r="A23" s="9" t="s">
        <v>65</v>
      </c>
      <c r="B23" s="9" t="s">
        <v>74</v>
      </c>
      <c r="C23" s="2" t="s">
        <v>40</v>
      </c>
      <c r="D23" s="2" t="s">
        <v>20</v>
      </c>
      <c r="E23" s="2">
        <v>10780</v>
      </c>
      <c r="F23" s="3">
        <v>1773.1000000000001</v>
      </c>
      <c r="G23" s="3">
        <v>0</v>
      </c>
      <c r="H23" s="2">
        <v>0</v>
      </c>
      <c r="I23" s="3">
        <f t="shared" ref="I23:I59" si="1">F23-G23</f>
        <v>1773.1000000000001</v>
      </c>
      <c r="J23" s="22">
        <f t="shared" si="0"/>
        <v>0.1644805194805195</v>
      </c>
      <c r="K23" s="2" t="s">
        <v>43</v>
      </c>
      <c r="L23" s="2" t="s">
        <v>17</v>
      </c>
      <c r="M23" s="3">
        <v>82.469142657004397</v>
      </c>
      <c r="N23" s="5">
        <v>0.47125224375431085</v>
      </c>
    </row>
    <row r="24" spans="1:14" x14ac:dyDescent="0.2">
      <c r="A24" s="9" t="s">
        <v>65</v>
      </c>
      <c r="B24" s="9" t="s">
        <v>74</v>
      </c>
      <c r="C24" s="2" t="s">
        <v>40</v>
      </c>
      <c r="D24" s="2" t="s">
        <v>18</v>
      </c>
      <c r="E24" s="2">
        <v>812</v>
      </c>
      <c r="F24" s="3">
        <v>105.56</v>
      </c>
      <c r="G24" s="3">
        <v>0</v>
      </c>
      <c r="H24" s="2">
        <v>0</v>
      </c>
      <c r="I24" s="3">
        <f t="shared" si="1"/>
        <v>105.56</v>
      </c>
      <c r="J24" s="22">
        <f t="shared" si="0"/>
        <v>0.13</v>
      </c>
      <c r="K24" s="2" t="s">
        <v>43</v>
      </c>
      <c r="L24" s="2" t="s">
        <v>17</v>
      </c>
      <c r="M24" s="3">
        <v>43.251642657004396</v>
      </c>
      <c r="N24" s="5">
        <v>0.33270494351541841</v>
      </c>
    </row>
    <row r="25" spans="1:14" x14ac:dyDescent="0.2">
      <c r="A25" s="9" t="s">
        <v>65</v>
      </c>
      <c r="B25" s="9" t="s">
        <v>74</v>
      </c>
      <c r="C25" s="2" t="s">
        <v>40</v>
      </c>
      <c r="D25" s="2" t="s">
        <v>19</v>
      </c>
      <c r="E25" s="2">
        <v>252</v>
      </c>
      <c r="F25" s="3">
        <v>40.32</v>
      </c>
      <c r="G25" s="3">
        <v>0</v>
      </c>
      <c r="H25" s="2">
        <v>0</v>
      </c>
      <c r="I25" s="3">
        <f t="shared" si="1"/>
        <v>40.32</v>
      </c>
      <c r="J25" s="22">
        <f t="shared" si="0"/>
        <v>0.16</v>
      </c>
      <c r="K25" s="2" t="s">
        <v>43</v>
      </c>
      <c r="L25" s="2" t="s">
        <v>17</v>
      </c>
      <c r="M25" s="3">
        <v>77.240142657004398</v>
      </c>
      <c r="N25" s="5">
        <v>0.45704226424262956</v>
      </c>
    </row>
    <row r="26" spans="1:14" x14ac:dyDescent="0.2">
      <c r="A26" s="9" t="s">
        <v>65</v>
      </c>
      <c r="B26" s="9" t="s">
        <v>74</v>
      </c>
      <c r="C26" s="2" t="s">
        <v>40</v>
      </c>
      <c r="D26" s="2" t="s">
        <v>21</v>
      </c>
      <c r="E26" s="2">
        <v>4452</v>
      </c>
      <c r="F26" s="3">
        <v>578.76</v>
      </c>
      <c r="G26" s="3">
        <v>0</v>
      </c>
      <c r="H26" s="2">
        <v>0</v>
      </c>
      <c r="I26" s="3">
        <f t="shared" si="1"/>
        <v>578.76</v>
      </c>
      <c r="J26" s="22">
        <f t="shared" si="0"/>
        <v>0.13</v>
      </c>
      <c r="K26" s="2" t="s">
        <v>43</v>
      </c>
      <c r="L26" s="2" t="s">
        <v>17</v>
      </c>
      <c r="M26" s="3">
        <v>43.251642657004396</v>
      </c>
      <c r="N26" s="5">
        <v>0.33270494351541841</v>
      </c>
    </row>
    <row r="27" spans="1:14" x14ac:dyDescent="0.2">
      <c r="A27" s="9" t="s">
        <v>65</v>
      </c>
      <c r="B27" s="9" t="s">
        <v>74</v>
      </c>
      <c r="C27" s="2" t="s">
        <v>40</v>
      </c>
      <c r="D27" s="2" t="s">
        <v>22</v>
      </c>
      <c r="E27" s="2">
        <v>2240</v>
      </c>
      <c r="F27" s="3">
        <v>291.2</v>
      </c>
      <c r="G27" s="3">
        <v>0</v>
      </c>
      <c r="H27" s="2">
        <v>0</v>
      </c>
      <c r="I27" s="3">
        <f t="shared" si="1"/>
        <v>291.2</v>
      </c>
      <c r="J27" s="22">
        <f t="shared" si="0"/>
        <v>0.13</v>
      </c>
      <c r="K27" s="2" t="s">
        <v>43</v>
      </c>
      <c r="L27" s="2" t="s">
        <v>17</v>
      </c>
      <c r="M27" s="3">
        <v>43.251642657004396</v>
      </c>
      <c r="N27" s="5">
        <v>0.33270494351541841</v>
      </c>
    </row>
    <row r="28" spans="1:14" x14ac:dyDescent="0.2">
      <c r="A28" s="9" t="s">
        <v>65</v>
      </c>
      <c r="B28" s="9" t="s">
        <v>74</v>
      </c>
      <c r="C28" s="2" t="s">
        <v>40</v>
      </c>
      <c r="D28" s="2" t="s">
        <v>23</v>
      </c>
      <c r="E28" s="2">
        <v>52000</v>
      </c>
      <c r="F28" s="3">
        <v>7033.3899999999994</v>
      </c>
      <c r="G28" s="3">
        <f>85.15+51.09+85.15</f>
        <v>221.39000000000001</v>
      </c>
      <c r="H28" s="2">
        <v>0</v>
      </c>
      <c r="I28" s="3">
        <f t="shared" si="1"/>
        <v>6811.9999999999991</v>
      </c>
      <c r="J28" s="22">
        <f t="shared" si="0"/>
        <v>0.13099999999999998</v>
      </c>
      <c r="K28" s="2" t="s">
        <v>15</v>
      </c>
      <c r="M28" s="3">
        <v>38.490142657004398</v>
      </c>
      <c r="N28" s="5">
        <v>0.29381788287789617</v>
      </c>
    </row>
    <row r="29" spans="1:14" x14ac:dyDescent="0.2">
      <c r="A29" s="9" t="s">
        <v>65</v>
      </c>
      <c r="B29" s="9" t="s">
        <v>74</v>
      </c>
      <c r="C29" s="2" t="s">
        <v>40</v>
      </c>
      <c r="D29" s="2" t="s">
        <v>24</v>
      </c>
      <c r="E29" s="2">
        <v>12516</v>
      </c>
      <c r="F29" s="3">
        <v>1639.8600000000001</v>
      </c>
      <c r="G29" s="3">
        <v>12.78</v>
      </c>
      <c r="H29" s="2">
        <v>0</v>
      </c>
      <c r="I29" s="3">
        <f t="shared" si="1"/>
        <v>1627.0800000000002</v>
      </c>
      <c r="J29" s="22">
        <f t="shared" si="0"/>
        <v>0.13</v>
      </c>
      <c r="K29" s="2" t="s">
        <v>43</v>
      </c>
      <c r="L29" s="2" t="s">
        <v>17</v>
      </c>
      <c r="M29" s="3">
        <v>43.251642657004396</v>
      </c>
      <c r="N29" s="5">
        <v>0.33270494351541841</v>
      </c>
    </row>
    <row r="30" spans="1:14" x14ac:dyDescent="0.2">
      <c r="A30" s="9" t="s">
        <v>65</v>
      </c>
      <c r="B30" s="9" t="s">
        <v>74</v>
      </c>
      <c r="C30" s="2" t="s">
        <v>41</v>
      </c>
      <c r="D30" s="2" t="s">
        <v>25</v>
      </c>
      <c r="E30" s="2">
        <v>6000</v>
      </c>
      <c r="F30" s="3">
        <v>780</v>
      </c>
      <c r="G30" s="3">
        <v>0</v>
      </c>
      <c r="H30" s="2">
        <v>0</v>
      </c>
      <c r="I30" s="3">
        <f t="shared" si="1"/>
        <v>780</v>
      </c>
      <c r="J30" s="22">
        <f t="shared" si="0"/>
        <v>0.13</v>
      </c>
      <c r="K30" s="2" t="s">
        <v>43</v>
      </c>
      <c r="L30" s="2" t="s">
        <v>17</v>
      </c>
      <c r="M30" s="3">
        <v>58.008412702504387</v>
      </c>
      <c r="N30" s="5">
        <v>0.44621855925003373</v>
      </c>
    </row>
    <row r="31" spans="1:14" x14ac:dyDescent="0.2">
      <c r="A31" s="9" t="s">
        <v>65</v>
      </c>
      <c r="B31" s="9" t="s">
        <v>74</v>
      </c>
      <c r="C31" s="2" t="s">
        <v>42</v>
      </c>
      <c r="D31" s="2" t="s">
        <v>26</v>
      </c>
      <c r="E31" s="2">
        <v>34000</v>
      </c>
      <c r="F31" s="3">
        <v>3510.5</v>
      </c>
      <c r="G31" s="3">
        <v>110.5</v>
      </c>
      <c r="H31" s="2">
        <v>0</v>
      </c>
      <c r="I31" s="3">
        <f t="shared" si="1"/>
        <v>3400</v>
      </c>
      <c r="J31" s="22">
        <f t="shared" si="0"/>
        <v>0.1</v>
      </c>
      <c r="K31" s="2" t="s">
        <v>15</v>
      </c>
      <c r="L31" s="2" t="s">
        <v>17</v>
      </c>
      <c r="M31" s="3">
        <v>29.363412702504391</v>
      </c>
      <c r="N31" s="5">
        <v>0.29363412702504388</v>
      </c>
    </row>
    <row r="32" spans="1:14" x14ac:dyDescent="0.2">
      <c r="A32" s="9" t="s">
        <v>65</v>
      </c>
      <c r="B32" s="9" t="s">
        <v>74</v>
      </c>
      <c r="C32" s="2" t="s">
        <v>41</v>
      </c>
      <c r="D32" s="2" t="s">
        <v>27</v>
      </c>
      <c r="E32" s="2">
        <v>10000</v>
      </c>
      <c r="F32" s="3">
        <v>1032.5</v>
      </c>
      <c r="G32" s="3">
        <v>32.5</v>
      </c>
      <c r="H32" s="2">
        <v>0</v>
      </c>
      <c r="I32" s="3">
        <f t="shared" si="1"/>
        <v>1000</v>
      </c>
      <c r="J32" s="22">
        <f t="shared" si="0"/>
        <v>0.1</v>
      </c>
      <c r="K32" s="2" t="s">
        <v>15</v>
      </c>
      <c r="M32" s="3">
        <v>27.563412702504394</v>
      </c>
      <c r="N32" s="5">
        <v>0.27563412702504392</v>
      </c>
    </row>
    <row r="33" spans="1:14" x14ac:dyDescent="0.2">
      <c r="A33" s="9" t="s">
        <v>65</v>
      </c>
      <c r="B33" s="9" t="s">
        <v>74</v>
      </c>
      <c r="C33" s="2" t="s">
        <v>41</v>
      </c>
      <c r="D33" s="2" t="s">
        <v>28</v>
      </c>
      <c r="E33" s="2">
        <v>6020</v>
      </c>
      <c r="F33" s="3">
        <v>782.6</v>
      </c>
      <c r="G33" s="3">
        <v>0</v>
      </c>
      <c r="H33" s="2">
        <v>0</v>
      </c>
      <c r="I33" s="3">
        <f t="shared" si="1"/>
        <v>782.6</v>
      </c>
      <c r="J33" s="22">
        <f t="shared" si="0"/>
        <v>0.13</v>
      </c>
      <c r="K33" s="2" t="s">
        <v>15</v>
      </c>
      <c r="M33" s="3">
        <v>52.418412702504384</v>
      </c>
      <c r="N33" s="5">
        <v>0.40321855925003369</v>
      </c>
    </row>
    <row r="34" spans="1:14" x14ac:dyDescent="0.2">
      <c r="A34" s="9" t="s">
        <v>65</v>
      </c>
      <c r="B34" s="9" t="s">
        <v>74</v>
      </c>
      <c r="C34" s="2" t="s">
        <v>41</v>
      </c>
      <c r="D34" s="2" t="s">
        <v>29</v>
      </c>
      <c r="E34" s="2">
        <v>1400</v>
      </c>
      <c r="F34" s="3">
        <v>182</v>
      </c>
      <c r="G34" s="3">
        <v>0</v>
      </c>
      <c r="H34" s="2">
        <v>0</v>
      </c>
      <c r="I34" s="3">
        <f t="shared" si="1"/>
        <v>182</v>
      </c>
      <c r="J34" s="22">
        <f t="shared" si="0"/>
        <v>0.13</v>
      </c>
      <c r="K34" s="2" t="s">
        <v>43</v>
      </c>
      <c r="L34" s="2" t="s">
        <v>17</v>
      </c>
      <c r="M34" s="3">
        <v>58.008412702504387</v>
      </c>
      <c r="N34" s="5">
        <v>0.44621855925003373</v>
      </c>
    </row>
    <row r="35" spans="1:14" x14ac:dyDescent="0.2">
      <c r="A35" s="9" t="s">
        <v>65</v>
      </c>
      <c r="B35" s="9" t="s">
        <v>74</v>
      </c>
      <c r="C35" s="2" t="s">
        <v>41</v>
      </c>
      <c r="D35" s="2" t="s">
        <v>30</v>
      </c>
      <c r="E35" s="2">
        <v>15904</v>
      </c>
      <c r="F35" s="3">
        <v>2134.7199999999998</v>
      </c>
      <c r="G35" s="3">
        <f>8.52+29.34+29.34</f>
        <v>67.2</v>
      </c>
      <c r="H35" s="2">
        <v>0</v>
      </c>
      <c r="I35" s="3">
        <f t="shared" si="1"/>
        <v>2067.52</v>
      </c>
      <c r="J35" s="22">
        <f t="shared" si="0"/>
        <v>0.13</v>
      </c>
      <c r="K35" s="2" t="s">
        <v>15</v>
      </c>
      <c r="M35" s="3">
        <v>52.418412702504384</v>
      </c>
      <c r="N35" s="5">
        <v>0.40321855925003369</v>
      </c>
    </row>
    <row r="36" spans="1:14" x14ac:dyDescent="0.2">
      <c r="A36" s="9" t="s">
        <v>65</v>
      </c>
      <c r="B36" s="9" t="s">
        <v>74</v>
      </c>
      <c r="C36" s="2" t="s">
        <v>41</v>
      </c>
      <c r="D36" s="2" t="s">
        <v>31</v>
      </c>
      <c r="E36" s="2">
        <v>1288</v>
      </c>
      <c r="F36" s="3">
        <v>167.44</v>
      </c>
      <c r="G36" s="3">
        <v>0</v>
      </c>
      <c r="H36" s="2">
        <v>0</v>
      </c>
      <c r="I36" s="3">
        <f t="shared" si="1"/>
        <v>167.44</v>
      </c>
      <c r="J36" s="22">
        <f t="shared" si="0"/>
        <v>0.13</v>
      </c>
      <c r="K36" s="2" t="s">
        <v>43</v>
      </c>
      <c r="M36" s="3">
        <v>55.668412702504384</v>
      </c>
      <c r="N36" s="5">
        <v>0.42821855925003371</v>
      </c>
    </row>
    <row r="37" spans="1:14" x14ac:dyDescent="0.2">
      <c r="A37" s="9" t="s">
        <v>65</v>
      </c>
      <c r="B37" s="9" t="s">
        <v>74</v>
      </c>
      <c r="C37" s="2" t="s">
        <v>41</v>
      </c>
      <c r="D37" s="2" t="s">
        <v>32</v>
      </c>
      <c r="E37" s="2">
        <v>672</v>
      </c>
      <c r="F37" s="3">
        <v>117.6</v>
      </c>
      <c r="G37" s="3">
        <v>0</v>
      </c>
      <c r="H37" s="2">
        <v>0</v>
      </c>
      <c r="I37" s="3">
        <f t="shared" si="1"/>
        <v>117.6</v>
      </c>
      <c r="J37" s="22">
        <f t="shared" si="0"/>
        <v>0.17499999999999999</v>
      </c>
      <c r="K37" s="2" t="s">
        <v>43</v>
      </c>
      <c r="M37" s="3">
        <v>94.075912702504382</v>
      </c>
      <c r="N37" s="5">
        <v>0.53757664401431071</v>
      </c>
    </row>
    <row r="38" spans="1:14" x14ac:dyDescent="0.2">
      <c r="A38" s="9" t="s">
        <v>65</v>
      </c>
      <c r="B38" s="9" t="s">
        <v>74</v>
      </c>
      <c r="C38" s="2" t="s">
        <v>41</v>
      </c>
      <c r="D38" s="2" t="s">
        <v>33</v>
      </c>
      <c r="E38" s="2">
        <v>504</v>
      </c>
      <c r="F38" s="3">
        <v>67.650000000000006</v>
      </c>
      <c r="G38" s="3">
        <v>2.13</v>
      </c>
      <c r="H38" s="2">
        <v>0</v>
      </c>
      <c r="I38" s="3">
        <f t="shared" si="1"/>
        <v>65.52000000000001</v>
      </c>
      <c r="J38" s="22">
        <f t="shared" si="0"/>
        <v>0.13000000000000003</v>
      </c>
      <c r="K38" s="2" t="s">
        <v>15</v>
      </c>
      <c r="M38" s="3">
        <v>52.418412702504384</v>
      </c>
      <c r="N38" s="5">
        <v>0.40321855925003369</v>
      </c>
    </row>
    <row r="39" spans="1:14" x14ac:dyDescent="0.2">
      <c r="A39" s="9" t="s">
        <v>65</v>
      </c>
      <c r="B39" s="9" t="s">
        <v>74</v>
      </c>
      <c r="C39" s="2" t="s">
        <v>41</v>
      </c>
      <c r="D39" s="2" t="s">
        <v>34</v>
      </c>
      <c r="E39" s="2">
        <v>60000</v>
      </c>
      <c r="F39" s="3">
        <v>6000</v>
      </c>
      <c r="G39" s="3">
        <v>0</v>
      </c>
      <c r="H39" s="2">
        <v>0</v>
      </c>
      <c r="I39" s="3">
        <f t="shared" si="1"/>
        <v>6000</v>
      </c>
      <c r="J39" s="22">
        <f t="shared" si="0"/>
        <v>0.1</v>
      </c>
      <c r="K39" s="2" t="s">
        <v>15</v>
      </c>
      <c r="L39" s="2" t="s">
        <v>17</v>
      </c>
      <c r="M39" s="3">
        <v>23.363412702504391</v>
      </c>
      <c r="N39" s="5">
        <v>0.23363412702504391</v>
      </c>
    </row>
    <row r="40" spans="1:14" x14ac:dyDescent="0.2">
      <c r="A40" s="9" t="s">
        <v>65</v>
      </c>
      <c r="B40" s="9" t="s">
        <v>74</v>
      </c>
      <c r="C40" s="2" t="s">
        <v>41</v>
      </c>
      <c r="D40" s="2" t="s">
        <v>35</v>
      </c>
      <c r="E40" s="2">
        <v>420</v>
      </c>
      <c r="F40" s="3">
        <v>54.6</v>
      </c>
      <c r="G40" s="3">
        <v>0</v>
      </c>
      <c r="H40" s="2">
        <v>0</v>
      </c>
      <c r="I40" s="3">
        <f t="shared" si="1"/>
        <v>54.6</v>
      </c>
      <c r="J40" s="22">
        <f t="shared" si="0"/>
        <v>0.13</v>
      </c>
      <c r="K40" s="2" t="s">
        <v>43</v>
      </c>
      <c r="L40" s="2" t="s">
        <v>17</v>
      </c>
      <c r="M40" s="3">
        <v>58.008412702504387</v>
      </c>
      <c r="N40" s="5">
        <v>0.44621855925003373</v>
      </c>
    </row>
    <row r="41" spans="1:14" x14ac:dyDescent="0.2">
      <c r="A41" s="9" t="s">
        <v>65</v>
      </c>
      <c r="B41" s="9" t="s">
        <v>74</v>
      </c>
      <c r="C41" s="2" t="s">
        <v>41</v>
      </c>
      <c r="D41" s="2" t="s">
        <v>36</v>
      </c>
      <c r="E41" s="2">
        <v>3220</v>
      </c>
      <c r="F41" s="3">
        <v>511.94</v>
      </c>
      <c r="G41" s="3">
        <v>45.52</v>
      </c>
      <c r="H41" s="2">
        <v>0</v>
      </c>
      <c r="I41" s="3">
        <f t="shared" si="1"/>
        <v>466.42</v>
      </c>
      <c r="J41" s="22">
        <f t="shared" si="0"/>
        <v>0.14485093167701865</v>
      </c>
      <c r="K41" s="2" t="s">
        <v>15</v>
      </c>
      <c r="M41" s="3">
        <v>64.845912702504378</v>
      </c>
      <c r="N41" s="5">
        <v>0.44721319105175433</v>
      </c>
    </row>
    <row r="42" spans="1:14" x14ac:dyDescent="0.2">
      <c r="A42" s="9" t="s">
        <v>65</v>
      </c>
      <c r="B42" s="9" t="s">
        <v>74</v>
      </c>
      <c r="C42" s="2" t="s">
        <v>41</v>
      </c>
      <c r="D42" s="2" t="s">
        <v>37</v>
      </c>
      <c r="E42" s="2">
        <v>16000</v>
      </c>
      <c r="F42" s="3">
        <v>1982.4</v>
      </c>
      <c r="G42" s="3">
        <v>62.4</v>
      </c>
      <c r="H42" s="2">
        <v>0</v>
      </c>
      <c r="I42" s="3">
        <f t="shared" si="1"/>
        <v>1920</v>
      </c>
      <c r="J42" s="22">
        <f t="shared" si="0"/>
        <v>0.12</v>
      </c>
      <c r="K42" s="2" t="s">
        <v>15</v>
      </c>
      <c r="M42" s="3">
        <v>44.133412702504387</v>
      </c>
      <c r="N42" s="5">
        <v>0.36777843918753655</v>
      </c>
    </row>
    <row r="43" spans="1:14" x14ac:dyDescent="0.2">
      <c r="A43" s="9" t="s">
        <v>65</v>
      </c>
      <c r="B43" s="9" t="s">
        <v>74</v>
      </c>
      <c r="C43" s="2" t="s">
        <v>41</v>
      </c>
      <c r="D43" s="2" t="s">
        <v>38</v>
      </c>
      <c r="E43" s="2">
        <v>4000</v>
      </c>
      <c r="F43" s="3">
        <v>536.9</v>
      </c>
      <c r="G43" s="3">
        <v>16.899999999999999</v>
      </c>
      <c r="H43" s="2">
        <v>0</v>
      </c>
      <c r="I43" s="3">
        <f t="shared" si="1"/>
        <v>520</v>
      </c>
      <c r="J43" s="22">
        <f t="shared" si="0"/>
        <v>0.13</v>
      </c>
      <c r="K43" s="2" t="s">
        <v>15</v>
      </c>
      <c r="L43" s="2" t="s">
        <v>17</v>
      </c>
      <c r="M43" s="3">
        <v>54.758412702504387</v>
      </c>
      <c r="N43" s="5">
        <v>0.42121855925003376</v>
      </c>
    </row>
    <row r="44" spans="1:14" x14ac:dyDescent="0.2">
      <c r="A44" s="9" t="s">
        <v>65</v>
      </c>
      <c r="B44" s="9" t="s">
        <v>74</v>
      </c>
      <c r="C44" s="2" t="s">
        <v>41</v>
      </c>
      <c r="D44" s="2" t="s">
        <v>39</v>
      </c>
      <c r="E44" s="2">
        <v>8000</v>
      </c>
      <c r="F44" s="3">
        <v>1321.6</v>
      </c>
      <c r="G44" s="3">
        <v>41.6</v>
      </c>
      <c r="H44" s="2">
        <v>0</v>
      </c>
      <c r="I44" s="3">
        <f t="shared" si="1"/>
        <v>1280</v>
      </c>
      <c r="J44" s="22">
        <f>I44/E44</f>
        <v>0.16</v>
      </c>
      <c r="K44" s="2" t="s">
        <v>15</v>
      </c>
      <c r="L44" s="2" t="s">
        <v>17</v>
      </c>
      <c r="M44" s="3">
        <v>80.153412702504397</v>
      </c>
      <c r="N44" s="5">
        <v>0.5009588293906525</v>
      </c>
    </row>
    <row r="45" spans="1:14" ht="15.75" x14ac:dyDescent="0.25">
      <c r="A45" s="9" t="s">
        <v>65</v>
      </c>
      <c r="B45" s="9" t="s">
        <v>75</v>
      </c>
      <c r="C45" s="2" t="s">
        <v>57</v>
      </c>
      <c r="D45" s="2" t="s">
        <v>44</v>
      </c>
      <c r="E45" s="2">
        <v>121800</v>
      </c>
      <c r="F45" s="3">
        <v>26796</v>
      </c>
      <c r="G45" s="3">
        <v>0</v>
      </c>
      <c r="H45" s="2">
        <v>0</v>
      </c>
      <c r="I45" s="1">
        <f t="shared" si="1"/>
        <v>26796</v>
      </c>
      <c r="J45" s="22">
        <f t="shared" ref="J45:J106" si="2">I45/E45</f>
        <v>0.22</v>
      </c>
      <c r="K45" s="16" t="s">
        <v>15</v>
      </c>
      <c r="L45" s="16" t="s">
        <v>17</v>
      </c>
      <c r="M45" s="3">
        <v>52.719589523778183</v>
      </c>
      <c r="N45" s="5">
        <v>0.23963449783535537</v>
      </c>
    </row>
    <row r="46" spans="1:14" ht="15.75" x14ac:dyDescent="0.25">
      <c r="A46" s="9" t="s">
        <v>65</v>
      </c>
      <c r="B46" s="9" t="s">
        <v>75</v>
      </c>
      <c r="C46" s="2" t="s">
        <v>57</v>
      </c>
      <c r="D46" s="2" t="s">
        <v>45</v>
      </c>
      <c r="E46" s="2">
        <v>243600</v>
      </c>
      <c r="F46" s="3">
        <v>56028</v>
      </c>
      <c r="G46" s="3">
        <v>0</v>
      </c>
      <c r="H46" s="2">
        <v>0</v>
      </c>
      <c r="I46" s="1">
        <f t="shared" si="1"/>
        <v>56028</v>
      </c>
      <c r="J46" s="22">
        <f t="shared" si="2"/>
        <v>0.23</v>
      </c>
      <c r="K46" s="16" t="s">
        <v>15</v>
      </c>
      <c r="L46" s="16" t="s">
        <v>17</v>
      </c>
      <c r="M46" s="3">
        <v>61.184589523778186</v>
      </c>
      <c r="N46" s="5">
        <v>0.26601995445120952</v>
      </c>
    </row>
    <row r="47" spans="1:14" ht="15.75" x14ac:dyDescent="0.25">
      <c r="A47" s="9" t="s">
        <v>65</v>
      </c>
      <c r="B47" s="9" t="s">
        <v>75</v>
      </c>
      <c r="C47" s="2" t="s">
        <v>57</v>
      </c>
      <c r="D47" s="2" t="s">
        <v>46</v>
      </c>
      <c r="E47" s="2">
        <v>121800</v>
      </c>
      <c r="F47" s="3">
        <v>26187</v>
      </c>
      <c r="G47" s="3">
        <v>0</v>
      </c>
      <c r="H47" s="2">
        <v>0</v>
      </c>
      <c r="I47" s="1">
        <f t="shared" si="1"/>
        <v>26187</v>
      </c>
      <c r="J47" s="22">
        <f t="shared" si="2"/>
        <v>0.215</v>
      </c>
      <c r="K47" s="17" t="s">
        <v>15</v>
      </c>
      <c r="L47" s="16" t="s">
        <v>17</v>
      </c>
      <c r="M47" s="3">
        <v>48.487089523778195</v>
      </c>
      <c r="N47" s="5">
        <v>0.22552134662222414</v>
      </c>
    </row>
    <row r="48" spans="1:14" ht="15.75" x14ac:dyDescent="0.25">
      <c r="A48" s="9" t="s">
        <v>65</v>
      </c>
      <c r="B48" s="9" t="s">
        <v>75</v>
      </c>
      <c r="C48" s="2" t="s">
        <v>57</v>
      </c>
      <c r="D48" s="2" t="s">
        <v>27</v>
      </c>
      <c r="E48" s="2">
        <v>97440</v>
      </c>
      <c r="F48" s="3">
        <v>22411.200000000001</v>
      </c>
      <c r="G48" s="3">
        <v>0</v>
      </c>
      <c r="H48" s="2">
        <v>0</v>
      </c>
      <c r="I48" s="1">
        <f t="shared" si="1"/>
        <v>22411.200000000001</v>
      </c>
      <c r="J48" s="22">
        <f t="shared" si="2"/>
        <v>0.23</v>
      </c>
      <c r="K48" s="17" t="s">
        <v>15</v>
      </c>
      <c r="L48" s="16"/>
      <c r="M48" s="3">
        <v>57.0445895237782</v>
      </c>
      <c r="N48" s="5">
        <v>0.24801995445120956</v>
      </c>
    </row>
    <row r="49" spans="1:14" ht="15.75" x14ac:dyDescent="0.25">
      <c r="A49" s="9" t="s">
        <v>65</v>
      </c>
      <c r="B49" s="9" t="s">
        <v>75</v>
      </c>
      <c r="C49" s="2" t="s">
        <v>58</v>
      </c>
      <c r="D49" s="2" t="s">
        <v>47</v>
      </c>
      <c r="E49" s="2">
        <v>48720</v>
      </c>
      <c r="F49" s="3">
        <v>12180</v>
      </c>
      <c r="G49" s="3">
        <v>0</v>
      </c>
      <c r="H49" s="2">
        <v>0</v>
      </c>
      <c r="I49" s="1">
        <f t="shared" si="1"/>
        <v>12180</v>
      </c>
      <c r="J49" s="22">
        <f t="shared" si="2"/>
        <v>0.25</v>
      </c>
      <c r="K49" s="17" t="s">
        <v>15</v>
      </c>
      <c r="L49" s="16"/>
      <c r="M49" s="3">
        <v>67.565717725552474</v>
      </c>
      <c r="N49" s="5">
        <v>0.27026287090220991</v>
      </c>
    </row>
    <row r="50" spans="1:14" ht="15.75" x14ac:dyDescent="0.25">
      <c r="A50" s="9" t="s">
        <v>65</v>
      </c>
      <c r="B50" s="9" t="s">
        <v>75</v>
      </c>
      <c r="C50" s="2" t="s">
        <v>57</v>
      </c>
      <c r="D50" s="2" t="s">
        <v>48</v>
      </c>
      <c r="E50" s="2">
        <v>121800</v>
      </c>
      <c r="F50" s="3">
        <v>25456.2</v>
      </c>
      <c r="G50" s="3">
        <v>0</v>
      </c>
      <c r="H50" s="2">
        <v>0</v>
      </c>
      <c r="I50" s="1">
        <f t="shared" si="1"/>
        <v>25456.2</v>
      </c>
      <c r="J50" s="22">
        <f t="shared" si="2"/>
        <v>0.20900000000000002</v>
      </c>
      <c r="K50" s="17" t="s">
        <v>15</v>
      </c>
      <c r="L50" s="16"/>
      <c r="M50" s="3">
        <v>39.646089523778187</v>
      </c>
      <c r="N50" s="5">
        <v>0.18969420824774252</v>
      </c>
    </row>
    <row r="51" spans="1:14" ht="15.75" x14ac:dyDescent="0.25">
      <c r="A51" s="9" t="s">
        <v>65</v>
      </c>
      <c r="B51" s="9" t="s">
        <v>75</v>
      </c>
      <c r="C51" s="2" t="s">
        <v>58</v>
      </c>
      <c r="D51" s="2" t="s">
        <v>49</v>
      </c>
      <c r="E51" s="2">
        <v>24360</v>
      </c>
      <c r="F51" s="3">
        <v>6090</v>
      </c>
      <c r="G51" s="3">
        <v>0</v>
      </c>
      <c r="H51" s="2">
        <v>0</v>
      </c>
      <c r="I51" s="1">
        <f t="shared" si="1"/>
        <v>6090</v>
      </c>
      <c r="J51" s="22">
        <f t="shared" si="2"/>
        <v>0.25</v>
      </c>
      <c r="K51" s="17" t="s">
        <v>15</v>
      </c>
      <c r="L51" s="16"/>
      <c r="M51" s="3">
        <v>67.565717725552474</v>
      </c>
      <c r="N51" s="5">
        <v>0.27026287090220991</v>
      </c>
    </row>
    <row r="52" spans="1:14" ht="15.75" x14ac:dyDescent="0.25">
      <c r="A52" s="9" t="s">
        <v>65</v>
      </c>
      <c r="B52" s="9" t="s">
        <v>75</v>
      </c>
      <c r="C52" s="2" t="s">
        <v>57</v>
      </c>
      <c r="D52" s="2" t="s">
        <v>50</v>
      </c>
      <c r="E52" s="2">
        <v>97440</v>
      </c>
      <c r="F52" s="3">
        <v>22800.959999999999</v>
      </c>
      <c r="G52" s="3">
        <v>0</v>
      </c>
      <c r="H52" s="2">
        <v>0</v>
      </c>
      <c r="I52" s="1">
        <f t="shared" si="1"/>
        <v>22800.959999999999</v>
      </c>
      <c r="J52" s="22">
        <f t="shared" si="2"/>
        <v>0.23399999999999999</v>
      </c>
      <c r="K52" s="17" t="s">
        <v>15</v>
      </c>
      <c r="L52" s="16" t="s">
        <v>17</v>
      </c>
      <c r="M52" s="3">
        <v>64.57058952377821</v>
      </c>
      <c r="N52" s="5">
        <v>0.27594269027255647</v>
      </c>
    </row>
    <row r="53" spans="1:14" ht="15.75" x14ac:dyDescent="0.25">
      <c r="A53" s="9" t="s">
        <v>65</v>
      </c>
      <c r="B53" s="9" t="s">
        <v>75</v>
      </c>
      <c r="C53" s="2" t="s">
        <v>57</v>
      </c>
      <c r="D53" s="2" t="s">
        <v>51</v>
      </c>
      <c r="E53" s="2">
        <v>48720</v>
      </c>
      <c r="F53" s="3">
        <v>11303.04</v>
      </c>
      <c r="G53" s="3">
        <v>0</v>
      </c>
      <c r="H53" s="2">
        <v>0</v>
      </c>
      <c r="I53" s="1">
        <f t="shared" si="1"/>
        <v>11303.04</v>
      </c>
      <c r="J53" s="22">
        <f t="shared" si="2"/>
        <v>0.23200000000000001</v>
      </c>
      <c r="K53" s="17" t="s">
        <v>15</v>
      </c>
      <c r="L53" s="16"/>
      <c r="M53" s="3">
        <v>58.701589523778182</v>
      </c>
      <c r="N53" s="5">
        <v>0.25302409277490595</v>
      </c>
    </row>
    <row r="54" spans="1:14" ht="15.75" x14ac:dyDescent="0.25">
      <c r="A54" s="9" t="s">
        <v>65</v>
      </c>
      <c r="B54" s="9" t="s">
        <v>75</v>
      </c>
      <c r="C54" s="2" t="s">
        <v>57</v>
      </c>
      <c r="D54" s="2" t="s">
        <v>52</v>
      </c>
      <c r="E54" s="2">
        <v>48720</v>
      </c>
      <c r="F54" s="3">
        <v>11205.6</v>
      </c>
      <c r="G54" s="3">
        <v>0</v>
      </c>
      <c r="H54" s="2">
        <v>0</v>
      </c>
      <c r="I54" s="1">
        <f t="shared" si="1"/>
        <v>11205.6</v>
      </c>
      <c r="J54" s="22">
        <f t="shared" si="2"/>
        <v>0.23</v>
      </c>
      <c r="K54" s="17" t="s">
        <v>43</v>
      </c>
      <c r="L54" s="16" t="s">
        <v>17</v>
      </c>
      <c r="M54" s="3">
        <v>66.934589523778186</v>
      </c>
      <c r="N54" s="5">
        <v>0.29101995445120954</v>
      </c>
    </row>
    <row r="55" spans="1:14" ht="15.75" x14ac:dyDescent="0.25">
      <c r="A55" s="9" t="s">
        <v>65</v>
      </c>
      <c r="B55" s="9" t="s">
        <v>75</v>
      </c>
      <c r="C55" s="2" t="s">
        <v>57</v>
      </c>
      <c r="D55" s="2" t="s">
        <v>53</v>
      </c>
      <c r="E55" s="2">
        <v>24360</v>
      </c>
      <c r="F55" s="3">
        <v>5650.98</v>
      </c>
      <c r="G55" s="3">
        <v>0</v>
      </c>
      <c r="H55" s="2">
        <v>0</v>
      </c>
      <c r="I55" s="1">
        <f t="shared" si="1"/>
        <v>5650.98</v>
      </c>
      <c r="J55" s="22">
        <f t="shared" si="2"/>
        <v>0.23197783251231524</v>
      </c>
      <c r="K55" s="17" t="s">
        <v>43</v>
      </c>
      <c r="L55" s="16" t="s">
        <v>17</v>
      </c>
      <c r="M55" s="3">
        <v>68.677589523778209</v>
      </c>
      <c r="N55" s="5">
        <v>0.29602409277490604</v>
      </c>
    </row>
    <row r="56" spans="1:14" ht="15.75" x14ac:dyDescent="0.25">
      <c r="A56" s="9" t="s">
        <v>65</v>
      </c>
      <c r="B56" s="9" t="s">
        <v>75</v>
      </c>
      <c r="C56" s="2" t="s">
        <v>57</v>
      </c>
      <c r="D56" s="2" t="s">
        <v>54</v>
      </c>
      <c r="E56" s="2">
        <v>24360</v>
      </c>
      <c r="F56" s="3">
        <v>5554.08</v>
      </c>
      <c r="G56" s="3">
        <v>0</v>
      </c>
      <c r="H56" s="2">
        <v>0</v>
      </c>
      <c r="I56" s="1">
        <f t="shared" si="1"/>
        <v>5554.08</v>
      </c>
      <c r="J56" s="22">
        <f t="shared" si="2"/>
        <v>0.22800000000000001</v>
      </c>
      <c r="K56" s="16" t="s">
        <v>43</v>
      </c>
      <c r="L56" s="16" t="s">
        <v>17</v>
      </c>
      <c r="M56" s="3">
        <v>65.191589523778191</v>
      </c>
      <c r="N56" s="5">
        <v>0.28592802422709734</v>
      </c>
    </row>
    <row r="57" spans="1:14" ht="15.75" x14ac:dyDescent="0.25">
      <c r="A57" s="9" t="s">
        <v>65</v>
      </c>
      <c r="B57" s="9" t="s">
        <v>75</v>
      </c>
      <c r="C57" s="2" t="s">
        <v>57</v>
      </c>
      <c r="D57" s="2" t="s">
        <v>55</v>
      </c>
      <c r="E57" s="2">
        <v>24360</v>
      </c>
      <c r="F57" s="3">
        <v>5529.72</v>
      </c>
      <c r="G57" s="3">
        <v>0</v>
      </c>
      <c r="H57" s="2">
        <v>0</v>
      </c>
      <c r="I57" s="1">
        <f t="shared" si="1"/>
        <v>5529.72</v>
      </c>
      <c r="J57" s="22">
        <f t="shared" si="2"/>
        <v>0.22700000000000001</v>
      </c>
      <c r="K57" s="16" t="s">
        <v>43</v>
      </c>
      <c r="L57" s="16" t="s">
        <v>17</v>
      </c>
      <c r="M57" s="3">
        <v>64.320089523778194</v>
      </c>
      <c r="N57" s="5">
        <v>0.28334841199902289</v>
      </c>
    </row>
    <row r="58" spans="1:14" ht="15.75" x14ac:dyDescent="0.25">
      <c r="A58" s="9" t="s">
        <v>65</v>
      </c>
      <c r="B58" s="9" t="s">
        <v>75</v>
      </c>
      <c r="C58" s="2" t="s">
        <v>57</v>
      </c>
      <c r="D58" s="2" t="s">
        <v>56</v>
      </c>
      <c r="E58" s="2">
        <v>121800</v>
      </c>
      <c r="F58" s="3">
        <v>27648.6</v>
      </c>
      <c r="G58" s="3">
        <v>0</v>
      </c>
      <c r="H58" s="2">
        <v>0</v>
      </c>
      <c r="I58" s="1">
        <f t="shared" si="1"/>
        <v>27648.6</v>
      </c>
      <c r="J58" s="22">
        <f t="shared" si="2"/>
        <v>0.22699999999999998</v>
      </c>
      <c r="K58" s="16" t="s">
        <v>15</v>
      </c>
      <c r="L58" s="16" t="s">
        <v>17</v>
      </c>
      <c r="M58" s="3">
        <v>58.645089523778182</v>
      </c>
      <c r="N58" s="5">
        <v>0.25834841199902281</v>
      </c>
    </row>
    <row r="59" spans="1:14" ht="15.75" x14ac:dyDescent="0.25">
      <c r="A59" s="9" t="s">
        <v>65</v>
      </c>
      <c r="B59" s="9" t="s">
        <v>75</v>
      </c>
      <c r="C59" s="2" t="s">
        <v>57</v>
      </c>
      <c r="D59" s="2" t="s">
        <v>37</v>
      </c>
      <c r="E59" s="2">
        <v>73080</v>
      </c>
      <c r="F59" s="3">
        <v>16808.400000000001</v>
      </c>
      <c r="G59" s="3">
        <v>0</v>
      </c>
      <c r="H59" s="2">
        <v>0</v>
      </c>
      <c r="I59" s="1">
        <f t="shared" si="1"/>
        <v>16808.400000000001</v>
      </c>
      <c r="J59" s="22">
        <f t="shared" si="2"/>
        <v>0.23</v>
      </c>
      <c r="K59" s="16" t="s">
        <v>15</v>
      </c>
      <c r="L59" s="16"/>
      <c r="M59" s="3">
        <v>57.0445895237782</v>
      </c>
      <c r="N59" s="5">
        <v>0.24801995445120956</v>
      </c>
    </row>
    <row r="60" spans="1:14" ht="15.75" x14ac:dyDescent="0.25">
      <c r="A60" s="9" t="s">
        <v>65</v>
      </c>
      <c r="B60" s="9" t="s">
        <v>76</v>
      </c>
      <c r="C60" s="2" t="s">
        <v>59</v>
      </c>
      <c r="D60" s="2" t="s">
        <v>60</v>
      </c>
      <c r="E60" s="2">
        <v>6400</v>
      </c>
      <c r="F60" s="3">
        <v>8108.8</v>
      </c>
      <c r="G60" s="3">
        <v>0</v>
      </c>
      <c r="H60" s="2">
        <v>0</v>
      </c>
      <c r="I60" s="3">
        <f>Tabela1[[#This Row],[VALOR DA VENDA ]]-Tabela1[[#This Row],[IPI]]</f>
        <v>8108.8</v>
      </c>
      <c r="J60" s="22">
        <f t="shared" si="2"/>
        <v>1.2670000000000001</v>
      </c>
      <c r="K60" s="17" t="s">
        <v>14</v>
      </c>
      <c r="L60" s="16" t="s">
        <v>17</v>
      </c>
      <c r="M60" s="3">
        <v>366.61016815924438</v>
      </c>
      <c r="N60" s="5">
        <v>0.2893529346166096</v>
      </c>
    </row>
    <row r="61" spans="1:14" ht="15.75" x14ac:dyDescent="0.25">
      <c r="A61" s="9" t="s">
        <v>65</v>
      </c>
      <c r="B61" s="9" t="s">
        <v>76</v>
      </c>
      <c r="C61" s="2" t="s">
        <v>59</v>
      </c>
      <c r="D61" s="2" t="s">
        <v>61</v>
      </c>
      <c r="E61" s="2">
        <v>3200</v>
      </c>
      <c r="F61" s="3">
        <v>4054.4</v>
      </c>
      <c r="G61" s="3">
        <v>0</v>
      </c>
      <c r="H61" s="2">
        <v>0</v>
      </c>
      <c r="I61" s="3">
        <f>Tabela1[[#This Row],[VALOR DA VENDA ]]-Tabela1[[#This Row],[IPI]]</f>
        <v>4054.4</v>
      </c>
      <c r="J61" s="22">
        <f t="shared" si="2"/>
        <v>1.2670000000000001</v>
      </c>
      <c r="K61" s="17" t="s">
        <v>14</v>
      </c>
      <c r="L61" s="16" t="s">
        <v>17</v>
      </c>
      <c r="M61" s="3">
        <v>366.61016815924438</v>
      </c>
      <c r="N61" s="5">
        <v>0.2893529346166096</v>
      </c>
    </row>
    <row r="62" spans="1:14" ht="15.75" x14ac:dyDescent="0.25">
      <c r="A62" s="9" t="s">
        <v>65</v>
      </c>
      <c r="B62" s="9" t="s">
        <v>76</v>
      </c>
      <c r="C62" s="2" t="s">
        <v>59</v>
      </c>
      <c r="D62" s="2" t="s">
        <v>25</v>
      </c>
      <c r="E62" s="2">
        <v>6400</v>
      </c>
      <c r="F62" s="3">
        <v>8640</v>
      </c>
      <c r="G62" s="3">
        <v>0</v>
      </c>
      <c r="H62" s="2">
        <v>0</v>
      </c>
      <c r="I62" s="3">
        <f>Tabela1[[#This Row],[VALOR DA VENDA ]]-Tabela1[[#This Row],[IPI]]</f>
        <v>8640</v>
      </c>
      <c r="J62" s="22">
        <f t="shared" si="2"/>
        <v>1.35</v>
      </c>
      <c r="K62" s="17" t="s">
        <v>14</v>
      </c>
      <c r="L62" s="16" t="s">
        <v>17</v>
      </c>
      <c r="M62" s="3">
        <v>438.94466815924443</v>
      </c>
      <c r="N62" s="5">
        <v>0.32514419863647737</v>
      </c>
    </row>
    <row r="63" spans="1:14" ht="15.75" x14ac:dyDescent="0.25">
      <c r="A63" s="9" t="s">
        <v>65</v>
      </c>
      <c r="B63" s="9" t="s">
        <v>76</v>
      </c>
      <c r="C63" s="2" t="s">
        <v>59</v>
      </c>
      <c r="D63" s="2" t="s">
        <v>51</v>
      </c>
      <c r="E63" s="2">
        <v>9600</v>
      </c>
      <c r="F63" s="3">
        <v>12460.800000000001</v>
      </c>
      <c r="G63" s="3">
        <v>0</v>
      </c>
      <c r="H63" s="2">
        <v>0</v>
      </c>
      <c r="I63" s="3">
        <f>Tabela1[[#This Row],[VALOR DA VENDA ]]-Tabela1[[#This Row],[IPI]]</f>
        <v>12460.800000000001</v>
      </c>
      <c r="J63" s="22">
        <f t="shared" si="2"/>
        <v>1.298</v>
      </c>
      <c r="K63" s="17" t="s">
        <v>15</v>
      </c>
      <c r="L63" s="16"/>
      <c r="M63" s="3">
        <v>337.81266815924425</v>
      </c>
      <c r="N63" s="5">
        <v>0.26025629288077368</v>
      </c>
    </row>
    <row r="64" spans="1:14" ht="15.75" x14ac:dyDescent="0.25">
      <c r="A64" s="9" t="s">
        <v>65</v>
      </c>
      <c r="B64" s="9" t="s">
        <v>76</v>
      </c>
      <c r="C64" s="2" t="s">
        <v>59</v>
      </c>
      <c r="D64" s="2" t="s">
        <v>62</v>
      </c>
      <c r="E64" s="2">
        <v>3200</v>
      </c>
      <c r="F64" s="3">
        <v>4384</v>
      </c>
      <c r="G64" s="3">
        <v>0</v>
      </c>
      <c r="H64" s="2">
        <v>0</v>
      </c>
      <c r="I64" s="3">
        <f>Tabela1[[#This Row],[VALOR DA VENDA ]]-Tabela1[[#This Row],[IPI]]</f>
        <v>4384</v>
      </c>
      <c r="J64" s="22">
        <f t="shared" si="2"/>
        <v>1.37</v>
      </c>
      <c r="K64" s="17" t="s">
        <v>15</v>
      </c>
      <c r="L64" s="16"/>
      <c r="M64" s="3">
        <v>397.46466815924441</v>
      </c>
      <c r="N64" s="5">
        <v>0.29012019573667475</v>
      </c>
    </row>
    <row r="65" spans="1:14" ht="15.75" x14ac:dyDescent="0.25">
      <c r="A65" s="9" t="s">
        <v>65</v>
      </c>
      <c r="B65" s="9" t="s">
        <v>76</v>
      </c>
      <c r="C65" s="2" t="s">
        <v>59</v>
      </c>
      <c r="D65" s="2" t="s">
        <v>34</v>
      </c>
      <c r="E65" s="2">
        <v>128000</v>
      </c>
      <c r="F65" s="3">
        <v>153600</v>
      </c>
      <c r="G65" s="3">
        <v>0</v>
      </c>
      <c r="H65" s="2">
        <v>0</v>
      </c>
      <c r="I65" s="3">
        <f>Tabela1[[#This Row],[VALOR DA VENDA ]]-Tabela1[[#This Row],[IPI]]</f>
        <v>153600</v>
      </c>
      <c r="J65" s="22">
        <f t="shared" si="2"/>
        <v>1.2</v>
      </c>
      <c r="K65" s="17" t="s">
        <v>15</v>
      </c>
      <c r="L65" s="16" t="s">
        <v>17</v>
      </c>
      <c r="M65" s="3">
        <v>206.21966815924441</v>
      </c>
      <c r="N65" s="5">
        <v>0.17184972346603702</v>
      </c>
    </row>
    <row r="66" spans="1:14" ht="15.75" x14ac:dyDescent="0.25">
      <c r="A66" s="9" t="s">
        <v>65</v>
      </c>
      <c r="B66" s="9" t="s">
        <v>76</v>
      </c>
      <c r="C66" s="2" t="s">
        <v>59</v>
      </c>
      <c r="D66" s="2" t="s">
        <v>63</v>
      </c>
      <c r="E66" s="2">
        <v>3200</v>
      </c>
      <c r="F66" s="3">
        <v>4192</v>
      </c>
      <c r="G66" s="3">
        <v>0</v>
      </c>
      <c r="H66" s="2">
        <v>0</v>
      </c>
      <c r="I66" s="3">
        <f>Tabela1[[#This Row],[VALOR DA VENDA ]]-Tabela1[[#This Row],[IPI]]</f>
        <v>4192</v>
      </c>
      <c r="J66" s="22">
        <f t="shared" si="2"/>
        <v>1.31</v>
      </c>
      <c r="K66" s="17" t="s">
        <v>14</v>
      </c>
      <c r="L66" s="16" t="s">
        <v>17</v>
      </c>
      <c r="M66" s="3">
        <v>404.0846681592443</v>
      </c>
      <c r="N66" s="5">
        <v>0.30846157874751473</v>
      </c>
    </row>
    <row r="67" spans="1:14" ht="15.75" x14ac:dyDescent="0.25">
      <c r="A67" s="9" t="s">
        <v>65</v>
      </c>
      <c r="B67" s="9" t="s">
        <v>76</v>
      </c>
      <c r="C67" s="2" t="s">
        <v>59</v>
      </c>
      <c r="D67" s="2" t="s">
        <v>64</v>
      </c>
      <c r="E67" s="2">
        <v>3200</v>
      </c>
      <c r="F67" s="3">
        <v>4192</v>
      </c>
      <c r="G67" s="3">
        <v>0</v>
      </c>
      <c r="H67" s="2">
        <v>0</v>
      </c>
      <c r="I67" s="3">
        <f>Tabela1[[#This Row],[VALOR DA VENDA ]]-Tabela1[[#This Row],[IPI]]</f>
        <v>4192</v>
      </c>
      <c r="J67" s="22">
        <f t="shared" si="2"/>
        <v>1.31</v>
      </c>
      <c r="K67" s="16" t="s">
        <v>15</v>
      </c>
      <c r="L67" s="16" t="s">
        <v>17</v>
      </c>
      <c r="M67" s="3">
        <v>371.3346681592443</v>
      </c>
      <c r="N67" s="5">
        <v>0.28346157874751476</v>
      </c>
    </row>
    <row r="68" spans="1:14" ht="15.75" x14ac:dyDescent="0.25">
      <c r="A68" s="9" t="s">
        <v>65</v>
      </c>
      <c r="B68" s="9" t="s">
        <v>76</v>
      </c>
      <c r="C68" s="2" t="s">
        <v>59</v>
      </c>
      <c r="D68" s="2" t="s">
        <v>37</v>
      </c>
      <c r="E68" s="2">
        <v>16000</v>
      </c>
      <c r="F68" s="3">
        <v>20640</v>
      </c>
      <c r="G68" s="3">
        <v>0</v>
      </c>
      <c r="H68" s="2">
        <v>0</v>
      </c>
      <c r="I68" s="3">
        <f>Tabela1[[#This Row],[VALOR DA VENDA ]]-Tabela1[[#This Row],[IPI]]</f>
        <v>20640</v>
      </c>
      <c r="J68" s="22">
        <f t="shared" si="2"/>
        <v>1.29</v>
      </c>
      <c r="K68" s="16" t="s">
        <v>15</v>
      </c>
      <c r="L68" s="16"/>
      <c r="M68" s="3">
        <v>331.18466815924432</v>
      </c>
      <c r="N68" s="5">
        <v>0.25673230089863902</v>
      </c>
    </row>
    <row r="69" spans="1:14" ht="15.75" x14ac:dyDescent="0.25">
      <c r="A69" s="9" t="s">
        <v>65</v>
      </c>
      <c r="B69" s="9" t="s">
        <v>76</v>
      </c>
      <c r="C69" s="2" t="s">
        <v>59</v>
      </c>
      <c r="D69" s="2" t="s">
        <v>38</v>
      </c>
      <c r="E69" s="2">
        <v>12800</v>
      </c>
      <c r="F69" s="3">
        <v>16217.6</v>
      </c>
      <c r="G69" s="3">
        <v>0</v>
      </c>
      <c r="H69" s="2">
        <v>0</v>
      </c>
      <c r="I69" s="3">
        <f>Tabela1[[#This Row],[VALOR DA VENDA ]]-Tabela1[[#This Row],[IPI]]</f>
        <v>16217.6</v>
      </c>
      <c r="J69" s="22">
        <f t="shared" si="2"/>
        <v>1.2670000000000001</v>
      </c>
      <c r="K69" s="16" t="s">
        <v>15</v>
      </c>
      <c r="L69" s="16" t="s">
        <v>17</v>
      </c>
      <c r="M69" s="3">
        <v>334.93516815924443</v>
      </c>
      <c r="N69" s="5">
        <v>0.26435293461660969</v>
      </c>
    </row>
    <row r="70" spans="1:14" ht="15.75" x14ac:dyDescent="0.25">
      <c r="A70" s="9" t="s">
        <v>66</v>
      </c>
      <c r="B70" s="9" t="s">
        <v>73</v>
      </c>
      <c r="C70" s="2" t="s">
        <v>12</v>
      </c>
      <c r="D70" s="2" t="s">
        <v>20</v>
      </c>
      <c r="E70" s="2">
        <v>840</v>
      </c>
      <c r="F70" s="3">
        <v>121.8</v>
      </c>
      <c r="G70" s="3">
        <v>0</v>
      </c>
      <c r="H70" s="2">
        <v>0</v>
      </c>
      <c r="I70" s="3">
        <f>Tabela1[[#This Row],[VALOR DA VENDA ]]-Tabela1[[#This Row],[IPI]]</f>
        <v>121.8</v>
      </c>
      <c r="J70" s="22">
        <f t="shared" si="2"/>
        <v>0.14499999999999999</v>
      </c>
      <c r="K70" s="16" t="s">
        <v>43</v>
      </c>
      <c r="L70" s="16" t="s">
        <v>17</v>
      </c>
      <c r="M70" s="3">
        <v>63.465933741131565</v>
      </c>
      <c r="N70" s="5">
        <v>0.43769609476642457</v>
      </c>
    </row>
    <row r="71" spans="1:14" ht="15.75" x14ac:dyDescent="0.25">
      <c r="A71" s="9" t="s">
        <v>66</v>
      </c>
      <c r="B71" s="9" t="s">
        <v>73</v>
      </c>
      <c r="C71" s="2" t="s">
        <v>12</v>
      </c>
      <c r="D71" s="2" t="s">
        <v>18</v>
      </c>
      <c r="E71" s="2">
        <v>56</v>
      </c>
      <c r="F71" s="3">
        <v>8.1199999999999992</v>
      </c>
      <c r="G71" s="3">
        <v>0</v>
      </c>
      <c r="H71" s="2">
        <v>0</v>
      </c>
      <c r="I71" s="3">
        <f>Tabela1[[#This Row],[VALOR DA VENDA ]]-Tabela1[[#This Row],[IPI]]</f>
        <v>8.1199999999999992</v>
      </c>
      <c r="J71" s="22">
        <f t="shared" si="2"/>
        <v>0.14499999999999999</v>
      </c>
      <c r="K71" s="16" t="s">
        <v>43</v>
      </c>
      <c r="L71" s="16" t="s">
        <v>17</v>
      </c>
      <c r="M71" s="3">
        <v>63.465933741131565</v>
      </c>
      <c r="N71" s="5">
        <v>0.43769609476642457</v>
      </c>
    </row>
    <row r="72" spans="1:14" ht="15.75" x14ac:dyDescent="0.25">
      <c r="A72" s="9" t="s">
        <v>66</v>
      </c>
      <c r="B72" s="9" t="s">
        <v>73</v>
      </c>
      <c r="C72" s="2" t="s">
        <v>12</v>
      </c>
      <c r="D72" s="2" t="s">
        <v>67</v>
      </c>
      <c r="E72" s="2">
        <v>2016</v>
      </c>
      <c r="F72" s="3">
        <v>292.32</v>
      </c>
      <c r="G72" s="3">
        <v>0</v>
      </c>
      <c r="H72" s="2">
        <v>0</v>
      </c>
      <c r="I72" s="3">
        <f>Tabela1[[#This Row],[VALOR DA VENDA ]]-Tabela1[[#This Row],[IPI]]</f>
        <v>292.32</v>
      </c>
      <c r="J72" s="22">
        <f t="shared" si="2"/>
        <v>0.14499999999999999</v>
      </c>
      <c r="K72" s="16" t="s">
        <v>43</v>
      </c>
      <c r="L72" s="16" t="s">
        <v>17</v>
      </c>
      <c r="M72" s="3">
        <v>63.465933741131565</v>
      </c>
      <c r="N72" s="5">
        <v>0.43769609476642457</v>
      </c>
    </row>
    <row r="73" spans="1:14" ht="15.75" x14ac:dyDescent="0.25">
      <c r="A73" s="9" t="s">
        <v>66</v>
      </c>
      <c r="B73" s="9" t="s">
        <v>73</v>
      </c>
      <c r="C73" s="2" t="s">
        <v>12</v>
      </c>
      <c r="D73" s="2" t="s">
        <v>21</v>
      </c>
      <c r="E73" s="2">
        <v>1848</v>
      </c>
      <c r="F73" s="3">
        <v>267.95999999999998</v>
      </c>
      <c r="G73" s="3">
        <v>0</v>
      </c>
      <c r="H73" s="2">
        <v>0</v>
      </c>
      <c r="I73" s="3">
        <f>Tabela1[[#This Row],[VALOR DA VENDA ]]-Tabela1[[#This Row],[IPI]]</f>
        <v>267.95999999999998</v>
      </c>
      <c r="J73" s="22">
        <f t="shared" si="2"/>
        <v>0.14499999999999999</v>
      </c>
      <c r="K73" s="16" t="s">
        <v>43</v>
      </c>
      <c r="L73" s="16" t="s">
        <v>17</v>
      </c>
      <c r="M73" s="3">
        <v>63.465933741131565</v>
      </c>
      <c r="N73" s="5">
        <v>0.43769609476642457</v>
      </c>
    </row>
    <row r="74" spans="1:14" ht="15.75" x14ac:dyDescent="0.25">
      <c r="A74" s="9" t="s">
        <v>66</v>
      </c>
      <c r="B74" s="9" t="s">
        <v>73</v>
      </c>
      <c r="C74" s="2" t="s">
        <v>12</v>
      </c>
      <c r="D74" s="2" t="s">
        <v>19</v>
      </c>
      <c r="E74" s="2">
        <v>56</v>
      </c>
      <c r="F74" s="3">
        <v>8.1199999999999992</v>
      </c>
      <c r="G74" s="3">
        <v>0</v>
      </c>
      <c r="H74" s="2">
        <v>0</v>
      </c>
      <c r="I74" s="3">
        <f>Tabela1[[#This Row],[VALOR DA VENDA ]]-Tabela1[[#This Row],[IPI]]</f>
        <v>8.1199999999999992</v>
      </c>
      <c r="J74" s="22">
        <f t="shared" si="2"/>
        <v>0.14499999999999999</v>
      </c>
      <c r="K74" s="16" t="s">
        <v>43</v>
      </c>
      <c r="L74" s="16" t="s">
        <v>17</v>
      </c>
      <c r="M74" s="3">
        <v>63.465933741131565</v>
      </c>
      <c r="N74" s="5">
        <v>0.43769609476642457</v>
      </c>
    </row>
    <row r="75" spans="1:14" x14ac:dyDescent="0.2">
      <c r="A75" s="9" t="s">
        <v>66</v>
      </c>
      <c r="B75" s="9" t="s">
        <v>74</v>
      </c>
      <c r="C75" s="2" t="s">
        <v>41</v>
      </c>
      <c r="D75" s="2" t="s">
        <v>20</v>
      </c>
      <c r="E75" s="2">
        <v>840</v>
      </c>
      <c r="F75" s="3">
        <v>109.2</v>
      </c>
      <c r="G75" s="3">
        <v>0</v>
      </c>
      <c r="H75" s="2">
        <v>0</v>
      </c>
      <c r="I75" s="3">
        <f>Tabela1[[#This Row],[VALOR DA VENDA ]]-Tabela1[[#This Row],[IPI]]</f>
        <v>109.2</v>
      </c>
      <c r="J75" s="22">
        <f t="shared" si="2"/>
        <v>0.13</v>
      </c>
      <c r="K75" s="2" t="s">
        <v>43</v>
      </c>
      <c r="L75" s="2" t="s">
        <v>17</v>
      </c>
      <c r="M75" s="3">
        <v>54.758412702504387</v>
      </c>
      <c r="N75" s="5">
        <v>0.42121855925003376</v>
      </c>
    </row>
    <row r="76" spans="1:14" x14ac:dyDescent="0.2">
      <c r="A76" s="9" t="s">
        <v>66</v>
      </c>
      <c r="B76" s="9" t="s">
        <v>74</v>
      </c>
      <c r="C76" s="2" t="s">
        <v>41</v>
      </c>
      <c r="D76" s="2" t="s">
        <v>18</v>
      </c>
      <c r="E76" s="2">
        <v>56</v>
      </c>
      <c r="F76" s="3">
        <v>7.28</v>
      </c>
      <c r="G76" s="3">
        <v>0</v>
      </c>
      <c r="H76" s="2">
        <v>0</v>
      </c>
      <c r="I76" s="3">
        <f>Tabela1[[#This Row],[VALOR DA VENDA ]]-Tabela1[[#This Row],[IPI]]</f>
        <v>7.28</v>
      </c>
      <c r="J76" s="22">
        <f t="shared" si="2"/>
        <v>0.13</v>
      </c>
      <c r="K76" s="2" t="s">
        <v>43</v>
      </c>
      <c r="L76" s="2" t="s">
        <v>17</v>
      </c>
      <c r="M76" s="3">
        <v>54.758412702504387</v>
      </c>
      <c r="N76" s="5">
        <v>0.42121855925003376</v>
      </c>
    </row>
    <row r="77" spans="1:14" x14ac:dyDescent="0.2">
      <c r="A77" s="9" t="s">
        <v>66</v>
      </c>
      <c r="B77" s="9" t="s">
        <v>74</v>
      </c>
      <c r="C77" s="2" t="s">
        <v>41</v>
      </c>
      <c r="D77" s="2" t="s">
        <v>67</v>
      </c>
      <c r="E77" s="2">
        <v>2016</v>
      </c>
      <c r="F77" s="3">
        <v>262.08</v>
      </c>
      <c r="G77" s="3">
        <v>0</v>
      </c>
      <c r="H77" s="2">
        <v>0</v>
      </c>
      <c r="I77" s="3">
        <f>Tabela1[[#This Row],[VALOR DA VENDA ]]-Tabela1[[#This Row],[IPI]]</f>
        <v>262.08</v>
      </c>
      <c r="J77" s="22">
        <f t="shared" si="2"/>
        <v>0.13</v>
      </c>
      <c r="K77" s="2" t="s">
        <v>43</v>
      </c>
      <c r="L77" s="2" t="s">
        <v>17</v>
      </c>
      <c r="M77" s="3">
        <v>54.758412702504387</v>
      </c>
      <c r="N77" s="5">
        <v>0.42121855925003376</v>
      </c>
    </row>
    <row r="78" spans="1:14" x14ac:dyDescent="0.2">
      <c r="A78" s="9" t="s">
        <v>66</v>
      </c>
      <c r="B78" s="9" t="s">
        <v>74</v>
      </c>
      <c r="C78" s="2" t="s">
        <v>41</v>
      </c>
      <c r="D78" s="2" t="s">
        <v>21</v>
      </c>
      <c r="E78" s="2">
        <v>1848</v>
      </c>
      <c r="F78" s="3">
        <v>240.24</v>
      </c>
      <c r="G78" s="3">
        <v>0</v>
      </c>
      <c r="H78" s="2">
        <v>0</v>
      </c>
      <c r="I78" s="3">
        <f>Tabela1[[#This Row],[VALOR DA VENDA ]]-Tabela1[[#This Row],[IPI]]</f>
        <v>240.24</v>
      </c>
      <c r="J78" s="22">
        <f t="shared" si="2"/>
        <v>0.13</v>
      </c>
      <c r="K78" s="2" t="s">
        <v>43</v>
      </c>
      <c r="L78" s="2" t="s">
        <v>17</v>
      </c>
      <c r="M78" s="3">
        <v>54.758412702504387</v>
      </c>
      <c r="N78" s="5">
        <v>0.42121855925003376</v>
      </c>
    </row>
    <row r="79" spans="1:14" x14ac:dyDescent="0.2">
      <c r="A79" s="9" t="s">
        <v>66</v>
      </c>
      <c r="B79" s="9" t="s">
        <v>74</v>
      </c>
      <c r="C79" s="2" t="s">
        <v>41</v>
      </c>
      <c r="D79" s="2" t="s">
        <v>19</v>
      </c>
      <c r="E79" s="2">
        <v>56</v>
      </c>
      <c r="F79" s="3">
        <v>7.28</v>
      </c>
      <c r="G79" s="3">
        <v>0</v>
      </c>
      <c r="H79" s="2">
        <v>0</v>
      </c>
      <c r="I79" s="3">
        <f>Tabela1[[#This Row],[VALOR DA VENDA ]]-Tabela1[[#This Row],[IPI]]</f>
        <v>7.28</v>
      </c>
      <c r="J79" s="22">
        <f t="shared" si="2"/>
        <v>0.13</v>
      </c>
      <c r="K79" s="2" t="s">
        <v>43</v>
      </c>
      <c r="L79" s="2" t="s">
        <v>17</v>
      </c>
      <c r="M79" s="3">
        <v>54.758412702504387</v>
      </c>
      <c r="N79" s="5">
        <v>0.42121855925003376</v>
      </c>
    </row>
    <row r="80" spans="1:14" x14ac:dyDescent="0.2">
      <c r="A80" s="9" t="s">
        <v>66</v>
      </c>
      <c r="B80" s="9" t="s">
        <v>89</v>
      </c>
      <c r="C80" s="2" t="s">
        <v>68</v>
      </c>
      <c r="D80" s="2" t="s">
        <v>69</v>
      </c>
      <c r="E80" s="2">
        <v>176000</v>
      </c>
      <c r="F80" s="3">
        <v>27258</v>
      </c>
      <c r="G80" s="3">
        <v>858</v>
      </c>
      <c r="H80" s="2">
        <v>0</v>
      </c>
      <c r="I80" s="3">
        <f>Tabela1[[#This Row],[VALOR DA VENDA ]]-Tabela1[[#This Row],[IPI]]</f>
        <v>26400</v>
      </c>
      <c r="J80" s="22">
        <f t="shared" si="2"/>
        <v>0.15</v>
      </c>
      <c r="K80" s="2" t="s">
        <v>15</v>
      </c>
      <c r="M80" s="3">
        <v>59.218603644583325</v>
      </c>
      <c r="N80" s="5">
        <v>0.3947906909638888</v>
      </c>
    </row>
    <row r="81" spans="1:14" x14ac:dyDescent="0.2">
      <c r="A81" s="9" t="s">
        <v>65</v>
      </c>
      <c r="B81" s="9" t="s">
        <v>70</v>
      </c>
      <c r="C81" s="2" t="s">
        <v>90</v>
      </c>
      <c r="D81" s="2" t="s">
        <v>20</v>
      </c>
      <c r="E81" s="2">
        <v>10780</v>
      </c>
      <c r="F81" s="3">
        <v>17823.120000000003</v>
      </c>
      <c r="G81" s="3">
        <v>0</v>
      </c>
      <c r="H81" s="2">
        <v>0</v>
      </c>
      <c r="I81" s="3">
        <f>Tabela1[[#This Row],[VALOR DA VENDA ]]-Tabela1[[#This Row],[IPI]]</f>
        <v>17823.120000000003</v>
      </c>
      <c r="J81" s="22">
        <f t="shared" si="2"/>
        <v>1.6533506493506496</v>
      </c>
      <c r="K81" s="2" t="s">
        <v>14</v>
      </c>
      <c r="L81" s="2" t="s">
        <v>17</v>
      </c>
      <c r="M81" s="3">
        <v>395.36966815924438</v>
      </c>
      <c r="N81" s="5">
        <v>0.30413051396864954</v>
      </c>
    </row>
    <row r="82" spans="1:14" x14ac:dyDescent="0.2">
      <c r="A82" s="9" t="s">
        <v>65</v>
      </c>
      <c r="B82" s="9" t="s">
        <v>70</v>
      </c>
      <c r="C82" s="2" t="s">
        <v>90</v>
      </c>
      <c r="D82" s="2" t="s">
        <v>18</v>
      </c>
      <c r="E82" s="2">
        <v>812</v>
      </c>
      <c r="F82" s="3">
        <v>1278.9000000000001</v>
      </c>
      <c r="G82" s="3">
        <v>0</v>
      </c>
      <c r="H82" s="2">
        <v>0</v>
      </c>
      <c r="I82" s="3">
        <f>Tabela1[[#This Row],[VALOR DA VENDA ]]-Tabela1[[#This Row],[IPI]]</f>
        <v>1278.9000000000001</v>
      </c>
      <c r="J82" s="22">
        <f t="shared" si="2"/>
        <v>1.5750000000000002</v>
      </c>
      <c r="K82" s="2" t="s">
        <v>14</v>
      </c>
      <c r="L82" s="2" t="s">
        <v>17</v>
      </c>
      <c r="M82" s="3">
        <v>334.36466815924427</v>
      </c>
      <c r="N82" s="5">
        <v>0.27184119362540182</v>
      </c>
    </row>
    <row r="83" spans="1:14" x14ac:dyDescent="0.2">
      <c r="A83" s="9" t="s">
        <v>65</v>
      </c>
      <c r="B83" s="9" t="s">
        <v>70</v>
      </c>
      <c r="C83" s="2" t="s">
        <v>90</v>
      </c>
      <c r="D83" s="2" t="s">
        <v>19</v>
      </c>
      <c r="E83" s="2">
        <v>252</v>
      </c>
      <c r="F83" s="3">
        <v>424.12</v>
      </c>
      <c r="G83" s="3">
        <v>0</v>
      </c>
      <c r="H83" s="2">
        <v>0</v>
      </c>
      <c r="I83" s="3">
        <f>Tabela1[[#This Row],[VALOR DA VENDA ]]-Tabela1[[#This Row],[IPI]]</f>
        <v>424.12</v>
      </c>
      <c r="J83" s="22">
        <f t="shared" si="2"/>
        <v>1.6830158730158731</v>
      </c>
      <c r="K83" s="2" t="s">
        <v>14</v>
      </c>
      <c r="L83" s="2" t="s">
        <v>17</v>
      </c>
      <c r="M83" s="3">
        <v>412.79966815924433</v>
      </c>
      <c r="N83" s="5">
        <v>0.31272702133276087</v>
      </c>
    </row>
    <row r="84" spans="1:14" x14ac:dyDescent="0.2">
      <c r="A84" s="9" t="s">
        <v>65</v>
      </c>
      <c r="B84" s="9" t="s">
        <v>70</v>
      </c>
      <c r="C84" s="2" t="s">
        <v>90</v>
      </c>
      <c r="D84" s="2" t="s">
        <v>21</v>
      </c>
      <c r="E84" s="2">
        <v>4452</v>
      </c>
      <c r="F84" s="3">
        <v>7234.5</v>
      </c>
      <c r="G84" s="3">
        <v>0</v>
      </c>
      <c r="H84" s="2">
        <v>0</v>
      </c>
      <c r="I84" s="3">
        <f>Tabela1[[#This Row],[VALOR DA VENDA ]]-Tabela1[[#This Row],[IPI]]</f>
        <v>7234.5</v>
      </c>
      <c r="J84" s="22">
        <f t="shared" si="2"/>
        <v>1.625</v>
      </c>
      <c r="K84" s="2" t="s">
        <v>14</v>
      </c>
      <c r="L84" s="2" t="s">
        <v>17</v>
      </c>
      <c r="M84" s="3">
        <v>377.93966815924432</v>
      </c>
      <c r="N84" s="5">
        <v>0.29526536574940959</v>
      </c>
    </row>
    <row r="85" spans="1:14" x14ac:dyDescent="0.2">
      <c r="A85" s="9" t="s">
        <v>65</v>
      </c>
      <c r="B85" s="9" t="s">
        <v>70</v>
      </c>
      <c r="C85" s="2" t="s">
        <v>90</v>
      </c>
      <c r="D85" s="2" t="s">
        <v>22</v>
      </c>
      <c r="E85" s="2">
        <v>2240</v>
      </c>
      <c r="F85" s="3">
        <v>3528</v>
      </c>
      <c r="G85" s="3">
        <v>0</v>
      </c>
      <c r="H85" s="2">
        <v>0</v>
      </c>
      <c r="I85" s="3">
        <f>Tabela1[[#This Row],[VALOR DA VENDA ]]-Tabela1[[#This Row],[IPI]]</f>
        <v>3528</v>
      </c>
      <c r="J85" s="22">
        <f t="shared" si="2"/>
        <v>1.575</v>
      </c>
      <c r="K85" s="2" t="s">
        <v>14</v>
      </c>
      <c r="L85" s="2" t="s">
        <v>17</v>
      </c>
      <c r="M85" s="3">
        <v>334.36466815924427</v>
      </c>
      <c r="N85" s="5">
        <v>0.27184119362540182</v>
      </c>
    </row>
    <row r="86" spans="1:14" x14ac:dyDescent="0.2">
      <c r="A86" s="9" t="s">
        <v>65</v>
      </c>
      <c r="B86" s="9" t="s">
        <v>70</v>
      </c>
      <c r="C86" s="2" t="s">
        <v>90</v>
      </c>
      <c r="D86" s="2" t="s">
        <v>24</v>
      </c>
      <c r="E86" s="2">
        <v>12516</v>
      </c>
      <c r="F86" s="3">
        <v>20817.62</v>
      </c>
      <c r="G86" s="3">
        <v>479.12</v>
      </c>
      <c r="H86" s="2">
        <v>0</v>
      </c>
      <c r="I86" s="3">
        <f>Tabela1[[#This Row],[VALOR DA VENDA ]]-Tabela1[[#This Row],[IPI]]</f>
        <v>20338.5</v>
      </c>
      <c r="J86" s="22">
        <f t="shared" si="2"/>
        <v>1.625</v>
      </c>
      <c r="K86" s="2" t="s">
        <v>14</v>
      </c>
      <c r="L86" s="2" t="s">
        <v>17</v>
      </c>
      <c r="M86" s="3">
        <v>377.93966815924432</v>
      </c>
      <c r="N86" s="5">
        <v>0.29526536574940959</v>
      </c>
    </row>
    <row r="87" spans="1:14" x14ac:dyDescent="0.2">
      <c r="A87" s="9" t="s">
        <v>65</v>
      </c>
      <c r="B87" s="9" t="s">
        <v>70</v>
      </c>
      <c r="C87" s="2" t="s">
        <v>90</v>
      </c>
      <c r="D87" s="2" t="s">
        <v>28</v>
      </c>
      <c r="E87" s="2">
        <v>6020</v>
      </c>
      <c r="F87" s="3">
        <v>9180.5</v>
      </c>
      <c r="G87" s="3">
        <v>0</v>
      </c>
      <c r="H87" s="2">
        <v>350</v>
      </c>
      <c r="I87" s="3">
        <f>Tabela1[[#This Row],[VALOR DA VENDA ]]-Tabela1[[#This Row],[IPI]]</f>
        <v>9180.5</v>
      </c>
      <c r="J87" s="22">
        <f t="shared" si="2"/>
        <v>1.5249999999999999</v>
      </c>
      <c r="K87" s="2" t="s">
        <v>15</v>
      </c>
      <c r="M87" s="3">
        <v>239.99184815924446</v>
      </c>
      <c r="N87" s="5">
        <v>0.20338292216885123</v>
      </c>
    </row>
    <row r="88" spans="1:14" x14ac:dyDescent="0.2">
      <c r="A88" s="9" t="s">
        <v>65</v>
      </c>
      <c r="B88" s="9" t="s">
        <v>70</v>
      </c>
      <c r="C88" s="2" t="s">
        <v>90</v>
      </c>
      <c r="D88" s="2" t="s">
        <v>29</v>
      </c>
      <c r="E88" s="2">
        <v>1400</v>
      </c>
      <c r="F88" s="3">
        <v>2415</v>
      </c>
      <c r="G88" s="3">
        <v>0</v>
      </c>
      <c r="H88" s="2">
        <v>0</v>
      </c>
      <c r="I88" s="3">
        <f>Tabela1[[#This Row],[VALOR DA VENDA ]]-Tabela1[[#This Row],[IPI]]</f>
        <v>2415</v>
      </c>
      <c r="J88" s="22">
        <f t="shared" si="2"/>
        <v>1.7250000000000001</v>
      </c>
      <c r="K88" s="2" t="s">
        <v>14</v>
      </c>
      <c r="L88" s="2" t="s">
        <v>17</v>
      </c>
      <c r="M88" s="3">
        <v>465.08966815924441</v>
      </c>
      <c r="N88" s="5">
        <v>0.33702149866611913</v>
      </c>
    </row>
    <row r="89" spans="1:14" x14ac:dyDescent="0.2">
      <c r="A89" s="9" t="s">
        <v>65</v>
      </c>
      <c r="B89" s="9" t="s">
        <v>70</v>
      </c>
      <c r="C89" s="2" t="s">
        <v>90</v>
      </c>
      <c r="D89" s="2" t="s">
        <v>30</v>
      </c>
      <c r="E89" s="2">
        <v>15904</v>
      </c>
      <c r="F89" s="3">
        <v>28363.79</v>
      </c>
      <c r="G89" s="3">
        <v>429.6</v>
      </c>
      <c r="H89" s="2">
        <v>0</v>
      </c>
      <c r="I89" s="3">
        <f>Tabela1[[#This Row],[VALOR DA VENDA ]]-Tabela1[[#This Row],[IPI]]</f>
        <v>27934.190000000002</v>
      </c>
      <c r="J89" s="22">
        <f t="shared" si="2"/>
        <v>1.7564254275653925</v>
      </c>
      <c r="K89" s="2" t="s">
        <v>15</v>
      </c>
      <c r="M89" s="3">
        <v>414.03466815924435</v>
      </c>
      <c r="N89" s="5">
        <v>0.29786666774046355</v>
      </c>
    </row>
    <row r="90" spans="1:14" x14ac:dyDescent="0.2">
      <c r="A90" s="9" t="s">
        <v>65</v>
      </c>
      <c r="B90" s="9" t="s">
        <v>70</v>
      </c>
      <c r="C90" s="2" t="s">
        <v>90</v>
      </c>
      <c r="D90" s="2" t="s">
        <v>31</v>
      </c>
      <c r="E90" s="2">
        <v>1288</v>
      </c>
      <c r="F90" s="3">
        <v>1964.2</v>
      </c>
      <c r="G90" s="3">
        <v>0</v>
      </c>
      <c r="H90" s="2">
        <v>0</v>
      </c>
      <c r="I90" s="3">
        <f>Tabela1[[#This Row],[VALOR DA VENDA ]]-Tabela1[[#This Row],[IPI]]</f>
        <v>1964.2</v>
      </c>
      <c r="J90" s="22">
        <f t="shared" si="2"/>
        <v>1.5250000000000001</v>
      </c>
      <c r="K90" s="2" t="s">
        <v>14</v>
      </c>
      <c r="L90" s="2" t="s">
        <v>17</v>
      </c>
      <c r="M90" s="3">
        <v>269.54966815924445</v>
      </c>
      <c r="N90" s="5">
        <v>0.22843192216885122</v>
      </c>
    </row>
    <row r="91" spans="1:14" x14ac:dyDescent="0.2">
      <c r="A91" s="9" t="s">
        <v>65</v>
      </c>
      <c r="B91" s="9" t="s">
        <v>70</v>
      </c>
      <c r="C91" s="2" t="s">
        <v>90</v>
      </c>
      <c r="D91" s="2" t="s">
        <v>32</v>
      </c>
      <c r="E91" s="2">
        <v>672</v>
      </c>
      <c r="F91" s="3">
        <v>1173.98</v>
      </c>
      <c r="G91" s="3">
        <v>0</v>
      </c>
      <c r="H91" s="2">
        <v>0</v>
      </c>
      <c r="I91" s="3">
        <f>Tabela1[[#This Row],[VALOR DA VENDA ]]-Tabela1[[#This Row],[IPI]]</f>
        <v>1173.98</v>
      </c>
      <c r="J91" s="22">
        <f t="shared" si="2"/>
        <v>1.7469940476190478</v>
      </c>
      <c r="K91" s="2" t="s">
        <v>14</v>
      </c>
      <c r="L91" s="2" t="s">
        <v>17</v>
      </c>
      <c r="M91" s="3">
        <v>482.51966815924436</v>
      </c>
      <c r="N91" s="5">
        <v>0.34465690582803171</v>
      </c>
    </row>
    <row r="92" spans="1:14" x14ac:dyDescent="0.2">
      <c r="A92" s="9" t="s">
        <v>65</v>
      </c>
      <c r="B92" s="9" t="s">
        <v>70</v>
      </c>
      <c r="C92" s="2" t="s">
        <v>90</v>
      </c>
      <c r="D92" s="2" t="s">
        <v>33</v>
      </c>
      <c r="E92" s="2">
        <v>504</v>
      </c>
      <c r="F92" s="3">
        <v>898.85</v>
      </c>
      <c r="G92" s="3">
        <v>79.849999999999994</v>
      </c>
      <c r="H92" s="2">
        <v>0</v>
      </c>
      <c r="I92" s="3">
        <f>Tabela1[[#This Row],[VALOR DA VENDA ]]-Tabela1[[#This Row],[IPI]]</f>
        <v>819</v>
      </c>
      <c r="J92" s="22">
        <f t="shared" si="2"/>
        <v>1.625</v>
      </c>
      <c r="K92" s="2" t="s">
        <v>15</v>
      </c>
      <c r="M92" s="3">
        <v>322.89966815924436</v>
      </c>
      <c r="N92" s="5">
        <v>0.25226536574940966</v>
      </c>
    </row>
    <row r="93" spans="1:14" x14ac:dyDescent="0.2">
      <c r="A93" s="9" t="s">
        <v>65</v>
      </c>
      <c r="B93" s="9" t="s">
        <v>70</v>
      </c>
      <c r="C93" s="2" t="s">
        <v>90</v>
      </c>
      <c r="D93" s="2" t="s">
        <v>35</v>
      </c>
      <c r="E93" s="2">
        <v>420</v>
      </c>
      <c r="F93" s="3">
        <v>682.5</v>
      </c>
      <c r="G93" s="3">
        <v>0</v>
      </c>
      <c r="H93" s="2">
        <v>0</v>
      </c>
      <c r="I93" s="3">
        <f>Tabela1[[#This Row],[VALOR DA VENDA ]]-Tabela1[[#This Row],[IPI]]</f>
        <v>682.5</v>
      </c>
      <c r="J93" s="22">
        <f t="shared" si="2"/>
        <v>1.625</v>
      </c>
      <c r="K93" s="2" t="s">
        <v>14</v>
      </c>
      <c r="L93" s="2" t="s">
        <v>17</v>
      </c>
      <c r="M93" s="3">
        <v>377.93966815924432</v>
      </c>
      <c r="N93" s="5">
        <v>0.29526536574940959</v>
      </c>
    </row>
    <row r="94" spans="1:14" x14ac:dyDescent="0.2">
      <c r="A94" s="9" t="s">
        <v>65</v>
      </c>
      <c r="B94" s="9" t="s">
        <v>70</v>
      </c>
      <c r="C94" s="2" t="s">
        <v>90</v>
      </c>
      <c r="D94" s="2" t="s">
        <v>36</v>
      </c>
      <c r="E94" s="2">
        <v>3220</v>
      </c>
      <c r="F94" s="3">
        <v>5565.97</v>
      </c>
      <c r="G94" s="3">
        <v>494.47</v>
      </c>
      <c r="H94" s="2">
        <v>0</v>
      </c>
      <c r="I94" s="3">
        <f>Tabela1[[#This Row],[VALOR DA VENDA ]]-Tabela1[[#This Row],[IPI]]</f>
        <v>5071.5</v>
      </c>
      <c r="J94" s="22">
        <f t="shared" si="2"/>
        <v>1.575</v>
      </c>
      <c r="K94" s="2" t="s">
        <v>15</v>
      </c>
      <c r="M94" s="3">
        <v>281.4746681592444</v>
      </c>
      <c r="N94" s="5">
        <v>0.22884119362540195</v>
      </c>
    </row>
    <row r="95" spans="1:14" x14ac:dyDescent="0.2">
      <c r="A95" s="9" t="s">
        <v>65</v>
      </c>
      <c r="B95" s="9" t="s">
        <v>71</v>
      </c>
      <c r="C95" s="2" t="s">
        <v>91</v>
      </c>
      <c r="D95" s="2" t="s">
        <v>69</v>
      </c>
      <c r="E95" s="2">
        <v>18</v>
      </c>
      <c r="F95" s="3">
        <v>260.82</v>
      </c>
      <c r="G95" s="3">
        <v>0</v>
      </c>
      <c r="H95" s="2">
        <v>0</v>
      </c>
      <c r="I95" s="3">
        <f>Tabela1[[#This Row],[VALOR DA VENDA ]]-Tabela1[[#This Row],[IPI]]</f>
        <v>260.82</v>
      </c>
      <c r="J95" s="22">
        <f t="shared" si="2"/>
        <v>14.49</v>
      </c>
      <c r="K95" s="2" t="s">
        <v>14</v>
      </c>
      <c r="M95" s="3">
        <v>6.8340188073368422</v>
      </c>
      <c r="N95" s="5">
        <v>0.47163690871889868</v>
      </c>
    </row>
    <row r="96" spans="1:14" ht="15.75" x14ac:dyDescent="0.25">
      <c r="A96" s="9" t="s">
        <v>65</v>
      </c>
      <c r="B96" s="9" t="s">
        <v>72</v>
      </c>
      <c r="C96" s="2" t="s">
        <v>92</v>
      </c>
      <c r="D96" s="2" t="s">
        <v>69</v>
      </c>
      <c r="E96" s="2">
        <v>23438</v>
      </c>
      <c r="F96" s="3">
        <v>367976.6</v>
      </c>
      <c r="G96" s="3">
        <v>0</v>
      </c>
      <c r="H96" s="2">
        <v>3250</v>
      </c>
      <c r="I96" s="3">
        <f>Tabela1[[#This Row],[VALOR DA VENDA ]]-Tabela1[[#This Row],[IPI]]</f>
        <v>367976.6</v>
      </c>
      <c r="J96" s="22">
        <f t="shared" si="2"/>
        <v>15.7</v>
      </c>
      <c r="K96" s="16" t="s">
        <v>15</v>
      </c>
      <c r="L96" s="16"/>
      <c r="M96" s="3">
        <v>4.2663018627889482</v>
      </c>
      <c r="N96" s="5">
        <v>0.27173897215216231</v>
      </c>
    </row>
    <row r="97" spans="1:14" ht="15.75" x14ac:dyDescent="0.25">
      <c r="A97" s="9" t="s">
        <v>65</v>
      </c>
      <c r="B97" s="9" t="s">
        <v>72</v>
      </c>
      <c r="C97" s="2" t="s">
        <v>93</v>
      </c>
      <c r="D97" s="2" t="s">
        <v>95</v>
      </c>
      <c r="E97" s="2">
        <v>8</v>
      </c>
      <c r="F97" s="3">
        <v>132</v>
      </c>
      <c r="G97" s="3">
        <v>0</v>
      </c>
      <c r="H97" s="2">
        <v>0</v>
      </c>
      <c r="I97" s="3">
        <f>Tabela1[[#This Row],[VALOR DA VENDA ]]-Tabela1[[#This Row],[IPI]]</f>
        <v>132</v>
      </c>
      <c r="J97" s="22">
        <f t="shared" si="2"/>
        <v>16.5</v>
      </c>
      <c r="K97" s="17" t="s">
        <v>43</v>
      </c>
      <c r="L97" s="16" t="s">
        <v>17</v>
      </c>
      <c r="M97" s="3">
        <v>5.7767618627889483</v>
      </c>
      <c r="N97" s="5">
        <v>0.3501067795629666</v>
      </c>
    </row>
    <row r="98" spans="1:14" ht="15.75" x14ac:dyDescent="0.25">
      <c r="A98" s="9" t="s">
        <v>65</v>
      </c>
      <c r="B98" s="9" t="s">
        <v>72</v>
      </c>
      <c r="C98" s="2" t="s">
        <v>94</v>
      </c>
      <c r="D98" s="2" t="s">
        <v>96</v>
      </c>
      <c r="E98" s="2">
        <v>1360</v>
      </c>
      <c r="F98" s="3">
        <v>23120</v>
      </c>
      <c r="G98" s="3">
        <v>0</v>
      </c>
      <c r="H98" s="2">
        <v>0</v>
      </c>
      <c r="I98" s="3">
        <f>Tabela1[[#This Row],[VALOR DA VENDA ]]-Tabela1[[#This Row],[IPI]]</f>
        <v>23120</v>
      </c>
      <c r="J98" s="22">
        <f t="shared" si="2"/>
        <v>17</v>
      </c>
      <c r="K98" s="16" t="s">
        <v>15</v>
      </c>
      <c r="L98" s="16" t="s">
        <v>17</v>
      </c>
      <c r="M98" s="3">
        <v>5.7875118627889464</v>
      </c>
      <c r="N98" s="5">
        <v>0.34044187428170275</v>
      </c>
    </row>
    <row r="99" spans="1:14" ht="15.75" x14ac:dyDescent="0.25">
      <c r="A99" s="9" t="s">
        <v>65</v>
      </c>
      <c r="B99" s="9" t="s">
        <v>72</v>
      </c>
      <c r="C99" s="2" t="s">
        <v>94</v>
      </c>
      <c r="D99" s="2" t="s">
        <v>97</v>
      </c>
      <c r="E99" s="2">
        <v>50</v>
      </c>
      <c r="F99" s="3">
        <v>850</v>
      </c>
      <c r="G99" s="3">
        <v>0</v>
      </c>
      <c r="H99" s="2">
        <v>0</v>
      </c>
      <c r="I99" s="3">
        <f>Tabela1[[#This Row],[VALOR DA VENDA ]]-Tabela1[[#This Row],[IPI]]</f>
        <v>850</v>
      </c>
      <c r="J99" s="22">
        <f t="shared" si="2"/>
        <v>17</v>
      </c>
      <c r="K99" s="17" t="s">
        <v>43</v>
      </c>
      <c r="L99" s="16"/>
      <c r="M99" s="3">
        <v>5.9065118627889479</v>
      </c>
      <c r="N99" s="5">
        <v>0.34744187428170287</v>
      </c>
    </row>
    <row r="100" spans="1:14" x14ac:dyDescent="0.2">
      <c r="A100" s="9" t="s">
        <v>66</v>
      </c>
      <c r="B100" s="9" t="s">
        <v>70</v>
      </c>
      <c r="C100" s="2" t="s">
        <v>90</v>
      </c>
      <c r="D100" s="2" t="s">
        <v>20</v>
      </c>
      <c r="E100" s="2">
        <v>840</v>
      </c>
      <c r="F100" s="3">
        <v>1365</v>
      </c>
      <c r="G100" s="3">
        <v>0</v>
      </c>
      <c r="H100" s="2">
        <v>0</v>
      </c>
      <c r="I100" s="3">
        <f>Tabela1[[#This Row],[VALOR DA VENDA ]]-Tabela1[[#This Row],[IPI]]</f>
        <v>1365</v>
      </c>
      <c r="J100" s="22">
        <f t="shared" si="2"/>
        <v>1.625</v>
      </c>
      <c r="K100" s="2" t="s">
        <v>43</v>
      </c>
      <c r="L100" s="2" t="s">
        <v>17</v>
      </c>
      <c r="M100" s="3">
        <v>377.93966815924432</v>
      </c>
      <c r="N100" s="5">
        <v>0.29526536574940959</v>
      </c>
    </row>
    <row r="101" spans="1:14" x14ac:dyDescent="0.2">
      <c r="A101" s="9" t="s">
        <v>66</v>
      </c>
      <c r="B101" s="9" t="s">
        <v>70</v>
      </c>
      <c r="C101" s="2" t="s">
        <v>90</v>
      </c>
      <c r="D101" s="2" t="s">
        <v>67</v>
      </c>
      <c r="E101" s="2">
        <v>2016</v>
      </c>
      <c r="F101" s="3">
        <v>3477.6</v>
      </c>
      <c r="G101" s="3">
        <v>0</v>
      </c>
      <c r="H101" s="2">
        <v>0</v>
      </c>
      <c r="I101" s="3">
        <f>Tabela1[[#This Row],[VALOR DA VENDA ]]-Tabela1[[#This Row],[IPI]]</f>
        <v>3477.6</v>
      </c>
      <c r="J101" s="22">
        <f t="shared" si="2"/>
        <v>1.7249999999999999</v>
      </c>
      <c r="K101" s="2" t="s">
        <v>43</v>
      </c>
      <c r="L101" s="2" t="s">
        <v>17</v>
      </c>
      <c r="M101" s="3">
        <v>465.08966815924441</v>
      </c>
      <c r="N101" s="5">
        <v>0.33702149866611913</v>
      </c>
    </row>
    <row r="102" spans="1:14" x14ac:dyDescent="0.2">
      <c r="A102" s="9" t="s">
        <v>66</v>
      </c>
      <c r="B102" s="9" t="s">
        <v>70</v>
      </c>
      <c r="C102" s="2" t="s">
        <v>90</v>
      </c>
      <c r="D102" s="2" t="s">
        <v>18</v>
      </c>
      <c r="E102" s="2">
        <v>56</v>
      </c>
      <c r="F102" s="3">
        <v>88.2</v>
      </c>
      <c r="G102" s="3">
        <v>0</v>
      </c>
      <c r="H102" s="2">
        <v>0</v>
      </c>
      <c r="I102" s="3">
        <f>Tabela1[[#This Row],[VALOR DA VENDA ]]-Tabela1[[#This Row],[IPI]]</f>
        <v>88.2</v>
      </c>
      <c r="J102" s="22">
        <f t="shared" si="2"/>
        <v>1.575</v>
      </c>
      <c r="K102" s="2" t="s">
        <v>43</v>
      </c>
      <c r="L102" s="2" t="s">
        <v>17</v>
      </c>
      <c r="M102" s="3">
        <v>334.36466815924427</v>
      </c>
      <c r="N102" s="5">
        <v>0.27184119362540182</v>
      </c>
    </row>
    <row r="103" spans="1:14" x14ac:dyDescent="0.2">
      <c r="A103" s="9" t="s">
        <v>66</v>
      </c>
      <c r="B103" s="9" t="s">
        <v>70</v>
      </c>
      <c r="C103" s="2" t="s">
        <v>90</v>
      </c>
      <c r="D103" s="2" t="s">
        <v>21</v>
      </c>
      <c r="E103" s="2">
        <v>1848</v>
      </c>
      <c r="F103" s="3">
        <v>3003</v>
      </c>
      <c r="G103" s="3">
        <v>0</v>
      </c>
      <c r="H103" s="2">
        <v>0</v>
      </c>
      <c r="I103" s="3">
        <f>Tabela1[[#This Row],[VALOR DA VENDA ]]-Tabela1[[#This Row],[IPI]]</f>
        <v>3003</v>
      </c>
      <c r="J103" s="22">
        <f t="shared" si="2"/>
        <v>1.625</v>
      </c>
      <c r="K103" s="2" t="s">
        <v>43</v>
      </c>
      <c r="L103" s="2" t="s">
        <v>17</v>
      </c>
      <c r="M103" s="3">
        <v>377.93966815924432</v>
      </c>
      <c r="N103" s="5">
        <v>0.29526536574940959</v>
      </c>
    </row>
    <row r="104" spans="1:14" x14ac:dyDescent="0.2">
      <c r="A104" s="9" t="s">
        <v>66</v>
      </c>
      <c r="B104" s="9" t="s">
        <v>70</v>
      </c>
      <c r="C104" s="2" t="s">
        <v>90</v>
      </c>
      <c r="D104" s="2" t="s">
        <v>19</v>
      </c>
      <c r="E104" s="2">
        <v>56</v>
      </c>
      <c r="F104" s="3">
        <v>96.6</v>
      </c>
      <c r="G104" s="3">
        <v>0</v>
      </c>
      <c r="H104" s="2">
        <v>0</v>
      </c>
      <c r="I104" s="3">
        <f>Tabela1[[#This Row],[VALOR DA VENDA ]]-Tabela1[[#This Row],[IPI]]</f>
        <v>96.6</v>
      </c>
      <c r="J104" s="22">
        <f t="shared" si="2"/>
        <v>1.7249999999999999</v>
      </c>
      <c r="K104" s="2" t="s">
        <v>43</v>
      </c>
      <c r="L104" s="2" t="s">
        <v>17</v>
      </c>
      <c r="M104" s="3">
        <v>465.08966815924441</v>
      </c>
      <c r="N104" s="5">
        <v>0.33702149866611913</v>
      </c>
    </row>
    <row r="105" spans="1:14" ht="15.75" x14ac:dyDescent="0.25">
      <c r="A105" s="9" t="s">
        <v>66</v>
      </c>
      <c r="B105" s="9" t="s">
        <v>72</v>
      </c>
      <c r="C105" s="2" t="s">
        <v>92</v>
      </c>
      <c r="D105" s="2" t="s">
        <v>69</v>
      </c>
      <c r="E105" s="2">
        <v>1457</v>
      </c>
      <c r="F105" s="3">
        <v>22874.9</v>
      </c>
      <c r="G105" s="3">
        <v>0</v>
      </c>
      <c r="H105" s="2">
        <v>400</v>
      </c>
      <c r="I105" s="3">
        <f>Tabela1[[#This Row],[VALOR DA VENDA ]]-Tabela1[[#This Row],[IPI]]</f>
        <v>22874.9</v>
      </c>
      <c r="J105" s="22">
        <f t="shared" si="2"/>
        <v>15.700000000000001</v>
      </c>
      <c r="K105" s="16" t="s">
        <v>16</v>
      </c>
      <c r="M105" s="3">
        <v>4.1303398627889472</v>
      </c>
      <c r="N105" s="5">
        <v>0.26307897215216225</v>
      </c>
    </row>
    <row r="106" spans="1:14" ht="15.75" x14ac:dyDescent="0.25">
      <c r="A106" s="9" t="s">
        <v>66</v>
      </c>
      <c r="B106" s="9" t="s">
        <v>72</v>
      </c>
      <c r="C106" s="2" t="s">
        <v>98</v>
      </c>
      <c r="D106" s="2" t="s">
        <v>99</v>
      </c>
      <c r="E106" s="2">
        <v>25</v>
      </c>
      <c r="F106" s="3">
        <v>425</v>
      </c>
      <c r="G106" s="3">
        <v>0</v>
      </c>
      <c r="H106" s="2">
        <v>0</v>
      </c>
      <c r="I106" s="3">
        <f>Tabela1[[#This Row],[VALOR DA VENDA ]]-Tabela1[[#This Row],[IPI]]</f>
        <v>425</v>
      </c>
      <c r="J106" s="22">
        <f t="shared" si="2"/>
        <v>17</v>
      </c>
      <c r="K106" s="16" t="s">
        <v>43</v>
      </c>
      <c r="L106" s="16" t="s">
        <v>17</v>
      </c>
      <c r="M106" s="3">
        <v>6.2125118627889471</v>
      </c>
      <c r="N106" s="5">
        <v>0.36544187428170277</v>
      </c>
    </row>
    <row r="107" spans="1:14" x14ac:dyDescent="0.2">
      <c r="B107" s="9"/>
      <c r="F107" s="3"/>
      <c r="G107" s="3"/>
      <c r="J107" s="22"/>
    </row>
    <row r="108" spans="1:14" x14ac:dyDescent="0.2">
      <c r="B108" s="9"/>
      <c r="F108" s="3"/>
      <c r="G108" s="3"/>
      <c r="J108" s="22"/>
    </row>
    <row r="109" spans="1:14" x14ac:dyDescent="0.2">
      <c r="B109" s="9"/>
      <c r="F109" s="3"/>
      <c r="G109" s="3"/>
      <c r="J109" s="22"/>
    </row>
    <row r="110" spans="1:14" x14ac:dyDescent="0.2">
      <c r="B110" s="9"/>
      <c r="F110" s="3"/>
      <c r="G110" s="3"/>
      <c r="J110" s="22"/>
    </row>
    <row r="111" spans="1:14" x14ac:dyDescent="0.2">
      <c r="B111" s="9"/>
      <c r="F111" s="3"/>
      <c r="G111" s="3"/>
      <c r="J111" s="22"/>
    </row>
    <row r="112" spans="1:14" x14ac:dyDescent="0.2">
      <c r="B112" s="9"/>
      <c r="F112" s="3"/>
      <c r="G112" s="3"/>
      <c r="J112" s="22"/>
    </row>
    <row r="113" spans="1:10" x14ac:dyDescent="0.2">
      <c r="B113" s="9"/>
      <c r="F113" s="3"/>
      <c r="G113" s="3"/>
      <c r="J113" s="22"/>
    </row>
    <row r="114" spans="1:10" x14ac:dyDescent="0.2">
      <c r="B114" s="9"/>
      <c r="F114" s="3"/>
      <c r="G114" s="3"/>
      <c r="J114" s="22"/>
    </row>
    <row r="115" spans="1:10" x14ac:dyDescent="0.2">
      <c r="B115" s="9"/>
      <c r="F115" s="3"/>
      <c r="G115" s="3"/>
      <c r="J115" s="22"/>
    </row>
    <row r="121" spans="1:10" x14ac:dyDescent="0.2">
      <c r="A121" s="23"/>
    </row>
  </sheetData>
  <phoneticPr fontId="8" type="noConversion"/>
  <conditionalFormatting sqref="N1:N115">
    <cfRule type="cellIs" dxfId="0" priority="1" operator="lessThan">
      <formula>0.25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429E0-2A6A-4AA3-A30D-75E98BD69C3A}">
  <dimension ref="A1:J35"/>
  <sheetViews>
    <sheetView zoomScale="90" zoomScaleNormal="90" workbookViewId="0">
      <selection activeCell="E3" sqref="E3"/>
    </sheetView>
  </sheetViews>
  <sheetFormatPr defaultRowHeight="15" x14ac:dyDescent="0.25"/>
  <cols>
    <col min="2" max="2" width="39.28515625" customWidth="1"/>
    <col min="3" max="3" width="24.5703125" customWidth="1"/>
    <col min="4" max="4" width="18.28515625" style="48" customWidth="1"/>
    <col min="5" max="5" width="21.5703125" customWidth="1"/>
    <col min="6" max="6" width="20.28515625" customWidth="1"/>
    <col min="7" max="7" width="20.140625" customWidth="1"/>
    <col min="8" max="8" width="18.5703125" customWidth="1"/>
    <col min="9" max="9" width="15.5703125" customWidth="1"/>
    <col min="10" max="10" width="13.85546875" customWidth="1"/>
  </cols>
  <sheetData>
    <row r="1" spans="1:10" s="20" customFormat="1" x14ac:dyDescent="0.25">
      <c r="A1" s="18" t="s">
        <v>100</v>
      </c>
      <c r="B1" s="18" t="s">
        <v>80</v>
      </c>
      <c r="C1" s="18" t="s">
        <v>83</v>
      </c>
      <c r="D1" s="44" t="s">
        <v>84</v>
      </c>
      <c r="E1" s="18" t="s">
        <v>85</v>
      </c>
      <c r="F1" s="18" t="s">
        <v>86</v>
      </c>
      <c r="G1" s="18" t="s">
        <v>88</v>
      </c>
      <c r="H1" s="18" t="s">
        <v>87</v>
      </c>
      <c r="I1" s="19" t="s">
        <v>9</v>
      </c>
      <c r="J1" s="19" t="s">
        <v>10</v>
      </c>
    </row>
    <row r="2" spans="1:10" x14ac:dyDescent="0.25">
      <c r="A2" s="25" t="s">
        <v>101</v>
      </c>
      <c r="B2" s="26" t="s">
        <v>70</v>
      </c>
      <c r="C2" s="27" t="s">
        <v>81</v>
      </c>
      <c r="D2" s="45">
        <f>SUMIF(Tabela1[Tipo_Prod],B2,Tabela1[QUANTIDADE])</f>
        <v>65296</v>
      </c>
      <c r="E2" s="28">
        <f>SUMIF(Tabela1[Tipo_Prod],B2,Tabela1[VALOR SEM IPI])</f>
        <v>107898.41</v>
      </c>
      <c r="F2" s="29">
        <f>E2/D2</f>
        <v>1.6524505329576085</v>
      </c>
      <c r="G2" s="28">
        <f>SUMIF(Tabela1[Tipo_Prod],B2,Tabela1[FRETE])</f>
        <v>350</v>
      </c>
      <c r="H2" s="28">
        <f>SUMIF(Tabela1[Tipo_Prod],B2,Tabela1[IPI])</f>
        <v>1483.04</v>
      </c>
      <c r="I2" s="28">
        <v>364.55746015924433</v>
      </c>
      <c r="J2" s="30">
        <v>0.27999804927745342</v>
      </c>
    </row>
    <row r="3" spans="1:10" ht="15" customHeight="1" x14ac:dyDescent="0.25">
      <c r="A3" s="25" t="s">
        <v>101</v>
      </c>
      <c r="B3" s="31" t="s">
        <v>71</v>
      </c>
      <c r="C3" s="27" t="s">
        <v>81</v>
      </c>
      <c r="D3" s="45">
        <f>SUMIF(Tabela1[Tipo_Prod],B3,Tabela1[QUANTIDADE])</f>
        <v>18</v>
      </c>
      <c r="E3" s="28">
        <f>SUMIF(Tabela1[Tipo_Prod],B3,Tabela1[VALOR SEM IPI])</f>
        <v>260.82</v>
      </c>
      <c r="F3" s="29">
        <f t="shared" ref="F3:F34" si="0">E3/D3</f>
        <v>14.49</v>
      </c>
      <c r="G3" s="28">
        <f>SUMIF(Tabela1[Tipo_Prod],B3,Tabela1[FRETE])</f>
        <v>0</v>
      </c>
      <c r="H3" s="28">
        <f>SUMIF(Tabela1[Tipo_Prod],B3,Tabela1[IPI])</f>
        <v>0</v>
      </c>
      <c r="I3" s="28">
        <v>6.7325888073368434</v>
      </c>
      <c r="J3" s="30">
        <v>0.46463690871889879</v>
      </c>
    </row>
    <row r="4" spans="1:10" ht="14.25" customHeight="1" x14ac:dyDescent="0.25">
      <c r="A4" s="25" t="s">
        <v>101</v>
      </c>
      <c r="B4" s="31" t="s">
        <v>72</v>
      </c>
      <c r="C4" s="27" t="s">
        <v>81</v>
      </c>
      <c r="D4" s="45">
        <f>SUMIF(Tabela1[Tipo_Prod],B4,Tabela1[QUANTIDADE])</f>
        <v>26338</v>
      </c>
      <c r="E4" s="28">
        <f>SUMIF(Tabela1[Tipo_Prod],B4,Tabela1[VALOR SEM IPI])</f>
        <v>415378.5</v>
      </c>
      <c r="F4" s="29">
        <f t="shared" si="0"/>
        <v>15.771072215050497</v>
      </c>
      <c r="G4" s="28">
        <f>SUMIF(Tabela1[Tipo_Prod],B4,Tabela1[FRETE])</f>
        <v>3650</v>
      </c>
      <c r="H4" s="28">
        <f>SUMIF(Tabela1[Tipo_Prod],B4,Tabela1[IPI])</f>
        <v>0</v>
      </c>
      <c r="I4" s="28">
        <v>4.5682758627889495</v>
      </c>
      <c r="J4" s="30">
        <v>0.29078776975104709</v>
      </c>
    </row>
    <row r="5" spans="1:10" x14ac:dyDescent="0.25">
      <c r="A5" s="25" t="s">
        <v>101</v>
      </c>
      <c r="B5" s="26" t="s">
        <v>73</v>
      </c>
      <c r="C5" s="27" t="s">
        <v>82</v>
      </c>
      <c r="D5" s="45">
        <f>SUMIF(Tabela1[Tipo_Prod],B5,Tabela1[QUANTIDADE])</f>
        <v>209296</v>
      </c>
      <c r="E5" s="28">
        <f>SUMIF(Tabela1[Tipo_Prod],B5,Tabela1[VALOR SEM IPI])</f>
        <v>26351.409999999996</v>
      </c>
      <c r="F5" s="29">
        <f t="shared" si="0"/>
        <v>0.1259049862395841</v>
      </c>
      <c r="G5" s="28">
        <f>SUMIF(Tabela1[Tipo_Prod],B5,Tabela1[FRETE])</f>
        <v>0</v>
      </c>
      <c r="H5" s="28">
        <f>SUMIF(Tabela1[Tipo_Prod],B5,Tabela1[IPI])</f>
        <v>1308.9599999999998</v>
      </c>
      <c r="I5" s="28">
        <v>43.757433741131564</v>
      </c>
      <c r="J5" s="30">
        <v>0.34728122016771085</v>
      </c>
    </row>
    <row r="6" spans="1:10" x14ac:dyDescent="0.25">
      <c r="A6" s="25" t="s">
        <v>101</v>
      </c>
      <c r="B6" s="26" t="s">
        <v>74</v>
      </c>
      <c r="C6" s="27" t="s">
        <v>82</v>
      </c>
      <c r="D6" s="45">
        <f>SUMIF(Tabela1[Tipo_Prod],B6,Tabela1[QUANTIDADE])</f>
        <v>255296</v>
      </c>
      <c r="E6" s="28">
        <f>SUMIF(Tabela1[Tipo_Prod],B6,Tabela1[VALOR SEM IPI])</f>
        <v>30657.799999999992</v>
      </c>
      <c r="F6" s="29">
        <f t="shared" si="0"/>
        <v>0.12008727124592626</v>
      </c>
      <c r="G6" s="28">
        <f>SUMIF(Tabela1[Tipo_Prod],B6,Tabela1[FRETE])</f>
        <v>0</v>
      </c>
      <c r="H6" s="28">
        <f>SUMIF(Tabela1[Tipo_Prod],B6,Tabela1[IPI])</f>
        <v>612.91999999999996</v>
      </c>
      <c r="I6" s="28">
        <v>46.293412702504384</v>
      </c>
      <c r="J6" s="30">
        <v>0.38577843918753651</v>
      </c>
    </row>
    <row r="7" spans="1:10" x14ac:dyDescent="0.25">
      <c r="A7" s="25" t="s">
        <v>101</v>
      </c>
      <c r="B7" s="32" t="s">
        <v>89</v>
      </c>
      <c r="C7" s="27" t="s">
        <v>82</v>
      </c>
      <c r="D7" s="45">
        <f>SUMIF(Tabela1[Tipo_Prod],B7,Tabela1[QUANTIDADE])</f>
        <v>176000</v>
      </c>
      <c r="E7" s="28">
        <f>SUMIF(Tabela1[Tipo_Prod],B7,Tabela1[VALOR SEM IPI])</f>
        <v>26400</v>
      </c>
      <c r="F7" s="29">
        <f t="shared" si="0"/>
        <v>0.15</v>
      </c>
      <c r="G7" s="28">
        <f>SUMIF(Tabela1[Tipo_Prod],B7,Tabela1[FRETE])</f>
        <v>0</v>
      </c>
      <c r="H7" s="28">
        <f>SUMIF(Tabela1[Tipo_Prod],B7,Tabela1[IPI])</f>
        <v>858</v>
      </c>
      <c r="I7" s="28">
        <v>0</v>
      </c>
      <c r="J7" s="30">
        <v>0</v>
      </c>
    </row>
    <row r="8" spans="1:10" x14ac:dyDescent="0.25">
      <c r="A8" s="25" t="s">
        <v>101</v>
      </c>
      <c r="B8" s="26" t="s">
        <v>75</v>
      </c>
      <c r="C8" s="27" t="s">
        <v>82</v>
      </c>
      <c r="D8" s="45">
        <f>SUMIF(Tabela1[Tipo_Prod],B8,Tabela1[QUANTIDADE])</f>
        <v>1242360</v>
      </c>
      <c r="E8" s="28">
        <f>SUMIF(Tabela1[Tipo_Prod],B8,Tabela1[VALOR SEM IPI])</f>
        <v>281649.78000000003</v>
      </c>
      <c r="F8" s="29">
        <f t="shared" si="0"/>
        <v>0.22670544769631992</v>
      </c>
      <c r="G8" s="28">
        <f>SUMIF(Tabela1[Tipo_Prod],B8,Tabela1[FRETE])</f>
        <v>0</v>
      </c>
      <c r="H8" s="28">
        <f>SUMIF(Tabela1[Tipo_Prod],B8,Tabela1[IPI])</f>
        <v>0</v>
      </c>
      <c r="I8" s="28">
        <v>58.645089523778182</v>
      </c>
      <c r="J8" s="30">
        <v>0.25834841199902281</v>
      </c>
    </row>
    <row r="9" spans="1:10" x14ac:dyDescent="0.25">
      <c r="A9" s="25" t="s">
        <v>101</v>
      </c>
      <c r="B9" s="26" t="s">
        <v>76</v>
      </c>
      <c r="C9" s="27" t="s">
        <v>82</v>
      </c>
      <c r="D9" s="45">
        <f>SUMIF(Tabela1[Tipo_Prod],B9,Tabela1[QUANTIDADE])</f>
        <v>192000</v>
      </c>
      <c r="E9" s="28">
        <f>SUMIF(Tabela1[Tipo_Prod],B9,Tabela1[VALOR SEM IPI])</f>
        <v>236489.60000000001</v>
      </c>
      <c r="F9" s="29">
        <f t="shared" si="0"/>
        <v>1.2317166666666668</v>
      </c>
      <c r="G9" s="28">
        <f>SUMIF(Tabela1[Tipo_Prod],B9,Tabela1[FRETE])</f>
        <v>0</v>
      </c>
      <c r="H9" s="28">
        <f>SUMIF(Tabela1[Tipo_Prod],B9,Tabela1[IPI])</f>
        <v>0</v>
      </c>
      <c r="I9" s="28">
        <v>305.30766815924437</v>
      </c>
      <c r="J9" s="30">
        <v>0.24781466571367239</v>
      </c>
    </row>
    <row r="10" spans="1:10" x14ac:dyDescent="0.25">
      <c r="A10" s="25" t="s">
        <v>101</v>
      </c>
      <c r="B10" s="26" t="s">
        <v>77</v>
      </c>
      <c r="C10" s="27" t="s">
        <v>82</v>
      </c>
      <c r="D10" s="45">
        <f>SUMIF(Tabela1[Tipo_Prod],B10,Tabela1[QUANTIDADE])</f>
        <v>0</v>
      </c>
      <c r="E10" s="28">
        <f>SUMIF(Tabela1[Tipo_Prod],B10,Tabela1[VALOR SEM IPI])</f>
        <v>0</v>
      </c>
      <c r="F10" s="29" t="e">
        <f t="shared" si="0"/>
        <v>#DIV/0!</v>
      </c>
      <c r="G10" s="28">
        <f>SUMIF(Tabela1[Tipo_Prod],B10,Tabela1[FRETE])</f>
        <v>0</v>
      </c>
      <c r="H10" s="28">
        <f>SUMIF(Tabela1[Tipo_Prod],B10,Tabela1[IPI])</f>
        <v>0</v>
      </c>
      <c r="I10" s="28">
        <v>0</v>
      </c>
      <c r="J10" s="30">
        <v>0</v>
      </c>
    </row>
    <row r="11" spans="1:10" x14ac:dyDescent="0.25">
      <c r="A11" s="25" t="s">
        <v>101</v>
      </c>
      <c r="B11" s="26" t="s">
        <v>78</v>
      </c>
      <c r="C11" s="27" t="s">
        <v>82</v>
      </c>
      <c r="D11" s="45">
        <f>SUMIF(Tabela1[Tipo_Prod],B11,Tabela1[QUANTIDADE])</f>
        <v>0</v>
      </c>
      <c r="E11" s="28">
        <f>SUMIF(Tabela1[Tipo_Prod],B11,Tabela1[VALOR SEM IPI])</f>
        <v>0</v>
      </c>
      <c r="F11" s="29" t="e">
        <f t="shared" si="0"/>
        <v>#DIV/0!</v>
      </c>
      <c r="G11" s="28">
        <f>SUMIF(Tabela1[Tipo_Prod],B11,Tabela1[FRETE])</f>
        <v>0</v>
      </c>
      <c r="H11" s="28">
        <f>SUMIF(Tabela1[Tipo_Prod],B11,Tabela1[IPI])</f>
        <v>0</v>
      </c>
      <c r="I11" s="28">
        <v>0</v>
      </c>
      <c r="J11" s="30">
        <v>0</v>
      </c>
    </row>
    <row r="12" spans="1:10" x14ac:dyDescent="0.25">
      <c r="A12" s="33" t="s">
        <v>101</v>
      </c>
      <c r="B12" s="34" t="s">
        <v>79</v>
      </c>
      <c r="C12" s="35" t="s">
        <v>82</v>
      </c>
      <c r="D12" s="46">
        <f>SUMIF(Tabela1[Tipo_Prod],B12,Tabela1[QUANTIDADE])</f>
        <v>0</v>
      </c>
      <c r="E12" s="36">
        <f>SUMIF(Tabela1[Tipo_Prod],B12,Tabela1[VALOR SEM IPI])</f>
        <v>0</v>
      </c>
      <c r="F12" s="37" t="e">
        <f t="shared" si="0"/>
        <v>#DIV/0!</v>
      </c>
      <c r="G12" s="36">
        <f>SUMIF(Tabela1[Tipo_Prod],B12,Tabela1[FRETE])</f>
        <v>0</v>
      </c>
      <c r="H12" s="36">
        <f>SUMIF(Tabela1[Tipo_Prod],B12,Tabela1[IPI])</f>
        <v>0</v>
      </c>
      <c r="I12" s="36">
        <v>0</v>
      </c>
      <c r="J12" s="38">
        <v>0</v>
      </c>
    </row>
    <row r="13" spans="1:10" x14ac:dyDescent="0.25">
      <c r="A13" s="39" t="s">
        <v>65</v>
      </c>
      <c r="B13" s="40" t="s">
        <v>70</v>
      </c>
      <c r="C13" s="41" t="s">
        <v>81</v>
      </c>
      <c r="D13" s="47">
        <f>SUMIFS(Tabela1[QUANTIDADE],Tabela1[Tipo_Prod],B13,Tabela1[Data],A13)</f>
        <v>60480</v>
      </c>
      <c r="E13" s="42">
        <f>SUMIFS(Tabela1[VALOR SEM IPI],Tabela1[Tipo_Prod],B13,Tabela1[Data],A13)</f>
        <v>99868.01</v>
      </c>
      <c r="F13" s="43">
        <f t="shared" si="0"/>
        <v>1.651256779100529</v>
      </c>
      <c r="G13" s="42">
        <f>SUMIFS(Tabela1[FRETE],Tabela1[Tipo_Prod],B13,Tabela1[Data],A13)</f>
        <v>350</v>
      </c>
      <c r="H13" s="42">
        <f>SUMIFS(Tabela1[IPI],Tabela1[Tipo_Prod],B13,Tabela1[Data],A13)</f>
        <v>1483.04</v>
      </c>
      <c r="I13" s="59">
        <v>364.55759035924439</v>
      </c>
      <c r="J13" s="55">
        <v>0.27999814927745348</v>
      </c>
    </row>
    <row r="14" spans="1:10" x14ac:dyDescent="0.25">
      <c r="A14" s="25" t="s">
        <v>65</v>
      </c>
      <c r="B14" s="31" t="s">
        <v>71</v>
      </c>
      <c r="C14" s="27" t="s">
        <v>81</v>
      </c>
      <c r="D14" s="45">
        <f>SUMIFS(Tabela1[QUANTIDADE],Tabela1[Tipo_Prod],B14,Tabela1[Data],A14)</f>
        <v>18</v>
      </c>
      <c r="E14" s="28">
        <f>SUMIFS(Tabela1[VALOR SEM IPI],Tabela1[Tipo_Prod],B14,Tabela1[Data],A14)</f>
        <v>260.82</v>
      </c>
      <c r="F14" s="29">
        <f t="shared" si="0"/>
        <v>14.49</v>
      </c>
      <c r="G14" s="28">
        <f>SUMIFS(Tabela1[FRETE],Tabela1[Tipo_Prod],B14,Tabela1[Data],A14)</f>
        <v>0</v>
      </c>
      <c r="H14" s="28">
        <f>SUMIFS(Tabela1[IPI],Tabela1[Tipo_Prod],B14,Tabela1[Data],A14)</f>
        <v>0</v>
      </c>
      <c r="I14" s="58">
        <v>6.7325888073368434</v>
      </c>
      <c r="J14" s="56">
        <v>0.46463690871889879</v>
      </c>
    </row>
    <row r="15" spans="1:10" x14ac:dyDescent="0.25">
      <c r="A15" s="25" t="s">
        <v>65</v>
      </c>
      <c r="B15" s="31" t="s">
        <v>72</v>
      </c>
      <c r="C15" s="27" t="s">
        <v>81</v>
      </c>
      <c r="D15" s="45">
        <f>SUMIFS(Tabela1[QUANTIDADE],Tabela1[Tipo_Prod],B15,Tabela1[Data],A15)</f>
        <v>24856</v>
      </c>
      <c r="E15" s="28">
        <f>SUMIFS(Tabela1[VALOR SEM IPI],Tabela1[Tipo_Prod],B15,Tabela1[Data],A15)</f>
        <v>392078.6</v>
      </c>
      <c r="F15" s="29">
        <f t="shared" si="0"/>
        <v>15.774002252977148</v>
      </c>
      <c r="G15" s="28">
        <f>SUMIFS(Tabela1[FRETE],Tabela1[Tipo_Prod],B15,Tabela1[Data],A15)</f>
        <v>3250</v>
      </c>
      <c r="H15" s="28">
        <f>SUMIFS(Tabela1[IPI],Tabela1[Tipo_Prod],B15,Tabela1[Data],A15)</f>
        <v>0</v>
      </c>
      <c r="I15" s="58">
        <v>4.6192518827889462</v>
      </c>
      <c r="J15" s="56">
        <v>0.29283960205331216</v>
      </c>
    </row>
    <row r="16" spans="1:10" x14ac:dyDescent="0.25">
      <c r="A16" s="25" t="s">
        <v>65</v>
      </c>
      <c r="B16" s="26" t="s">
        <v>73</v>
      </c>
      <c r="C16" s="27" t="s">
        <v>82</v>
      </c>
      <c r="D16" s="45">
        <f>SUMIFS(Tabela1[QUANTIDADE],Tabela1[Tipo_Prod],B16,Tabela1[Data],A16)</f>
        <v>204480</v>
      </c>
      <c r="E16" s="28">
        <f>SUMIFS(Tabela1[VALOR SEM IPI],Tabela1[Tipo_Prod],B16,Tabela1[Data],A16)</f>
        <v>25653.09</v>
      </c>
      <c r="F16" s="29">
        <f t="shared" si="0"/>
        <v>0.12545525234741783</v>
      </c>
      <c r="G16" s="28">
        <f>SUMIFS(Tabela1[FRETE],Tabela1[Tipo_Prod],B16,Tabela1[Data],A16)</f>
        <v>0</v>
      </c>
      <c r="H16" s="28">
        <f>SUMIFS(Tabela1[IPI],Tabela1[Tipo_Prod],B16,Tabela1[Data],A16)</f>
        <v>1308.9599999999998</v>
      </c>
      <c r="I16" s="58">
        <v>42.910933741131572</v>
      </c>
      <c r="J16" s="56">
        <v>0.34328746992905262</v>
      </c>
    </row>
    <row r="17" spans="1:10" x14ac:dyDescent="0.25">
      <c r="A17" s="25" t="s">
        <v>65</v>
      </c>
      <c r="B17" s="26" t="s">
        <v>74</v>
      </c>
      <c r="C17" s="27" t="s">
        <v>82</v>
      </c>
      <c r="D17" s="45">
        <f>SUMIFS(Tabela1[QUANTIDADE],Tabela1[Tipo_Prod],B17,Tabela1[Data],A17)</f>
        <v>250480</v>
      </c>
      <c r="E17" s="28">
        <f>SUMIFS(Tabela1[VALOR SEM IPI],Tabela1[Tipo_Prod],B17,Tabela1[Data],A17)</f>
        <v>30031.71999999999</v>
      </c>
      <c r="F17" s="29">
        <f t="shared" si="0"/>
        <v>0.11989667837751514</v>
      </c>
      <c r="G17" s="28">
        <f>SUMIFS(Tabela1[FRETE],Tabela1[Tipo_Prod],B17,Tabela1[Data],A17)</f>
        <v>0</v>
      </c>
      <c r="H17" s="28">
        <f>SUMIFS(Tabela1[IPI],Tabela1[Tipo_Prod],B17,Tabela1[Data],A17)</f>
        <v>612.91999999999996</v>
      </c>
      <c r="I17" s="58">
        <v>54.758412702504387</v>
      </c>
      <c r="J17" s="56">
        <v>0.42121855925003376</v>
      </c>
    </row>
    <row r="18" spans="1:10" x14ac:dyDescent="0.25">
      <c r="A18" s="25" t="s">
        <v>65</v>
      </c>
      <c r="B18" s="32" t="s">
        <v>89</v>
      </c>
      <c r="C18" s="27" t="s">
        <v>82</v>
      </c>
      <c r="D18" s="45">
        <f>SUMIFS(Tabela1[QUANTIDADE],Tabela1[Tipo_Prod],B18,Tabela1[Data],A18)</f>
        <v>0</v>
      </c>
      <c r="E18" s="28">
        <f>SUMIFS(Tabela1[VALOR SEM IPI],Tabela1[Tipo_Prod],B18,Tabela1[Data],A18)</f>
        <v>0</v>
      </c>
      <c r="F18" s="29" t="e">
        <f t="shared" si="0"/>
        <v>#DIV/0!</v>
      </c>
      <c r="G18" s="28">
        <f>SUMIFS(Tabela1[FRETE],Tabela1[Tipo_Prod],B18,Tabela1[Data],A18)</f>
        <v>0</v>
      </c>
      <c r="H18" s="28">
        <f>SUMIFS(Tabela1[IPI],Tabela1[Tipo_Prod],B18,Tabela1[Data],A18)</f>
        <v>0</v>
      </c>
      <c r="I18" s="25"/>
      <c r="J18" s="56"/>
    </row>
    <row r="19" spans="1:10" x14ac:dyDescent="0.25">
      <c r="A19" s="25" t="s">
        <v>65</v>
      </c>
      <c r="B19" s="26" t="s">
        <v>75</v>
      </c>
      <c r="C19" s="27" t="s">
        <v>82</v>
      </c>
      <c r="D19" s="45">
        <f>SUMIFS(Tabela1[QUANTIDADE],Tabela1[Tipo_Prod],B19,Tabela1[Data],A19)</f>
        <v>1242360</v>
      </c>
      <c r="E19" s="28">
        <f>SUMIFS(Tabela1[VALOR SEM IPI],Tabela1[Tipo_Prod],B19,Tabela1[Data],A19)</f>
        <v>281649.78000000003</v>
      </c>
      <c r="F19" s="29">
        <f t="shared" si="0"/>
        <v>0.22670544769631992</v>
      </c>
      <c r="G19" s="28">
        <f>SUMIFS(Tabela1[FRETE],Tabela1[Tipo_Prod],B19,Tabela1[Data],A19)</f>
        <v>0</v>
      </c>
      <c r="H19" s="28">
        <f>SUMIFS(Tabela1[IPI],Tabela1[Tipo_Prod],B19,Tabela1[Data],A19)</f>
        <v>0</v>
      </c>
      <c r="I19" s="58">
        <v>58.645089523778182</v>
      </c>
      <c r="J19" s="56">
        <v>0.25834841199902281</v>
      </c>
    </row>
    <row r="20" spans="1:10" x14ac:dyDescent="0.25">
      <c r="A20" s="25" t="s">
        <v>65</v>
      </c>
      <c r="B20" s="26" t="s">
        <v>76</v>
      </c>
      <c r="C20" s="27" t="s">
        <v>82</v>
      </c>
      <c r="D20" s="45">
        <f>SUMIFS(Tabela1[QUANTIDADE],Tabela1[Tipo_Prod],B20,Tabela1[Data],A20)</f>
        <v>192000</v>
      </c>
      <c r="E20" s="28">
        <f>SUMIFS(Tabela1[VALOR SEM IPI],Tabela1[Tipo_Prod],B20,Tabela1[Data],A20)</f>
        <v>236489.60000000001</v>
      </c>
      <c r="F20" s="29">
        <f t="shared" si="0"/>
        <v>1.2317166666666668</v>
      </c>
      <c r="G20" s="28">
        <f>SUMIFS(Tabela1[FRETE],Tabela1[Tipo_Prod],B20,Tabela1[Data],A20)</f>
        <v>0</v>
      </c>
      <c r="H20" s="28">
        <f>SUMIFS(Tabela1[IPI],Tabela1[Tipo_Prod],B20,Tabela1[Data],A20)</f>
        <v>0</v>
      </c>
      <c r="I20" s="58">
        <v>305.30766815924437</v>
      </c>
      <c r="J20" s="56">
        <v>0.24781466571367239</v>
      </c>
    </row>
    <row r="21" spans="1:10" x14ac:dyDescent="0.25">
      <c r="A21" s="25" t="s">
        <v>65</v>
      </c>
      <c r="B21" s="26" t="s">
        <v>77</v>
      </c>
      <c r="C21" s="27" t="s">
        <v>82</v>
      </c>
      <c r="D21" s="45">
        <f>SUMIFS(Tabela1[QUANTIDADE],Tabela1[Tipo_Prod],B21,Tabela1[Data],A21)</f>
        <v>0</v>
      </c>
      <c r="E21" s="28">
        <f>SUMIFS(Tabela1[VALOR SEM IPI],Tabela1[Tipo_Prod],B21,Tabela1[Data],A21)</f>
        <v>0</v>
      </c>
      <c r="F21" s="29" t="e">
        <f t="shared" si="0"/>
        <v>#DIV/0!</v>
      </c>
      <c r="G21" s="28">
        <f>SUMIFS(Tabela1[FRETE],Tabela1[Tipo_Prod],B21,Tabela1[Data],A21)</f>
        <v>0</v>
      </c>
      <c r="H21" s="28">
        <f>SUMIFS(Tabela1[IPI],Tabela1[Tipo_Prod],B21,Tabela1[Data],A21)</f>
        <v>0</v>
      </c>
      <c r="I21" s="25"/>
      <c r="J21" s="56"/>
    </row>
    <row r="22" spans="1:10" x14ac:dyDescent="0.25">
      <c r="A22" s="25" t="s">
        <v>65</v>
      </c>
      <c r="B22" s="26" t="s">
        <v>78</v>
      </c>
      <c r="C22" s="27" t="s">
        <v>82</v>
      </c>
      <c r="D22" s="45">
        <f>SUMIFS(Tabela1[QUANTIDADE],Tabela1[Tipo_Prod],B22,Tabela1[Data],A22)</f>
        <v>0</v>
      </c>
      <c r="E22" s="28">
        <f>SUMIFS(Tabela1[VALOR SEM IPI],Tabela1[Tipo_Prod],B22,Tabela1[Data],A22)</f>
        <v>0</v>
      </c>
      <c r="F22" s="29" t="e">
        <f t="shared" si="0"/>
        <v>#DIV/0!</v>
      </c>
      <c r="G22" s="28">
        <f>SUMIFS(Tabela1[FRETE],Tabela1[Tipo_Prod],B22,Tabela1[Data],A22)</f>
        <v>0</v>
      </c>
      <c r="H22" s="28">
        <f>SUMIFS(Tabela1[IPI],Tabela1[Tipo_Prod],B22,Tabela1[Data],A22)</f>
        <v>0</v>
      </c>
      <c r="I22" s="25"/>
      <c r="J22" s="56"/>
    </row>
    <row r="23" spans="1:10" x14ac:dyDescent="0.25">
      <c r="A23" s="25" t="s">
        <v>65</v>
      </c>
      <c r="B23" s="26" t="s">
        <v>79</v>
      </c>
      <c r="C23" s="27" t="s">
        <v>82</v>
      </c>
      <c r="D23" s="45">
        <f>SUMIFS(Tabela1[QUANTIDADE],Tabela1[Tipo_Prod],B23,Tabela1[Data],A23)</f>
        <v>0</v>
      </c>
      <c r="E23" s="28">
        <f>SUMIFS(Tabela1[VALOR SEM IPI],Tabela1[Tipo_Prod],B23,Tabela1[Data],A23)</f>
        <v>0</v>
      </c>
      <c r="F23" s="29" t="e">
        <f t="shared" si="0"/>
        <v>#DIV/0!</v>
      </c>
      <c r="G23" s="28">
        <f>SUMIFS(Tabela1[FRETE],Tabela1[Tipo_Prod],B23,Tabela1[Data],A23)</f>
        <v>0</v>
      </c>
      <c r="H23" s="28">
        <f>SUMIFS(Tabela1[IPI],Tabela1[Tipo_Prod],B23,Tabela1[Data],A23)</f>
        <v>0</v>
      </c>
      <c r="I23" s="25"/>
      <c r="J23" s="56"/>
    </row>
    <row r="24" spans="1:10" x14ac:dyDescent="0.25">
      <c r="A24" s="39" t="s">
        <v>66</v>
      </c>
      <c r="B24" s="40" t="s">
        <v>70</v>
      </c>
      <c r="C24" s="41" t="s">
        <v>81</v>
      </c>
      <c r="D24" s="47">
        <f>SUMIFS(Tabela1[QUANTIDADE],Tabela1[Tipo_Prod],B24,Tabela1[Data],A24)</f>
        <v>4816</v>
      </c>
      <c r="E24" s="42">
        <f>SUMIFS(Tabela1[VALOR SEM IPI],Tabela1[Tipo_Prod],B24,Tabela1[Data],A24)</f>
        <v>8030.4000000000005</v>
      </c>
      <c r="F24" s="43">
        <f t="shared" si="0"/>
        <v>1.6674418604651164</v>
      </c>
      <c r="G24" s="42">
        <f>SUMIFS(Tabela1[FRETE],Tabela1[Tipo_Prod],B24,Tabela1[Data],A24)</f>
        <v>0</v>
      </c>
      <c r="H24" s="42">
        <f>SUMIFS(Tabela1[IPI],Tabela1[Tipo_Prod],B24,Tabela1[Data],A24)</f>
        <v>0</v>
      </c>
      <c r="I24" s="59">
        <v>377.25490015924458</v>
      </c>
      <c r="J24" s="55">
        <v>0.2864501899462753</v>
      </c>
    </row>
    <row r="25" spans="1:10" x14ac:dyDescent="0.25">
      <c r="A25" s="25" t="s">
        <v>66</v>
      </c>
      <c r="B25" s="31" t="s">
        <v>71</v>
      </c>
      <c r="C25" s="27" t="s">
        <v>81</v>
      </c>
      <c r="D25" s="45">
        <f>SUMIFS(Tabela1[QUANTIDADE],Tabela1[Tipo_Prod],B25,Tabela1[Data],A25)</f>
        <v>0</v>
      </c>
      <c r="E25" s="28">
        <f>SUMIFS(Tabela1[VALOR SEM IPI],Tabela1[Tipo_Prod],B25,Tabela1[Data],A25)</f>
        <v>0</v>
      </c>
      <c r="F25" s="29" t="e">
        <f t="shared" si="0"/>
        <v>#DIV/0!</v>
      </c>
      <c r="G25" s="28">
        <f>SUMIFS(Tabela1[FRETE],Tabela1[Tipo_Prod],B25,Tabela1[Data],A25)</f>
        <v>0</v>
      </c>
      <c r="H25" s="28">
        <f>SUMIFS(Tabela1[IPI],Tabela1[Tipo_Prod],B25,Tabela1[Data],A25)</f>
        <v>0</v>
      </c>
      <c r="I25" s="25"/>
      <c r="J25" s="56"/>
    </row>
    <row r="26" spans="1:10" x14ac:dyDescent="0.25">
      <c r="A26" s="25" t="s">
        <v>66</v>
      </c>
      <c r="B26" s="31" t="s">
        <v>72</v>
      </c>
      <c r="C26" s="27" t="s">
        <v>81</v>
      </c>
      <c r="D26" s="45">
        <f>SUMIFS(Tabela1[QUANTIDADE],Tabela1[Tipo_Prod],B26,Tabela1[Data],A26)</f>
        <v>1482</v>
      </c>
      <c r="E26" s="28">
        <f>SUMIFS(Tabela1[VALOR SEM IPI],Tabela1[Tipo_Prod],B26,Tabela1[Data],A26)</f>
        <v>23299.9</v>
      </c>
      <c r="F26" s="29">
        <f t="shared" si="0"/>
        <v>15.721929824561405</v>
      </c>
      <c r="G26" s="28">
        <f>SUMIFS(Tabela1[FRETE],Tabela1[Tipo_Prod],B26,Tabela1[Data],A26)</f>
        <v>400</v>
      </c>
      <c r="H26" s="28">
        <f>SUMIFS(Tabela1[IPI],Tabela1[Tipo_Prod],B26,Tabela1[Data],A26)</f>
        <v>0</v>
      </c>
      <c r="I26" s="58">
        <v>4.4351798627889476</v>
      </c>
      <c r="J26" s="56">
        <v>0.28213612358708318</v>
      </c>
    </row>
    <row r="27" spans="1:10" x14ac:dyDescent="0.25">
      <c r="A27" s="25" t="s">
        <v>66</v>
      </c>
      <c r="B27" s="26" t="s">
        <v>73</v>
      </c>
      <c r="C27" s="27" t="s">
        <v>82</v>
      </c>
      <c r="D27" s="45">
        <f>SUMIFS(Tabela1[QUANTIDADE],Tabela1[Tipo_Prod],B27,Tabela1[Data],A27)</f>
        <v>4816</v>
      </c>
      <c r="E27" s="28">
        <f>SUMIFS(Tabela1[VALOR SEM IPI],Tabela1[Tipo_Prod],B27,Tabela1[Data],A27)</f>
        <v>698.32</v>
      </c>
      <c r="F27" s="29">
        <f t="shared" si="0"/>
        <v>0.14500000000000002</v>
      </c>
      <c r="G27" s="28">
        <f>SUMIFS(Tabela1[FRETE],Tabela1[Tipo_Prod],B27,Tabela1[Data],A27)</f>
        <v>0</v>
      </c>
      <c r="H27" s="28">
        <f>SUMIFS(Tabela1[IPI],Tabela1[Tipo_Prod],B27,Tabela1[Data],A27)</f>
        <v>0</v>
      </c>
      <c r="I27" s="58">
        <v>59.840933741131565</v>
      </c>
      <c r="J27" s="56">
        <v>0.41269609476642455</v>
      </c>
    </row>
    <row r="28" spans="1:10" x14ac:dyDescent="0.25">
      <c r="A28" s="25" t="s">
        <v>66</v>
      </c>
      <c r="B28" s="26" t="s">
        <v>74</v>
      </c>
      <c r="C28" s="27" t="s">
        <v>82</v>
      </c>
      <c r="D28" s="45">
        <f>SUMIFS(Tabela1[QUANTIDADE],Tabela1[Tipo_Prod],B28,Tabela1[Data],A28)</f>
        <v>4816</v>
      </c>
      <c r="E28" s="28">
        <f>SUMIFS(Tabela1[VALOR SEM IPI],Tabela1[Tipo_Prod],B28,Tabela1[Data],A28)</f>
        <v>626.07999999999993</v>
      </c>
      <c r="F28" s="29">
        <f t="shared" si="0"/>
        <v>0.12999999999999998</v>
      </c>
      <c r="G28" s="28">
        <f>SUMIFS(Tabela1[FRETE],Tabela1[Tipo_Prod],B28,Tabela1[Data],A28)</f>
        <v>0</v>
      </c>
      <c r="H28" s="28">
        <f>SUMIFS(Tabela1[IPI],Tabela1[Tipo_Prod],B28,Tabela1[Data],A28)</f>
        <v>0</v>
      </c>
      <c r="I28" s="58">
        <v>54.758412702504387</v>
      </c>
      <c r="J28" s="56">
        <v>0.42121855925003376</v>
      </c>
    </row>
    <row r="29" spans="1:10" x14ac:dyDescent="0.25">
      <c r="A29" s="25" t="s">
        <v>66</v>
      </c>
      <c r="B29" s="32" t="s">
        <v>89</v>
      </c>
      <c r="C29" s="27" t="s">
        <v>82</v>
      </c>
      <c r="D29" s="45">
        <f>SUMIFS(Tabela1[QUANTIDADE],Tabela1[Tipo_Prod],B29,Tabela1[Data],A29)</f>
        <v>176000</v>
      </c>
      <c r="E29" s="28">
        <f>SUMIFS(Tabela1[VALOR SEM IPI],Tabela1[Tipo_Prod],B29,Tabela1[Data],A29)</f>
        <v>26400</v>
      </c>
      <c r="F29" s="29">
        <f t="shared" si="0"/>
        <v>0.15</v>
      </c>
      <c r="G29" s="28">
        <f>SUMIFS(Tabela1[FRETE],Tabela1[Tipo_Prod],B29,Tabela1[Data],A29)</f>
        <v>0</v>
      </c>
      <c r="H29" s="28">
        <f>SUMIFS(Tabela1[IPI],Tabela1[Tipo_Prod],B29,Tabela1[Data],A29)</f>
        <v>858</v>
      </c>
      <c r="I29" s="58">
        <v>61.918603644583314</v>
      </c>
      <c r="J29" s="56">
        <v>0.41279069096388876</v>
      </c>
    </row>
    <row r="30" spans="1:10" x14ac:dyDescent="0.25">
      <c r="A30" s="25" t="s">
        <v>66</v>
      </c>
      <c r="B30" s="26" t="s">
        <v>75</v>
      </c>
      <c r="C30" s="27" t="s">
        <v>82</v>
      </c>
      <c r="D30" s="45">
        <f>SUMIFS(Tabela1[QUANTIDADE],Tabela1[Tipo_Prod],B30,Tabela1[Data],A30)</f>
        <v>0</v>
      </c>
      <c r="E30" s="28">
        <f>SUMIFS(Tabela1[VALOR SEM IPI],Tabela1[Tipo_Prod],B30,Tabela1[Data],A30)</f>
        <v>0</v>
      </c>
      <c r="F30" s="29" t="e">
        <f t="shared" si="0"/>
        <v>#DIV/0!</v>
      </c>
      <c r="G30" s="28">
        <f>SUMIFS(Tabela1[FRETE],Tabela1[Tipo_Prod],B30,Tabela1[Data],A30)</f>
        <v>0</v>
      </c>
      <c r="H30" s="28">
        <f>SUMIFS(Tabela1[IPI],Tabela1[Tipo_Prod],B30,Tabela1[Data],A30)</f>
        <v>0</v>
      </c>
      <c r="I30" s="25"/>
      <c r="J30" s="56"/>
    </row>
    <row r="31" spans="1:10" x14ac:dyDescent="0.25">
      <c r="A31" s="25" t="s">
        <v>66</v>
      </c>
      <c r="B31" s="26" t="s">
        <v>76</v>
      </c>
      <c r="C31" s="27" t="s">
        <v>82</v>
      </c>
      <c r="D31" s="45">
        <f>SUMIFS(Tabela1[QUANTIDADE],Tabela1[Tipo_Prod],B31,Tabela1[Data],A31)</f>
        <v>0</v>
      </c>
      <c r="E31" s="28">
        <f>SUMIFS(Tabela1[VALOR SEM IPI],Tabela1[Tipo_Prod],B31,Tabela1[Data],A31)</f>
        <v>0</v>
      </c>
      <c r="F31" s="29" t="e">
        <f t="shared" si="0"/>
        <v>#DIV/0!</v>
      </c>
      <c r="G31" s="28">
        <f>SUMIFS(Tabela1[FRETE],Tabela1[Tipo_Prod],B31,Tabela1[Data],A31)</f>
        <v>0</v>
      </c>
      <c r="H31" s="28">
        <f>SUMIFS(Tabela1[IPI],Tabela1[Tipo_Prod],B31,Tabela1[Data],A31)</f>
        <v>0</v>
      </c>
      <c r="I31" s="25"/>
      <c r="J31" s="56"/>
    </row>
    <row r="32" spans="1:10" x14ac:dyDescent="0.25">
      <c r="A32" s="25" t="s">
        <v>66</v>
      </c>
      <c r="B32" s="26" t="s">
        <v>77</v>
      </c>
      <c r="C32" s="27" t="s">
        <v>82</v>
      </c>
      <c r="D32" s="45">
        <f>SUMIFS(Tabela1[QUANTIDADE],Tabela1[Tipo_Prod],B32,Tabela1[Data],A32)</f>
        <v>0</v>
      </c>
      <c r="E32" s="28">
        <f>SUMIFS(Tabela1[VALOR SEM IPI],Tabela1[Tipo_Prod],B32,Tabela1[Data],A32)</f>
        <v>0</v>
      </c>
      <c r="F32" s="29" t="e">
        <f t="shared" si="0"/>
        <v>#DIV/0!</v>
      </c>
      <c r="G32" s="28">
        <f>SUMIFS(Tabela1[FRETE],Tabela1[Tipo_Prod],B32,Tabela1[Data],A32)</f>
        <v>0</v>
      </c>
      <c r="H32" s="28">
        <f>SUMIFS(Tabela1[IPI],Tabela1[Tipo_Prod],B32,Tabela1[Data],A32)</f>
        <v>0</v>
      </c>
      <c r="I32" s="25"/>
      <c r="J32" s="56"/>
    </row>
    <row r="33" spans="1:10" x14ac:dyDescent="0.25">
      <c r="A33" s="25" t="s">
        <v>66</v>
      </c>
      <c r="B33" s="26" t="s">
        <v>78</v>
      </c>
      <c r="C33" s="27" t="s">
        <v>82</v>
      </c>
      <c r="D33" s="45">
        <f>SUMIFS(Tabela1[QUANTIDADE],Tabela1[Tipo_Prod],B33,Tabela1[Data],A33)</f>
        <v>0</v>
      </c>
      <c r="E33" s="28">
        <f>SUMIFS(Tabela1[VALOR SEM IPI],Tabela1[Tipo_Prod],B33,Tabela1[Data],A33)</f>
        <v>0</v>
      </c>
      <c r="F33" s="29" t="e">
        <f t="shared" si="0"/>
        <v>#DIV/0!</v>
      </c>
      <c r="G33" s="28">
        <f>SUMIFS(Tabela1[FRETE],Tabela1[Tipo_Prod],B33,Tabela1[Data],A33)</f>
        <v>0</v>
      </c>
      <c r="H33" s="28">
        <f>SUMIFS(Tabela1[IPI],Tabela1[Tipo_Prod],B33,Tabela1[Data],A33)</f>
        <v>0</v>
      </c>
      <c r="I33" s="25"/>
      <c r="J33" s="56"/>
    </row>
    <row r="34" spans="1:10" ht="15.75" thickBot="1" x14ac:dyDescent="0.3">
      <c r="A34" s="49" t="s">
        <v>66</v>
      </c>
      <c r="B34" s="50" t="s">
        <v>79</v>
      </c>
      <c r="C34" s="51" t="s">
        <v>82</v>
      </c>
      <c r="D34" s="54">
        <f>SUMIFS(Tabela1[QUANTIDADE],Tabela1[Tipo_Prod],B34,Tabela1[Data],A34)</f>
        <v>0</v>
      </c>
      <c r="E34" s="52">
        <f>SUMIFS(Tabela1[VALOR SEM IPI],Tabela1[Tipo_Prod],B34,Tabela1[Data],A34)</f>
        <v>0</v>
      </c>
      <c r="F34" s="53" t="e">
        <f t="shared" si="0"/>
        <v>#DIV/0!</v>
      </c>
      <c r="G34" s="52">
        <f>SUMIFS(Tabela1[FRETE],Tabela1[Tipo_Prod],B34,Tabela1[Data],A34)</f>
        <v>0</v>
      </c>
      <c r="H34" s="52">
        <f>SUMIFS(Tabela1[IPI],Tabela1[Tipo_Prod],B34,Tabela1[Data],A34)</f>
        <v>0</v>
      </c>
      <c r="I34" s="49"/>
      <c r="J34" s="57"/>
    </row>
    <row r="35" spans="1:10" ht="15.75" thickTop="1" x14ac:dyDescent="0.25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</dc:creator>
  <cp:lastModifiedBy>EDUARDO</cp:lastModifiedBy>
  <dcterms:created xsi:type="dcterms:W3CDTF">2015-06-05T18:19:34Z</dcterms:created>
  <dcterms:modified xsi:type="dcterms:W3CDTF">2022-12-22T16:50:33Z</dcterms:modified>
</cp:coreProperties>
</file>