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7" r:id="rId6"/>
    <sheet name="JAN 2020" sheetId="8" r:id="rId7"/>
    <sheet name="FEB 2020" sheetId="9" r:id="rId8"/>
    <sheet name="MAR 2020" sheetId="10" r:id="rId9"/>
    <sheet name="APR 2020" sheetId="11" r:id="rId10"/>
    <sheet name="MAY 2020" sheetId="12" r:id="rId11"/>
    <sheet name="JUN 2020" sheetId="13" r:id="rId12"/>
    <sheet name="JUL 2020" sheetId="14" r:id="rId13"/>
    <sheet name="AUG 2020" sheetId="15" r:id="rId14"/>
    <sheet name="SEPT 2020" sheetId="16" r:id="rId15"/>
    <sheet name="OCT 2020" sheetId="17" r:id="rId16"/>
    <sheet name="NOV 2020" sheetId="18" r:id="rId17"/>
  </sheets>
  <externalReferences>
    <externalReference r:id="rId18"/>
    <externalReference r:id="rId19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2020'!$A$1:$K$53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K33" i="18" l="1"/>
  <c r="H25" i="18"/>
  <c r="H21" i="18"/>
  <c r="H16" i="18" l="1"/>
  <c r="G16" i="18" l="1"/>
  <c r="K32" i="18"/>
  <c r="H29" i="18"/>
  <c r="K29" i="18" s="1"/>
  <c r="F26" i="18"/>
  <c r="K24" i="18"/>
  <c r="F22" i="18"/>
  <c r="K20" i="18"/>
  <c r="I16" i="18" l="1"/>
  <c r="J16" i="18" s="1"/>
  <c r="K29" i="17"/>
  <c r="H29" i="17"/>
  <c r="K35" i="18" l="1"/>
  <c r="H25" i="17"/>
  <c r="H21" i="17" l="1"/>
  <c r="K33" i="17" l="1"/>
  <c r="F26" i="17"/>
  <c r="K24" i="17"/>
  <c r="F22" i="17"/>
  <c r="K20" i="17"/>
  <c r="K34" i="17" l="1"/>
  <c r="I16" i="17"/>
  <c r="J16" i="17" s="1"/>
  <c r="H25" i="16"/>
  <c r="K36" i="17" l="1"/>
  <c r="H21" i="16"/>
  <c r="K33" i="16" l="1"/>
  <c r="K29" i="16"/>
  <c r="K27" i="16"/>
  <c r="F26" i="16"/>
  <c r="K24" i="16"/>
  <c r="F22" i="16"/>
  <c r="K20" i="16"/>
  <c r="K34" i="16" l="1"/>
  <c r="I16" i="16" s="1"/>
  <c r="J16" i="16" s="1"/>
  <c r="K36" i="16"/>
  <c r="H25" i="15"/>
  <c r="H21" i="15"/>
  <c r="K33" i="15" l="1"/>
  <c r="K29" i="15"/>
  <c r="K27" i="15"/>
  <c r="F26" i="15"/>
  <c r="K24" i="15"/>
  <c r="F22" i="15"/>
  <c r="K20" i="15"/>
  <c r="K34" i="15" l="1"/>
  <c r="I16" i="15" s="1"/>
  <c r="K36" i="15"/>
  <c r="J16" i="15"/>
  <c r="H25" i="14"/>
  <c r="H21" i="14" l="1"/>
  <c r="K33" i="14"/>
  <c r="K29" i="14"/>
  <c r="K27" i="14"/>
  <c r="F26" i="14"/>
  <c r="K24" i="14"/>
  <c r="F22" i="14"/>
  <c r="K20" i="14"/>
  <c r="K34" i="14" l="1"/>
  <c r="I16" i="14" s="1"/>
  <c r="J16" i="14" s="1"/>
  <c r="K31" i="13"/>
  <c r="F26" i="10"/>
  <c r="K33" i="13"/>
  <c r="H25" i="13"/>
  <c r="K27" i="13" s="1"/>
  <c r="H21" i="13"/>
  <c r="K20" i="13" s="1"/>
  <c r="K29" i="13"/>
  <c r="F26" i="13"/>
  <c r="F22" i="13"/>
  <c r="K36" i="14" l="1"/>
  <c r="K24" i="13"/>
  <c r="K34" i="13" s="1"/>
  <c r="I16" i="13" s="1"/>
  <c r="K33" i="12"/>
  <c r="K33" i="11"/>
  <c r="K36" i="13" l="1"/>
  <c r="J16" i="13"/>
  <c r="H21" i="12"/>
  <c r="K35" i="12" l="1"/>
  <c r="K30" i="12"/>
  <c r="F26" i="12"/>
  <c r="H25" i="12"/>
  <c r="K24" i="12" s="1"/>
  <c r="F22" i="12"/>
  <c r="K20" i="12"/>
  <c r="I28" i="12" l="1"/>
  <c r="K28" i="12" s="1"/>
  <c r="K36" i="12" s="1"/>
  <c r="I16" i="12" s="1"/>
  <c r="F26" i="11"/>
  <c r="F22" i="11"/>
  <c r="K38" i="12" l="1"/>
  <c r="J16" i="12"/>
  <c r="H25" i="11" l="1"/>
  <c r="K24" i="11" s="1"/>
  <c r="H21" i="11"/>
  <c r="K35" i="11"/>
  <c r="K30" i="11"/>
  <c r="K20" i="11" l="1"/>
  <c r="I28" i="11"/>
  <c r="K28" i="11" s="1"/>
  <c r="K34" i="10"/>
  <c r="K32" i="10"/>
  <c r="K29" i="10"/>
  <c r="K27" i="10"/>
  <c r="H25" i="10"/>
  <c r="K24" i="10"/>
  <c r="H21" i="10"/>
  <c r="K20" i="10" s="1"/>
  <c r="K35" i="10" s="1"/>
  <c r="I16" i="10" s="1"/>
  <c r="K36" i="11" l="1"/>
  <c r="I16" i="11" s="1"/>
  <c r="J16" i="11" s="1"/>
  <c r="K38" i="11"/>
  <c r="K37" i="10"/>
  <c r="J16" i="10"/>
  <c r="H25" i="9"/>
  <c r="H21" i="9" l="1"/>
  <c r="K34" i="9" l="1"/>
  <c r="K32" i="9"/>
  <c r="K29" i="9"/>
  <c r="K27" i="9"/>
  <c r="K24" i="9"/>
  <c r="K20" i="9"/>
  <c r="K35" i="9" s="1"/>
  <c r="I16" i="9" s="1"/>
  <c r="K37" i="9" l="1"/>
  <c r="J16" i="9"/>
  <c r="H21" i="8"/>
  <c r="H25" i="8" l="1"/>
  <c r="K34" i="8" l="1"/>
  <c r="K32" i="8"/>
  <c r="K29" i="8"/>
  <c r="K27" i="8"/>
  <c r="K24" i="8"/>
  <c r="K20" i="8"/>
  <c r="K35" i="8" l="1"/>
  <c r="I16" i="8" s="1"/>
  <c r="J16" i="8" s="1"/>
  <c r="H25" i="7"/>
  <c r="H28" i="7"/>
  <c r="K27" i="7" s="1"/>
  <c r="K37" i="8" l="1"/>
  <c r="H21" i="7"/>
  <c r="H25" i="5" l="1"/>
  <c r="K34" i="7" l="1"/>
  <c r="K32" i="7"/>
  <c r="K29" i="7"/>
  <c r="K24" i="7"/>
  <c r="K20" i="7"/>
  <c r="K35" i="7" l="1"/>
  <c r="I16" i="7" s="1"/>
  <c r="K24" i="5"/>
  <c r="H21" i="5"/>
  <c r="K20" i="5" s="1"/>
  <c r="K34" i="5"/>
  <c r="K32" i="5"/>
  <c r="K29" i="5"/>
  <c r="K27" i="5"/>
  <c r="K37" i="7" l="1"/>
  <c r="J16" i="7"/>
  <c r="K35" i="5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K37" i="3" s="1"/>
  <c r="H25" i="2"/>
  <c r="H21" i="2"/>
  <c r="J16" i="3" l="1"/>
  <c r="K34" i="2"/>
  <c r="K32" i="2"/>
  <c r="K29" i="2"/>
  <c r="K27" i="2"/>
  <c r="K24" i="2"/>
  <c r="K20" i="2"/>
  <c r="K35" i="2" l="1"/>
  <c r="I16" i="2" s="1"/>
  <c r="J16" i="2" s="1"/>
  <c r="H25" i="1"/>
  <c r="H21" i="1"/>
  <c r="K37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<sst xmlns="http://schemas.openxmlformats.org/spreadsheetml/2006/main" count="741" uniqueCount="145">
  <si>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</si>
  <si>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</si>
  <si>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</si>
  <si>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</si>
  <si>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</si>
  <si>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</si>
  <si>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</si>
  <si>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</si>
  <si>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</si>
  <si>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</si>
  <si>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</si>
  <si>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</si>
  <si>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</si>
  <si>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</si>
  <si>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</si>
  <si>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</si>
  <si>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</si>
  <si>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</si>
  <si>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</si>
  <si>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</si>
  <si>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</si>
  <si>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</si>
  <si>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</si>
  <si>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</si>
  <si>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</si>
  <si>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</si>
  <si>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</si>
  <si>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</si>
  <si>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</si>
  <si>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</si>
  <si>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</si>
  <si>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</si>
  <si>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</si>
  <si>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</si>
  <si>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</si>
  <si>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</si>
  <si>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</si>
  <si>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DARWIN UNTALAN</t>
    </r>
  </si>
  <si>
    <t>UNIT: 11A19</t>
  </si>
  <si>
    <t>PRES: JULY 25 2019 - PREV: JUNE 3 2019 * 18.30</t>
  </si>
  <si>
    <t>PRES: JULY 25 2019 - PREV: JUNE 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</si>
  <si>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</si>
  <si>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</si>
  <si>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</si>
  <si>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</si>
  <si>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</si>
  <si>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</si>
  <si>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</si>
  <si>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</si>
  <si>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</si>
  <si>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</si>
  <si>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</si>
  <si>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</si>
  <si>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</si>
  <si>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PAID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</si>
  <si>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</si>
  <si>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</si>
  <si>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</si>
  <si>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</si>
  <si>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</si>
  <si>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</si>
  <si>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</si>
  <si>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</si>
  <si>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</si>
  <si>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</si>
  <si>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</si>
  <si>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</si>
  <si>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</si>
  <si>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</si>
  <si>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</si>
  <si>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7'16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</si>
  <si>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</si>
  <si>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</si>
  <si>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</si>
  <si>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</si>
  <si>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</si>
  <si>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</si>
  <si>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</si>
  <si>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</si>
  <si>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</si>
  <si>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</si>
  <si>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</si>
  <si>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</si>
  <si>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</si>
  <si>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</si>
  <si>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</si>
  <si>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</si>
  <si>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</si>
  <si>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</si>
  <si>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</si>
  <si>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</si>
  <si>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</si>
  <si>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</si>
  <si>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</si>
  <si>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</si>
  <si>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</si>
  <si>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</si>
  <si>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</si>
  <si>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</si>
  <si>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</si>
  <si>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</si>
  <si>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</si>
  <si>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</si>
  <si>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r>
      <t xml:space="preserve">ELECTRICITY:
MAR 2020 - 107 kWh x 10.98 = 1,174.86 + 20% (AC) = 1,409.83 - 1,693.81 (billing Mar2020) = </t>
    </r>
    <r>
      <rPr>
        <b/>
        <u/>
        <sz val="14"/>
        <color rgb="FFFF0000"/>
        <rFont val="Calibri"/>
        <family val="2"/>
        <scheme val="minor"/>
      </rPr>
      <t>283.98</t>
    </r>
    <r>
      <rPr>
        <b/>
        <sz val="14"/>
        <color rgb="FFFF0000"/>
        <rFont val="Calibri"/>
        <family val="2"/>
        <scheme val="minor"/>
      </rPr>
      <t xml:space="preserve">
APR 2020 - 161 kWh x 9.79 = 1,576.19 + 20% (AC) = 1,891.43 - 2,121.34 (billing Apr2020) = 229.91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</si>
  <si>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</si>
  <si>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</si>
  <si>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</si>
  <si>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</si>
  <si>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</si>
  <si>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232.61 - 234.62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2020 - 2 cubic x 95.58 = 191.16 + 20% (AC) = 229.39 - 234.62 (billing May2020) = </t>
    </r>
    <r>
      <rPr>
        <b/>
        <u/>
        <sz val="14"/>
        <color rgb="FFFF0000"/>
        <rFont val="Calibri"/>
        <family val="2"/>
        <scheme val="minor"/>
      </rPr>
      <t>5.23</t>
    </r>
  </si>
  <si>
    <t>BILLING MONTH: JULY 2020</t>
  </si>
  <si>
    <t>AUG 5 2020</t>
  </si>
  <si>
    <t>AUG 15 2020</t>
  </si>
  <si>
    <t>PRES: JUL 25 2020 - PREV: AUG 26 2020 * 8.99</t>
  </si>
  <si>
    <t>PRES: JUL 25 2020 - PREV: AUG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</si>
  <si>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</si>
  <si>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</si>
  <si>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</si>
  <si>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</si>
  <si>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</si>
  <si>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</si>
  <si>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</si>
  <si>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</si>
  <si>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</si>
  <si>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</si>
  <si>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</si>
  <si>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</si>
  <si>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</si>
  <si>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</si>
  <si>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</si>
  <si>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</si>
  <si>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</si>
  <si>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</si>
  <si>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 xml:space="preserve"> 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</si>
  <si>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</si>
  <si>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</si>
  <si>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</si>
  <si>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</si>
  <si>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</si>
  <si>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</si>
  <si>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</si>
  <si>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ELECTRICITY - NOV 2020</t>
  </si>
  <si>
    <t>WATER - NOV 2020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</si>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</sst>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0" fillId="0" borderId="0" xfId="1" applyFont="1"/>
    <xf numFmtId="0" fontId="2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1A19%20-%20UNTAL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1A19%20-%20UNT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1349.3999999999999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E23">
            <v>295.68</v>
          </cell>
          <cell r="L23">
            <v>1478.64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6" zoomScale="80" zoomScaleNormal="80" zoomScaleSheetLayoutView="80" workbookViewId="0">
      <selection activeCell="I32" sqref="I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174.9</v>
      </c>
      <c r="J16" s="18">
        <f>I16+H16+G16</f>
        <v>174.9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1" t="s">
        <v>32</v>
      </c>
      <c r="E20" s="91"/>
      <c r="F20" s="46" t="s">
        <v>39</v>
      </c>
      <c r="G20" s="46"/>
      <c r="H20" s="46"/>
      <c r="I20" s="9"/>
      <c r="J20" s="22">
        <v>0</v>
      </c>
      <c r="K20" s="9">
        <f>H21</f>
        <v>54.900000000000006</v>
      </c>
    </row>
    <row r="21" spans="3:11" ht="21" x14ac:dyDescent="0.35">
      <c r="C21" s="39"/>
      <c r="D21" s="8"/>
      <c r="E21" s="8"/>
      <c r="F21" s="46">
        <v>3</v>
      </c>
      <c r="G21" s="46">
        <v>0</v>
      </c>
      <c r="H21" s="47">
        <f>(F21-G21)*18.3</f>
        <v>54.900000000000006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120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(F25-G25)*120</f>
        <v>120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174.9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5" zoomScale="70" zoomScaleNormal="70" workbookViewId="0">
      <selection activeCell="C29" sqref="C29:E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2418.02</v>
      </c>
      <c r="I16" s="18">
        <f>K36</f>
        <v>2238.6480000000001</v>
      </c>
      <c r="J16" s="18">
        <f>I16+H16+G16</f>
        <v>4656.6679999999997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1" t="s">
        <v>32</v>
      </c>
      <c r="E20" s="91"/>
      <c r="F20" s="46" t="s">
        <v>89</v>
      </c>
      <c r="G20" s="46"/>
      <c r="H20" s="46"/>
      <c r="I20" s="9"/>
      <c r="J20" s="22">
        <v>0</v>
      </c>
      <c r="K20" s="9">
        <f>H21</f>
        <v>1767.78</v>
      </c>
    </row>
    <row r="21" spans="3:11" ht="21" x14ac:dyDescent="0.35">
      <c r="C21" s="39"/>
      <c r="D21" s="8"/>
      <c r="E21" s="8"/>
      <c r="F21" s="46">
        <v>577</v>
      </c>
      <c r="G21" s="46">
        <v>416</v>
      </c>
      <c r="H21" s="47">
        <f>(F21-G21)*10.98</f>
        <v>1767.78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161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16</v>
      </c>
      <c r="G25" s="46">
        <v>15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1</v>
      </c>
      <c r="G26" s="96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373.108</v>
      </c>
      <c r="J28" s="22">
        <v>0</v>
      </c>
      <c r="K28" s="9">
        <f>I28</f>
        <v>373.108</v>
      </c>
    </row>
    <row r="29" spans="3:11" ht="21" customHeight="1" x14ac:dyDescent="0.35">
      <c r="C29" s="97" t="s">
        <v>102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84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2238.6480000000001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4656.6679999999997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2" t="s">
        <v>83</v>
      </c>
      <c r="D42" s="62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3"/>
      <c r="D43" s="62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92" t="s">
        <v>23</v>
      </c>
      <c r="D57" s="92"/>
      <c r="E57" s="92"/>
      <c r="F57" s="8"/>
      <c r="G57" s="92" t="s">
        <v>24</v>
      </c>
      <c r="H57" s="9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workbookViewId="0">
      <selection activeCell="M33" sqref="M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/>
      <c r="I16" s="18">
        <f>K36</f>
        <v>2634.2379999999998</v>
      </c>
      <c r="J16" s="18">
        <f>I16+H16+G16</f>
        <v>2634.2379999999998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1" t="s">
        <v>32</v>
      </c>
      <c r="E20" s="91"/>
      <c r="F20" s="46" t="s">
        <v>97</v>
      </c>
      <c r="G20" s="46"/>
      <c r="H20" s="46"/>
      <c r="I20" s="9"/>
      <c r="J20" s="22">
        <v>0</v>
      </c>
      <c r="K20" s="9">
        <f>H21</f>
        <v>2427.9199999999996</v>
      </c>
    </row>
    <row r="21" spans="3:11" ht="21" x14ac:dyDescent="0.35">
      <c r="C21" s="39"/>
      <c r="D21" s="8"/>
      <c r="E21" s="8"/>
      <c r="F21" s="46">
        <v>825</v>
      </c>
      <c r="G21" s="46">
        <v>577</v>
      </c>
      <c r="H21" s="47">
        <f>(F21-G21)*9.79</f>
        <v>2427.9199999999996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248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18</v>
      </c>
      <c r="G25" s="46">
        <v>16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2</v>
      </c>
      <c r="G26" s="96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524.68799999999999</v>
      </c>
      <c r="J28" s="22">
        <v>0</v>
      </c>
      <c r="K28" s="9">
        <f>I28</f>
        <v>524.68799999999999</v>
      </c>
    </row>
    <row r="29" spans="3:11" ht="21" customHeight="1" x14ac:dyDescent="0.35">
      <c r="C29" s="97" t="s">
        <v>102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5.1" customHeight="1" x14ac:dyDescent="0.35">
      <c r="C33" s="38"/>
      <c r="D33" s="99" t="s">
        <v>99</v>
      </c>
      <c r="E33" s="99"/>
      <c r="F33" s="100" t="s">
        <v>103</v>
      </c>
      <c r="G33" s="100"/>
      <c r="H33" s="100"/>
      <c r="I33" s="100"/>
      <c r="J33" s="67">
        <v>0</v>
      </c>
      <c r="K33" s="67">
        <f>(283.98+229.91)</f>
        <v>513.89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2634.2379999999998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2634.2379999999998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3.25" x14ac:dyDescent="0.35">
      <c r="B43" s="3"/>
      <c r="C43" s="68" t="s">
        <v>83</v>
      </c>
      <c r="D43" s="62" t="s">
        <v>100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2" t="s">
        <v>101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2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3" t="s">
        <v>33</v>
      </c>
      <c r="D57" s="93"/>
      <c r="E57" s="93"/>
      <c r="F57" s="8"/>
      <c r="G57" s="93" t="s">
        <v>31</v>
      </c>
      <c r="H57" s="93"/>
      <c r="I57" s="9"/>
      <c r="J57" s="9"/>
      <c r="K57" s="9"/>
    </row>
    <row r="58" spans="3:11" ht="21" x14ac:dyDescent="0.35">
      <c r="C58" s="92" t="s">
        <v>23</v>
      </c>
      <c r="D58" s="92"/>
      <c r="E58" s="92"/>
      <c r="F58" s="8"/>
      <c r="G58" s="92" t="s">
        <v>24</v>
      </c>
      <c r="H58" s="9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37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106</v>
      </c>
      <c r="F16" s="18"/>
      <c r="G16" s="18"/>
      <c r="H16" s="18"/>
      <c r="I16" s="18">
        <f>K34</f>
        <v>2790.4</v>
      </c>
      <c r="J16" s="18">
        <f>I16+H16+G16</f>
        <v>2790.4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1" t="s">
        <v>32</v>
      </c>
      <c r="E20" s="91"/>
      <c r="F20" s="46" t="s">
        <v>107</v>
      </c>
      <c r="G20" s="46"/>
      <c r="H20" s="46"/>
      <c r="I20" s="9"/>
      <c r="J20" s="22">
        <v>0</v>
      </c>
      <c r="K20" s="9">
        <f>H21</f>
        <v>2414.62</v>
      </c>
    </row>
    <row r="21" spans="3:11" ht="21" x14ac:dyDescent="0.35">
      <c r="C21" s="39"/>
      <c r="D21" s="8"/>
      <c r="E21" s="8"/>
      <c r="F21" s="46">
        <v>1076</v>
      </c>
      <c r="G21" s="46">
        <v>825</v>
      </c>
      <c r="H21" s="47">
        <f>(F21-G21)*9.62</f>
        <v>2414.62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251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384.88</v>
      </c>
    </row>
    <row r="25" spans="3:11" ht="21" x14ac:dyDescent="0.35">
      <c r="C25" s="39"/>
      <c r="D25" s="8"/>
      <c r="E25" s="8"/>
      <c r="F25" s="46">
        <v>22</v>
      </c>
      <c r="G25" s="46">
        <v>18</v>
      </c>
      <c r="H25" s="47">
        <f>(F25-G25)*96.22</f>
        <v>384.88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4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135" customHeight="1" x14ac:dyDescent="0.35">
      <c r="C31" s="38"/>
      <c r="D31" s="99" t="s">
        <v>99</v>
      </c>
      <c r="E31" s="99"/>
      <c r="F31" s="100" t="s">
        <v>109</v>
      </c>
      <c r="G31" s="100"/>
      <c r="H31" s="100"/>
      <c r="I31" s="100"/>
      <c r="J31" s="67">
        <v>0</v>
      </c>
      <c r="K31" s="67">
        <f>2.01+1.86+5.23</f>
        <v>9.1000000000000014</v>
      </c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2790.4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2790.4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4"/>
      <c r="D43" s="94"/>
      <c r="E43" s="94"/>
      <c r="F43" s="94"/>
      <c r="G43" s="94"/>
      <c r="H43" s="94"/>
      <c r="I43" s="94"/>
      <c r="J43" s="94"/>
      <c r="K43" s="9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92" t="s">
        <v>23</v>
      </c>
      <c r="D52" s="92"/>
      <c r="E52" s="92"/>
      <c r="F52" s="8"/>
      <c r="G52" s="92" t="s">
        <v>24</v>
      </c>
      <c r="H52" s="9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/>
      <c r="I16" s="18">
        <f>K34</f>
        <v>2962.67</v>
      </c>
      <c r="J16" s="18">
        <f>I16+H16+G16</f>
        <v>2962.67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1" t="s">
        <v>32</v>
      </c>
      <c r="E20" s="91"/>
      <c r="F20" s="46" t="s">
        <v>113</v>
      </c>
      <c r="G20" s="46"/>
      <c r="H20" s="46"/>
      <c r="I20" s="9"/>
      <c r="J20" s="22">
        <v>0</v>
      </c>
      <c r="K20" s="9">
        <f>H21</f>
        <v>2382.35</v>
      </c>
    </row>
    <row r="21" spans="3:11" ht="21" x14ac:dyDescent="0.35">
      <c r="C21" s="39"/>
      <c r="D21" s="8"/>
      <c r="E21" s="8"/>
      <c r="F21" s="46">
        <v>1341</v>
      </c>
      <c r="G21" s="46">
        <v>1076</v>
      </c>
      <c r="H21" s="47">
        <f>(F21-G21)*8.99</f>
        <v>2382.35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265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580.31999999999994</v>
      </c>
    </row>
    <row r="25" spans="3:11" ht="21" x14ac:dyDescent="0.35">
      <c r="C25" s="39"/>
      <c r="D25" s="8"/>
      <c r="E25" s="8"/>
      <c r="F25" s="46">
        <v>28</v>
      </c>
      <c r="G25" s="46">
        <v>22</v>
      </c>
      <c r="H25" s="47">
        <f>(F25-G25)*96.72</f>
        <v>580.31999999999994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6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7"/>
      <c r="K31" s="67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2962.67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2962.67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4"/>
      <c r="D43" s="94"/>
      <c r="E43" s="94"/>
      <c r="F43" s="94"/>
      <c r="G43" s="94"/>
      <c r="H43" s="94"/>
      <c r="I43" s="94"/>
      <c r="J43" s="94"/>
      <c r="K43" s="9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92" t="s">
        <v>23</v>
      </c>
      <c r="D52" s="92"/>
      <c r="E52" s="92"/>
      <c r="F52" s="8"/>
      <c r="G52" s="92" t="s">
        <v>24</v>
      </c>
      <c r="H52" s="9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/>
      <c r="I16" s="18">
        <f>K34</f>
        <v>3015.4900000000002</v>
      </c>
      <c r="J16" s="18">
        <f>I16+H16+G16</f>
        <v>3015.4900000000002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1" t="s">
        <v>32</v>
      </c>
      <c r="E20" s="91"/>
      <c r="F20" s="46" t="s">
        <v>118</v>
      </c>
      <c r="G20" s="46"/>
      <c r="H20" s="46"/>
      <c r="I20" s="9"/>
      <c r="J20" s="22">
        <v>0</v>
      </c>
      <c r="K20" s="9">
        <f>H21</f>
        <v>2527.7400000000002</v>
      </c>
    </row>
    <row r="21" spans="3:11" ht="21" x14ac:dyDescent="0.35">
      <c r="C21" s="39"/>
      <c r="D21" s="8"/>
      <c r="E21" s="8"/>
      <c r="F21" s="46">
        <v>1620</v>
      </c>
      <c r="G21" s="46">
        <v>1341</v>
      </c>
      <c r="H21" s="47">
        <f>(F21-G21)*9.06</f>
        <v>2527.7400000000002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279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487.75</v>
      </c>
    </row>
    <row r="25" spans="3:11" ht="21" x14ac:dyDescent="0.35">
      <c r="C25" s="39"/>
      <c r="D25" s="8"/>
      <c r="E25" s="8"/>
      <c r="F25" s="46">
        <v>33</v>
      </c>
      <c r="G25" s="46">
        <v>28</v>
      </c>
      <c r="H25" s="47">
        <f>(F25-G25)*97.55</f>
        <v>487.75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5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7"/>
      <c r="K31" s="67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3015.4900000000002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3015.4900000000002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4"/>
      <c r="D43" s="94"/>
      <c r="E43" s="94"/>
      <c r="F43" s="94"/>
      <c r="G43" s="94"/>
      <c r="H43" s="94"/>
      <c r="I43" s="94"/>
      <c r="J43" s="94"/>
      <c r="K43" s="9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92" t="s">
        <v>23</v>
      </c>
      <c r="D52" s="92"/>
      <c r="E52" s="92"/>
      <c r="F52" s="8"/>
      <c r="G52" s="92" t="s">
        <v>24</v>
      </c>
      <c r="H52" s="9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>
        <v>3015.49</v>
      </c>
      <c r="I16" s="18">
        <f>K34</f>
        <v>2846.0400000000004</v>
      </c>
      <c r="J16" s="18">
        <f>I16+H16+G16</f>
        <v>5861.5300000000007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1" t="s">
        <v>32</v>
      </c>
      <c r="E20" s="91"/>
      <c r="F20" s="46" t="s">
        <v>123</v>
      </c>
      <c r="G20" s="46"/>
      <c r="H20" s="46"/>
      <c r="I20" s="9"/>
      <c r="J20" s="22">
        <v>0</v>
      </c>
      <c r="K20" s="9">
        <f>H21</f>
        <v>2355.9900000000002</v>
      </c>
    </row>
    <row r="21" spans="3:11" ht="21" x14ac:dyDescent="0.35">
      <c r="C21" s="39"/>
      <c r="D21" s="8"/>
      <c r="E21" s="8"/>
      <c r="F21" s="46">
        <v>1893</v>
      </c>
      <c r="G21" s="46">
        <v>1620</v>
      </c>
      <c r="H21" s="47">
        <f>(F21-G21)*8.63</f>
        <v>2355.9900000000002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273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490.05</v>
      </c>
    </row>
    <row r="25" spans="3:11" ht="21" x14ac:dyDescent="0.35">
      <c r="C25" s="39"/>
      <c r="D25" s="8"/>
      <c r="E25" s="8"/>
      <c r="F25" s="46">
        <v>38</v>
      </c>
      <c r="G25" s="46">
        <v>33</v>
      </c>
      <c r="H25" s="47">
        <f>(F25-G25)*98.01</f>
        <v>490.05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5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4"/>
      <c r="D28" s="74"/>
      <c r="E28" s="74"/>
      <c r="F28" s="8"/>
      <c r="G28" s="8"/>
      <c r="H28" s="8"/>
      <c r="I28" s="9"/>
      <c r="J28" s="22"/>
      <c r="K28" s="9"/>
    </row>
    <row r="29" spans="3:11" ht="21" x14ac:dyDescent="0.35">
      <c r="C29" s="74"/>
      <c r="D29" s="74"/>
      <c r="E29" s="7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4"/>
      <c r="D30" s="74"/>
      <c r="E30" s="74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7"/>
      <c r="K31" s="67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2846.0400000000004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5861.5300000000007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4"/>
      <c r="D43" s="94"/>
      <c r="E43" s="94"/>
      <c r="F43" s="94"/>
      <c r="G43" s="94"/>
      <c r="H43" s="94"/>
      <c r="I43" s="94"/>
      <c r="J43" s="94"/>
      <c r="K43" s="9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92" t="s">
        <v>23</v>
      </c>
      <c r="D52" s="92"/>
      <c r="E52" s="92"/>
      <c r="F52" s="8"/>
      <c r="G52" s="92" t="s">
        <v>24</v>
      </c>
      <c r="H52" s="9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I26" sqref="I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124</v>
      </c>
      <c r="E16" s="50" t="s">
        <v>125</v>
      </c>
      <c r="F16" s="18"/>
      <c r="G16" s="18"/>
      <c r="H16" s="18"/>
      <c r="I16" s="18">
        <f>K34</f>
        <v>3123.7200000000003</v>
      </c>
      <c r="J16" s="18">
        <f>I16+H16+G16</f>
        <v>3123.7200000000003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1" t="s">
        <v>131</v>
      </c>
      <c r="E20" s="101"/>
      <c r="F20" s="46" t="s">
        <v>126</v>
      </c>
      <c r="G20" s="46"/>
      <c r="H20" s="46"/>
      <c r="I20" s="9"/>
      <c r="J20" s="22">
        <v>0</v>
      </c>
      <c r="K20" s="9">
        <f>H21</f>
        <v>1478.64</v>
      </c>
    </row>
    <row r="21" spans="3:11" ht="21" x14ac:dyDescent="0.35">
      <c r="C21" s="39"/>
      <c r="D21" s="8"/>
      <c r="E21" s="8"/>
      <c r="F21" s="46">
        <v>2095</v>
      </c>
      <c r="G21" s="46">
        <v>1893</v>
      </c>
      <c r="H21" s="47">
        <f>(F21-G21)*7.32</f>
        <v>1478.64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202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295.68</v>
      </c>
    </row>
    <row r="25" spans="3:11" ht="21" x14ac:dyDescent="0.35">
      <c r="C25" s="39"/>
      <c r="D25" s="8" t="s">
        <v>133</v>
      </c>
      <c r="E25" s="8"/>
      <c r="F25" s="46">
        <v>41</v>
      </c>
      <c r="G25" s="46">
        <v>38</v>
      </c>
      <c r="H25" s="47">
        <f>(F25-G25)*98.56</f>
        <v>295.68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3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1" t="s">
        <v>134</v>
      </c>
      <c r="E28" s="101"/>
      <c r="F28" s="46" t="s">
        <v>135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4"/>
      <c r="D30" s="74"/>
      <c r="E30" s="74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67"/>
      <c r="K31" s="67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3123.7200000000003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3123.7200000000003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4"/>
      <c r="D43" s="94"/>
      <c r="E43" s="94"/>
      <c r="F43" s="94"/>
      <c r="G43" s="94"/>
      <c r="H43" s="94"/>
      <c r="I43" s="94"/>
      <c r="J43" s="94"/>
      <c r="K43" s="9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92" t="s">
        <v>23</v>
      </c>
      <c r="D52" s="92"/>
      <c r="E52" s="92"/>
      <c r="F52" s="8"/>
      <c r="G52" s="92" t="s">
        <v>24</v>
      </c>
      <c r="H52" s="9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9" zoomScale="85" zoomScaleNormal="85" workbookViewId="0">
      <selection activeCell="N30" sqref="N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f>[1]ASU!$E$12</f>
        <v>1349.3999999999999</v>
      </c>
      <c r="H16" s="18">
        <f>'[2]WTR ELEC'!$E$23+'[2]WTR ELEC'!$L$23</f>
        <v>1774.3200000000002</v>
      </c>
      <c r="I16" s="18">
        <f>K33</f>
        <v>3227.01</v>
      </c>
      <c r="J16" s="18">
        <f>I16+H16+G16</f>
        <v>6350.73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1" t="s">
        <v>141</v>
      </c>
      <c r="E20" s="101"/>
      <c r="F20" s="46" t="s">
        <v>143</v>
      </c>
      <c r="G20" s="46"/>
      <c r="H20" s="46"/>
      <c r="I20" s="9"/>
      <c r="J20" s="22">
        <v>0</v>
      </c>
      <c r="K20" s="9">
        <f>H21</f>
        <v>1387.46</v>
      </c>
    </row>
    <row r="21" spans="3:11" ht="21" x14ac:dyDescent="0.35">
      <c r="C21" s="39"/>
      <c r="D21" s="8"/>
      <c r="E21" s="8"/>
      <c r="F21" s="46">
        <v>2268</v>
      </c>
      <c r="G21" s="46">
        <v>2095</v>
      </c>
      <c r="H21" s="47">
        <f>(F21-G21)*8.02</f>
        <v>1387.46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173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142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 t="s">
        <v>133</v>
      </c>
      <c r="E25" s="8"/>
      <c r="F25" s="46">
        <v>46</v>
      </c>
      <c r="G25" s="46">
        <v>41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5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1" t="s">
        <v>134</v>
      </c>
      <c r="E28" s="101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customHeight="1" x14ac:dyDescent="0.35">
      <c r="C30" s="38"/>
      <c r="D30" s="99"/>
      <c r="E30" s="99"/>
      <c r="F30" s="100"/>
      <c r="G30" s="100"/>
      <c r="H30" s="100"/>
      <c r="I30" s="100"/>
      <c r="J30" s="67"/>
      <c r="K30" s="67"/>
    </row>
    <row r="31" spans="3:11" ht="27" customHeight="1" x14ac:dyDescent="0.35">
      <c r="C31" s="40"/>
      <c r="D31" s="44"/>
      <c r="E31" s="44"/>
      <c r="F31" s="81"/>
      <c r="G31" s="81"/>
      <c r="H31" s="81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</f>
        <v>3227.01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6350.73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8" t="s">
        <v>17</v>
      </c>
      <c r="D38" s="98"/>
      <c r="E38" s="98"/>
      <c r="F38" s="98"/>
      <c r="G38" s="98"/>
      <c r="H38" s="98"/>
      <c r="I38" s="98"/>
      <c r="J38" s="98"/>
      <c r="K38" s="98"/>
      <c r="L38" s="3"/>
    </row>
    <row r="39" spans="2:12" s="8" customFormat="1" ht="21" x14ac:dyDescent="0.35">
      <c r="B39" s="3"/>
      <c r="C39" s="82"/>
      <c r="D39" s="82"/>
      <c r="E39" s="82"/>
      <c r="F39" s="82"/>
      <c r="G39" s="82"/>
      <c r="H39" s="82"/>
      <c r="I39" s="82"/>
      <c r="J39" s="82"/>
      <c r="K39" s="82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4"/>
      <c r="D42" s="94"/>
      <c r="E42" s="94"/>
      <c r="F42" s="94"/>
      <c r="G42" s="94"/>
      <c r="H42" s="94"/>
      <c r="I42" s="94"/>
      <c r="J42" s="94"/>
      <c r="K42" s="94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3" t="s">
        <v>140</v>
      </c>
      <c r="D50" s="93"/>
      <c r="E50" s="93"/>
      <c r="F50" s="8"/>
      <c r="G50" s="93" t="s">
        <v>31</v>
      </c>
      <c r="H50" s="93"/>
      <c r="I50" s="9"/>
      <c r="J50" s="9"/>
      <c r="K50" s="9"/>
    </row>
    <row r="51" spans="3:11" ht="21" x14ac:dyDescent="0.35">
      <c r="C51" s="92" t="s">
        <v>23</v>
      </c>
      <c r="D51" s="92"/>
      <c r="E51" s="92"/>
      <c r="F51" s="8"/>
      <c r="G51" s="92" t="s">
        <v>24</v>
      </c>
      <c r="H51" s="92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0:E30"/>
    <mergeCell ref="F30:I3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="85" zoomScaleNormal="70" zoomScaleSheetLayoutView="85" workbookViewId="0">
      <selection activeCell="Q27" sqref="Q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174.9</v>
      </c>
      <c r="I16" s="18">
        <f>K35</f>
        <v>597.29999999999995</v>
      </c>
      <c r="J16" s="18">
        <f>I16+H16+G16</f>
        <v>772.19999999999993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1" t="s">
        <v>32</v>
      </c>
      <c r="E20" s="91"/>
      <c r="F20" s="46" t="s">
        <v>44</v>
      </c>
      <c r="G20" s="46"/>
      <c r="H20" s="46"/>
      <c r="I20" s="9"/>
      <c r="J20" s="22">
        <v>0</v>
      </c>
      <c r="K20" s="9">
        <f>H21</f>
        <v>17.899999999999999</v>
      </c>
    </row>
    <row r="21" spans="3:11" ht="21" x14ac:dyDescent="0.35">
      <c r="C21" s="39"/>
      <c r="D21" s="8"/>
      <c r="E21" s="8"/>
      <c r="F21" s="46">
        <v>4</v>
      </c>
      <c r="G21" s="46">
        <v>3</v>
      </c>
      <c r="H21" s="47">
        <f>(F21-G21)*17.9</f>
        <v>17.899999999999999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579.4</v>
      </c>
    </row>
    <row r="25" spans="3:11" ht="21" x14ac:dyDescent="0.35">
      <c r="C25" s="39"/>
      <c r="D25" s="8"/>
      <c r="E25" s="8"/>
      <c r="F25" s="46">
        <v>6</v>
      </c>
      <c r="G25" s="46">
        <v>1</v>
      </c>
      <c r="H25" s="47">
        <f>(F25-G25)*115.88</f>
        <v>579.4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597.29999999999995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772.19999999999993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0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3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772.2</v>
      </c>
      <c r="I16" s="18">
        <f>K35</f>
        <v>346.6</v>
      </c>
      <c r="J16" s="18">
        <f>I16+H16+G16</f>
        <v>1118.8000000000002</v>
      </c>
      <c r="K16" s="19"/>
      <c r="M16" s="54" t="s">
        <v>54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1" t="s">
        <v>32</v>
      </c>
      <c r="E20" s="91"/>
      <c r="F20" s="46" t="s">
        <v>49</v>
      </c>
      <c r="G20" s="46"/>
      <c r="H20" s="46"/>
      <c r="I20" s="9"/>
      <c r="J20" s="22">
        <v>0</v>
      </c>
      <c r="K20" s="9">
        <f>H21</f>
        <v>114.24000000000001</v>
      </c>
    </row>
    <row r="21" spans="3:11" ht="21" x14ac:dyDescent="0.35">
      <c r="C21" s="39"/>
      <c r="D21" s="8"/>
      <c r="E21" s="8"/>
      <c r="F21" s="46">
        <v>11</v>
      </c>
      <c r="G21" s="46">
        <v>4</v>
      </c>
      <c r="H21" s="47">
        <f>(F21-G21)*16.32</f>
        <v>114.24000000000001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232.36</v>
      </c>
    </row>
    <row r="25" spans="3:11" ht="21" x14ac:dyDescent="0.35">
      <c r="C25" s="39"/>
      <c r="D25" s="8"/>
      <c r="E25" s="8"/>
      <c r="F25" s="46">
        <v>8</v>
      </c>
      <c r="G25" s="46">
        <v>6</v>
      </c>
      <c r="H25" s="47">
        <f>(F25-G25)*116.18</f>
        <v>232.36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346.6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1118.8000000000002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/>
      <c r="I16" s="18">
        <f>K35</f>
        <v>2268.1800000000003</v>
      </c>
      <c r="J16" s="18">
        <f>I16+H16+G16</f>
        <v>2268.1800000000003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1" t="s">
        <v>32</v>
      </c>
      <c r="E20" s="91"/>
      <c r="F20" s="46" t="s">
        <v>55</v>
      </c>
      <c r="G20" s="46"/>
      <c r="H20" s="46"/>
      <c r="I20" s="9"/>
      <c r="J20" s="22">
        <v>0</v>
      </c>
      <c r="K20" s="9">
        <f>H21</f>
        <v>2036.0800000000002</v>
      </c>
    </row>
    <row r="21" spans="3:11" ht="21" x14ac:dyDescent="0.35">
      <c r="C21" s="39"/>
      <c r="D21" s="8"/>
      <c r="E21" s="8"/>
      <c r="F21" s="46">
        <v>135</v>
      </c>
      <c r="G21" s="46">
        <v>11</v>
      </c>
      <c r="H21" s="47">
        <f>(F21-G21)*16.42</f>
        <v>2036.0800000000002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10</v>
      </c>
      <c r="G25" s="46">
        <v>8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2268.1800000000003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2268.1800000000003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70" zoomScaleNormal="70" workbookViewId="0">
      <selection activeCell="H46" sqref="H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/>
      <c r="I16" s="18">
        <f>K35</f>
        <v>2885.08</v>
      </c>
      <c r="J16" s="18">
        <f>I16+H16+G16</f>
        <v>2885.08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1" t="s">
        <v>32</v>
      </c>
      <c r="E20" s="91"/>
      <c r="F20" s="46" t="s">
        <v>60</v>
      </c>
      <c r="G20" s="46"/>
      <c r="H20" s="46"/>
      <c r="I20" s="9"/>
      <c r="J20" s="22">
        <v>0</v>
      </c>
      <c r="K20" s="9">
        <f>H21</f>
        <v>2885.08</v>
      </c>
    </row>
    <row r="21" spans="3:11" ht="21" x14ac:dyDescent="0.35">
      <c r="C21" s="39"/>
      <c r="D21" s="8"/>
      <c r="E21" s="8"/>
      <c r="F21" s="46">
        <v>301</v>
      </c>
      <c r="G21" s="46">
        <v>135</v>
      </c>
      <c r="H21" s="47">
        <f>(F21-G21)*17.38</f>
        <v>2885.08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2885.08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2885.08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/>
      <c r="I16" s="18">
        <f>K35</f>
        <v>473.76</v>
      </c>
      <c r="J16" s="18">
        <f>I16+H16+G16</f>
        <v>473.76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1" t="s">
        <v>32</v>
      </c>
      <c r="E20" s="91"/>
      <c r="F20" s="46" t="s">
        <v>65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 x14ac:dyDescent="0.35">
      <c r="C21" s="39"/>
      <c r="D21" s="8"/>
      <c r="E21" s="8"/>
      <c r="F21" s="46">
        <v>308</v>
      </c>
      <c r="G21" s="46">
        <v>301</v>
      </c>
      <c r="H21" s="47">
        <f>(F21-G21)*18.06</f>
        <v>126.41999999999999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46" t="s">
        <v>61</v>
      </c>
      <c r="G27" s="46"/>
      <c r="H27" s="46"/>
      <c r="I27" s="9"/>
      <c r="J27" s="22">
        <v>0</v>
      </c>
      <c r="K27" s="9">
        <f>H28</f>
        <v>347.34000000000003</v>
      </c>
    </row>
    <row r="28" spans="3:11" ht="21" x14ac:dyDescent="0.35">
      <c r="C28" s="38"/>
      <c r="D28" s="8"/>
      <c r="E28" s="8"/>
      <c r="F28" s="46">
        <v>13</v>
      </c>
      <c r="G28" s="46">
        <v>10</v>
      </c>
      <c r="H28" s="47">
        <f>(F28-G28)*115.78</f>
        <v>347.34000000000003</v>
      </c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473.76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473.76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M26" sqref="M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2:11" s="1" customFormat="1" ht="31.5" x14ac:dyDescent="0.5">
      <c r="C2" s="11" t="s">
        <v>28</v>
      </c>
      <c r="I2" s="2"/>
      <c r="J2" s="2"/>
      <c r="K2" s="2"/>
    </row>
    <row r="3" spans="2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2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2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2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2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2:11" ht="21" x14ac:dyDescent="0.35">
      <c r="B8" s="3" t="s">
        <v>70</v>
      </c>
      <c r="C8" s="8"/>
      <c r="D8" s="8"/>
      <c r="E8" s="8"/>
      <c r="F8" s="8"/>
      <c r="G8" s="8"/>
      <c r="H8" s="8"/>
      <c r="I8" s="9"/>
      <c r="J8" s="9"/>
      <c r="K8" s="9"/>
    </row>
    <row r="9" spans="2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2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2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2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2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2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2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2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473.76</v>
      </c>
      <c r="I16" s="18">
        <f>K35</f>
        <v>0</v>
      </c>
      <c r="J16" s="18">
        <f>I16+H16+G16</f>
        <v>473.76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1" t="s">
        <v>32</v>
      </c>
      <c r="E20" s="91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308</v>
      </c>
      <c r="G21" s="46">
        <v>308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46"/>
      <c r="G27" s="46"/>
      <c r="H27" s="46"/>
      <c r="I27" s="9"/>
      <c r="J27" s="22">
        <v>0</v>
      </c>
      <c r="K27" s="9">
        <f>H28</f>
        <v>0</v>
      </c>
    </row>
    <row r="28" spans="3:11" ht="21" x14ac:dyDescent="0.35">
      <c r="C28" s="38"/>
      <c r="D28" s="8"/>
      <c r="E28" s="8"/>
      <c r="F28" s="46"/>
      <c r="G28" s="46"/>
      <c r="H28" s="47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473.76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J26" sqref="J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>
        <v>473.76</v>
      </c>
      <c r="I16" s="18">
        <f>K35</f>
        <v>15.83</v>
      </c>
      <c r="J16" s="18">
        <f>I16+H16+G16</f>
        <v>489.59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1" t="s">
        <v>32</v>
      </c>
      <c r="E20" s="91"/>
      <c r="F20" s="46" t="s">
        <v>76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309</v>
      </c>
      <c r="G21" s="46">
        <v>308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46"/>
      <c r="G27" s="46"/>
      <c r="H27" s="46"/>
      <c r="I27" s="9"/>
      <c r="J27" s="22">
        <v>0</v>
      </c>
      <c r="K27" s="9">
        <f>H28</f>
        <v>0</v>
      </c>
    </row>
    <row r="28" spans="3:11" ht="21" x14ac:dyDescent="0.35">
      <c r="C28" s="38"/>
      <c r="D28" s="8"/>
      <c r="E28" s="8"/>
      <c r="F28" s="46"/>
      <c r="G28" s="46"/>
      <c r="H28" s="47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489.59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489.59</v>
      </c>
      <c r="I16" s="18">
        <f>K35</f>
        <v>1928.4299999999998</v>
      </c>
      <c r="J16" s="18">
        <f>I16+H16+G16</f>
        <v>2418.02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1" t="s">
        <v>32</v>
      </c>
      <c r="E20" s="91"/>
      <c r="F20" s="46" t="s">
        <v>81</v>
      </c>
      <c r="G20" s="46"/>
      <c r="H20" s="46"/>
      <c r="I20" s="9"/>
      <c r="J20" s="22">
        <v>0</v>
      </c>
      <c r="K20" s="9">
        <f>H21</f>
        <v>1693.81</v>
      </c>
    </row>
    <row r="21" spans="3:11" ht="21" x14ac:dyDescent="0.35">
      <c r="C21" s="39"/>
      <c r="D21" s="8"/>
      <c r="E21" s="8"/>
      <c r="F21" s="46">
        <v>416</v>
      </c>
      <c r="G21" s="46">
        <v>309</v>
      </c>
      <c r="H21" s="47">
        <f>(F21-G21)*15.83</f>
        <v>1693.81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15</v>
      </c>
      <c r="G25" s="46">
        <v>13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2</v>
      </c>
      <c r="G26" s="96"/>
      <c r="H26" s="45"/>
      <c r="I26" s="9"/>
      <c r="J26" s="9"/>
      <c r="K26" s="9"/>
    </row>
    <row r="27" spans="3:11" ht="21" x14ac:dyDescent="0.35">
      <c r="C27" s="38"/>
      <c r="D27" s="8"/>
      <c r="E27" s="8"/>
      <c r="F27" s="46"/>
      <c r="G27" s="46"/>
      <c r="H27" s="46"/>
      <c r="I27" s="9"/>
      <c r="J27" s="22">
        <v>0</v>
      </c>
      <c r="K27" s="9">
        <f>H28</f>
        <v>0</v>
      </c>
    </row>
    <row r="28" spans="3:11" ht="21" x14ac:dyDescent="0.35">
      <c r="C28" s="38"/>
      <c r="D28" s="8"/>
      <c r="E28" s="8"/>
      <c r="F28" s="46"/>
      <c r="G28" s="46"/>
      <c r="H28" s="47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1928.4299999999998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2418.02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2" t="s">
        <v>17</v>
      </c>
      <c r="D40" s="92"/>
      <c r="E40" s="92"/>
      <c r="F40" s="92"/>
      <c r="G40" s="92"/>
      <c r="H40" s="92"/>
      <c r="I40" s="92"/>
      <c r="J40" s="92"/>
      <c r="K40" s="92"/>
      <c r="L40" s="3"/>
    </row>
    <row r="41" spans="2:12" s="8" customFormat="1" ht="21" x14ac:dyDescent="0.35">
      <c r="B41" s="3"/>
      <c r="C41" s="61" t="s">
        <v>83</v>
      </c>
      <c r="D41" s="61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1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92" t="s">
        <v>23</v>
      </c>
      <c r="D55" s="92"/>
      <c r="E55" s="92"/>
      <c r="F55" s="8"/>
      <c r="G55" s="92" t="s">
        <v>24</v>
      </c>
      <c r="H55" s="9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2020-11-05T04:46:33Z</cp:lastPrinted>
  <dcterms:created xsi:type="dcterms:W3CDTF">2018-02-28T02:33:50Z</dcterms:created>
  <dcterms:modified xsi:type="dcterms:W3CDTF">2020-12-15T07:34:27Z</dcterms:modified>
</cp:coreProperties>
</file>