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  <externalReference r:id="rId19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2020'!$A$1:$K$53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K34" i="17" l="1"/>
  <c r="H16" i="17"/>
  <c r="H25" i="17" l="1"/>
  <c r="H21" i="17"/>
  <c r="G16" i="17" l="1"/>
  <c r="H29" i="17" l="1"/>
  <c r="K29" i="17" s="1"/>
  <c r="K31" i="17" l="1"/>
  <c r="F26" i="17"/>
  <c r="K24" i="17"/>
  <c r="F22" i="17"/>
  <c r="K20" i="17"/>
  <c r="K32" i="17" l="1"/>
  <c r="I16" i="17" s="1"/>
  <c r="J16" i="17" l="1"/>
  <c r="H25" i="16" l="1"/>
  <c r="H21" i="16" l="1"/>
  <c r="K20" i="16" s="1"/>
  <c r="K33" i="16"/>
  <c r="K29" i="16"/>
  <c r="K27" i="16"/>
  <c r="F26" i="16"/>
  <c r="K24" i="16"/>
  <c r="F22" i="16"/>
  <c r="K34" i="16" l="1"/>
  <c r="I16" i="16" s="1"/>
  <c r="J16" i="16" s="1"/>
  <c r="H25" i="15"/>
  <c r="K36" i="16" l="1"/>
  <c r="H21" i="15"/>
  <c r="K20" i="15"/>
  <c r="K33" i="15"/>
  <c r="K29" i="15"/>
  <c r="K27" i="15"/>
  <c r="F26" i="15"/>
  <c r="K24" i="15"/>
  <c r="F22" i="15"/>
  <c r="K34" i="15" l="1"/>
  <c r="I16" i="15" s="1"/>
  <c r="K36" i="15" s="1"/>
  <c r="H25" i="14"/>
  <c r="H21" i="14"/>
  <c r="J16" i="15" l="1"/>
  <c r="K33" i="14"/>
  <c r="K29" i="14"/>
  <c r="K27" i="14"/>
  <c r="F26" i="14"/>
  <c r="K24" i="14"/>
  <c r="F22" i="14"/>
  <c r="K20" i="14"/>
  <c r="K34" i="14" l="1"/>
  <c r="I16" i="14" s="1"/>
  <c r="J16" i="14" s="1"/>
  <c r="H25" i="13"/>
  <c r="K36" i="14" l="1"/>
  <c r="H21" i="13"/>
  <c r="K33" i="13" l="1"/>
  <c r="K29" i="13"/>
  <c r="K27" i="13"/>
  <c r="F26" i="13"/>
  <c r="K24" i="13"/>
  <c r="F22" i="13"/>
  <c r="K20" i="13"/>
  <c r="K31" i="12"/>
  <c r="K34" i="13" l="1"/>
  <c r="I16" i="13" s="1"/>
  <c r="J16" i="13" s="1"/>
  <c r="K36" i="13" l="1"/>
  <c r="H25" i="12"/>
  <c r="K24" i="12" s="1"/>
  <c r="H21" i="12"/>
  <c r="K33" i="12"/>
  <c r="K29" i="12"/>
  <c r="F26" i="12"/>
  <c r="F22" i="12"/>
  <c r="K27" i="12" l="1"/>
  <c r="K20" i="12"/>
  <c r="H21" i="11"/>
  <c r="K33" i="11"/>
  <c r="F26" i="9"/>
  <c r="F22" i="9"/>
  <c r="K35" i="11"/>
  <c r="K34" i="12" l="1"/>
  <c r="I16" i="12" s="1"/>
  <c r="K36" i="12" s="1"/>
  <c r="K30" i="11"/>
  <c r="F26" i="11"/>
  <c r="H25" i="11"/>
  <c r="K24" i="11" s="1"/>
  <c r="F22" i="11"/>
  <c r="K20" i="11"/>
  <c r="J16" i="12" l="1"/>
  <c r="I28" i="11"/>
  <c r="K28" i="11" s="1"/>
  <c r="F26" i="10"/>
  <c r="F22" i="10"/>
  <c r="K36" i="11" l="1"/>
  <c r="I16" i="11" s="1"/>
  <c r="H25" i="10"/>
  <c r="K24" i="10" s="1"/>
  <c r="H21" i="10"/>
  <c r="K35" i="10"/>
  <c r="K33" i="10"/>
  <c r="K30" i="10"/>
  <c r="K20" i="10" l="1"/>
  <c r="I28" i="10"/>
  <c r="K28" i="10" s="1"/>
  <c r="K36" i="10" s="1"/>
  <c r="I16" i="10" s="1"/>
  <c r="K38" i="10" s="1"/>
  <c r="K38" i="11"/>
  <c r="J16" i="11"/>
  <c r="K34" i="9"/>
  <c r="K32" i="9"/>
  <c r="K29" i="9"/>
  <c r="K27" i="9"/>
  <c r="H25" i="9"/>
  <c r="K24" i="9" s="1"/>
  <c r="H21" i="9"/>
  <c r="K20" i="9" s="1"/>
  <c r="J16" i="10" l="1"/>
  <c r="K35" i="9"/>
  <c r="I16" i="9" s="1"/>
  <c r="J16" i="9" s="1"/>
  <c r="H25" i="8"/>
  <c r="K37" i="9" l="1"/>
  <c r="H21" i="8"/>
  <c r="K20" i="8" s="1"/>
  <c r="K34" i="8"/>
  <c r="K32" i="8"/>
  <c r="K29" i="8"/>
  <c r="K27" i="8"/>
  <c r="K24" i="8"/>
  <c r="K35" i="8" l="1"/>
  <c r="I16" i="8" s="1"/>
  <c r="K37" i="8" s="1"/>
  <c r="H21" i="7"/>
  <c r="J16" i="8" l="1"/>
  <c r="H25" i="7"/>
  <c r="K34" i="7" l="1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K37" i="2" s="1"/>
  <c r="J16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<sst xmlns="http://schemas.openxmlformats.org/spreadsheetml/2006/main" count="735" uniqueCount="139">
  <si>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</si>
  <si>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</si>
  <si>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</si>
  <si>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</si>
  <si>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</si>
  <si>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</si>
  <si>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</si>
  <si>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</si>
  <si>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</si>
  <si>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</si>
  <si>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</si>
  <si>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</si>
  <si>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</si>
  <si>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</si>
  <si>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</si>
  <si>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</si>
  <si>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</si>
  <si>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</si>
  <si>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</si>
  <si>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</si>
  <si>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</si>
  <si>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</si>
  <si>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</si>
  <si>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</si>
  <si>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</si>
  <si>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</si>
  <si>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</si>
  <si>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</si>
  <si>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</si>
  <si>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</si>
  <si>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</si>
  <si>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</si>
  <si>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</si>
  <si>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</si>
  <si>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</si>
  <si>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</si>
  <si>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</si>
  <si>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ARVIE TANAY</t>
    </r>
  </si>
  <si>
    <t>UNIT: 11B02</t>
  </si>
  <si>
    <t>PRES: JULY 25 2019 - PREV: MAY 27 2019 * 18.30</t>
  </si>
  <si>
    <t>PRES: JULY 25 2019 - PREV: MAY 27 2019 * 120</t>
  </si>
  <si>
    <t>BILLING MONTH: AUGUST 2019</t>
  </si>
  <si>
    <t>SEPT 5 2019</t>
  </si>
  <si>
    <t>PRES: AUG 25 2019 - PREV: JULY 26 2019 * 17.90</t>
  </si>
  <si>
    <t>PRES: AUG 25 2019 - PREV: JULY 26 2019 * 115.88</t>
  </si>
  <si>
    <t>SEPT 15 2019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</si>
  <si>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</si>
  <si>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</si>
  <si>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</si>
  <si>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</si>
  <si>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</si>
  <si>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</si>
  <si>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</si>
  <si>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</si>
  <si>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</si>
  <si>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</si>
  <si>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</si>
  <si>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</si>
  <si>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</si>
  <si>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</si>
  <si>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</si>
  <si>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</si>
  <si>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</si>
  <si>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</si>
  <si>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</si>
  <si>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</si>
  <si>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</si>
  <si>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</si>
  <si>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</si>
  <si>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</si>
  <si>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</si>
  <si>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</si>
  <si>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</si>
  <si>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</si>
  <si>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</si>
  <si>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</si>
  <si>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</si>
  <si>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</si>
  <si>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</si>
  <si>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</si>
  <si>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</si>
  <si>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</si>
  <si>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</si>
  <si>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</si>
  <si>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</si>
  <si>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</si>
  <si>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</si>
  <si>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</si>
  <si>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</si>
  <si>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</si>
  <si>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</si>
  <si>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</si>
  <si>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</si>
  <si>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</si>
  <si>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</si>
  <si>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</si>
  <si>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</si>
  <si>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</si>
  <si>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r>
      <t xml:space="preserve">ELECTRICITY:
MAR 2020 - 50 kWh x 10.98 = 549 + 20% (AC) = 658.80 - 791.50 (billing Mar2020) = </t>
    </r>
    <r>
      <rPr>
        <b/>
        <u/>
        <sz val="14"/>
        <color rgb="FFFF0000"/>
        <rFont val="Calibri"/>
        <family val="2"/>
        <scheme val="minor"/>
      </rPr>
      <t>132.70</t>
    </r>
    <r>
      <rPr>
        <b/>
        <sz val="14"/>
        <color rgb="FFFF0000"/>
        <rFont val="Calibri"/>
        <family val="2"/>
        <scheme val="minor"/>
      </rPr>
      <t xml:space="preserve">
APR 2020 - 40 kWh x 9.79 = 391.60 + 20% (AC) = 469.92 - 527.04 (billing Apr2020) = </t>
    </r>
    <r>
      <rPr>
        <b/>
        <u/>
        <sz val="14"/>
        <color rgb="FFFF0000"/>
        <rFont val="Calibri"/>
        <family val="2"/>
        <scheme val="minor"/>
      </rPr>
      <t>57.12</t>
    </r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</si>
  <si>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</si>
  <si>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</si>
  <si>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</si>
  <si>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</si>
  <si>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</si>
  <si>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</si>
  <si>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AUG 5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</si>
  <si>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</si>
  <si>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</si>
  <si>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</si>
  <si>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</si>
  <si>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2020 - 2 cubic x 95.58 = 191.16 + 20% (AC) = 229.39 - 234.62 (billing May2020) = </t>
    </r>
    <r>
      <rPr>
        <b/>
        <u/>
        <sz val="14"/>
        <color rgb="FFFF0000"/>
        <rFont val="Calibri"/>
        <family val="2"/>
        <scheme val="minor"/>
      </rPr>
      <t>5.23</t>
    </r>
  </si>
  <si>
    <t>BILLING MONTH: JULY 2020</t>
  </si>
  <si>
    <t>AUG 15 2020</t>
  </si>
  <si>
    <t>PRES: JUL 25 2020 - PREV: JUN 26 2020 * 8.99</t>
  </si>
  <si>
    <t>PRES: JUL 25 2020 - PREV: JUN 26 2020 * 96.72</t>
  </si>
  <si>
    <t>PRES: AUG 25 2020 - PREV: JUL 26 2020 * 9.06</t>
  </si>
  <si>
    <t>PRES: AUG 25 2020 - PREV: JUL 26 2020 * 97.55</t>
  </si>
  <si>
    <t>BILLING MONTH: AUGUST 2020</t>
  </si>
  <si>
    <t>SEPT 5 2020</t>
  </si>
  <si>
    <t>SEPT 15 2020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</si>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</sst>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425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98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1B02%20-%20TAN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1B02%20-%20T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Sheet1"/>
      <sheetName val="ASU"/>
    </sheetNames>
    <sheetDataSet>
      <sheetData sheetId="0" refreshError="1"/>
      <sheetData sheetId="1"/>
      <sheetData sheetId="2">
        <row r="12">
          <cell r="E12">
            <v>6747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  <sheetName val="Sheet1"/>
    </sheetNames>
    <sheetDataSet>
      <sheetData sheetId="0">
        <row r="23">
          <cell r="E23">
            <v>98.56</v>
          </cell>
          <cell r="L23">
            <v>650.46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zoomScale="70" zoomScaleNormal="80" zoomScaleSheetLayoutView="7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449.40000000000003</v>
      </c>
      <c r="J16" s="18">
        <f>I16+H16+G16</f>
        <v>449.40000000000003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89" t="s">
        <v>32</v>
      </c>
      <c r="E20" s="89"/>
      <c r="F20" s="46" t="s">
        <v>39</v>
      </c>
      <c r="G20" s="46"/>
      <c r="H20" s="46"/>
      <c r="I20" s="9"/>
      <c r="J20" s="22">
        <v>0</v>
      </c>
      <c r="K20" s="9">
        <f>H21</f>
        <v>329.40000000000003</v>
      </c>
    </row>
    <row r="21" spans="3:11" ht="21" x14ac:dyDescent="0.35">
      <c r="C21" s="39"/>
      <c r="D21" s="8"/>
      <c r="E21" s="8"/>
      <c r="F21" s="46">
        <v>18</v>
      </c>
      <c r="G21" s="46">
        <v>0</v>
      </c>
      <c r="H21" s="47">
        <f>(F21-G21)*18.3</f>
        <v>329.40000000000003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449.40000000000003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449.40000000000003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L62"/>
  <sheetViews>
    <sheetView topLeftCell="C18" zoomScale="115" zoomScaleNormal="11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85</v>
      </c>
      <c r="E16" s="50" t="s">
        <v>86</v>
      </c>
      <c r="F16" s="18"/>
      <c r="G16" s="18"/>
      <c r="H16" s="18">
        <v>5739.52</v>
      </c>
      <c r="I16" s="18">
        <f>K36</f>
        <v>644.35200000000009</v>
      </c>
      <c r="J16" s="18">
        <f>I16+H16+G16</f>
        <v>6383.8720000000003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87</v>
      </c>
      <c r="G20" s="46"/>
      <c r="H20" s="46"/>
      <c r="I20" s="9"/>
      <c r="J20" s="22">
        <v>0</v>
      </c>
      <c r="K20" s="9">
        <f>H21</f>
        <v>439.20000000000005</v>
      </c>
    </row>
    <row r="21" spans="3:11" ht="21" x14ac:dyDescent="0.35">
      <c r="C21" s="39"/>
      <c r="D21" s="8"/>
      <c r="E21" s="8"/>
      <c r="F21" s="46">
        <v>302</v>
      </c>
      <c r="G21" s="46">
        <v>262</v>
      </c>
      <c r="H21" s="47">
        <f>(F21-G21)*10.98</f>
        <v>439.20000000000005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40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107.39200000000001</v>
      </c>
      <c r="J28" s="22">
        <v>0</v>
      </c>
      <c r="K28" s="9">
        <f>I28</f>
        <v>107.39200000000001</v>
      </c>
    </row>
    <row r="29" spans="3:11" ht="21" x14ac:dyDescent="0.35">
      <c r="C29" s="95" t="s">
        <v>92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644.35200000000009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6383.8720000000003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61" t="s">
        <v>81</v>
      </c>
      <c r="D42" s="61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90" t="s">
        <v>23</v>
      </c>
      <c r="D57" s="90"/>
      <c r="E57" s="90"/>
      <c r="F57" s="8"/>
      <c r="G57" s="90" t="s">
        <v>24</v>
      </c>
      <c r="H57" s="9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L63"/>
  <sheetViews>
    <sheetView topLeftCell="A16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100</v>
      </c>
      <c r="E16" s="50" t="s">
        <v>101</v>
      </c>
      <c r="F16" s="18"/>
      <c r="G16" s="18"/>
      <c r="H16" s="18">
        <v>6383.87</v>
      </c>
      <c r="I16" s="18">
        <f>K36</f>
        <v>373.74799999999999</v>
      </c>
      <c r="J16" s="18">
        <f>I16+H16+G16</f>
        <v>6757.6179999999995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102</v>
      </c>
      <c r="G20" s="46"/>
      <c r="H20" s="46"/>
      <c r="I20" s="9"/>
      <c r="J20" s="22">
        <v>0</v>
      </c>
      <c r="K20" s="9">
        <f>H21</f>
        <v>274.12</v>
      </c>
    </row>
    <row r="21" spans="3:11" ht="21" x14ac:dyDescent="0.35">
      <c r="C21" s="39"/>
      <c r="D21" s="8"/>
      <c r="E21" s="8"/>
      <c r="F21" s="46">
        <v>330</v>
      </c>
      <c r="G21" s="46">
        <v>302</v>
      </c>
      <c r="H21" s="47">
        <f>(F21-G21)*9.79</f>
        <v>274.12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28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14</v>
      </c>
      <c r="G25" s="46">
        <v>12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2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93.927999999999997</v>
      </c>
      <c r="J28" s="22">
        <v>0</v>
      </c>
      <c r="K28" s="9">
        <f>I28</f>
        <v>93.927999999999997</v>
      </c>
    </row>
    <row r="29" spans="3:11" ht="21" customHeight="1" x14ac:dyDescent="0.35">
      <c r="C29" s="95" t="s">
        <v>93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7" t="s">
        <v>94</v>
      </c>
      <c r="E33" s="97"/>
      <c r="F33" s="98" t="s">
        <v>98</v>
      </c>
      <c r="G33" s="98"/>
      <c r="H33" s="98"/>
      <c r="I33" s="98"/>
      <c r="J33" s="69">
        <v>0</v>
      </c>
      <c r="K33" s="69">
        <f>(132.7+57.12)</f>
        <v>189.82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373.74799999999999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6757.6179999999995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70" t="s">
        <v>81</v>
      </c>
      <c r="D43" s="61" t="s">
        <v>95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96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97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90" t="s">
        <v>23</v>
      </c>
      <c r="D58" s="90"/>
      <c r="E58" s="90"/>
      <c r="F58" s="8"/>
      <c r="G58" s="90" t="s">
        <v>24</v>
      </c>
      <c r="H58" s="9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L58"/>
  <sheetViews>
    <sheetView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>
        <v>6757.62</v>
      </c>
      <c r="I16" s="18">
        <f>K34</f>
        <v>338.23999999999995</v>
      </c>
      <c r="J16" s="18">
        <f>I16+H16+G16</f>
        <v>7095.86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108</v>
      </c>
      <c r="G20" s="46"/>
      <c r="H20" s="46"/>
      <c r="I20" s="9"/>
      <c r="J20" s="22">
        <v>0</v>
      </c>
      <c r="K20" s="9">
        <f>H21</f>
        <v>250.11999999999998</v>
      </c>
    </row>
    <row r="21" spans="3:11" ht="21" x14ac:dyDescent="0.35">
      <c r="C21" s="39"/>
      <c r="D21" s="8"/>
      <c r="E21" s="8"/>
      <c r="F21" s="46">
        <v>356</v>
      </c>
      <c r="G21" s="46">
        <v>330</v>
      </c>
      <c r="H21" s="47">
        <f>(F21-G21)*9.62</f>
        <v>250.11999999999998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26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15</v>
      </c>
      <c r="G25" s="46">
        <v>14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3"/>
      <c r="G30" s="83"/>
      <c r="H30" s="83"/>
      <c r="I30" s="9"/>
      <c r="J30" s="9"/>
      <c r="K30" s="9"/>
    </row>
    <row r="31" spans="3:11" ht="135" customHeight="1" x14ac:dyDescent="0.35">
      <c r="C31" s="38"/>
      <c r="D31" s="97" t="s">
        <v>94</v>
      </c>
      <c r="E31" s="97"/>
      <c r="F31" s="98" t="s">
        <v>110</v>
      </c>
      <c r="G31" s="98"/>
      <c r="H31" s="98"/>
      <c r="I31" s="98"/>
      <c r="J31" s="69">
        <v>0</v>
      </c>
      <c r="K31" s="69">
        <f>(1.01+1.86+5.23)</f>
        <v>8.1000000000000014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338.23999999999995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7095.86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90" t="s">
        <v>23</v>
      </c>
      <c r="D53" s="90"/>
      <c r="E53" s="90"/>
      <c r="F53" s="8"/>
      <c r="G53" s="90" t="s">
        <v>24</v>
      </c>
      <c r="H53" s="9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L58"/>
  <sheetViews>
    <sheetView topLeftCell="A7" zoomScale="70" zoomScaleNormal="70" workbookViewId="0">
      <selection activeCell="P12" sqref="P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112</v>
      </c>
      <c r="F16" s="18"/>
      <c r="G16" s="18"/>
      <c r="H16" s="18">
        <v>7095.86</v>
      </c>
      <c r="I16" s="18">
        <f>K34</f>
        <v>249.55</v>
      </c>
      <c r="J16" s="18">
        <f>I16+H16+G16</f>
        <v>7345.41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113</v>
      </c>
      <c r="G20" s="46"/>
      <c r="H20" s="46"/>
      <c r="I20" s="9"/>
      <c r="J20" s="22">
        <v>0</v>
      </c>
      <c r="K20" s="9">
        <f>H21</f>
        <v>152.83000000000001</v>
      </c>
    </row>
    <row r="21" spans="3:11" ht="21" x14ac:dyDescent="0.35">
      <c r="C21" s="39"/>
      <c r="D21" s="8"/>
      <c r="E21" s="8"/>
      <c r="F21" s="46">
        <v>373</v>
      </c>
      <c r="G21" s="46">
        <v>356</v>
      </c>
      <c r="H21" s="47">
        <f>(F21-G21)*8.99</f>
        <v>152.83000000000001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17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16</v>
      </c>
      <c r="G25" s="46">
        <v>15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249.55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7345.41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90" t="s">
        <v>23</v>
      </c>
      <c r="D53" s="90"/>
      <c r="E53" s="90"/>
      <c r="F53" s="8"/>
      <c r="G53" s="90" t="s">
        <v>24</v>
      </c>
      <c r="H53" s="9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L58"/>
  <sheetViews>
    <sheetView zoomScale="70" zoomScaleNormal="70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118</v>
      </c>
      <c r="E16" s="50" t="s">
        <v>119</v>
      </c>
      <c r="F16" s="18"/>
      <c r="G16" s="18"/>
      <c r="H16" s="18">
        <v>7345.41</v>
      </c>
      <c r="I16" s="18">
        <f>K34</f>
        <v>9.06</v>
      </c>
      <c r="J16" s="18">
        <f>I16+H16+G16</f>
        <v>7354.47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115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374</v>
      </c>
      <c r="G21" s="46">
        <v>373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1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16</v>
      </c>
      <c r="G25" s="46">
        <v>16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9.06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7354.47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90" t="s">
        <v>23</v>
      </c>
      <c r="D53" s="90"/>
      <c r="E53" s="90"/>
      <c r="F53" s="8"/>
      <c r="G53" s="90" t="s">
        <v>24</v>
      </c>
      <c r="H53" s="9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L58"/>
  <sheetViews>
    <sheetView zoomScale="70" zoomScaleNormal="70" workbookViewId="0">
      <selection activeCell="N16" sqref="N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>
        <v>7354.47</v>
      </c>
      <c r="I16" s="18">
        <f>K34</f>
        <v>98.07</v>
      </c>
      <c r="J16" s="18">
        <f>I16+H16+G16</f>
        <v>7452.54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374</v>
      </c>
      <c r="G21" s="46">
        <v>374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17</v>
      </c>
      <c r="G25" s="46">
        <v>16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98.07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7452.54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90" t="s">
        <v>23</v>
      </c>
      <c r="D53" s="90"/>
      <c r="E53" s="90"/>
      <c r="F53" s="8"/>
      <c r="G53" s="90" t="s">
        <v>24</v>
      </c>
      <c r="H53" s="9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70" zoomScaleNormal="70" workbookViewId="0">
      <selection activeCell="I50" sqref="I5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/>
      <c r="H16" s="18">
        <v>7452.54</v>
      </c>
      <c r="I16" s="18">
        <f>K34</f>
        <v>98.56</v>
      </c>
      <c r="J16" s="18">
        <f>I16+H16+G16</f>
        <v>7551.1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9" t="s">
        <v>32</v>
      </c>
      <c r="E20" s="89"/>
      <c r="F20" s="46" t="s">
        <v>128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374</v>
      </c>
      <c r="G21" s="46">
        <v>374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98.56</v>
      </c>
    </row>
    <row r="25" spans="3:11" ht="21" x14ac:dyDescent="0.35">
      <c r="C25" s="39"/>
      <c r="D25" s="8"/>
      <c r="E25" s="8"/>
      <c r="F25" s="46">
        <v>18</v>
      </c>
      <c r="G25" s="46">
        <v>17</v>
      </c>
      <c r="H25" s="47">
        <f>(F25-G25)*98.56</f>
        <v>98.56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9"/>
      <c r="K31" s="69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98.56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7551.1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90" t="s">
        <v>23</v>
      </c>
      <c r="D53" s="90"/>
      <c r="E53" s="90"/>
      <c r="F53" s="8"/>
      <c r="G53" s="90" t="s">
        <v>24</v>
      </c>
      <c r="H53" s="9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3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131</v>
      </c>
      <c r="E16" s="50" t="s">
        <v>132</v>
      </c>
      <c r="F16" s="18"/>
      <c r="G16" s="18">
        <f>[1]ASU!$E$12</f>
        <v>6747</v>
      </c>
      <c r="H16" s="18">
        <f>'[2]WTR ELEC'!$E$23+'[2]WTR ELEC'!$L$23</f>
        <v>749.02</v>
      </c>
      <c r="I16" s="18">
        <f>K32</f>
        <v>1349.3999999999999</v>
      </c>
      <c r="J16" s="18">
        <f>I16+H16+G16</f>
        <v>8845.42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99" t="s">
        <v>32</v>
      </c>
      <c r="E20" s="99"/>
      <c r="F20" s="46" t="s">
        <v>137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374</v>
      </c>
      <c r="G21" s="46">
        <v>374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94" t="s">
        <v>90</v>
      </c>
      <c r="E22" s="94"/>
      <c r="F22" s="93">
        <f>F21-G21</f>
        <v>0</v>
      </c>
      <c r="G22" s="93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138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18</v>
      </c>
      <c r="G25" s="46">
        <v>18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94" t="s">
        <v>91</v>
      </c>
      <c r="E26" s="94"/>
      <c r="F26" s="93">
        <f>F25-G25</f>
        <v>0</v>
      </c>
      <c r="G26" s="93"/>
      <c r="H26" s="45"/>
      <c r="I26" s="9"/>
      <c r="J26" s="9"/>
      <c r="K26" s="9"/>
    </row>
    <row r="27" spans="2:11" ht="21" x14ac:dyDescent="0.35">
      <c r="C27" s="39"/>
      <c r="D27" s="81"/>
      <c r="E27" s="81"/>
      <c r="F27" s="80"/>
      <c r="G27" s="80"/>
      <c r="H27" s="45"/>
      <c r="I27" s="9"/>
      <c r="J27" s="9"/>
      <c r="K27" s="9"/>
    </row>
    <row r="28" spans="2:11" ht="21" customHeight="1" x14ac:dyDescent="0.35">
      <c r="C28" s="38">
        <v>44170</v>
      </c>
      <c r="D28" s="99" t="s">
        <v>133</v>
      </c>
      <c r="E28" s="99"/>
      <c r="F28" s="46" t="s">
        <v>134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40"/>
      <c r="D30" s="44"/>
      <c r="E30" s="44"/>
      <c r="F30" s="78"/>
      <c r="G30" s="78"/>
      <c r="H30" s="78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K20+K24+K29+K31</f>
        <v>1349.3999999999999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8845.42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6" t="s">
        <v>17</v>
      </c>
      <c r="D37" s="96"/>
      <c r="E37" s="96"/>
      <c r="F37" s="96"/>
      <c r="G37" s="96"/>
      <c r="H37" s="96"/>
      <c r="I37" s="96"/>
      <c r="J37" s="96"/>
      <c r="K37" s="96"/>
      <c r="L37" s="3"/>
    </row>
    <row r="38" spans="2:12" s="8" customFormat="1" ht="21" x14ac:dyDescent="0.35">
      <c r="B38" s="3"/>
      <c r="C38" s="79"/>
      <c r="D38" s="79"/>
      <c r="E38" s="79"/>
      <c r="F38" s="79"/>
      <c r="G38" s="79"/>
      <c r="H38" s="79"/>
      <c r="I38" s="79"/>
      <c r="J38" s="79"/>
      <c r="K38" s="79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2"/>
      <c r="D41" s="92"/>
      <c r="E41" s="92"/>
      <c r="F41" s="92"/>
      <c r="G41" s="92"/>
      <c r="H41" s="92"/>
      <c r="I41" s="92"/>
      <c r="J41" s="92"/>
      <c r="K41" s="92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1" t="s">
        <v>136</v>
      </c>
      <c r="D50" s="91"/>
      <c r="E50" s="91"/>
      <c r="F50" s="8"/>
      <c r="G50" s="91" t="s">
        <v>31</v>
      </c>
      <c r="H50" s="91"/>
      <c r="I50" s="9"/>
      <c r="J50" s="9"/>
      <c r="K50" s="9"/>
    </row>
    <row r="51" spans="3:11" ht="21" x14ac:dyDescent="0.35">
      <c r="C51" s="90" t="s">
        <v>23</v>
      </c>
      <c r="D51" s="90"/>
      <c r="E51" s="90"/>
      <c r="F51" s="8"/>
      <c r="G51" s="90" t="s">
        <v>24</v>
      </c>
      <c r="H51" s="90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W60"/>
  <sheetViews>
    <sheetView view="pageBreakPreview" zoomScale="70" zoomScaleNormal="70" zoomScaleSheetLayoutView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23" s="1" customFormat="1" ht="31.5" x14ac:dyDescent="0.5">
      <c r="C2" s="11" t="s">
        <v>28</v>
      </c>
      <c r="I2" s="2"/>
      <c r="J2" s="2"/>
      <c r="K2" s="2"/>
    </row>
    <row r="3" spans="3:23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23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2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2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23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2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2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2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23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2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2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23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2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23" s="5" customFormat="1" ht="21.75" thickBot="1" x14ac:dyDescent="0.3">
      <c r="C16" s="17"/>
      <c r="D16" s="50" t="s">
        <v>42</v>
      </c>
      <c r="E16" s="50" t="s">
        <v>45</v>
      </c>
      <c r="F16" s="18"/>
      <c r="G16" s="18"/>
      <c r="H16" s="18">
        <v>449.4</v>
      </c>
      <c r="I16" s="18">
        <f>K35</f>
        <v>688.68</v>
      </c>
      <c r="J16" s="18">
        <f>I16+H16+G16</f>
        <v>1138.08</v>
      </c>
      <c r="K16" s="19"/>
      <c r="V16" s="3"/>
      <c r="W16" s="3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9" t="s">
        <v>32</v>
      </c>
      <c r="E20" s="89"/>
      <c r="F20" s="46" t="s">
        <v>43</v>
      </c>
      <c r="G20" s="46"/>
      <c r="H20" s="46"/>
      <c r="I20" s="9"/>
      <c r="J20" s="22">
        <v>0</v>
      </c>
      <c r="K20" s="9">
        <f>H21</f>
        <v>572.79999999999995</v>
      </c>
    </row>
    <row r="21" spans="3:11" ht="21" x14ac:dyDescent="0.35">
      <c r="C21" s="39"/>
      <c r="D21" s="8"/>
      <c r="E21" s="8"/>
      <c r="F21" s="46">
        <v>50</v>
      </c>
      <c r="G21" s="46">
        <v>18</v>
      </c>
      <c r="H21" s="47">
        <f>(F21-G21)*17.9</f>
        <v>572.79999999999995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44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688.68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1138.08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zoomScale="85" zoomScaleNormal="85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1138.08</v>
      </c>
      <c r="I16" s="18">
        <f>K35</f>
        <v>640.36</v>
      </c>
      <c r="J16" s="18">
        <f>I16+H16+G16</f>
        <v>1778.44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408</v>
      </c>
    </row>
    <row r="21" spans="3:11" ht="21" x14ac:dyDescent="0.35">
      <c r="C21" s="39"/>
      <c r="D21" s="8"/>
      <c r="E21" s="8"/>
      <c r="F21" s="46">
        <v>75</v>
      </c>
      <c r="G21" s="46">
        <v>50</v>
      </c>
      <c r="H21" s="47">
        <f>(F21-G21)*16.32</f>
        <v>408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232.36</v>
      </c>
    </row>
    <row r="25" spans="3:11" ht="21" x14ac:dyDescent="0.35">
      <c r="C25" s="39"/>
      <c r="D25" s="8"/>
      <c r="E25" s="8"/>
      <c r="F25" s="46">
        <v>4</v>
      </c>
      <c r="G25" s="46">
        <v>2</v>
      </c>
      <c r="H25" s="47">
        <f>(F25-G25)*116.18</f>
        <v>232.36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640.36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1778.44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6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1778.44</v>
      </c>
      <c r="I16" s="18">
        <f>K35</f>
        <v>526.55000000000007</v>
      </c>
      <c r="J16" s="18">
        <f>I16+H16+G16</f>
        <v>2304.9900000000002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54</v>
      </c>
      <c r="G20" s="46"/>
      <c r="H20" s="46"/>
      <c r="I20" s="9"/>
      <c r="J20" s="22">
        <v>0</v>
      </c>
      <c r="K20" s="9">
        <f>H21</f>
        <v>410.50000000000006</v>
      </c>
    </row>
    <row r="21" spans="3:11" ht="21" x14ac:dyDescent="0.35">
      <c r="C21" s="39"/>
      <c r="D21" s="8"/>
      <c r="E21" s="8"/>
      <c r="F21" s="46">
        <v>100</v>
      </c>
      <c r="G21" s="46">
        <v>75</v>
      </c>
      <c r="H21" s="47">
        <f>(F21-G21)*16.42</f>
        <v>410.50000000000006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526.55000000000007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2304.9900000000002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57</v>
      </c>
      <c r="E16" s="50" t="s">
        <v>58</v>
      </c>
      <c r="F16" s="18"/>
      <c r="G16" s="18"/>
      <c r="H16" s="18">
        <v>2304.9899999999998</v>
      </c>
      <c r="I16" s="18">
        <f>K35</f>
        <v>2148.98</v>
      </c>
      <c r="J16" s="18">
        <f>I16+H16+G16</f>
        <v>4453.9699999999993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59</v>
      </c>
      <c r="G20" s="46"/>
      <c r="H20" s="46"/>
      <c r="I20" s="9"/>
      <c r="J20" s="22">
        <v>0</v>
      </c>
      <c r="K20" s="9">
        <f>H21</f>
        <v>1685.86</v>
      </c>
    </row>
    <row r="21" spans="3:11" ht="21" x14ac:dyDescent="0.35">
      <c r="C21" s="39"/>
      <c r="D21" s="8"/>
      <c r="E21" s="8"/>
      <c r="F21" s="46">
        <v>197</v>
      </c>
      <c r="G21" s="46">
        <v>100</v>
      </c>
      <c r="H21" s="47">
        <f>(F21-G21)*17.38</f>
        <v>1685.86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463.12</v>
      </c>
    </row>
    <row r="25" spans="3:11" ht="21" x14ac:dyDescent="0.35">
      <c r="C25" s="39"/>
      <c r="D25" s="8"/>
      <c r="E25" s="8"/>
      <c r="F25" s="46">
        <v>9</v>
      </c>
      <c r="G25" s="46">
        <v>5</v>
      </c>
      <c r="H25" s="47">
        <f>(F25-G25)*115.78</f>
        <v>463.12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2148.98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4453.9699999999993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5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63</v>
      </c>
      <c r="F16" s="18"/>
      <c r="G16" s="18"/>
      <c r="H16" s="18">
        <v>4453.97</v>
      </c>
      <c r="I16" s="18">
        <f>K35</f>
        <v>0</v>
      </c>
      <c r="J16" s="18">
        <f>I16+H16+G16</f>
        <v>4453.97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64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197</v>
      </c>
      <c r="G21" s="46">
        <v>197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4453.97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67</v>
      </c>
      <c r="E16" s="50" t="s">
        <v>68</v>
      </c>
      <c r="F16" s="18"/>
      <c r="G16" s="18"/>
      <c r="H16" s="18">
        <v>4453.97</v>
      </c>
      <c r="I16" s="18">
        <f>K35</f>
        <v>243.59999999999997</v>
      </c>
      <c r="J16" s="18">
        <f>I16+H16+G16</f>
        <v>4697.5700000000006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70</v>
      </c>
      <c r="G20" s="46"/>
      <c r="H20" s="46"/>
      <c r="I20" s="9"/>
      <c r="J20" s="22">
        <v>0</v>
      </c>
      <c r="K20" s="9">
        <f>H21</f>
        <v>243.59999999999997</v>
      </c>
    </row>
    <row r="21" spans="3:11" ht="21" x14ac:dyDescent="0.35">
      <c r="C21" s="39"/>
      <c r="D21" s="8"/>
      <c r="E21" s="8"/>
      <c r="F21" s="46">
        <v>211</v>
      </c>
      <c r="G21" s="46">
        <v>197</v>
      </c>
      <c r="H21" s="47">
        <f>(F21-G21)*17.4</f>
        <v>243.59999999999997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243.59999999999997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4697.5700000000006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0"/>
  <sheetViews>
    <sheetView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72</v>
      </c>
      <c r="E16" s="50" t="s">
        <v>73</v>
      </c>
      <c r="F16" s="18"/>
      <c r="G16" s="18"/>
      <c r="H16" s="18">
        <v>4697.57</v>
      </c>
      <c r="I16" s="18">
        <f>K35</f>
        <v>133.14000000000001</v>
      </c>
      <c r="J16" s="18">
        <f>I16+H16+G16</f>
        <v>4830.71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74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212</v>
      </c>
      <c r="G21" s="46">
        <v>211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10</v>
      </c>
      <c r="G25" s="46">
        <v>9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4830.71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77</v>
      </c>
      <c r="E16" s="50" t="s">
        <v>78</v>
      </c>
      <c r="F16" s="18"/>
      <c r="G16" s="18"/>
      <c r="H16" s="18">
        <v>4830.71</v>
      </c>
      <c r="I16" s="18">
        <f>K35</f>
        <v>908.81</v>
      </c>
      <c r="J16" s="18">
        <f>I16+H16+G16</f>
        <v>5739.52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79</v>
      </c>
      <c r="G20" s="46"/>
      <c r="H20" s="46"/>
      <c r="I20" s="9"/>
      <c r="J20" s="22">
        <v>0</v>
      </c>
      <c r="K20" s="9">
        <f>H21</f>
        <v>791.5</v>
      </c>
    </row>
    <row r="21" spans="3:11" ht="21" x14ac:dyDescent="0.35">
      <c r="C21" s="39"/>
      <c r="D21" s="8"/>
      <c r="E21" s="8"/>
      <c r="F21" s="46">
        <v>262</v>
      </c>
      <c r="G21" s="46">
        <v>212</v>
      </c>
      <c r="H21" s="47">
        <f>(F21-G21)*15.83</f>
        <v>791.5</v>
      </c>
      <c r="I21" s="9"/>
      <c r="J21" s="9"/>
      <c r="K21" s="9"/>
    </row>
    <row r="22" spans="3:11" ht="21" x14ac:dyDescent="0.35">
      <c r="C22" s="39"/>
      <c r="D22" s="94" t="s">
        <v>90</v>
      </c>
      <c r="E22" s="94"/>
      <c r="F22" s="93">
        <f>F21-G21</f>
        <v>50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4" t="s">
        <v>91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908.81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5739.52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  <c r="L40" s="3"/>
    </row>
    <row r="41" spans="2:12" s="8" customFormat="1" ht="21" x14ac:dyDescent="0.35">
      <c r="B41" s="3"/>
      <c r="C41" s="60" t="s">
        <v>81</v>
      </c>
      <c r="D41" s="60" t="s">
        <v>82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90" t="s">
        <v>23</v>
      </c>
      <c r="D55" s="90"/>
      <c r="E55" s="90"/>
      <c r="F55" s="8"/>
      <c r="G55" s="90" t="s">
        <v>24</v>
      </c>
      <c r="H55" s="9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2020-09-05T02:05:38Z</cp:lastPrinted>
  <dcterms:created xsi:type="dcterms:W3CDTF">2018-02-28T02:33:50Z</dcterms:created>
  <dcterms:modified xsi:type="dcterms:W3CDTF">2020-12-15T07:43:45Z</dcterms:modified>
</cp:coreProperties>
</file>