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8" activeTab="14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 2020" sheetId="11" r:id="rId10"/>
    <sheet name="JUL 2020" sheetId="12" r:id="rId11"/>
    <sheet name="AUG 2020" sheetId="13" r:id="rId12"/>
    <sheet name="SEPT 2020" sheetId="14" r:id="rId13"/>
    <sheet name="OCT 2020" sheetId="15" r:id="rId14"/>
    <sheet name="NOV 2020" sheetId="16" r:id="rId15"/>
  </sheets>
  <definedNames>
    <definedName name="_xlnm.Print_Area" localSheetId="7">'APR 2020'!$A$1:$K$59</definedName>
    <definedName name="_xlnm.Print_Area" localSheetId="11">'AUG 2020'!$A$1:$K$55</definedName>
    <definedName name="_xlnm.Print_Area" localSheetId="5">'FEB 2020'!$A$1:$K$57</definedName>
    <definedName name="_xlnm.Print_Area" localSheetId="10">'JUL 2020'!$A$1:$K$55</definedName>
    <definedName name="_xlnm.Print_Area" localSheetId="9">'JUN 2020'!$A$1:$K$54</definedName>
    <definedName name="_xlnm.Print_Area" localSheetId="6">'MAR 2020'!$A$1:$K$57</definedName>
    <definedName name="_xlnm.Print_Area" localSheetId="8">'MAY 2020'!$A$1:$K$59</definedName>
    <definedName name="_xlnm.Print_Area" localSheetId="14">'NOV 2020'!$A$1:$K$55</definedName>
    <definedName name="_xlnm.Print_Area" localSheetId="13">'OCT 2020'!$A$1:$K$55</definedName>
    <definedName name="_xlnm.Print_Area" localSheetId="12">'SEPT 2020'!$A$1:$K$55</definedName>
  </definedNames>
  <calcPr calcId="152511"/>
</workbook>
</file>

<file path=xl/calcChain.xml><?xml version="1.0" encoding="utf-8"?>
<calcChain xmlns="http://schemas.openxmlformats.org/spreadsheetml/2006/main">
  <c r="K34" i="16" l="1"/>
  <c r="K36" i="16"/>
  <c r="H25" i="16"/>
  <c r="H21" i="16"/>
  <c r="K33" i="16" l="1"/>
  <c r="H29" i="16"/>
  <c r="K29" i="16" s="1"/>
  <c r="F26" i="16"/>
  <c r="K24" i="16"/>
  <c r="F22" i="16"/>
  <c r="K20" i="16"/>
  <c r="I16" i="16" l="1"/>
  <c r="J16" i="16" s="1"/>
  <c r="K29" i="15"/>
  <c r="H29" i="15"/>
  <c r="H25" i="15" l="1"/>
  <c r="H21" i="15" l="1"/>
  <c r="K20" i="15" s="1"/>
  <c r="K33" i="15"/>
  <c r="F26" i="15"/>
  <c r="K24" i="15"/>
  <c r="F22" i="15"/>
  <c r="K34" i="15" l="1"/>
  <c r="I16" i="15"/>
  <c r="J16" i="15" s="1"/>
  <c r="H25" i="14"/>
  <c r="K36" i="15" l="1"/>
  <c r="H21" i="14"/>
  <c r="K20" i="14" s="1"/>
  <c r="K33" i="14"/>
  <c r="K29" i="14"/>
  <c r="K27" i="14"/>
  <c r="F26" i="14"/>
  <c r="K24" i="14"/>
  <c r="F22" i="14"/>
  <c r="K34" i="14" l="1"/>
  <c r="I16" i="14" s="1"/>
  <c r="K36" i="14" s="1"/>
  <c r="H25" i="13"/>
  <c r="H21" i="13"/>
  <c r="J16" i="14" l="1"/>
  <c r="K33" i="13"/>
  <c r="K29" i="13"/>
  <c r="K27" i="13"/>
  <c r="F26" i="13"/>
  <c r="K24" i="13"/>
  <c r="F22" i="13"/>
  <c r="K20" i="13"/>
  <c r="K34" i="13" l="1"/>
  <c r="I16" i="13" s="1"/>
  <c r="J16" i="13" s="1"/>
  <c r="H25" i="12"/>
  <c r="K36" i="13" l="1"/>
  <c r="H21" i="12"/>
  <c r="K33" i="12" l="1"/>
  <c r="K29" i="12"/>
  <c r="K27" i="12"/>
  <c r="F26" i="12"/>
  <c r="K24" i="12"/>
  <c r="F22" i="12"/>
  <c r="K20" i="12"/>
  <c r="K34" i="12" l="1"/>
  <c r="I16" i="12" s="1"/>
  <c r="J16" i="12" s="1"/>
  <c r="K31" i="11"/>
  <c r="K36" i="12" l="1"/>
  <c r="F26" i="8"/>
  <c r="K33" i="11" l="1"/>
  <c r="H25" i="11"/>
  <c r="K24" i="11" s="1"/>
  <c r="H21" i="11"/>
  <c r="K20" i="11" s="1"/>
  <c r="K29" i="11"/>
  <c r="F26" i="11"/>
  <c r="F22" i="11"/>
  <c r="K34" i="11" l="1"/>
  <c r="K27" i="11"/>
  <c r="K33" i="10"/>
  <c r="I16" i="11" l="1"/>
  <c r="J16" i="11" s="1"/>
  <c r="H21" i="10"/>
  <c r="K20" i="10" s="1"/>
  <c r="K35" i="10"/>
  <c r="K30" i="10"/>
  <c r="F26" i="10"/>
  <c r="H25" i="10"/>
  <c r="K24" i="10"/>
  <c r="F22" i="10"/>
  <c r="K36" i="11" l="1"/>
  <c r="I28" i="10"/>
  <c r="K28" i="10" s="1"/>
  <c r="F26" i="9"/>
  <c r="F22" i="9"/>
  <c r="K36" i="10" l="1"/>
  <c r="I16" i="10" s="1"/>
  <c r="H21" i="9"/>
  <c r="H25" i="9"/>
  <c r="I28" i="9" l="1"/>
  <c r="K38" i="10"/>
  <c r="J16" i="10"/>
  <c r="K35" i="9"/>
  <c r="K33" i="9"/>
  <c r="K30" i="9"/>
  <c r="K28" i="9"/>
  <c r="K24" i="9"/>
  <c r="K20" i="9"/>
  <c r="K36" i="9" l="1"/>
  <c r="I16" i="9" s="1"/>
  <c r="K38" i="9" s="1"/>
  <c r="K34" i="8"/>
  <c r="K32" i="8"/>
  <c r="K29" i="8"/>
  <c r="K27" i="8"/>
  <c r="H25" i="8"/>
  <c r="K24" i="8" s="1"/>
  <c r="H21" i="8"/>
  <c r="K20" i="8" s="1"/>
  <c r="J16" i="9" l="1"/>
  <c r="K35" i="8"/>
  <c r="I16" i="8" s="1"/>
  <c r="K37" i="8" s="1"/>
  <c r="H25" i="7"/>
  <c r="J16" i="8" l="1"/>
  <c r="H21" i="7"/>
  <c r="K20" i="7" s="1"/>
  <c r="K34" i="7"/>
  <c r="K32" i="7"/>
  <c r="K29" i="7"/>
  <c r="K27" i="7"/>
  <c r="K24" i="7"/>
  <c r="K35" i="7" l="1"/>
  <c r="I16" i="7" s="1"/>
  <c r="J16" i="7" s="1"/>
  <c r="H21" i="6"/>
  <c r="K37" i="7" l="1"/>
  <c r="H25" i="6"/>
  <c r="K34" i="6" l="1"/>
  <c r="K32" i="6"/>
  <c r="K29" i="6"/>
  <c r="K27" i="6"/>
  <c r="K24" i="6"/>
  <c r="K20" i="6"/>
  <c r="K35" i="6" l="1"/>
  <c r="I16" i="6" s="1"/>
  <c r="K37" i="6" s="1"/>
  <c r="H25" i="5"/>
  <c r="J16" i="6" l="1"/>
  <c r="H21" i="5"/>
  <c r="K34" i="5" l="1"/>
  <c r="K32" i="5"/>
  <c r="K29" i="5"/>
  <c r="K27" i="5"/>
  <c r="K24" i="5"/>
  <c r="K20" i="5"/>
  <c r="K35" i="5" l="1"/>
  <c r="I16" i="5" s="1"/>
  <c r="K37" i="5" s="1"/>
  <c r="H25" i="4"/>
  <c r="H21" i="4"/>
  <c r="J16" i="5" l="1"/>
  <c r="K34" i="4"/>
  <c r="K32" i="4"/>
  <c r="K29" i="4"/>
  <c r="K27" i="4"/>
  <c r="K24" i="4"/>
  <c r="K20" i="4"/>
  <c r="K35" i="4" l="1"/>
  <c r="I16" i="4" s="1"/>
  <c r="K37" i="4" s="1"/>
  <c r="H25" i="3"/>
  <c r="J16" i="4" l="1"/>
  <c r="H21" i="3"/>
  <c r="K34" i="3" l="1"/>
  <c r="K32" i="3"/>
  <c r="K29" i="3"/>
  <c r="K27" i="3"/>
  <c r="K24" i="3"/>
  <c r="K20" i="3"/>
  <c r="K35" i="3" l="1"/>
  <c r="I16" i="3" s="1"/>
  <c r="K37" i="3" s="1"/>
  <c r="H25" i="2"/>
  <c r="J16" i="3" l="1"/>
  <c r="H21" i="2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<sst xmlns="http://schemas.openxmlformats.org/spreadsheetml/2006/main" count="652" uniqueCount="133">
  <si>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</si>
  <si>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</si>
  <si>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</si>
  <si>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</si>
  <si>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</si>
  <si>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</si>
  <si>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</si>
  <si>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</si>
  <si>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</si>
  <si>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</si>
  <si>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</si>
  <si>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</si>
  <si>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</si>
  <si>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</si>
  <si>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</si>
  <si>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</si>
  <si>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</si>
  <si>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</si>
  <si>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</si>
  <si>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</si>
  <si>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</si>
  <si>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</si>
  <si>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</si>
  <si>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</si>
  <si>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</si>
  <si>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</si>
  <si>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</si>
  <si>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</si>
  <si>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</si>
  <si>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</si>
  <si>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</si>
  <si>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</si>
  <si>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</si>
  <si>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</si>
  <si>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</si>
  <si>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</si>
  <si>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</si>
  <si>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MARI JINA ANDAYA</t>
    </r>
  </si>
  <si>
    <t>PRES: SEPT 25 2019 - PREV: SEPT 12 2019 * 16.32</t>
  </si>
  <si>
    <t>PRES: SEPT 25 2019 - PREV: SEPT 12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</si>
  <si>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</si>
  <si>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</si>
  <si>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</si>
  <si>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</si>
  <si>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</si>
  <si>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UNIT: 12B01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</si>
  <si>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</si>
  <si>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</si>
  <si>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</si>
  <si>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</si>
  <si>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</si>
  <si>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</si>
  <si>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</si>
  <si>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</si>
  <si>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</si>
  <si>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</si>
  <si>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</si>
  <si>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</si>
  <si>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</si>
  <si>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2019 - PREV: DEC 26 2019 * 116.17</t>
  </si>
  <si>
    <t>PRES: JAN 25 2019 -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</si>
  <si>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</si>
  <si>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</si>
  <si>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</si>
  <si>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</si>
  <si>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</si>
  <si>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</si>
  <si>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</si>
  <si>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</si>
  <si>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</si>
  <si>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</si>
  <si>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</si>
  <si>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</si>
  <si>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</si>
  <si>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</si>
  <si>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</si>
  <si>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</si>
  <si>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</si>
  <si>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</si>
  <si>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</si>
  <si>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</si>
  <si>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</si>
  <si>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</si>
  <si>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</si>
  <si>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</si>
  <si>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</si>
  <si>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</si>
  <si>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</si>
  <si>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</si>
  <si>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</si>
  <si>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</si>
  <si>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t>* SECURITY
* JANITORIAL SERVICES
* PMS (BUILDING EQUIPMENTS)
* TECHNICAL SERVICES</t>
  </si>
  <si>
    <r>
      <t xml:space="preserve">ELECTRICITY:
MAR 2020 - 105 kWh x 10.98 = 1,152.90 + 20% (AC) = 1,383.48 - 1,662.15 (billing Mar2020) = </t>
    </r>
    <r>
      <rPr>
        <b/>
        <u/>
        <sz val="14"/>
        <color rgb="FFFF0000"/>
        <rFont val="Calibri"/>
        <family val="2"/>
        <scheme val="minor"/>
      </rPr>
      <t>278.67</t>
    </r>
    <r>
      <rPr>
        <b/>
        <sz val="14"/>
        <color rgb="FFFF0000"/>
        <rFont val="Calibri"/>
        <family val="2"/>
        <scheme val="minor"/>
      </rPr>
      <t xml:space="preserve">
APR 2020 - 172 kWh x 9.79 = 1,683.88 + 20% (AC) = 2020.66 - 2,266.27 (billing Apr2020) = </t>
    </r>
    <r>
      <rPr>
        <b/>
        <u/>
        <sz val="14"/>
        <color rgb="FFFF0000"/>
        <rFont val="Calibri"/>
        <family val="2"/>
        <scheme val="minor"/>
      </rPr>
      <t>245.61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</si>
  <si>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</si>
  <si>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</si>
  <si>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</si>
  <si>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</si>
  <si>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</si>
  <si>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2020 - 2 cubic x 96.92 = 193.84 + 20% (AC) = 232.61 - 234.64 (billing Mar2020) = </t>
    </r>
    <r>
      <rPr>
        <b/>
        <u/>
        <sz val="14"/>
        <color rgb="FFFF0000"/>
        <rFont val="Calibri"/>
        <family val="2"/>
        <scheme val="minor"/>
      </rPr>
      <t>2.01</t>
    </r>
    <r>
      <rPr>
        <b/>
        <sz val="14"/>
        <color rgb="FFFF0000"/>
        <rFont val="Calibri"/>
        <family val="2"/>
        <scheme val="minor"/>
      </rPr>
      <t xml:space="preserve">
APR 2020 - 3 cubic x 96.21 = 288.63 + 20% (AC) = 346.36 - 351.94 (billing Apr2020) = </t>
    </r>
    <r>
      <rPr>
        <b/>
        <u/>
        <sz val="14"/>
        <color rgb="FFFF0000"/>
        <rFont val="Calibri"/>
        <family val="2"/>
        <scheme val="minor"/>
      </rPr>
      <t xml:space="preserve">5.58
</t>
    </r>
    <r>
      <rPr>
        <b/>
        <sz val="14"/>
        <color rgb="FFFF0000"/>
        <rFont val="Calibri"/>
        <family val="2"/>
        <scheme val="minor"/>
      </rPr>
      <t xml:space="preserve">MAY 2020 - 4 cubic x 95.58 = 95.58 + 20% (AC) = 458.78 - 469.25 (billing May2020) = </t>
    </r>
    <r>
      <rPr>
        <b/>
        <u/>
        <sz val="14"/>
        <color rgb="FFFF0000"/>
        <rFont val="Calibri"/>
        <family val="2"/>
        <scheme val="minor"/>
      </rPr>
      <t>10.47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</si>
  <si>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</si>
  <si>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</si>
  <si>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</si>
  <si>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</si>
  <si>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</si>
  <si>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</si>
  <si>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</si>
  <si>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</si>
  <si>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</si>
  <si>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</si>
  <si>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</si>
  <si>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</si>
  <si>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</si>
  <si>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</si>
  <si>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</si>
  <si>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</si>
  <si>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</si>
  <si>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</si>
  <si>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</si>
  <si>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</si>
  <si>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</si>
  <si>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</si>
  <si>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</si>
  <si>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</si>
  <si>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</si>
  <si>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</si>
  <si>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</si>
  <si>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</si>
  <si>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</si>
  <si>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</si>
  <si>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ELECTRICITY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</si>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</sst>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3" fillId="3" borderId="0" xfId="1" applyFont="1" applyFill="1"/>
    <xf numFmtId="0" fontId="5" fillId="0" borderId="0" xfId="0" applyFont="1" applyAlignment="1">
      <alignment horizontal="left" vertical="center" wrapText="1"/>
    </xf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/>
    <xf numFmtId="0" fontId="5" fillId="0" borderId="0" xfId="0" applyFont="1" applyBorder="1"/>
    <xf numFmtId="14" fontId="12" fillId="0" borderId="0" xfId="0" applyNumberFormat="1" applyFont="1" applyBorder="1"/>
    <xf numFmtId="164" fontId="10" fillId="0" borderId="0" xfId="1" applyFont="1"/>
    <xf numFmtId="164" fontId="14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64" fontId="18" fillId="0" borderId="0" xfId="1" applyFont="1"/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2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2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2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4705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8494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zoomScale="70" zoomScaleNormal="55" zoomScaleSheetLayoutView="70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37</v>
      </c>
      <c r="D7" s="28"/>
      <c r="E7" s="29"/>
      <c r="F7" s="28"/>
      <c r="G7" s="28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9" t="s">
        <v>45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29" t="s">
        <v>34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35</v>
      </c>
      <c r="E16" s="48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43595</v>
      </c>
      <c r="D20" s="87" t="s">
        <v>32</v>
      </c>
      <c r="E20" s="87"/>
      <c r="F20" s="45" t="s">
        <v>38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2079</v>
      </c>
      <c r="G21" s="45">
        <v>2079</v>
      </c>
      <c r="H21" s="46">
        <f>(F21-G21)*16.32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43595</v>
      </c>
      <c r="D24" s="8" t="s">
        <v>15</v>
      </c>
      <c r="E24" s="8"/>
      <c r="F24" s="45" t="s">
        <v>39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(F25-G25)*116.18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N16" sqref="N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37</v>
      </c>
      <c r="D7" s="28"/>
      <c r="E7" s="29"/>
      <c r="F7" s="28"/>
      <c r="G7" s="28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9" t="s">
        <v>45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29" t="s">
        <v>93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94</v>
      </c>
      <c r="E16" s="48" t="s">
        <v>95</v>
      </c>
      <c r="F16" s="18"/>
      <c r="G16" s="18"/>
      <c r="H16" s="18"/>
      <c r="I16" s="18">
        <f>K34</f>
        <v>2271.58</v>
      </c>
      <c r="J16" s="18">
        <f>I16+H16+G16</f>
        <v>2271.58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7" t="s">
        <v>32</v>
      </c>
      <c r="E20" s="87"/>
      <c r="F20" s="45" t="s">
        <v>96</v>
      </c>
      <c r="G20" s="45"/>
      <c r="H20" s="45"/>
      <c r="I20" s="9"/>
      <c r="J20" s="22">
        <v>0</v>
      </c>
      <c r="K20" s="9">
        <f>H21</f>
        <v>1904.7599999999998</v>
      </c>
    </row>
    <row r="21" spans="3:11" ht="21" x14ac:dyDescent="0.35">
      <c r="C21" s="38"/>
      <c r="D21" s="8"/>
      <c r="E21" s="8"/>
      <c r="F21" s="45">
        <v>2941</v>
      </c>
      <c r="G21" s="45">
        <v>2743</v>
      </c>
      <c r="H21" s="46">
        <f>(F21-G21)*9.62</f>
        <v>1904.7599999999998</v>
      </c>
      <c r="I21" s="9"/>
      <c r="J21" s="9"/>
      <c r="K21" s="9"/>
    </row>
    <row r="22" spans="3:11" ht="21" x14ac:dyDescent="0.35">
      <c r="C22" s="38"/>
      <c r="D22" s="92" t="s">
        <v>80</v>
      </c>
      <c r="E22" s="92"/>
      <c r="F22" s="93">
        <f>F21-G21</f>
        <v>198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97</v>
      </c>
      <c r="G24" s="45"/>
      <c r="H24" s="45"/>
      <c r="I24" s="9"/>
      <c r="J24" s="22">
        <v>0</v>
      </c>
      <c r="K24" s="9">
        <f>H25</f>
        <v>384.88</v>
      </c>
    </row>
    <row r="25" spans="3:11" ht="21" x14ac:dyDescent="0.35">
      <c r="C25" s="38"/>
      <c r="D25" s="8"/>
      <c r="E25" s="8"/>
      <c r="F25" s="45">
        <v>20</v>
      </c>
      <c r="G25" s="45">
        <v>16</v>
      </c>
      <c r="H25" s="46">
        <f>(F25-G25)*96.22</f>
        <v>384.88</v>
      </c>
      <c r="I25" s="9"/>
      <c r="J25" s="9"/>
      <c r="K25" s="9"/>
    </row>
    <row r="26" spans="3:11" ht="21" x14ac:dyDescent="0.35">
      <c r="C26" s="38"/>
      <c r="D26" s="92" t="s">
        <v>81</v>
      </c>
      <c r="E26" s="92"/>
      <c r="F26" s="93">
        <f>F25-G25</f>
        <v>4</v>
      </c>
      <c r="G26" s="9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9"/>
      <c r="G30" s="89"/>
      <c r="H30" s="89"/>
      <c r="I30" s="9"/>
      <c r="J30" s="9"/>
      <c r="K30" s="9"/>
    </row>
    <row r="31" spans="3:11" ht="135" customHeight="1" x14ac:dyDescent="0.35">
      <c r="C31" s="37"/>
      <c r="D31" s="96" t="s">
        <v>90</v>
      </c>
      <c r="E31" s="96"/>
      <c r="F31" s="97" t="s">
        <v>98</v>
      </c>
      <c r="G31" s="97"/>
      <c r="H31" s="97"/>
      <c r="I31" s="97"/>
      <c r="J31" s="66">
        <v>0</v>
      </c>
      <c r="K31" s="66">
        <f>2.01+5.58+10.47</f>
        <v>18.060000000000002</v>
      </c>
    </row>
    <row r="32" spans="3:11" ht="27" customHeight="1" x14ac:dyDescent="0.35">
      <c r="C32" s="39"/>
      <c r="D32" s="43"/>
      <c r="E32" s="43"/>
      <c r="F32" s="68"/>
      <c r="G32" s="68"/>
      <c r="H32" s="68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2271.58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2271.58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5" t="s">
        <v>17</v>
      </c>
      <c r="D39" s="95"/>
      <c r="E39" s="95"/>
      <c r="F39" s="95"/>
      <c r="G39" s="95"/>
      <c r="H39" s="95"/>
      <c r="I39" s="95"/>
      <c r="J39" s="95"/>
      <c r="K39" s="95"/>
      <c r="L39" s="3"/>
    </row>
    <row r="40" spans="2:12" s="8" customFormat="1" ht="21" x14ac:dyDescent="0.35">
      <c r="B40" s="3"/>
      <c r="C40" s="67"/>
      <c r="D40" s="67"/>
      <c r="E40" s="67"/>
      <c r="F40" s="67"/>
      <c r="G40" s="67"/>
      <c r="H40" s="67"/>
      <c r="I40" s="67"/>
      <c r="J40" s="67"/>
      <c r="K40" s="67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0"/>
      <c r="D42" s="90"/>
      <c r="E42" s="90"/>
      <c r="F42" s="90"/>
      <c r="G42" s="90"/>
      <c r="H42" s="90"/>
      <c r="I42" s="90"/>
      <c r="J42" s="90"/>
      <c r="K42" s="90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1"/>
      <c r="J43" s="41"/>
      <c r="K43" s="41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1" t="s">
        <v>33</v>
      </c>
      <c r="D51" s="91"/>
      <c r="E51" s="91"/>
      <c r="F51" s="8"/>
      <c r="G51" s="91" t="s">
        <v>31</v>
      </c>
      <c r="H51" s="91"/>
      <c r="I51" s="9"/>
      <c r="J51" s="9"/>
      <c r="K51" s="9"/>
    </row>
    <row r="52" spans="3:11" ht="21" x14ac:dyDescent="0.35">
      <c r="C52" s="81" t="s">
        <v>23</v>
      </c>
      <c r="D52" s="81"/>
      <c r="E52" s="81"/>
      <c r="F52" s="8"/>
      <c r="G52" s="81" t="s">
        <v>24</v>
      </c>
      <c r="H52" s="81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2:K42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zoomScale="85" zoomScaleNormal="85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37</v>
      </c>
      <c r="D7" s="28"/>
      <c r="E7" s="29"/>
      <c r="F7" s="28"/>
      <c r="G7" s="28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9" t="s">
        <v>45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29" t="s">
        <v>99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100</v>
      </c>
      <c r="E16" s="48" t="s">
        <v>101</v>
      </c>
      <c r="F16" s="18"/>
      <c r="G16" s="18"/>
      <c r="H16" s="18"/>
      <c r="I16" s="18">
        <f>K34</f>
        <v>2016.2399999999998</v>
      </c>
      <c r="J16" s="18">
        <f>I16+H16+G16</f>
        <v>2016.2399999999998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7" t="s">
        <v>32</v>
      </c>
      <c r="E20" s="87"/>
      <c r="F20" s="45" t="s">
        <v>102</v>
      </c>
      <c r="G20" s="45"/>
      <c r="H20" s="45"/>
      <c r="I20" s="9"/>
      <c r="J20" s="22">
        <v>0</v>
      </c>
      <c r="K20" s="9">
        <f>H21</f>
        <v>1726.08</v>
      </c>
    </row>
    <row r="21" spans="3:11" ht="21" x14ac:dyDescent="0.35">
      <c r="C21" s="38"/>
      <c r="D21" s="8"/>
      <c r="E21" s="8"/>
      <c r="F21" s="45">
        <v>3133</v>
      </c>
      <c r="G21" s="45">
        <v>2941</v>
      </c>
      <c r="H21" s="46">
        <f>(F21-G21)*8.99</f>
        <v>1726.08</v>
      </c>
      <c r="I21" s="9"/>
      <c r="J21" s="9"/>
      <c r="K21" s="9"/>
    </row>
    <row r="22" spans="3:11" ht="21" x14ac:dyDescent="0.35">
      <c r="C22" s="38"/>
      <c r="D22" s="92" t="s">
        <v>80</v>
      </c>
      <c r="E22" s="92"/>
      <c r="F22" s="93">
        <f>F21-G21</f>
        <v>192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103</v>
      </c>
      <c r="G24" s="45"/>
      <c r="H24" s="45"/>
      <c r="I24" s="9"/>
      <c r="J24" s="22">
        <v>0</v>
      </c>
      <c r="K24" s="9">
        <f>H25</f>
        <v>290.15999999999997</v>
      </c>
    </row>
    <row r="25" spans="3:11" ht="21" x14ac:dyDescent="0.35">
      <c r="C25" s="38"/>
      <c r="D25" s="8"/>
      <c r="E25" s="8"/>
      <c r="F25" s="45">
        <v>23</v>
      </c>
      <c r="G25" s="45">
        <v>20</v>
      </c>
      <c r="H25" s="46">
        <f>(F25-G25)*96.72</f>
        <v>290.15999999999997</v>
      </c>
      <c r="I25" s="9"/>
      <c r="J25" s="9"/>
      <c r="K25" s="9"/>
    </row>
    <row r="26" spans="3:11" ht="21" x14ac:dyDescent="0.35">
      <c r="C26" s="38"/>
      <c r="D26" s="92" t="s">
        <v>81</v>
      </c>
      <c r="E26" s="92"/>
      <c r="F26" s="93">
        <f>F25-G25</f>
        <v>3</v>
      </c>
      <c r="G26" s="9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9"/>
      <c r="G30" s="89"/>
      <c r="H30" s="89"/>
      <c r="I30" s="9"/>
      <c r="J30" s="9"/>
      <c r="K30" s="9"/>
    </row>
    <row r="31" spans="3:11" ht="21" customHeight="1" x14ac:dyDescent="0.35">
      <c r="C31" s="37"/>
      <c r="D31" s="96"/>
      <c r="E31" s="96"/>
      <c r="F31" s="97"/>
      <c r="G31" s="97"/>
      <c r="H31" s="97"/>
      <c r="I31" s="97"/>
      <c r="J31" s="66"/>
      <c r="K31" s="66"/>
    </row>
    <row r="32" spans="3:11" ht="27" customHeight="1" x14ac:dyDescent="0.35">
      <c r="C32" s="39"/>
      <c r="D32" s="43"/>
      <c r="E32" s="43"/>
      <c r="F32" s="71"/>
      <c r="G32" s="71"/>
      <c r="H32" s="71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2016.2399999999998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2016.2399999999998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5" t="s">
        <v>17</v>
      </c>
      <c r="D39" s="95"/>
      <c r="E39" s="95"/>
      <c r="F39" s="95"/>
      <c r="G39" s="95"/>
      <c r="H39" s="95"/>
      <c r="I39" s="95"/>
      <c r="J39" s="95"/>
      <c r="K39" s="95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1" t="s">
        <v>33</v>
      </c>
      <c r="D52" s="91"/>
      <c r="E52" s="91"/>
      <c r="F52" s="8"/>
      <c r="G52" s="91" t="s">
        <v>31</v>
      </c>
      <c r="H52" s="91"/>
      <c r="I52" s="9"/>
      <c r="J52" s="9"/>
      <c r="K52" s="9"/>
    </row>
    <row r="53" spans="3:11" ht="21" x14ac:dyDescent="0.35">
      <c r="C53" s="81" t="s">
        <v>23</v>
      </c>
      <c r="D53" s="81"/>
      <c r="E53" s="81"/>
      <c r="F53" s="8"/>
      <c r="G53" s="81" t="s">
        <v>24</v>
      </c>
      <c r="H53" s="8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37</v>
      </c>
      <c r="D7" s="28"/>
      <c r="E7" s="29"/>
      <c r="F7" s="28"/>
      <c r="G7" s="28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9" t="s">
        <v>45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29" t="s">
        <v>104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105</v>
      </c>
      <c r="E16" s="48" t="s">
        <v>106</v>
      </c>
      <c r="F16" s="18"/>
      <c r="G16" s="18"/>
      <c r="H16" s="18"/>
      <c r="I16" s="18">
        <f>K34</f>
        <v>1651.65</v>
      </c>
      <c r="J16" s="18">
        <f>I16+H16+G16</f>
        <v>1651.65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7" t="s">
        <v>32</v>
      </c>
      <c r="E20" s="87"/>
      <c r="F20" s="45" t="s">
        <v>107</v>
      </c>
      <c r="G20" s="45"/>
      <c r="H20" s="45"/>
      <c r="I20" s="9"/>
      <c r="J20" s="22">
        <v>0</v>
      </c>
      <c r="K20" s="9">
        <f>H21</f>
        <v>1359</v>
      </c>
    </row>
    <row r="21" spans="3:11" ht="21" x14ac:dyDescent="0.35">
      <c r="C21" s="38"/>
      <c r="D21" s="8"/>
      <c r="E21" s="8"/>
      <c r="F21" s="45">
        <v>3283</v>
      </c>
      <c r="G21" s="45">
        <v>3133</v>
      </c>
      <c r="H21" s="46">
        <f>(F21-G21)*9.06</f>
        <v>1359</v>
      </c>
      <c r="I21" s="9"/>
      <c r="J21" s="9"/>
      <c r="K21" s="9"/>
    </row>
    <row r="22" spans="3:11" ht="21" x14ac:dyDescent="0.35">
      <c r="C22" s="38"/>
      <c r="D22" s="92" t="s">
        <v>80</v>
      </c>
      <c r="E22" s="92"/>
      <c r="F22" s="93">
        <f>F21-G21</f>
        <v>150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108</v>
      </c>
      <c r="G24" s="45"/>
      <c r="H24" s="45"/>
      <c r="I24" s="9"/>
      <c r="J24" s="22">
        <v>0</v>
      </c>
      <c r="K24" s="9">
        <f>H25</f>
        <v>292.64999999999998</v>
      </c>
    </row>
    <row r="25" spans="3:11" ht="21" x14ac:dyDescent="0.35">
      <c r="C25" s="38"/>
      <c r="D25" s="8"/>
      <c r="E25" s="8"/>
      <c r="F25" s="45">
        <v>26</v>
      </c>
      <c r="G25" s="45">
        <v>23</v>
      </c>
      <c r="H25" s="46">
        <f>(F25-G25)*97.55</f>
        <v>292.64999999999998</v>
      </c>
      <c r="I25" s="9"/>
      <c r="J25" s="9"/>
      <c r="K25" s="9"/>
    </row>
    <row r="26" spans="3:11" ht="21" x14ac:dyDescent="0.35">
      <c r="C26" s="38"/>
      <c r="D26" s="92" t="s">
        <v>81</v>
      </c>
      <c r="E26" s="92"/>
      <c r="F26" s="93">
        <f>F25-G25</f>
        <v>3</v>
      </c>
      <c r="G26" s="9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9"/>
      <c r="G30" s="89"/>
      <c r="H30" s="89"/>
      <c r="I30" s="9"/>
      <c r="J30" s="9"/>
      <c r="K30" s="9"/>
    </row>
    <row r="31" spans="3:11" ht="21" customHeight="1" x14ac:dyDescent="0.35">
      <c r="C31" s="37"/>
      <c r="D31" s="96"/>
      <c r="E31" s="96"/>
      <c r="F31" s="97"/>
      <c r="G31" s="97"/>
      <c r="H31" s="97"/>
      <c r="I31" s="97"/>
      <c r="J31" s="66"/>
      <c r="K31" s="66"/>
    </row>
    <row r="32" spans="3:11" ht="27" customHeight="1" x14ac:dyDescent="0.35">
      <c r="C32" s="39"/>
      <c r="D32" s="43"/>
      <c r="E32" s="43"/>
      <c r="F32" s="73"/>
      <c r="G32" s="73"/>
      <c r="H32" s="73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1651.65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1651.65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5" t="s">
        <v>17</v>
      </c>
      <c r="D39" s="95"/>
      <c r="E39" s="95"/>
      <c r="F39" s="95"/>
      <c r="G39" s="95"/>
      <c r="H39" s="95"/>
      <c r="I39" s="95"/>
      <c r="J39" s="95"/>
      <c r="K39" s="95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1" t="s">
        <v>33</v>
      </c>
      <c r="D52" s="91"/>
      <c r="E52" s="91"/>
      <c r="F52" s="8"/>
      <c r="G52" s="91" t="s">
        <v>31</v>
      </c>
      <c r="H52" s="91"/>
      <c r="I52" s="9"/>
      <c r="J52" s="9"/>
      <c r="K52" s="9"/>
    </row>
    <row r="53" spans="3:11" ht="21" x14ac:dyDescent="0.35">
      <c r="C53" s="81" t="s">
        <v>23</v>
      </c>
      <c r="D53" s="81"/>
      <c r="E53" s="81"/>
      <c r="F53" s="8"/>
      <c r="G53" s="81" t="s">
        <v>24</v>
      </c>
      <c r="H53" s="8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O6" sqref="O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37</v>
      </c>
      <c r="D7" s="28"/>
      <c r="E7" s="29"/>
      <c r="F7" s="28"/>
      <c r="G7" s="28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9" t="s">
        <v>45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29" t="s">
        <v>109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110</v>
      </c>
      <c r="E16" s="48" t="s">
        <v>111</v>
      </c>
      <c r="F16" s="18"/>
      <c r="G16" s="18"/>
      <c r="H16" s="18"/>
      <c r="I16" s="18">
        <f>K34</f>
        <v>1873.5000000000002</v>
      </c>
      <c r="J16" s="18">
        <f>I16+H16+G16</f>
        <v>1873.5000000000002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7" t="s">
        <v>32</v>
      </c>
      <c r="E20" s="87"/>
      <c r="F20" s="45" t="s">
        <v>112</v>
      </c>
      <c r="G20" s="45"/>
      <c r="H20" s="45"/>
      <c r="I20" s="9"/>
      <c r="J20" s="22">
        <v>0</v>
      </c>
      <c r="K20" s="9">
        <f>H21</f>
        <v>1579.2900000000002</v>
      </c>
    </row>
    <row r="21" spans="3:11" ht="21" x14ac:dyDescent="0.35">
      <c r="C21" s="38"/>
      <c r="D21" s="8"/>
      <c r="E21" s="8"/>
      <c r="F21" s="45">
        <v>3466</v>
      </c>
      <c r="G21" s="45">
        <v>3283</v>
      </c>
      <c r="H21" s="46">
        <f>(F21-G21)*8.63</f>
        <v>1579.2900000000002</v>
      </c>
      <c r="I21" s="9"/>
      <c r="J21" s="9"/>
      <c r="K21" s="9"/>
    </row>
    <row r="22" spans="3:11" ht="21" x14ac:dyDescent="0.35">
      <c r="C22" s="38"/>
      <c r="D22" s="92" t="s">
        <v>80</v>
      </c>
      <c r="E22" s="92"/>
      <c r="F22" s="93">
        <f>F21-G21</f>
        <v>183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113</v>
      </c>
      <c r="G24" s="45"/>
      <c r="H24" s="45"/>
      <c r="I24" s="9"/>
      <c r="J24" s="22">
        <v>0</v>
      </c>
      <c r="K24" s="9">
        <f>H25</f>
        <v>294.20999999999998</v>
      </c>
    </row>
    <row r="25" spans="3:11" ht="21" x14ac:dyDescent="0.35">
      <c r="C25" s="38"/>
      <c r="D25" s="8"/>
      <c r="E25" s="8"/>
      <c r="F25" s="45">
        <v>29</v>
      </c>
      <c r="G25" s="45">
        <v>26</v>
      </c>
      <c r="H25" s="46">
        <f>(F25-G25)*98.07</f>
        <v>294.20999999999998</v>
      </c>
      <c r="I25" s="9"/>
      <c r="J25" s="9"/>
      <c r="K25" s="9"/>
    </row>
    <row r="26" spans="3:11" ht="21" x14ac:dyDescent="0.35">
      <c r="C26" s="38"/>
      <c r="D26" s="92" t="s">
        <v>81</v>
      </c>
      <c r="E26" s="92"/>
      <c r="F26" s="93">
        <f>F25-G25</f>
        <v>3</v>
      </c>
      <c r="G26" s="9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9"/>
      <c r="G30" s="89"/>
      <c r="H30" s="89"/>
      <c r="I30" s="9"/>
      <c r="J30" s="9"/>
      <c r="K30" s="9"/>
    </row>
    <row r="31" spans="3:11" ht="21" customHeight="1" x14ac:dyDescent="0.35">
      <c r="C31" s="37"/>
      <c r="D31" s="96"/>
      <c r="E31" s="96"/>
      <c r="F31" s="97"/>
      <c r="G31" s="97"/>
      <c r="H31" s="97"/>
      <c r="I31" s="97"/>
      <c r="J31" s="66"/>
      <c r="K31" s="66"/>
    </row>
    <row r="32" spans="3:11" ht="27" customHeight="1" x14ac:dyDescent="0.35">
      <c r="C32" s="39"/>
      <c r="D32" s="43"/>
      <c r="E32" s="43"/>
      <c r="F32" s="75"/>
      <c r="G32" s="75"/>
      <c r="H32" s="75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(K20+K24+K27)-K31</f>
        <v>1873.5000000000002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1873.5000000000002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5" t="s">
        <v>17</v>
      </c>
      <c r="D39" s="95"/>
      <c r="E39" s="95"/>
      <c r="F39" s="95"/>
      <c r="G39" s="95"/>
      <c r="H39" s="95"/>
      <c r="I39" s="95"/>
      <c r="J39" s="95"/>
      <c r="K39" s="95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1" t="s">
        <v>33</v>
      </c>
      <c r="D52" s="91"/>
      <c r="E52" s="91"/>
      <c r="F52" s="8"/>
      <c r="G52" s="91" t="s">
        <v>31</v>
      </c>
      <c r="H52" s="91"/>
      <c r="I52" s="9"/>
      <c r="J52" s="9"/>
      <c r="K52" s="9"/>
    </row>
    <row r="53" spans="3:11" ht="21" x14ac:dyDescent="0.35">
      <c r="C53" s="81" t="s">
        <v>23</v>
      </c>
      <c r="D53" s="81"/>
      <c r="E53" s="81"/>
      <c r="F53" s="8"/>
      <c r="G53" s="81" t="s">
        <v>24</v>
      </c>
      <c r="H53" s="8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3" zoomScale="85" zoomScaleNormal="85" workbookViewId="0">
      <selection activeCell="J10" sqref="J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37</v>
      </c>
      <c r="D7" s="28"/>
      <c r="E7" s="29"/>
      <c r="F7" s="28"/>
      <c r="G7" s="28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9" t="s">
        <v>45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29" t="s">
        <v>118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119</v>
      </c>
      <c r="H15" s="13" t="s">
        <v>120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114</v>
      </c>
      <c r="E16" s="48" t="s">
        <v>115</v>
      </c>
      <c r="F16" s="18"/>
      <c r="G16" s="18"/>
      <c r="H16" s="18"/>
      <c r="I16" s="18">
        <f>K34</f>
        <v>2845.92</v>
      </c>
      <c r="J16" s="18">
        <f>I16+H16+G16</f>
        <v>2845.92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98" t="s">
        <v>121</v>
      </c>
      <c r="E20" s="98"/>
      <c r="F20" s="45" t="s">
        <v>116</v>
      </c>
      <c r="G20" s="45"/>
      <c r="H20" s="45"/>
      <c r="I20" s="9"/>
      <c r="J20" s="22">
        <v>0</v>
      </c>
      <c r="K20" s="9">
        <f>H21</f>
        <v>1185.8400000000001</v>
      </c>
    </row>
    <row r="21" spans="3:11" ht="21" x14ac:dyDescent="0.35">
      <c r="C21" s="38"/>
      <c r="D21" s="8"/>
      <c r="E21" s="8"/>
      <c r="F21" s="45">
        <v>3628</v>
      </c>
      <c r="G21" s="45">
        <v>3466</v>
      </c>
      <c r="H21" s="46">
        <f>(F21-G21)*7.32</f>
        <v>1185.8400000000001</v>
      </c>
      <c r="I21" s="9"/>
      <c r="J21" s="9"/>
      <c r="K21" s="9"/>
    </row>
    <row r="22" spans="3:11" ht="21" x14ac:dyDescent="0.35">
      <c r="C22" s="38"/>
      <c r="D22" s="92" t="s">
        <v>80</v>
      </c>
      <c r="E22" s="92"/>
      <c r="F22" s="93">
        <f>F21-G21</f>
        <v>162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122</v>
      </c>
      <c r="E24" s="8"/>
      <c r="F24" s="45" t="s">
        <v>117</v>
      </c>
      <c r="G24" s="45"/>
      <c r="H24" s="45"/>
      <c r="I24" s="9"/>
      <c r="J24" s="22">
        <v>0</v>
      </c>
      <c r="K24" s="9">
        <f>H25</f>
        <v>295.68</v>
      </c>
    </row>
    <row r="25" spans="3:11" ht="21" x14ac:dyDescent="0.35">
      <c r="C25" s="38"/>
      <c r="D25" s="8"/>
      <c r="E25" s="8"/>
      <c r="F25" s="45">
        <v>32</v>
      </c>
      <c r="G25" s="45">
        <v>29</v>
      </c>
      <c r="H25" s="46">
        <f>(F25-G25)*98.56</f>
        <v>295.68</v>
      </c>
      <c r="I25" s="9"/>
      <c r="J25" s="9"/>
      <c r="K25" s="9"/>
    </row>
    <row r="26" spans="3:11" ht="21" x14ac:dyDescent="0.35">
      <c r="C26" s="38"/>
      <c r="D26" s="92" t="s">
        <v>81</v>
      </c>
      <c r="E26" s="92"/>
      <c r="F26" s="93">
        <f>F25-G25</f>
        <v>3</v>
      </c>
      <c r="G26" s="9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43962</v>
      </c>
      <c r="D28" s="98" t="s">
        <v>123</v>
      </c>
      <c r="E28" s="98"/>
      <c r="F28" s="45" t="s">
        <v>124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22.74</v>
      </c>
      <c r="G29" s="45">
        <v>60</v>
      </c>
      <c r="H29" s="46">
        <f>F29*G29</f>
        <v>1364.3999999999999</v>
      </c>
      <c r="I29" s="9"/>
      <c r="J29" s="22">
        <v>0</v>
      </c>
      <c r="K29" s="9">
        <f>H29</f>
        <v>1364.3999999999999</v>
      </c>
    </row>
    <row r="30" spans="3:11" ht="35.1" customHeight="1" x14ac:dyDescent="0.35">
      <c r="C30" s="69"/>
      <c r="D30" s="69"/>
      <c r="E30" s="69"/>
      <c r="F30" s="80"/>
      <c r="G30" s="80"/>
      <c r="H30" s="80"/>
      <c r="I30" s="9"/>
      <c r="J30" s="9"/>
      <c r="K30" s="9"/>
    </row>
    <row r="31" spans="3:11" ht="21" customHeight="1" x14ac:dyDescent="0.35">
      <c r="C31" s="37"/>
      <c r="D31" s="96"/>
      <c r="E31" s="96"/>
      <c r="F31" s="97"/>
      <c r="G31" s="97"/>
      <c r="H31" s="97"/>
      <c r="I31" s="97"/>
      <c r="J31" s="66"/>
      <c r="K31" s="66"/>
    </row>
    <row r="32" spans="3:11" ht="27" customHeight="1" x14ac:dyDescent="0.35">
      <c r="C32" s="39"/>
      <c r="D32" s="43"/>
      <c r="E32" s="43"/>
      <c r="F32" s="77"/>
      <c r="G32" s="77"/>
      <c r="H32" s="77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(K20+K24+K29)</f>
        <v>2845.92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2845.92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5" t="s">
        <v>17</v>
      </c>
      <c r="D39" s="95"/>
      <c r="E39" s="95"/>
      <c r="F39" s="95"/>
      <c r="G39" s="95"/>
      <c r="H39" s="95"/>
      <c r="I39" s="95"/>
      <c r="J39" s="95"/>
      <c r="K39" s="95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1" t="s">
        <v>33</v>
      </c>
      <c r="D52" s="91"/>
      <c r="E52" s="91"/>
      <c r="F52" s="8"/>
      <c r="G52" s="91" t="s">
        <v>31</v>
      </c>
      <c r="H52" s="91"/>
      <c r="I52" s="9"/>
      <c r="J52" s="9"/>
      <c r="K52" s="9"/>
    </row>
    <row r="53" spans="3:11" ht="21" x14ac:dyDescent="0.35">
      <c r="C53" s="81" t="s">
        <v>23</v>
      </c>
      <c r="D53" s="81"/>
      <c r="E53" s="81"/>
      <c r="F53" s="8"/>
      <c r="G53" s="81" t="s">
        <v>24</v>
      </c>
      <c r="H53" s="8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3" zoomScale="70" zoomScaleNormal="70" workbookViewId="0">
      <selection activeCell="C7" sqref="C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37</v>
      </c>
      <c r="D7" s="28"/>
      <c r="E7" s="29"/>
      <c r="F7" s="28"/>
      <c r="G7" s="28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9" t="s">
        <v>45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29" t="s">
        <v>125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119</v>
      </c>
      <c r="H15" s="13" t="s">
        <v>120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126</v>
      </c>
      <c r="E16" s="48" t="s">
        <v>127</v>
      </c>
      <c r="F16" s="18"/>
      <c r="G16" s="18"/>
      <c r="H16" s="18"/>
      <c r="I16" s="18">
        <f>K34</f>
        <v>2767.04</v>
      </c>
      <c r="J16" s="18">
        <f>I16+H16+G16</f>
        <v>2767.04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98" t="s">
        <v>129</v>
      </c>
      <c r="E20" s="98"/>
      <c r="F20" s="45" t="s">
        <v>131</v>
      </c>
      <c r="G20" s="45"/>
      <c r="H20" s="45"/>
      <c r="I20" s="9"/>
      <c r="J20" s="22">
        <v>0</v>
      </c>
      <c r="K20" s="9">
        <f>H21</f>
        <v>1010.52</v>
      </c>
    </row>
    <row r="21" spans="3:11" ht="21" x14ac:dyDescent="0.35">
      <c r="C21" s="38"/>
      <c r="D21" s="8"/>
      <c r="E21" s="8"/>
      <c r="F21" s="45">
        <v>3754</v>
      </c>
      <c r="G21" s="45">
        <v>3628</v>
      </c>
      <c r="H21" s="46">
        <f>(F21-G21)*8.02</f>
        <v>1010.52</v>
      </c>
      <c r="I21" s="9"/>
      <c r="J21" s="9"/>
      <c r="K21" s="9"/>
    </row>
    <row r="22" spans="3:11" ht="21" x14ac:dyDescent="0.35">
      <c r="C22" s="38"/>
      <c r="D22" s="92" t="s">
        <v>80</v>
      </c>
      <c r="E22" s="92"/>
      <c r="F22" s="93">
        <f>F21-G21</f>
        <v>126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132</v>
      </c>
      <c r="G24" s="45"/>
      <c r="H24" s="45"/>
      <c r="I24" s="9"/>
      <c r="J24" s="22">
        <v>0</v>
      </c>
      <c r="K24" s="9">
        <f>H25</f>
        <v>392.12</v>
      </c>
    </row>
    <row r="25" spans="3:11" ht="21" x14ac:dyDescent="0.35">
      <c r="C25" s="38"/>
      <c r="D25" s="8"/>
      <c r="E25" s="8"/>
      <c r="F25" s="45">
        <v>36</v>
      </c>
      <c r="G25" s="45">
        <v>32</v>
      </c>
      <c r="H25" s="46">
        <f>(F25-G25)*98.03</f>
        <v>392.12</v>
      </c>
      <c r="I25" s="9"/>
      <c r="J25" s="9"/>
      <c r="K25" s="9"/>
    </row>
    <row r="26" spans="3:11" ht="21" x14ac:dyDescent="0.35">
      <c r="C26" s="38"/>
      <c r="D26" s="92" t="s">
        <v>81</v>
      </c>
      <c r="E26" s="92"/>
      <c r="F26" s="93">
        <f>F25-G25</f>
        <v>4</v>
      </c>
      <c r="G26" s="9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44170</v>
      </c>
      <c r="D28" s="98" t="s">
        <v>123</v>
      </c>
      <c r="E28" s="98"/>
      <c r="F28" s="45" t="s">
        <v>128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22.74</v>
      </c>
      <c r="G29" s="45">
        <v>60</v>
      </c>
      <c r="H29" s="46">
        <f>F29*G29</f>
        <v>1364.3999999999999</v>
      </c>
      <c r="I29" s="9"/>
      <c r="J29" s="22">
        <v>0</v>
      </c>
      <c r="K29" s="9">
        <f>H29</f>
        <v>1364.3999999999999</v>
      </c>
    </row>
    <row r="30" spans="3:11" ht="35.1" customHeight="1" x14ac:dyDescent="0.35">
      <c r="C30" s="69"/>
      <c r="D30" s="69"/>
      <c r="E30" s="69"/>
      <c r="F30" s="80"/>
      <c r="G30" s="80"/>
      <c r="H30" s="80"/>
      <c r="I30" s="9"/>
      <c r="J30" s="9"/>
      <c r="K30" s="9"/>
    </row>
    <row r="31" spans="3:11" ht="21" customHeight="1" x14ac:dyDescent="0.35">
      <c r="C31" s="37"/>
      <c r="D31" s="96"/>
      <c r="E31" s="96"/>
      <c r="F31" s="97"/>
      <c r="G31" s="97"/>
      <c r="H31" s="97"/>
      <c r="I31" s="97"/>
      <c r="J31" s="66"/>
      <c r="K31" s="66"/>
    </row>
    <row r="32" spans="3:11" ht="27" customHeight="1" x14ac:dyDescent="0.35">
      <c r="C32" s="39"/>
      <c r="D32" s="43"/>
      <c r="E32" s="43"/>
      <c r="F32" s="79"/>
      <c r="G32" s="79"/>
      <c r="H32" s="79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(K20+K24+K29)</f>
        <v>2767.04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2767.04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5" t="s">
        <v>17</v>
      </c>
      <c r="D39" s="95"/>
      <c r="E39" s="95"/>
      <c r="F39" s="95"/>
      <c r="G39" s="95"/>
      <c r="H39" s="95"/>
      <c r="I39" s="95"/>
      <c r="J39" s="95"/>
      <c r="K39" s="95"/>
      <c r="L39" s="3"/>
    </row>
    <row r="40" spans="2:12" s="8" customFormat="1" ht="21" x14ac:dyDescent="0.35">
      <c r="B40" s="3"/>
      <c r="C40" s="78"/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1" t="s">
        <v>130</v>
      </c>
      <c r="D52" s="91"/>
      <c r="E52" s="91"/>
      <c r="F52" s="8"/>
      <c r="G52" s="91" t="s">
        <v>31</v>
      </c>
      <c r="H52" s="91"/>
      <c r="I52" s="9"/>
      <c r="J52" s="9"/>
      <c r="K52" s="9"/>
    </row>
    <row r="53" spans="3:11" ht="21" x14ac:dyDescent="0.35">
      <c r="C53" s="81" t="s">
        <v>23</v>
      </c>
      <c r="D53" s="81"/>
      <c r="E53" s="81"/>
      <c r="F53" s="8"/>
      <c r="G53" s="81" t="s">
        <v>24</v>
      </c>
      <c r="H53" s="8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I6" sqref="I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37</v>
      </c>
      <c r="D7" s="28"/>
      <c r="E7" s="29"/>
      <c r="F7" s="28"/>
      <c r="G7" s="28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9" t="s">
        <v>45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29" t="s">
        <v>40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41</v>
      </c>
      <c r="E16" s="48" t="s">
        <v>42</v>
      </c>
      <c r="F16" s="18"/>
      <c r="G16" s="18"/>
      <c r="H16" s="18"/>
      <c r="I16" s="18">
        <f>K35</f>
        <v>49.260000000000005</v>
      </c>
      <c r="J16" s="18">
        <f>I16+H16+G16</f>
        <v>49.260000000000005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43596</v>
      </c>
      <c r="D20" s="87" t="s">
        <v>32</v>
      </c>
      <c r="E20" s="87"/>
      <c r="F20" s="45" t="s">
        <v>43</v>
      </c>
      <c r="G20" s="45"/>
      <c r="H20" s="45"/>
      <c r="I20" s="9"/>
      <c r="J20" s="22">
        <v>0</v>
      </c>
      <c r="K20" s="9">
        <f>H21</f>
        <v>49.260000000000005</v>
      </c>
    </row>
    <row r="21" spans="3:11" ht="21" x14ac:dyDescent="0.35">
      <c r="C21" s="38"/>
      <c r="D21" s="8"/>
      <c r="E21" s="8"/>
      <c r="F21" s="45">
        <v>2082</v>
      </c>
      <c r="G21" s="45">
        <v>2079</v>
      </c>
      <c r="H21" s="46">
        <f>(F21-G21)*16.42</f>
        <v>49.260000000000005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43596</v>
      </c>
      <c r="D24" s="8" t="s">
        <v>15</v>
      </c>
      <c r="E24" s="8"/>
      <c r="F24" s="45" t="s">
        <v>44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(F25-G25)*116.05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49.260000000000005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49.260000000000005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workbookViewId="0">
      <selection activeCell="C11" sqref="C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37</v>
      </c>
      <c r="D7" s="28"/>
      <c r="E7" s="29"/>
      <c r="F7" s="28"/>
      <c r="G7" s="28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9" t="s">
        <v>45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29" t="s">
        <v>46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47</v>
      </c>
      <c r="E16" s="48" t="s">
        <v>48</v>
      </c>
      <c r="F16" s="18"/>
      <c r="G16" s="18"/>
      <c r="H16" s="18">
        <v>49.26</v>
      </c>
      <c r="I16" s="18">
        <f>K35</f>
        <v>283.7</v>
      </c>
      <c r="J16" s="18">
        <f>I16+H16+G16</f>
        <v>332.96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43597</v>
      </c>
      <c r="D20" s="87" t="s">
        <v>32</v>
      </c>
      <c r="E20" s="87"/>
      <c r="F20" s="45" t="s">
        <v>49</v>
      </c>
      <c r="G20" s="45"/>
      <c r="H20" s="45"/>
      <c r="I20" s="9"/>
      <c r="J20" s="22">
        <v>0</v>
      </c>
      <c r="K20" s="9">
        <f>H21</f>
        <v>52.14</v>
      </c>
    </row>
    <row r="21" spans="3:11" ht="21" x14ac:dyDescent="0.35">
      <c r="C21" s="38"/>
      <c r="D21" s="8"/>
      <c r="E21" s="8"/>
      <c r="F21" s="45">
        <v>2085</v>
      </c>
      <c r="G21" s="45">
        <v>2082</v>
      </c>
      <c r="H21" s="46">
        <f>(F21-G21)*17.38</f>
        <v>52.14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43597</v>
      </c>
      <c r="D24" s="8" t="s">
        <v>15</v>
      </c>
      <c r="E24" s="8"/>
      <c r="F24" s="45" t="s">
        <v>50</v>
      </c>
      <c r="G24" s="45"/>
      <c r="H24" s="45"/>
      <c r="I24" s="9"/>
      <c r="J24" s="22">
        <v>0</v>
      </c>
      <c r="K24" s="9">
        <f>H25</f>
        <v>231.56</v>
      </c>
    </row>
    <row r="25" spans="3:11" ht="21" x14ac:dyDescent="0.35">
      <c r="C25" s="38"/>
      <c r="D25" s="8"/>
      <c r="E25" s="8"/>
      <c r="F25" s="45">
        <v>2</v>
      </c>
      <c r="G25" s="45">
        <v>0</v>
      </c>
      <c r="H25" s="46">
        <f>(F25-G25)*115.78</f>
        <v>231.56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283.7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332.96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37</v>
      </c>
      <c r="D7" s="28"/>
      <c r="E7" s="29"/>
      <c r="F7" s="28"/>
      <c r="G7" s="28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9" t="s">
        <v>45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29" t="s">
        <v>51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52</v>
      </c>
      <c r="E16" s="48" t="s">
        <v>53</v>
      </c>
      <c r="F16" s="18"/>
      <c r="G16" s="18"/>
      <c r="H16" s="18">
        <v>332.96</v>
      </c>
      <c r="I16" s="18">
        <f>K35</f>
        <v>422.95</v>
      </c>
      <c r="J16" s="18">
        <f>I16+H16+G16</f>
        <v>755.91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43952</v>
      </c>
      <c r="D20" s="87" t="s">
        <v>32</v>
      </c>
      <c r="E20" s="87"/>
      <c r="F20" s="45" t="s">
        <v>54</v>
      </c>
      <c r="G20" s="45"/>
      <c r="H20" s="45"/>
      <c r="I20" s="9"/>
      <c r="J20" s="22">
        <v>0</v>
      </c>
      <c r="K20" s="9">
        <f>H21</f>
        <v>307.02</v>
      </c>
    </row>
    <row r="21" spans="3:11" ht="21" x14ac:dyDescent="0.35">
      <c r="C21" s="38"/>
      <c r="D21" s="8"/>
      <c r="E21" s="8"/>
      <c r="F21" s="45">
        <v>2102</v>
      </c>
      <c r="G21" s="45">
        <v>2085</v>
      </c>
      <c r="H21" s="46">
        <f>(F21-G21)*18.06</f>
        <v>307.02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43952</v>
      </c>
      <c r="D24" s="8" t="s">
        <v>15</v>
      </c>
      <c r="E24" s="8"/>
      <c r="F24" s="45" t="s">
        <v>55</v>
      </c>
      <c r="G24" s="45"/>
      <c r="H24" s="45"/>
      <c r="I24" s="9"/>
      <c r="J24" s="22">
        <v>0</v>
      </c>
      <c r="K24" s="9">
        <f>H25</f>
        <v>115.93</v>
      </c>
    </row>
    <row r="25" spans="3:11" ht="21" x14ac:dyDescent="0.35">
      <c r="C25" s="38"/>
      <c r="D25" s="8"/>
      <c r="E25" s="8"/>
      <c r="F25" s="45">
        <v>3</v>
      </c>
      <c r="G25" s="45">
        <v>2</v>
      </c>
      <c r="H25" s="46">
        <f>(F25-G25)*115.93</f>
        <v>115.93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52"/>
      <c r="G31" s="52"/>
      <c r="H31" s="52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2"/>
      <c r="G33" s="52"/>
      <c r="H33" s="52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422.95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755.91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37</v>
      </c>
      <c r="D7" s="28"/>
      <c r="E7" s="29"/>
      <c r="F7" s="28"/>
      <c r="G7" s="28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9" t="s">
        <v>45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29" t="s">
        <v>56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/>
      <c r="I16" s="18">
        <f>K35</f>
        <v>1519.9399999999998</v>
      </c>
      <c r="J16" s="18">
        <f>I16+H16+G16</f>
        <v>1519.9399999999998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87" t="s">
        <v>32</v>
      </c>
      <c r="E20" s="87"/>
      <c r="F20" s="45" t="s">
        <v>60</v>
      </c>
      <c r="G20" s="45"/>
      <c r="H20" s="45"/>
      <c r="I20" s="9"/>
      <c r="J20" s="22">
        <v>0</v>
      </c>
      <c r="K20" s="9">
        <f>H21</f>
        <v>1287.5999999999999</v>
      </c>
    </row>
    <row r="21" spans="3:11" ht="21" x14ac:dyDescent="0.35">
      <c r="C21" s="38"/>
      <c r="D21" s="8"/>
      <c r="E21" s="8"/>
      <c r="F21" s="45">
        <v>2176</v>
      </c>
      <c r="G21" s="45">
        <v>2102</v>
      </c>
      <c r="H21" s="46">
        <f>(F21-G21)*17.4</f>
        <v>1287.5999999999999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59</v>
      </c>
      <c r="G24" s="45"/>
      <c r="H24" s="45"/>
      <c r="I24" s="9"/>
      <c r="J24" s="22">
        <v>0</v>
      </c>
      <c r="K24" s="9">
        <f>H25</f>
        <v>232.34</v>
      </c>
    </row>
    <row r="25" spans="3:11" ht="21" x14ac:dyDescent="0.35">
      <c r="C25" s="38"/>
      <c r="D25" s="8"/>
      <c r="E25" s="8"/>
      <c r="F25" s="45">
        <v>5</v>
      </c>
      <c r="G25" s="45">
        <v>3</v>
      </c>
      <c r="H25" s="46">
        <f>(F25-G25)*116.17</f>
        <v>232.34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53"/>
      <c r="G31" s="53"/>
      <c r="H31" s="53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3"/>
      <c r="G33" s="53"/>
      <c r="H33" s="53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1519.9399999999998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1519.9399999999998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H27" sqref="H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37</v>
      </c>
      <c r="D7" s="28"/>
      <c r="E7" s="29"/>
      <c r="F7" s="28"/>
      <c r="G7" s="28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9" t="s">
        <v>45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29" t="s">
        <v>61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62</v>
      </c>
      <c r="E16" s="48" t="s">
        <v>63</v>
      </c>
      <c r="F16" s="18"/>
      <c r="G16" s="18"/>
      <c r="H16" s="18"/>
      <c r="I16" s="18">
        <f>K35</f>
        <v>1311.06</v>
      </c>
      <c r="J16" s="18">
        <f>I16+H16+G16</f>
        <v>1311.06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7" t="s">
        <v>32</v>
      </c>
      <c r="E20" s="87"/>
      <c r="F20" s="45" t="s">
        <v>64</v>
      </c>
      <c r="G20" s="45"/>
      <c r="H20" s="45"/>
      <c r="I20" s="9"/>
      <c r="J20" s="22">
        <v>0</v>
      </c>
      <c r="K20" s="9">
        <f>H21</f>
        <v>1076.44</v>
      </c>
    </row>
    <row r="21" spans="3:11" ht="21" x14ac:dyDescent="0.35">
      <c r="C21" s="38"/>
      <c r="D21" s="8"/>
      <c r="E21" s="8"/>
      <c r="F21" s="45">
        <v>2244</v>
      </c>
      <c r="G21" s="45">
        <v>2176</v>
      </c>
      <c r="H21" s="46">
        <f>(F21-G21)*15.83</f>
        <v>1076.44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65</v>
      </c>
      <c r="G24" s="45"/>
      <c r="H24" s="45"/>
      <c r="I24" s="9"/>
      <c r="J24" s="22">
        <v>0</v>
      </c>
      <c r="K24" s="9">
        <f>H25</f>
        <v>234.62</v>
      </c>
    </row>
    <row r="25" spans="3:11" ht="21" x14ac:dyDescent="0.35">
      <c r="C25" s="38"/>
      <c r="D25" s="8"/>
      <c r="E25" s="8"/>
      <c r="F25" s="45">
        <v>7</v>
      </c>
      <c r="G25" s="45">
        <v>5</v>
      </c>
      <c r="H25" s="46">
        <f>(F25-G25)*117.31</f>
        <v>234.62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54"/>
      <c r="G31" s="54"/>
      <c r="H31" s="54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4"/>
      <c r="G33" s="54"/>
      <c r="H33" s="54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1311.06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1311.06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85" zoomScaleNormal="85" workbookViewId="0">
      <selection activeCell="I29" sqref="I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37</v>
      </c>
      <c r="D7" s="28"/>
      <c r="E7" s="29"/>
      <c r="F7" s="28"/>
      <c r="G7" s="28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9" t="s">
        <v>45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29" t="s">
        <v>66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67</v>
      </c>
      <c r="E16" s="48" t="s">
        <v>68</v>
      </c>
      <c r="F16" s="18"/>
      <c r="G16" s="18"/>
      <c r="H16" s="18"/>
      <c r="I16" s="18">
        <f>K35</f>
        <v>1896.77</v>
      </c>
      <c r="J16" s="18">
        <f>I16+H16+G16</f>
        <v>1896.77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7" t="s">
        <v>32</v>
      </c>
      <c r="E20" s="87"/>
      <c r="F20" s="45" t="s">
        <v>69</v>
      </c>
      <c r="G20" s="45"/>
      <c r="H20" s="45"/>
      <c r="I20" s="9"/>
      <c r="J20" s="22">
        <v>0</v>
      </c>
      <c r="K20" s="9">
        <f>H21</f>
        <v>1662.15</v>
      </c>
    </row>
    <row r="21" spans="3:11" ht="21" x14ac:dyDescent="0.35">
      <c r="C21" s="38"/>
      <c r="D21" s="8"/>
      <c r="E21" s="8"/>
      <c r="F21" s="45">
        <v>2349</v>
      </c>
      <c r="G21" s="45">
        <v>2244</v>
      </c>
      <c r="H21" s="46">
        <f>(F21-G21)*15.83</f>
        <v>1662.15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70</v>
      </c>
      <c r="G24" s="45"/>
      <c r="H24" s="45"/>
      <c r="I24" s="9"/>
      <c r="J24" s="22">
        <v>0</v>
      </c>
      <c r="K24" s="9">
        <f>H25</f>
        <v>234.62</v>
      </c>
    </row>
    <row r="25" spans="3:11" ht="21" x14ac:dyDescent="0.35">
      <c r="C25" s="38"/>
      <c r="D25" s="8"/>
      <c r="E25" s="8"/>
      <c r="F25" s="45">
        <v>9</v>
      </c>
      <c r="G25" s="45">
        <v>7</v>
      </c>
      <c r="H25" s="46">
        <f>(F25-G25)*117.31</f>
        <v>234.62</v>
      </c>
      <c r="I25" s="9"/>
      <c r="J25" s="9"/>
      <c r="K25" s="9"/>
    </row>
    <row r="26" spans="3:11" ht="21" x14ac:dyDescent="0.35">
      <c r="C26" s="38"/>
      <c r="D26" s="92" t="s">
        <v>81</v>
      </c>
      <c r="E26" s="92"/>
      <c r="F26" s="93">
        <f>F25-G25</f>
        <v>2</v>
      </c>
      <c r="G26" s="93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55"/>
      <c r="G31" s="55"/>
      <c r="H31" s="55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5"/>
      <c r="G33" s="55"/>
      <c r="H33" s="55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1896.77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1896.77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57" t="s">
        <v>71</v>
      </c>
      <c r="D41" s="57" t="s">
        <v>72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7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34" zoomScale="85" zoomScaleNormal="85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37</v>
      </c>
      <c r="D7" s="28"/>
      <c r="E7" s="29"/>
      <c r="F7" s="28"/>
      <c r="G7" s="28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9" t="s">
        <v>45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29" t="s">
        <v>74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75</v>
      </c>
      <c r="E16" s="48" t="s">
        <v>76</v>
      </c>
      <c r="F16" s="18"/>
      <c r="G16" s="18"/>
      <c r="H16" s="18"/>
      <c r="I16" s="18">
        <f>K36</f>
        <v>2618.2080000000001</v>
      </c>
      <c r="J16" s="18">
        <f>I16+H16+G16</f>
        <v>2618.2080000000001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7" t="s">
        <v>32</v>
      </c>
      <c r="E20" s="87"/>
      <c r="F20" s="45" t="s">
        <v>77</v>
      </c>
      <c r="G20" s="45"/>
      <c r="H20" s="45"/>
      <c r="I20" s="9"/>
      <c r="J20" s="22">
        <v>0</v>
      </c>
      <c r="K20" s="9">
        <f>H21</f>
        <v>1888.5600000000002</v>
      </c>
    </row>
    <row r="21" spans="3:11" ht="21" x14ac:dyDescent="0.35">
      <c r="C21" s="38"/>
      <c r="D21" s="8"/>
      <c r="E21" s="8"/>
      <c r="F21" s="45">
        <v>2521</v>
      </c>
      <c r="G21" s="45">
        <v>2349</v>
      </c>
      <c r="H21" s="46">
        <f>(F21-G21)*10.98</f>
        <v>1888.5600000000002</v>
      </c>
      <c r="I21" s="9"/>
      <c r="J21" s="9"/>
      <c r="K21" s="9"/>
    </row>
    <row r="22" spans="3:11" ht="21" x14ac:dyDescent="0.35">
      <c r="C22" s="38"/>
      <c r="D22" s="92" t="s">
        <v>80</v>
      </c>
      <c r="E22" s="92"/>
      <c r="F22" s="93">
        <f>F21-G21</f>
        <v>172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78</v>
      </c>
      <c r="G24" s="45"/>
      <c r="H24" s="45"/>
      <c r="I24" s="9"/>
      <c r="J24" s="22">
        <v>0</v>
      </c>
      <c r="K24" s="9">
        <f>H25</f>
        <v>293.28000000000003</v>
      </c>
    </row>
    <row r="25" spans="3:11" ht="21" x14ac:dyDescent="0.35">
      <c r="C25" s="38"/>
      <c r="D25" s="8"/>
      <c r="E25" s="8"/>
      <c r="F25" s="45">
        <v>12</v>
      </c>
      <c r="G25" s="45">
        <v>9</v>
      </c>
      <c r="H25" s="46">
        <f>(F25-G25)*97.76</f>
        <v>293.28000000000003</v>
      </c>
      <c r="I25" s="9"/>
      <c r="J25" s="9"/>
      <c r="K25" s="9"/>
    </row>
    <row r="26" spans="3:11" ht="21" x14ac:dyDescent="0.35">
      <c r="C26" s="38"/>
      <c r="D26" s="92" t="s">
        <v>81</v>
      </c>
      <c r="E26" s="92"/>
      <c r="F26" s="93">
        <f>F25-G25</f>
        <v>3</v>
      </c>
      <c r="G26" s="93"/>
      <c r="H26" s="44"/>
      <c r="I26" s="9"/>
      <c r="J26" s="9"/>
      <c r="K26" s="9"/>
    </row>
    <row r="27" spans="3:11" ht="21" x14ac:dyDescent="0.35">
      <c r="C27" s="38"/>
      <c r="D27" s="63"/>
      <c r="E27" s="63"/>
      <c r="F27" s="64"/>
      <c r="G27" s="64"/>
      <c r="H27" s="44"/>
      <c r="I27" s="9"/>
      <c r="J27" s="9"/>
      <c r="K27" s="9"/>
    </row>
    <row r="28" spans="3:11" ht="21" x14ac:dyDescent="0.35">
      <c r="C28" s="37"/>
      <c r="D28" s="7" t="s">
        <v>79</v>
      </c>
      <c r="E28" s="8"/>
      <c r="F28" s="8"/>
      <c r="G28" s="8"/>
      <c r="H28" s="8"/>
      <c r="I28" s="9">
        <f>(H21+H25)*20%</f>
        <v>436.36800000000005</v>
      </c>
      <c r="J28" s="22">
        <v>0</v>
      </c>
      <c r="K28" s="9">
        <f>I28</f>
        <v>436.36800000000005</v>
      </c>
    </row>
    <row r="29" spans="3:11" ht="21" x14ac:dyDescent="0.35">
      <c r="C29" s="94" t="s">
        <v>82</v>
      </c>
      <c r="D29" s="94"/>
      <c r="E29" s="94"/>
      <c r="F29" s="8"/>
      <c r="G29" s="8"/>
      <c r="H29" s="8"/>
      <c r="I29" s="9"/>
      <c r="J29" s="22"/>
      <c r="K29" s="9"/>
    </row>
    <row r="30" spans="3:11" ht="21" x14ac:dyDescent="0.35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21" x14ac:dyDescent="0.35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56"/>
      <c r="G32" s="56"/>
      <c r="H32" s="56"/>
      <c r="I32" s="9"/>
      <c r="J32" s="9"/>
      <c r="K32" s="9"/>
    </row>
    <row r="33" spans="2:12" ht="21" x14ac:dyDescent="0.35">
      <c r="C33" s="37"/>
      <c r="D33" s="43"/>
      <c r="E33" s="43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6"/>
      <c r="G34" s="56"/>
      <c r="H34" s="5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2618.2080000000001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2618.2080000000001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1" t="s">
        <v>17</v>
      </c>
      <c r="D41" s="81"/>
      <c r="E41" s="81"/>
      <c r="F41" s="81"/>
      <c r="G41" s="81"/>
      <c r="H41" s="81"/>
      <c r="I41" s="81"/>
      <c r="J41" s="81"/>
      <c r="K41" s="81"/>
      <c r="L41" s="3"/>
    </row>
    <row r="42" spans="2:12" s="8" customFormat="1" ht="23.25" x14ac:dyDescent="0.35">
      <c r="B42" s="3"/>
      <c r="C42" s="60" t="s">
        <v>71</v>
      </c>
      <c r="D42" s="58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9"/>
      <c r="D43" s="58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0"/>
      <c r="D47" s="90"/>
      <c r="E47" s="90"/>
      <c r="F47" s="90"/>
      <c r="G47" s="90"/>
      <c r="H47" s="90"/>
      <c r="I47" s="90"/>
      <c r="J47" s="90"/>
      <c r="K47" s="90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 x14ac:dyDescent="0.35">
      <c r="C57" s="81" t="s">
        <v>23</v>
      </c>
      <c r="D57" s="81"/>
      <c r="E57" s="81"/>
      <c r="F57" s="8"/>
      <c r="G57" s="81" t="s">
        <v>24</v>
      </c>
      <c r="H57" s="8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22:G22"/>
    <mergeCell ref="D26:E26"/>
    <mergeCell ref="F26:G26"/>
    <mergeCell ref="C29:E31"/>
    <mergeCell ref="C57:E57"/>
    <mergeCell ref="G57:H57"/>
    <mergeCell ref="F30:H31"/>
    <mergeCell ref="F33:H33"/>
    <mergeCell ref="C41:K41"/>
    <mergeCell ref="C47:K47"/>
    <mergeCell ref="C56:E56"/>
    <mergeCell ref="G56:H56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22" zoomScale="85" zoomScaleNormal="85" workbookViewId="0">
      <selection activeCell="P23" sqref="P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9" t="s">
        <v>37</v>
      </c>
      <c r="D7" s="28"/>
      <c r="E7" s="29"/>
      <c r="F7" s="28"/>
      <c r="G7" s="28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29" t="s">
        <v>45</v>
      </c>
      <c r="D9" s="30"/>
      <c r="E9" s="29"/>
      <c r="F9" s="28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29" t="s">
        <v>83</v>
      </c>
      <c r="D11" s="28"/>
      <c r="E11" s="28"/>
      <c r="F11" s="28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84</v>
      </c>
      <c r="E16" s="48" t="s">
        <v>85</v>
      </c>
      <c r="F16" s="18"/>
      <c r="G16" s="18"/>
      <c r="H16" s="18"/>
      <c r="I16" s="18">
        <f>K36</f>
        <v>2553.0239999999994</v>
      </c>
      <c r="J16" s="18">
        <f>I16+H16+G16</f>
        <v>2553.0239999999994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7" t="s">
        <v>32</v>
      </c>
      <c r="E20" s="87"/>
      <c r="F20" s="45" t="s">
        <v>86</v>
      </c>
      <c r="G20" s="45"/>
      <c r="H20" s="45"/>
      <c r="I20" s="9"/>
      <c r="J20" s="22">
        <v>0</v>
      </c>
      <c r="K20" s="9">
        <f>H21</f>
        <v>2173.3799999999997</v>
      </c>
    </row>
    <row r="21" spans="3:11" ht="21" x14ac:dyDescent="0.35">
      <c r="C21" s="38"/>
      <c r="D21" s="8"/>
      <c r="E21" s="8"/>
      <c r="F21" s="45">
        <v>2743</v>
      </c>
      <c r="G21" s="45">
        <v>2521</v>
      </c>
      <c r="H21" s="46">
        <f>(F21-G21)*9.79</f>
        <v>2173.3799999999997</v>
      </c>
      <c r="I21" s="9"/>
      <c r="J21" s="9"/>
      <c r="K21" s="9"/>
    </row>
    <row r="22" spans="3:11" ht="21" x14ac:dyDescent="0.35">
      <c r="C22" s="38"/>
      <c r="D22" s="92" t="s">
        <v>80</v>
      </c>
      <c r="E22" s="92"/>
      <c r="F22" s="93">
        <f>F21-G21</f>
        <v>222</v>
      </c>
      <c r="G22" s="9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87</v>
      </c>
      <c r="G24" s="45"/>
      <c r="H24" s="45"/>
      <c r="I24" s="9"/>
      <c r="J24" s="22">
        <v>0</v>
      </c>
      <c r="K24" s="9">
        <f>H25</f>
        <v>391.04</v>
      </c>
    </row>
    <row r="25" spans="3:11" ht="21" x14ac:dyDescent="0.35">
      <c r="C25" s="38"/>
      <c r="D25" s="8"/>
      <c r="E25" s="8"/>
      <c r="F25" s="45">
        <v>16</v>
      </c>
      <c r="G25" s="45">
        <v>12</v>
      </c>
      <c r="H25" s="46">
        <f>(F25-G25)*97.76</f>
        <v>391.04</v>
      </c>
      <c r="I25" s="9"/>
      <c r="J25" s="9"/>
      <c r="K25" s="9"/>
    </row>
    <row r="26" spans="3:11" ht="21" x14ac:dyDescent="0.35">
      <c r="C26" s="38"/>
      <c r="D26" s="92" t="s">
        <v>81</v>
      </c>
      <c r="E26" s="92"/>
      <c r="F26" s="93">
        <f>F25-G25</f>
        <v>4</v>
      </c>
      <c r="G26" s="93"/>
      <c r="H26" s="44"/>
      <c r="I26" s="9"/>
      <c r="J26" s="9"/>
      <c r="K26" s="9"/>
    </row>
    <row r="27" spans="3:11" ht="21" x14ac:dyDescent="0.35">
      <c r="C27" s="38"/>
      <c r="D27" s="63"/>
      <c r="E27" s="63"/>
      <c r="F27" s="64"/>
      <c r="G27" s="64"/>
      <c r="H27" s="44"/>
      <c r="I27" s="9"/>
      <c r="J27" s="9"/>
      <c r="K27" s="9"/>
    </row>
    <row r="28" spans="3:11" ht="21" x14ac:dyDescent="0.35">
      <c r="C28" s="37"/>
      <c r="D28" s="7" t="s">
        <v>79</v>
      </c>
      <c r="E28" s="8"/>
      <c r="F28" s="8"/>
      <c r="G28" s="8"/>
      <c r="H28" s="8"/>
      <c r="I28" s="9">
        <f>(H21+H25)*20%</f>
        <v>512.8839999999999</v>
      </c>
      <c r="J28" s="22">
        <v>0</v>
      </c>
      <c r="K28" s="9">
        <f>I28</f>
        <v>512.8839999999999</v>
      </c>
    </row>
    <row r="29" spans="3:11" ht="21" customHeight="1" x14ac:dyDescent="0.35">
      <c r="C29" s="94" t="s">
        <v>91</v>
      </c>
      <c r="D29" s="94"/>
      <c r="E29" s="94"/>
      <c r="F29" s="8"/>
      <c r="G29" s="8"/>
      <c r="H29" s="8"/>
      <c r="I29" s="9"/>
      <c r="J29" s="22"/>
      <c r="K29" s="9"/>
    </row>
    <row r="30" spans="3:11" ht="21" x14ac:dyDescent="0.35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62"/>
      <c r="G32" s="62"/>
      <c r="H32" s="62"/>
      <c r="I32" s="9"/>
      <c r="J32" s="9"/>
      <c r="K32" s="9"/>
    </row>
    <row r="33" spans="2:12" ht="95.1" customHeight="1" x14ac:dyDescent="0.35">
      <c r="C33" s="37"/>
      <c r="D33" s="96" t="s">
        <v>90</v>
      </c>
      <c r="E33" s="96"/>
      <c r="F33" s="97" t="s">
        <v>92</v>
      </c>
      <c r="G33" s="97"/>
      <c r="H33" s="97"/>
      <c r="I33" s="97"/>
      <c r="J33" s="65">
        <v>0</v>
      </c>
      <c r="K33" s="66">
        <f>(278.67+245.61)</f>
        <v>524.28</v>
      </c>
    </row>
    <row r="34" spans="2:12" ht="27" customHeight="1" x14ac:dyDescent="0.35">
      <c r="C34" s="39"/>
      <c r="D34" s="43"/>
      <c r="E34" s="43"/>
      <c r="F34" s="62"/>
      <c r="G34" s="62"/>
      <c r="H34" s="6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2553.0239999999994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2553.0239999999994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3.25" x14ac:dyDescent="0.35">
      <c r="B43" s="3"/>
      <c r="C43" s="60" t="s">
        <v>71</v>
      </c>
      <c r="D43" s="58" t="s">
        <v>88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89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73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0"/>
      <c r="D47" s="90"/>
      <c r="E47" s="90"/>
      <c r="F47" s="90"/>
      <c r="G47" s="90"/>
      <c r="H47" s="90"/>
      <c r="I47" s="90"/>
      <c r="J47" s="90"/>
      <c r="K47" s="90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 x14ac:dyDescent="0.35">
      <c r="C57" s="81" t="s">
        <v>23</v>
      </c>
      <c r="D57" s="81"/>
      <c r="E57" s="81"/>
      <c r="F57" s="8"/>
      <c r="G57" s="81" t="s">
        <v>24</v>
      </c>
      <c r="H57" s="8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2020-12-17T04:09:59Z</cp:lastPrinted>
  <dcterms:created xsi:type="dcterms:W3CDTF">2018-02-28T02:33:50Z</dcterms:created>
  <dcterms:modified xsi:type="dcterms:W3CDTF">2020-12-17T04:10:02Z</dcterms:modified>
</cp:coreProperties>
</file>