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1" activeTab="17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APR 2020 (2)" sheetId="11" r:id="rId11"/>
    <sheet name="MAY 2020" sheetId="12" r:id="rId12"/>
    <sheet name="JUN 2020" sheetId="13" r:id="rId13"/>
    <sheet name="JUL 2020" sheetId="14" r:id="rId14"/>
    <sheet name="AUG 2020" sheetId="15" r:id="rId15"/>
    <sheet name="SEPT 2020" sheetId="16" r:id="rId16"/>
    <sheet name="OCT 2020" sheetId="17" r:id="rId17"/>
    <sheet name="NOV 2020" sheetId="18" r:id="rId18"/>
  </sheets>
  <externalReferences>
    <externalReference r:id="rId19"/>
  </externalReferences>
  <definedNames>
    <definedName name="_xlnm.Print_Area" localSheetId="9">'APR 2020'!$A$1:$K$59</definedName>
    <definedName name="_xlnm.Print_Area" localSheetId="10">'APR 2020 (2)'!$A$1:$K$59</definedName>
    <definedName name="_xlnm.Print_Area" localSheetId="14">'AUG 2020'!$A$1:$K$55</definedName>
    <definedName name="_xlnm.Print_Area" localSheetId="1">'AUGUST 2019'!$A$1:$K$57</definedName>
    <definedName name="_xlnm.Print_Area" localSheetId="7">'FEB 2020'!$A$1:$K$57</definedName>
    <definedName name="_xlnm.Print_Area" localSheetId="13">'JUL 2020'!$A$1:$K$55</definedName>
    <definedName name="_xlnm.Print_Area" localSheetId="0">'JULY 2019'!$B$2:$L$57</definedName>
    <definedName name="_xlnm.Print_Area" localSheetId="12">'JUN 2020'!$A$1:$K$54</definedName>
    <definedName name="_xlnm.Print_Area" localSheetId="8">'MAR 2020'!$A$1:$K$57</definedName>
    <definedName name="_xlnm.Print_Area" localSheetId="11">'MAY 2020'!$A$1:$K$59</definedName>
    <definedName name="_xlnm.Print_Area" localSheetId="17">'NOV 2020'!$A$1:$K$54</definedName>
    <definedName name="_xlnm.Print_Area" localSheetId="16">'OCT 2020'!$A$1:$K$55</definedName>
    <definedName name="_xlnm.Print_Area" localSheetId="15">'SEPT 2020'!$A$1:$K$55</definedName>
  </definedNames>
  <calcPr calcId="152511"/>
</workbook>
</file>

<file path=xl/calcChain.xml><?xml version="1.0" encoding="utf-8"?>
<calcChain xmlns="http://schemas.openxmlformats.org/spreadsheetml/2006/main">
  <c r="H16" i="18" l="1"/>
  <c r="G16" i="18"/>
  <c r="H25" i="18" l="1"/>
  <c r="H21" i="18"/>
  <c r="K32" i="18" l="1"/>
  <c r="H29" i="18"/>
  <c r="K29" i="18" s="1"/>
  <c r="F26" i="18"/>
  <c r="K24" i="18"/>
  <c r="F22" i="18"/>
  <c r="K20" i="18"/>
  <c r="K33" i="18" s="1"/>
  <c r="I16" i="18" s="1"/>
  <c r="J16" i="18" l="1"/>
  <c r="K35" i="18"/>
  <c r="K29" i="17"/>
  <c r="H29" i="17"/>
  <c r="H25" i="17" l="1"/>
  <c r="H21" i="17" l="1"/>
  <c r="K33" i="17" l="1"/>
  <c r="F26" i="17"/>
  <c r="K24" i="17"/>
  <c r="F22" i="17"/>
  <c r="K20" i="17"/>
  <c r="K34" i="17" l="1"/>
  <c r="I16" i="17"/>
  <c r="J16" i="17" s="1"/>
  <c r="H25" i="16"/>
  <c r="K36" i="17" l="1"/>
  <c r="H21" i="16"/>
  <c r="K20" i="16" s="1"/>
  <c r="K33" i="16"/>
  <c r="K29" i="16"/>
  <c r="K27" i="16"/>
  <c r="F26" i="16"/>
  <c r="K24" i="16"/>
  <c r="F22" i="16"/>
  <c r="K34" i="16" l="1"/>
  <c r="I16" i="16" s="1"/>
  <c r="K36" i="16" s="1"/>
  <c r="J16" i="16" l="1"/>
  <c r="H25" i="15"/>
  <c r="H21" i="15"/>
  <c r="K33" i="15" l="1"/>
  <c r="K29" i="15"/>
  <c r="K27" i="15"/>
  <c r="F26" i="15"/>
  <c r="K24" i="15"/>
  <c r="F22" i="15"/>
  <c r="K20" i="15"/>
  <c r="K34" i="15" s="1"/>
  <c r="I16" i="15" s="1"/>
  <c r="J16" i="15" l="1"/>
  <c r="K36" i="15"/>
  <c r="H25" i="14"/>
  <c r="H21" i="14" l="1"/>
  <c r="K33" i="14" l="1"/>
  <c r="K29" i="14"/>
  <c r="K27" i="14"/>
  <c r="F26" i="14"/>
  <c r="K24" i="14"/>
  <c r="F22" i="14"/>
  <c r="K20" i="14"/>
  <c r="K34" i="14" l="1"/>
  <c r="I16" i="14" s="1"/>
  <c r="K31" i="13"/>
  <c r="K33" i="13"/>
  <c r="H25" i="13"/>
  <c r="H21" i="13"/>
  <c r="K36" i="14" l="1"/>
  <c r="J16" i="14"/>
  <c r="K29" i="13"/>
  <c r="F26" i="13"/>
  <c r="K24" i="13"/>
  <c r="F22" i="13"/>
  <c r="K27" i="13"/>
  <c r="K20" i="13"/>
  <c r="K34" i="13" l="1"/>
  <c r="I16" i="13" s="1"/>
  <c r="J16" i="13" s="1"/>
  <c r="K33" i="12"/>
  <c r="K36" i="13" l="1"/>
  <c r="H21" i="12"/>
  <c r="K35" i="12"/>
  <c r="K30" i="12"/>
  <c r="F26" i="12"/>
  <c r="H25" i="12"/>
  <c r="K24" i="12"/>
  <c r="F22" i="12"/>
  <c r="I28" i="12" l="1"/>
  <c r="K28" i="12" s="1"/>
  <c r="K20" i="12"/>
  <c r="K36" i="12" l="1"/>
  <c r="I16" i="12" s="1"/>
  <c r="H16" i="11"/>
  <c r="J16" i="12" l="1"/>
  <c r="K38" i="12"/>
  <c r="K35" i="11"/>
  <c r="K33" i="11"/>
  <c r="K30" i="11"/>
  <c r="F26" i="11"/>
  <c r="H25" i="11"/>
  <c r="K24" i="11"/>
  <c r="F22" i="11"/>
  <c r="H21" i="11"/>
  <c r="K20" i="11" s="1"/>
  <c r="I28" i="11" l="1"/>
  <c r="K28" i="11" s="1"/>
  <c r="K36" i="11" s="1"/>
  <c r="I16" i="11" s="1"/>
  <c r="F26" i="10"/>
  <c r="F22" i="10"/>
  <c r="K38" i="11" l="1"/>
  <c r="J16" i="11"/>
  <c r="H25" i="10"/>
  <c r="K24" i="10" s="1"/>
  <c r="H21" i="10"/>
  <c r="K35" i="10"/>
  <c r="K33" i="10"/>
  <c r="K30" i="10"/>
  <c r="K20" i="10" l="1"/>
  <c r="I28" i="10"/>
  <c r="K28" i="10"/>
  <c r="K36" i="10"/>
  <c r="I16" i="10" s="1"/>
  <c r="J16" i="10" s="1"/>
  <c r="K34" i="9"/>
  <c r="K32" i="9"/>
  <c r="K29" i="9"/>
  <c r="K27" i="9"/>
  <c r="H25" i="9"/>
  <c r="K24" i="9" s="1"/>
  <c r="H21" i="9"/>
  <c r="K20" i="9" s="1"/>
  <c r="K38" i="10" l="1"/>
  <c r="K35" i="9"/>
  <c r="I16" i="9" s="1"/>
  <c r="K37" i="9" s="1"/>
  <c r="H25" i="8"/>
  <c r="K24" i="8" s="1"/>
  <c r="H21" i="8"/>
  <c r="K20" i="8" s="1"/>
  <c r="K34" i="8"/>
  <c r="K32" i="8"/>
  <c r="K29" i="8"/>
  <c r="K27" i="8"/>
  <c r="J16" i="9" l="1"/>
  <c r="K35" i="8"/>
  <c r="I16" i="8" s="1"/>
  <c r="J16" i="8" s="1"/>
  <c r="K37" i="8"/>
  <c r="H21" i="7"/>
  <c r="H25" i="7" l="1"/>
  <c r="K34" i="7" l="1"/>
  <c r="K32" i="7"/>
  <c r="K29" i="7"/>
  <c r="K27" i="7"/>
  <c r="K24" i="7"/>
  <c r="K20" i="7"/>
  <c r="K35" i="7" l="1"/>
  <c r="I16" i="7" s="1"/>
  <c r="K37" i="7" s="1"/>
  <c r="H25" i="6"/>
  <c r="J16" i="7" l="1"/>
  <c r="H21" i="6"/>
  <c r="K34" i="6" l="1"/>
  <c r="K32" i="6"/>
  <c r="K29" i="6"/>
  <c r="K27" i="6"/>
  <c r="K24" i="6"/>
  <c r="K20" i="6"/>
  <c r="K35" i="6" l="1"/>
  <c r="I16" i="6" s="1"/>
  <c r="J16" i="6" s="1"/>
  <c r="K37" i="6"/>
  <c r="K34" i="5"/>
  <c r="K32" i="5"/>
  <c r="K29" i="5"/>
  <c r="K27" i="5"/>
  <c r="H25" i="5"/>
  <c r="K24" i="5"/>
  <c r="H21" i="5"/>
  <c r="K20" i="5"/>
  <c r="K35" i="5" l="1"/>
  <c r="I16" i="5" s="1"/>
  <c r="J16" i="5" s="1"/>
  <c r="K37" i="5"/>
  <c r="H25" i="4"/>
  <c r="H21" i="4" l="1"/>
  <c r="K34" i="4" l="1"/>
  <c r="K32" i="4"/>
  <c r="K29" i="4"/>
  <c r="K27" i="4"/>
  <c r="K24" i="4"/>
  <c r="K20" i="4"/>
  <c r="K35" i="4" l="1"/>
  <c r="I16" i="4" s="1"/>
  <c r="K37" i="4" s="1"/>
  <c r="H25" i="3"/>
  <c r="J16" i="4" l="1"/>
  <c r="K34" i="3"/>
  <c r="K32" i="3"/>
  <c r="K29" i="3"/>
  <c r="K27" i="3"/>
  <c r="K24" i="3"/>
  <c r="H21" i="3"/>
  <c r="K20" i="3" s="1"/>
  <c r="K35" i="3" l="1"/>
  <c r="I16" i="3" s="1"/>
  <c r="K37" i="3" s="1"/>
  <c r="H25" i="2"/>
  <c r="H21" i="2"/>
  <c r="K20" i="2" s="1"/>
  <c r="K34" i="2"/>
  <c r="K32" i="2"/>
  <c r="K29" i="2"/>
  <c r="K27" i="2"/>
  <c r="K24" i="2"/>
  <c r="J16" i="3" l="1"/>
  <c r="K35" i="2"/>
  <c r="I16" i="2" s="1"/>
  <c r="K37" i="2" s="1"/>
  <c r="J16" i="2"/>
  <c r="H25" i="1"/>
  <c r="H21" i="1"/>
  <c r="K24" i="1" l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<sst xmlns="http://schemas.openxmlformats.org/spreadsheetml/2006/main" count="781" uniqueCount="145">
  <si>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</si>
  <si>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</si>
  <si>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</si>
  <si>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</si>
  <si>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</si>
  <si>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</si>
  <si>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</si>
  <si>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</si>
  <si>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</si>
  <si>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</si>
  <si>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</si>
  <si>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</si>
  <si>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</si>
  <si>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</si>
  <si>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</si>
  <si>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</si>
  <si>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</si>
  <si>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</si>
  <si>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</si>
  <si>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</si>
  <si>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</si>
  <si>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</si>
  <si>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</si>
  <si>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</si>
  <si>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</si>
  <si>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</si>
  <si>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</si>
  <si>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</si>
  <si>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</si>
  <si>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</si>
  <si>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</si>
  <si>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</si>
  <si>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</si>
  <si>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</si>
  <si>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</si>
  <si>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</si>
  <si>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</si>
  <si>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KIM NESTOR MANGADA JR.</t>
    </r>
  </si>
  <si>
    <t>UNIT: 12B12</t>
  </si>
  <si>
    <t>PRES: JULY 25 2019 - PREV: JUNE 17 2019 * 18.30</t>
  </si>
  <si>
    <t>PRES: JULY 25 2019 - PREV: JUNE 17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</si>
  <si>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</si>
  <si>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</si>
  <si>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</si>
  <si>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</si>
  <si>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</si>
  <si>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</si>
  <si>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</si>
  <si>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</si>
  <si>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</si>
  <si>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KIM NESTOR MANGADA</t>
    </r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</si>
  <si>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</si>
  <si>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</si>
  <si>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</si>
  <si>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</si>
  <si>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</si>
  <si>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</si>
  <si>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</si>
  <si>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</si>
  <si>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</si>
  <si>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</si>
  <si>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</si>
  <si>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KIM NESTOR MANGADA JR.</t>
    </r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</si>
  <si>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</si>
  <si>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</si>
  <si>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</si>
  <si>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</si>
  <si>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</si>
  <si>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</si>
  <si>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</si>
  <si>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</si>
  <si>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</si>
  <si>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</si>
  <si>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</si>
  <si>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</si>
  <si>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</si>
  <si>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</si>
  <si>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</si>
  <si>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</si>
  <si>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</si>
  <si>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</si>
  <si>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</si>
  <si>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</si>
  <si>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</si>
  <si>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</si>
  <si>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</si>
  <si>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</si>
  <si>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</si>
  <si>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</si>
  <si>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</si>
  <si>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</si>
  <si>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</si>
  <si>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</si>
  <si>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</si>
  <si>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</si>
  <si>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</si>
  <si>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</si>
  <si>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</si>
  <si>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</si>
  <si>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</si>
  <si>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</si>
  <si>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</si>
  <si>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</si>
  <si>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2020 - 23 kWh x 10.98 = 252.54 + 20% (AC) = 303.05 - 364.09 (billing Mar2020) = </t>
    </r>
    <r>
      <rPr>
        <b/>
        <u/>
        <sz val="14"/>
        <color rgb="FFFF0000"/>
        <rFont val="Calibri"/>
        <family val="2"/>
        <scheme val="minor"/>
      </rPr>
      <t>61.04</t>
    </r>
    <r>
      <rPr>
        <b/>
        <sz val="14"/>
        <color rgb="FFFF0000"/>
        <rFont val="Calibri"/>
        <family val="2"/>
        <scheme val="minor"/>
      </rPr>
      <t xml:space="preserve">
APR 2020 - 25 kWh x 9.79 = 244.75 + 20% (AC) = 293.70 - 329.40 (billing Apr2020) = </t>
    </r>
    <r>
      <rPr>
        <b/>
        <u/>
        <sz val="14"/>
        <color rgb="FFFF0000"/>
        <rFont val="Calibri"/>
        <family val="2"/>
        <scheme val="minor"/>
      </rPr>
      <t>35.70</t>
    </r>
  </si>
  <si>
    <t>* SECURITY
* JANITORIAL SERVICES
* PMS (BUILDING EQUIPMENTS)
* TECHNICAL SERVICES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</si>
  <si>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</si>
  <si>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</si>
  <si>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</si>
  <si>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</si>
  <si>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</si>
  <si>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</si>
  <si>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</si>
  <si>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</si>
  <si>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</si>
  <si>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</si>
  <si>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</si>
  <si>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</si>
  <si>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</si>
  <si>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</si>
  <si>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</si>
  <si>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</si>
  <si>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</si>
  <si>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</si>
  <si>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</si>
  <si>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</si>
  <si>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</si>
  <si>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</si>
  <si>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</si>
  <si>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</si>
  <si>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</si>
  <si>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ASSOCIATION DUES</t>
  </si>
  <si>
    <t>FOR THE MONTH OF NOV 2020</t>
  </si>
  <si>
    <t>BILLING MONTH: NOVEMBER 2020</t>
  </si>
  <si>
    <t>ELECTRICITY - OCT 2020</t>
  </si>
  <si>
    <t>WATER - OCT 2020</t>
  </si>
  <si>
    <t>ASU PAST DUE</t>
  </si>
  <si>
    <t>UTILITY PAST DUE</t>
  </si>
  <si>
    <t>DEC 5 2020</t>
  </si>
  <si>
    <t>DEC 15 2020</t>
  </si>
  <si>
    <t>BILLING MONTH: DECEMBER 2020</t>
  </si>
  <si>
    <t>FOR THE MONTH OF DEC 2020</t>
  </si>
  <si>
    <t>JENIFFER JAMIG</t>
  </si>
  <si>
    <t>BILLING AND COLLECTION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</si>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</sst>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18" fillId="0" borderId="0" xfId="1" applyFont="1"/>
    <xf numFmtId="164" fontId="19" fillId="0" borderId="0" xfId="1" applyFont="1"/>
    <xf numFmtId="0" fontId="21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1221609</xdr:colOff>
      <xdr:row>47</xdr:row>
      <xdr:rowOff>159025</xdr:rowOff>
    </xdr:from>
    <xdr:to>
      <xdr:col>7</xdr:col>
      <xdr:colOff>652830</xdr:colOff>
      <xdr:row>52</xdr:row>
      <xdr:rowOff>143190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5484" y="13322575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877070</xdr:colOff>
      <xdr:row>49</xdr:row>
      <xdr:rowOff>255814</xdr:rowOff>
    </xdr:from>
    <xdr:to>
      <xdr:col>4</xdr:col>
      <xdr:colOff>332015</xdr:colOff>
      <xdr:row>51</xdr:row>
      <xdr:rowOff>95249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541" y="13901057"/>
          <a:ext cx="1713731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1221609</xdr:colOff>
      <xdr:row>46</xdr:row>
      <xdr:rowOff>159025</xdr:rowOff>
    </xdr:from>
    <xdr:to>
      <xdr:col>7</xdr:col>
      <xdr:colOff>652830</xdr:colOff>
      <xdr:row>51</xdr:row>
      <xdr:rowOff>143189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5484" y="13322575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DMO%20LEDGER/VDMO%2012B12%20-%20%20MANGADA%20JR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>
        <row r="23">
          <cell r="L23">
            <v>1914.3400000000001</v>
          </cell>
        </row>
      </sheetData>
      <sheetData sheetId="1">
        <row r="12">
          <cell r="E12">
            <v>6699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view="pageBreakPreview" topLeftCell="A10" zoomScale="80" zoomScaleNormal="80" zoomScaleSheetLayoutView="80" workbookViewId="0">
      <selection activeCell="E24" sqref="E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164.70000000000002</v>
      </c>
      <c r="J16" s="18">
        <f>I16+H16+G16</f>
        <v>164.70000000000002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7" t="s">
        <v>32</v>
      </c>
      <c r="E20" s="97"/>
      <c r="F20" s="46" t="s">
        <v>39</v>
      </c>
      <c r="G20" s="46"/>
      <c r="H20" s="46"/>
      <c r="I20" s="9"/>
      <c r="J20" s="22">
        <v>0</v>
      </c>
      <c r="K20" s="9">
        <f>H21</f>
        <v>164.70000000000002</v>
      </c>
    </row>
    <row r="21" spans="3:11" ht="21" x14ac:dyDescent="0.35">
      <c r="C21" s="39"/>
      <c r="D21" s="8"/>
      <c r="E21" s="8"/>
      <c r="F21" s="46">
        <v>9</v>
      </c>
      <c r="G21" s="46">
        <v>0</v>
      </c>
      <c r="H21" s="47">
        <f>(F21-G21)*18.3</f>
        <v>164.70000000000002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(F25-G25)*120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164.70000000000002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164.70000000000002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9" t="s">
        <v>23</v>
      </c>
      <c r="D55" s="89"/>
      <c r="E55" s="89"/>
      <c r="F55" s="8"/>
      <c r="G55" s="89" t="s">
        <v>24</v>
      </c>
      <c r="H55" s="8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29:H30"/>
    <mergeCell ref="C14:K14"/>
    <mergeCell ref="I3:K4"/>
    <mergeCell ref="F19:H19"/>
    <mergeCell ref="D19:E19"/>
    <mergeCell ref="D20:E20"/>
    <mergeCell ref="F32:H32"/>
    <mergeCell ref="C55:E55"/>
    <mergeCell ref="G55:H55"/>
    <mergeCell ref="G54:H54"/>
    <mergeCell ref="C40:K40"/>
    <mergeCell ref="C54:E54"/>
    <mergeCell ref="C45:K45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L62"/>
  <sheetViews>
    <sheetView topLeftCell="A10" zoomScale="85" zoomScaleNormal="85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62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87</v>
      </c>
      <c r="E16" s="50" t="s">
        <v>88</v>
      </c>
      <c r="F16" s="18"/>
      <c r="G16" s="18"/>
      <c r="H16" s="18">
        <v>5257.19</v>
      </c>
      <c r="I16" s="18">
        <f>K36</f>
        <v>329.4</v>
      </c>
      <c r="J16" s="18">
        <f>I16+H16+G16</f>
        <v>5586.5899999999992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7" t="s">
        <v>32</v>
      </c>
      <c r="E20" s="97"/>
      <c r="F20" s="46" t="s">
        <v>89</v>
      </c>
      <c r="G20" s="46"/>
      <c r="H20" s="46"/>
      <c r="I20" s="9"/>
      <c r="J20" s="22">
        <v>0</v>
      </c>
      <c r="K20" s="9">
        <f>H21</f>
        <v>274.5</v>
      </c>
    </row>
    <row r="21" spans="3:11" ht="21" x14ac:dyDescent="0.35">
      <c r="C21" s="39"/>
      <c r="D21" s="8"/>
      <c r="E21" s="8"/>
      <c r="F21" s="46">
        <v>275</v>
      </c>
      <c r="G21" s="46">
        <v>250</v>
      </c>
      <c r="H21" s="47">
        <f>(F21-G21)*10.98</f>
        <v>274.5</v>
      </c>
      <c r="I21" s="9"/>
      <c r="J21" s="9"/>
      <c r="K21" s="9"/>
    </row>
    <row r="22" spans="3:11" ht="21" x14ac:dyDescent="0.35">
      <c r="C22" s="39"/>
      <c r="D22" s="98" t="s">
        <v>92</v>
      </c>
      <c r="E22" s="98"/>
      <c r="F22" s="99">
        <f>F21-G21</f>
        <v>25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8" t="s">
        <v>93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54.900000000000006</v>
      </c>
      <c r="J28" s="22">
        <v>0</v>
      </c>
      <c r="K28" s="9">
        <f>I28</f>
        <v>54.900000000000006</v>
      </c>
    </row>
    <row r="29" spans="3:11" ht="21" x14ac:dyDescent="0.35">
      <c r="C29" s="100" t="s">
        <v>94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 x14ac:dyDescent="0.35">
      <c r="C31" s="100"/>
      <c r="D31" s="100"/>
      <c r="E31" s="100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329.4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5586.5899999999992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9" t="s">
        <v>17</v>
      </c>
      <c r="D41" s="89"/>
      <c r="E41" s="89"/>
      <c r="F41" s="89"/>
      <c r="G41" s="89"/>
      <c r="H41" s="89"/>
      <c r="I41" s="89"/>
      <c r="J41" s="89"/>
      <c r="K41" s="89"/>
      <c r="L41" s="3"/>
    </row>
    <row r="42" spans="2:12" s="8" customFormat="1" ht="21" x14ac:dyDescent="0.35">
      <c r="B42" s="3"/>
      <c r="C42" s="61" t="s">
        <v>83</v>
      </c>
      <c r="D42" s="61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2"/>
      <c r="D43" s="61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0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1"/>
      <c r="D47" s="91"/>
      <c r="E47" s="91"/>
      <c r="F47" s="91"/>
      <c r="G47" s="91"/>
      <c r="H47" s="91"/>
      <c r="I47" s="91"/>
      <c r="J47" s="91"/>
      <c r="K47" s="9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9" t="s">
        <v>23</v>
      </c>
      <c r="D57" s="89"/>
      <c r="E57" s="89"/>
      <c r="F57" s="8"/>
      <c r="G57" s="89" t="s">
        <v>24</v>
      </c>
      <c r="H57" s="8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L62"/>
  <sheetViews>
    <sheetView topLeftCell="A19" zoomScale="85" zoomScaleNormal="85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62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87</v>
      </c>
      <c r="E16" s="50" t="s">
        <v>88</v>
      </c>
      <c r="F16" s="18"/>
      <c r="G16" s="18"/>
      <c r="H16" s="18" t="e">
        <f>#REF!+#REF!</f>
        <v>#REF!</v>
      </c>
      <c r="I16" s="18">
        <f>K36</f>
        <v>329.4</v>
      </c>
      <c r="J16" s="18" t="e">
        <f>I16+H16+G16</f>
        <v>#REF!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7" t="s">
        <v>32</v>
      </c>
      <c r="E20" s="97"/>
      <c r="F20" s="46" t="s">
        <v>89</v>
      </c>
      <c r="G20" s="46"/>
      <c r="H20" s="46"/>
      <c r="I20" s="9"/>
      <c r="J20" s="22">
        <v>0</v>
      </c>
      <c r="K20" s="9">
        <f>H21</f>
        <v>274.5</v>
      </c>
    </row>
    <row r="21" spans="3:11" ht="21" x14ac:dyDescent="0.35">
      <c r="C21" s="39"/>
      <c r="D21" s="8"/>
      <c r="E21" s="8"/>
      <c r="F21" s="46">
        <v>275</v>
      </c>
      <c r="G21" s="46">
        <v>250</v>
      </c>
      <c r="H21" s="47">
        <f>(F21-G21)*10.98</f>
        <v>274.5</v>
      </c>
      <c r="I21" s="9"/>
      <c r="J21" s="9"/>
      <c r="K21" s="9"/>
    </row>
    <row r="22" spans="3:11" ht="21" x14ac:dyDescent="0.35">
      <c r="C22" s="39"/>
      <c r="D22" s="98" t="s">
        <v>92</v>
      </c>
      <c r="E22" s="98"/>
      <c r="F22" s="99">
        <f>F21-G21</f>
        <v>25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8" t="s">
        <v>93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54.900000000000006</v>
      </c>
      <c r="J28" s="22">
        <v>0</v>
      </c>
      <c r="K28" s="9">
        <f>I28</f>
        <v>54.900000000000006</v>
      </c>
    </row>
    <row r="29" spans="3:11" ht="21" x14ac:dyDescent="0.35">
      <c r="C29" s="100" t="s">
        <v>94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 x14ac:dyDescent="0.35">
      <c r="C31" s="100"/>
      <c r="D31" s="100"/>
      <c r="E31" s="100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329.4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 t="e">
        <f>I16+H16+G16</f>
        <v>#REF!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9" t="s">
        <v>17</v>
      </c>
      <c r="D41" s="89"/>
      <c r="E41" s="89"/>
      <c r="F41" s="89"/>
      <c r="G41" s="89"/>
      <c r="H41" s="89"/>
      <c r="I41" s="89"/>
      <c r="J41" s="89"/>
      <c r="K41" s="89"/>
      <c r="L41" s="3"/>
    </row>
    <row r="42" spans="2:12" s="8" customFormat="1" ht="21" x14ac:dyDescent="0.35">
      <c r="B42" s="3"/>
      <c r="C42" s="61" t="s">
        <v>83</v>
      </c>
      <c r="D42" s="61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2"/>
      <c r="D43" s="61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0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1"/>
      <c r="D47" s="91"/>
      <c r="E47" s="91"/>
      <c r="F47" s="91"/>
      <c r="G47" s="91"/>
      <c r="H47" s="91"/>
      <c r="I47" s="91"/>
      <c r="J47" s="91"/>
      <c r="K47" s="9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9" t="s">
        <v>23</v>
      </c>
      <c r="D57" s="89"/>
      <c r="E57" s="89"/>
      <c r="F57" s="8"/>
      <c r="G57" s="89" t="s">
        <v>24</v>
      </c>
      <c r="H57" s="8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2:L62"/>
  <sheetViews>
    <sheetView topLeftCell="A13" zoomScale="85" zoomScaleNormal="85" workbookViewId="0">
      <selection activeCell="C29" sqref="C29:E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62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96</v>
      </c>
      <c r="E16" s="50" t="s">
        <v>97</v>
      </c>
      <c r="F16" s="18"/>
      <c r="G16" s="18"/>
      <c r="H16" s="18">
        <v>1086.5899999999999</v>
      </c>
      <c r="I16" s="18">
        <f>K36</f>
        <v>502.24</v>
      </c>
      <c r="J16" s="18">
        <f>I16+H16+G16</f>
        <v>1588.83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7" t="s">
        <v>32</v>
      </c>
      <c r="E20" s="97"/>
      <c r="F20" s="46" t="s">
        <v>98</v>
      </c>
      <c r="G20" s="46"/>
      <c r="H20" s="46"/>
      <c r="I20" s="9"/>
      <c r="J20" s="22">
        <v>0</v>
      </c>
      <c r="K20" s="9">
        <f>H21</f>
        <v>401.39</v>
      </c>
    </row>
    <row r="21" spans="3:11" ht="21" x14ac:dyDescent="0.35">
      <c r="C21" s="39"/>
      <c r="D21" s="8"/>
      <c r="E21" s="8"/>
      <c r="F21" s="46">
        <v>316</v>
      </c>
      <c r="G21" s="46">
        <v>275</v>
      </c>
      <c r="H21" s="47">
        <f>(F21-G21)*9.79</f>
        <v>401.39</v>
      </c>
      <c r="I21" s="9"/>
      <c r="J21" s="9"/>
      <c r="K21" s="9"/>
    </row>
    <row r="22" spans="3:11" ht="21" x14ac:dyDescent="0.35">
      <c r="C22" s="39"/>
      <c r="D22" s="98" t="s">
        <v>92</v>
      </c>
      <c r="E22" s="98"/>
      <c r="F22" s="99">
        <f>F21-G21</f>
        <v>41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9</v>
      </c>
      <c r="G25" s="46">
        <v>8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8" t="s">
        <v>93</v>
      </c>
      <c r="E26" s="98"/>
      <c r="F26" s="99">
        <f>F25-G25</f>
        <v>1</v>
      </c>
      <c r="G26" s="99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99.83</v>
      </c>
      <c r="J28" s="22">
        <v>0</v>
      </c>
      <c r="K28" s="9">
        <f>I28</f>
        <v>99.83</v>
      </c>
    </row>
    <row r="29" spans="3:11" ht="21" customHeight="1" x14ac:dyDescent="0.35">
      <c r="C29" s="100" t="s">
        <v>104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0"/>
      <c r="D31" s="100"/>
      <c r="E31" s="100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95.1" customHeight="1" x14ac:dyDescent="0.35">
      <c r="C33" s="38"/>
      <c r="D33" s="102" t="s">
        <v>100</v>
      </c>
      <c r="E33" s="102"/>
      <c r="F33" s="103" t="s">
        <v>103</v>
      </c>
      <c r="G33" s="103"/>
      <c r="H33" s="103"/>
      <c r="I33" s="103"/>
      <c r="J33" s="70">
        <v>0</v>
      </c>
      <c r="K33" s="71">
        <f>(61.04+35.7)</f>
        <v>96.740000000000009</v>
      </c>
    </row>
    <row r="34" spans="2:12" ht="27" customHeight="1" x14ac:dyDescent="0.35">
      <c r="C34" s="40"/>
      <c r="D34" s="44"/>
      <c r="E34" s="44"/>
      <c r="F34" s="66"/>
      <c r="G34" s="66"/>
      <c r="H34" s="6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502.24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1588.83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3.25" x14ac:dyDescent="0.35">
      <c r="B43" s="3"/>
      <c r="C43" s="72" t="s">
        <v>83</v>
      </c>
      <c r="D43" s="61" t="s">
        <v>101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1" t="s">
        <v>102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1" t="s">
        <v>85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1"/>
      <c r="D47" s="91"/>
      <c r="E47" s="91"/>
      <c r="F47" s="91"/>
      <c r="G47" s="91"/>
      <c r="H47" s="91"/>
      <c r="I47" s="91"/>
      <c r="J47" s="91"/>
      <c r="K47" s="9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9" t="s">
        <v>23</v>
      </c>
      <c r="D57" s="89"/>
      <c r="E57" s="89"/>
      <c r="F57" s="8"/>
      <c r="G57" s="89" t="s">
        <v>24</v>
      </c>
      <c r="H57" s="8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0" zoomScale="85" zoomScaleNormal="85" workbookViewId="0">
      <selection activeCell="P31" sqref="P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62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106</v>
      </c>
      <c r="E16" s="50" t="s">
        <v>107</v>
      </c>
      <c r="F16" s="18"/>
      <c r="G16" s="18"/>
      <c r="H16" s="18">
        <v>1588.83</v>
      </c>
      <c r="I16" s="18">
        <f>K34</f>
        <v>1007.51</v>
      </c>
      <c r="J16" s="18">
        <f>I16+H16+G16</f>
        <v>2596.34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7" t="s">
        <v>32</v>
      </c>
      <c r="E20" s="97"/>
      <c r="F20" s="46" t="s">
        <v>108</v>
      </c>
      <c r="G20" s="46"/>
      <c r="H20" s="46"/>
      <c r="I20" s="9"/>
      <c r="J20" s="22">
        <v>0</v>
      </c>
      <c r="K20" s="9">
        <f>H21</f>
        <v>913.9</v>
      </c>
    </row>
    <row r="21" spans="3:11" ht="21" x14ac:dyDescent="0.35">
      <c r="C21" s="39"/>
      <c r="D21" s="8"/>
      <c r="E21" s="8"/>
      <c r="F21" s="46">
        <v>411</v>
      </c>
      <c r="G21" s="46">
        <v>316</v>
      </c>
      <c r="H21" s="47">
        <f>(F21-G21)*9.62</f>
        <v>913.9</v>
      </c>
      <c r="I21" s="9"/>
      <c r="J21" s="9"/>
      <c r="K21" s="9"/>
    </row>
    <row r="22" spans="3:11" ht="21" x14ac:dyDescent="0.35">
      <c r="C22" s="39"/>
      <c r="D22" s="98" t="s">
        <v>92</v>
      </c>
      <c r="E22" s="98"/>
      <c r="F22" s="99">
        <f>F21-G21</f>
        <v>95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9</v>
      </c>
      <c r="G25" s="46">
        <v>8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8" t="s">
        <v>93</v>
      </c>
      <c r="E26" s="98"/>
      <c r="F26" s="99">
        <f>F25-G25</f>
        <v>1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7"/>
      <c r="D28" s="77"/>
      <c r="E28" s="77"/>
      <c r="F28" s="8"/>
      <c r="G28" s="8"/>
      <c r="H28" s="8"/>
      <c r="I28" s="9"/>
      <c r="J28" s="22"/>
      <c r="K28" s="9"/>
    </row>
    <row r="29" spans="3:11" ht="21" x14ac:dyDescent="0.35">
      <c r="C29" s="77"/>
      <c r="D29" s="77"/>
      <c r="E29" s="77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7"/>
      <c r="D30" s="77"/>
      <c r="E30" s="77"/>
      <c r="F30" s="88"/>
      <c r="G30" s="88"/>
      <c r="H30" s="88"/>
      <c r="I30" s="9"/>
      <c r="J30" s="9"/>
      <c r="K30" s="9"/>
    </row>
    <row r="31" spans="3:11" ht="60" customHeight="1" x14ac:dyDescent="0.35">
      <c r="C31" s="38"/>
      <c r="D31" s="102" t="s">
        <v>100</v>
      </c>
      <c r="E31" s="102"/>
      <c r="F31" s="103" t="s">
        <v>110</v>
      </c>
      <c r="G31" s="103"/>
      <c r="H31" s="103"/>
      <c r="I31" s="103"/>
      <c r="J31" s="71">
        <v>0</v>
      </c>
      <c r="K31" s="71">
        <f>2.61</f>
        <v>2.61</v>
      </c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1007.51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2596.34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1" t="s">
        <v>17</v>
      </c>
      <c r="D39" s="101"/>
      <c r="E39" s="101"/>
      <c r="F39" s="101"/>
      <c r="G39" s="101"/>
      <c r="H39" s="101"/>
      <c r="I39" s="101"/>
      <c r="J39" s="101"/>
      <c r="K39" s="101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1"/>
      <c r="D42" s="91"/>
      <c r="E42" s="91"/>
      <c r="F42" s="91"/>
      <c r="G42" s="91"/>
      <c r="H42" s="91"/>
      <c r="I42" s="91"/>
      <c r="J42" s="91"/>
      <c r="K42" s="91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0" t="s">
        <v>33</v>
      </c>
      <c r="D51" s="90"/>
      <c r="E51" s="90"/>
      <c r="F51" s="8"/>
      <c r="G51" s="90" t="s">
        <v>31</v>
      </c>
      <c r="H51" s="90"/>
      <c r="I51" s="9"/>
      <c r="J51" s="9"/>
      <c r="K51" s="9"/>
    </row>
    <row r="52" spans="3:11" ht="21" x14ac:dyDescent="0.35">
      <c r="C52" s="89" t="s">
        <v>23</v>
      </c>
      <c r="D52" s="89"/>
      <c r="E52" s="89"/>
      <c r="F52" s="8"/>
      <c r="G52" s="89" t="s">
        <v>24</v>
      </c>
      <c r="H52" s="8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62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112</v>
      </c>
      <c r="E16" s="50" t="s">
        <v>113</v>
      </c>
      <c r="F16" s="18"/>
      <c r="G16" s="18"/>
      <c r="H16" s="18">
        <v>2596.34</v>
      </c>
      <c r="I16" s="18">
        <f>K34</f>
        <v>584.35</v>
      </c>
      <c r="J16" s="18">
        <f>I16+H16+G16</f>
        <v>3180.69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7" t="s">
        <v>32</v>
      </c>
      <c r="E20" s="97"/>
      <c r="F20" s="46" t="s">
        <v>114</v>
      </c>
      <c r="G20" s="46"/>
      <c r="H20" s="46"/>
      <c r="I20" s="9"/>
      <c r="J20" s="22">
        <v>0</v>
      </c>
      <c r="K20" s="9">
        <f>H21</f>
        <v>584.35</v>
      </c>
    </row>
    <row r="21" spans="3:11" ht="21" x14ac:dyDescent="0.35">
      <c r="C21" s="39"/>
      <c r="D21" s="8"/>
      <c r="E21" s="8"/>
      <c r="F21" s="46">
        <v>476</v>
      </c>
      <c r="G21" s="46">
        <v>411</v>
      </c>
      <c r="H21" s="47">
        <f>(F21-G21)*8.99</f>
        <v>584.35</v>
      </c>
      <c r="I21" s="9"/>
      <c r="J21" s="9"/>
      <c r="K21" s="9"/>
    </row>
    <row r="22" spans="3:11" ht="21" x14ac:dyDescent="0.35">
      <c r="C22" s="39"/>
      <c r="D22" s="98" t="s">
        <v>92</v>
      </c>
      <c r="E22" s="98"/>
      <c r="F22" s="99">
        <f>F21-G21</f>
        <v>65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8" t="s">
        <v>93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7"/>
      <c r="D28" s="77"/>
      <c r="E28" s="77"/>
      <c r="F28" s="8"/>
      <c r="G28" s="8"/>
      <c r="H28" s="8"/>
      <c r="I28" s="9"/>
      <c r="J28" s="22"/>
      <c r="K28" s="9"/>
    </row>
    <row r="29" spans="3:11" ht="21" x14ac:dyDescent="0.35">
      <c r="C29" s="77"/>
      <c r="D29" s="77"/>
      <c r="E29" s="77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7"/>
      <c r="D30" s="77"/>
      <c r="E30" s="77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102"/>
      <c r="E31" s="102"/>
      <c r="F31" s="103"/>
      <c r="G31" s="103"/>
      <c r="H31" s="103"/>
      <c r="I31" s="103"/>
      <c r="J31" s="71"/>
      <c r="K31" s="71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584.35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3180.69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1" t="s">
        <v>17</v>
      </c>
      <c r="D39" s="101"/>
      <c r="E39" s="101"/>
      <c r="F39" s="101"/>
      <c r="G39" s="101"/>
      <c r="H39" s="101"/>
      <c r="I39" s="101"/>
      <c r="J39" s="101"/>
      <c r="K39" s="101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9" t="s">
        <v>23</v>
      </c>
      <c r="D53" s="89"/>
      <c r="E53" s="89"/>
      <c r="F53" s="8"/>
      <c r="G53" s="89" t="s">
        <v>24</v>
      </c>
      <c r="H53" s="8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85" zoomScaleNormal="85" workbookViewId="0">
      <selection activeCell="O14" sqref="O1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62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117</v>
      </c>
      <c r="E16" s="50" t="s">
        <v>118</v>
      </c>
      <c r="F16" s="18"/>
      <c r="G16" s="18"/>
      <c r="H16" s="18">
        <v>3180.69</v>
      </c>
      <c r="I16" s="18">
        <f>K34</f>
        <v>407.70000000000005</v>
      </c>
      <c r="J16" s="18">
        <f>I16+H16+G16</f>
        <v>3588.3900000000003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7" t="s">
        <v>32</v>
      </c>
      <c r="E20" s="97"/>
      <c r="F20" s="46" t="s">
        <v>119</v>
      </c>
      <c r="G20" s="46"/>
      <c r="H20" s="46"/>
      <c r="I20" s="9"/>
      <c r="J20" s="22">
        <v>0</v>
      </c>
      <c r="K20" s="9">
        <f>H21</f>
        <v>407.70000000000005</v>
      </c>
    </row>
    <row r="21" spans="3:11" ht="21" x14ac:dyDescent="0.35">
      <c r="C21" s="39"/>
      <c r="D21" s="8"/>
      <c r="E21" s="8"/>
      <c r="F21" s="46">
        <v>521</v>
      </c>
      <c r="G21" s="46">
        <v>476</v>
      </c>
      <c r="H21" s="47">
        <f>(F21-G21)*9.06</f>
        <v>407.70000000000005</v>
      </c>
      <c r="I21" s="9"/>
      <c r="J21" s="9"/>
      <c r="K21" s="9"/>
    </row>
    <row r="22" spans="3:11" ht="21" x14ac:dyDescent="0.35">
      <c r="C22" s="39"/>
      <c r="D22" s="98" t="s">
        <v>92</v>
      </c>
      <c r="E22" s="98"/>
      <c r="F22" s="99">
        <f>F21-G21</f>
        <v>45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120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8" t="s">
        <v>93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7"/>
      <c r="D28" s="77"/>
      <c r="E28" s="77"/>
      <c r="F28" s="8"/>
      <c r="G28" s="8"/>
      <c r="H28" s="8"/>
      <c r="I28" s="9"/>
      <c r="J28" s="22"/>
      <c r="K28" s="9"/>
    </row>
    <row r="29" spans="3:11" ht="21" x14ac:dyDescent="0.35">
      <c r="C29" s="77"/>
      <c r="D29" s="77"/>
      <c r="E29" s="77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7"/>
      <c r="D30" s="77"/>
      <c r="E30" s="77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102"/>
      <c r="E31" s="102"/>
      <c r="F31" s="103"/>
      <c r="G31" s="103"/>
      <c r="H31" s="103"/>
      <c r="I31" s="103"/>
      <c r="J31" s="71"/>
      <c r="K31" s="71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407.70000000000005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3588.3900000000003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1" t="s">
        <v>17</v>
      </c>
      <c r="D39" s="101"/>
      <c r="E39" s="101"/>
      <c r="F39" s="101"/>
      <c r="G39" s="101"/>
      <c r="H39" s="101"/>
      <c r="I39" s="101"/>
      <c r="J39" s="101"/>
      <c r="K39" s="101"/>
      <c r="L39" s="3"/>
    </row>
    <row r="40" spans="2:12" s="8" customFormat="1" ht="21" x14ac:dyDescent="0.35">
      <c r="B40" s="3"/>
      <c r="C40" s="79"/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9" t="s">
        <v>23</v>
      </c>
      <c r="D53" s="89"/>
      <c r="E53" s="89"/>
      <c r="F53" s="8"/>
      <c r="G53" s="89" t="s">
        <v>24</v>
      </c>
      <c r="H53" s="8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70" zoomScaleNormal="70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62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122</v>
      </c>
      <c r="E16" s="50" t="s">
        <v>123</v>
      </c>
      <c r="F16" s="18"/>
      <c r="G16" s="18"/>
      <c r="H16" s="18">
        <v>1588.39</v>
      </c>
      <c r="I16" s="18">
        <f>K34</f>
        <v>636.27</v>
      </c>
      <c r="J16" s="18">
        <f>I16+H16+G16</f>
        <v>2224.66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7" t="s">
        <v>32</v>
      </c>
      <c r="E20" s="97"/>
      <c r="F20" s="46" t="s">
        <v>124</v>
      </c>
      <c r="G20" s="46"/>
      <c r="H20" s="46"/>
      <c r="I20" s="9"/>
      <c r="J20" s="22">
        <v>0</v>
      </c>
      <c r="K20" s="9">
        <f>H21</f>
        <v>440.13000000000005</v>
      </c>
    </row>
    <row r="21" spans="3:11" ht="21" x14ac:dyDescent="0.35">
      <c r="C21" s="39"/>
      <c r="D21" s="8"/>
      <c r="E21" s="8"/>
      <c r="F21" s="46">
        <v>572</v>
      </c>
      <c r="G21" s="46">
        <v>521</v>
      </c>
      <c r="H21" s="47">
        <f>(F21-G21)*8.63</f>
        <v>440.13000000000005</v>
      </c>
      <c r="I21" s="9"/>
      <c r="J21" s="9"/>
      <c r="K21" s="9"/>
    </row>
    <row r="22" spans="3:11" ht="21" x14ac:dyDescent="0.35">
      <c r="C22" s="39"/>
      <c r="D22" s="98" t="s">
        <v>92</v>
      </c>
      <c r="E22" s="98"/>
      <c r="F22" s="99">
        <f>F21-G21</f>
        <v>51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125</v>
      </c>
      <c r="G24" s="46"/>
      <c r="H24" s="46"/>
      <c r="I24" s="9"/>
      <c r="J24" s="22">
        <v>0</v>
      </c>
      <c r="K24" s="9">
        <f>H25</f>
        <v>196.14</v>
      </c>
    </row>
    <row r="25" spans="3:11" ht="21" x14ac:dyDescent="0.35">
      <c r="C25" s="39"/>
      <c r="D25" s="8"/>
      <c r="E25" s="8"/>
      <c r="F25" s="46">
        <v>11</v>
      </c>
      <c r="G25" s="46">
        <v>9</v>
      </c>
      <c r="H25" s="47">
        <f>(F25-G25)*98.07</f>
        <v>196.14</v>
      </c>
      <c r="I25" s="9"/>
      <c r="J25" s="9"/>
      <c r="K25" s="9"/>
    </row>
    <row r="26" spans="3:11" ht="21" x14ac:dyDescent="0.35">
      <c r="C26" s="39"/>
      <c r="D26" s="98" t="s">
        <v>93</v>
      </c>
      <c r="E26" s="98"/>
      <c r="F26" s="99">
        <f>F25-G25</f>
        <v>2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7"/>
      <c r="D28" s="77"/>
      <c r="E28" s="77"/>
      <c r="F28" s="8"/>
      <c r="G28" s="8"/>
      <c r="H28" s="8"/>
      <c r="I28" s="9"/>
      <c r="J28" s="22"/>
      <c r="K28" s="9"/>
    </row>
    <row r="29" spans="3:11" ht="21" x14ac:dyDescent="0.35">
      <c r="C29" s="77"/>
      <c r="D29" s="77"/>
      <c r="E29" s="77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7"/>
      <c r="D30" s="77"/>
      <c r="E30" s="77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102"/>
      <c r="E31" s="102"/>
      <c r="F31" s="103"/>
      <c r="G31" s="103"/>
      <c r="H31" s="103"/>
      <c r="I31" s="103"/>
      <c r="J31" s="71"/>
      <c r="K31" s="71"/>
    </row>
    <row r="32" spans="3:11" ht="27" customHeight="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636.27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2224.66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1" t="s">
        <v>17</v>
      </c>
      <c r="D39" s="101"/>
      <c r="E39" s="101"/>
      <c r="F39" s="101"/>
      <c r="G39" s="101"/>
      <c r="H39" s="101"/>
      <c r="I39" s="101"/>
      <c r="J39" s="101"/>
      <c r="K39" s="101"/>
      <c r="L39" s="3"/>
    </row>
    <row r="40" spans="2:12" s="8" customFormat="1" ht="21" x14ac:dyDescent="0.35">
      <c r="B40" s="3"/>
      <c r="C40" s="81"/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9" t="s">
        <v>23</v>
      </c>
      <c r="D53" s="89"/>
      <c r="E53" s="89"/>
      <c r="F53" s="8"/>
      <c r="G53" s="89" t="s">
        <v>24</v>
      </c>
      <c r="H53" s="8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62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135</v>
      </c>
      <c r="H15" s="13" t="s">
        <v>136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126</v>
      </c>
      <c r="E16" s="50" t="s">
        <v>127</v>
      </c>
      <c r="F16" s="18"/>
      <c r="G16" s="18">
        <v>5359.2</v>
      </c>
      <c r="H16" s="18">
        <v>2224.66</v>
      </c>
      <c r="I16" s="18">
        <f>K34</f>
        <v>1844.88</v>
      </c>
      <c r="J16" s="18">
        <f>I16+H16+G16</f>
        <v>9428.74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4" t="s">
        <v>133</v>
      </c>
      <c r="E20" s="104"/>
      <c r="F20" s="46" t="s">
        <v>128</v>
      </c>
      <c r="G20" s="46"/>
      <c r="H20" s="46"/>
      <c r="I20" s="9"/>
      <c r="J20" s="22">
        <v>0</v>
      </c>
      <c r="K20" s="9">
        <f>H21</f>
        <v>505.08000000000004</v>
      </c>
    </row>
    <row r="21" spans="3:11" ht="21" x14ac:dyDescent="0.35">
      <c r="C21" s="39"/>
      <c r="D21" s="8"/>
      <c r="E21" s="8"/>
      <c r="F21" s="46">
        <v>641</v>
      </c>
      <c r="G21" s="46">
        <v>572</v>
      </c>
      <c r="H21" s="47">
        <f>(F21-G21)*7.32</f>
        <v>505.08000000000004</v>
      </c>
      <c r="I21" s="9"/>
      <c r="J21" s="9"/>
      <c r="K21" s="9"/>
    </row>
    <row r="22" spans="3:11" ht="21" x14ac:dyDescent="0.35">
      <c r="C22" s="39"/>
      <c r="D22" s="98" t="s">
        <v>92</v>
      </c>
      <c r="E22" s="98"/>
      <c r="F22" s="99">
        <f>F21-G21</f>
        <v>69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134</v>
      </c>
      <c r="E24" s="8"/>
      <c r="F24" s="46" t="s">
        <v>129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8" t="s">
        <v>93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4" t="s">
        <v>130</v>
      </c>
      <c r="E28" s="104"/>
      <c r="F28" s="46" t="s">
        <v>131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77"/>
      <c r="D30" s="77"/>
      <c r="E30" s="77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102"/>
      <c r="E31" s="102"/>
      <c r="F31" s="103"/>
      <c r="G31" s="103"/>
      <c r="H31" s="103"/>
      <c r="I31" s="103"/>
      <c r="J31" s="71"/>
      <c r="K31" s="71"/>
    </row>
    <row r="32" spans="3:11" ht="27" customHeight="1" x14ac:dyDescent="0.35">
      <c r="C32" s="40"/>
      <c r="D32" s="44"/>
      <c r="E32" s="44"/>
      <c r="F32" s="82"/>
      <c r="G32" s="82"/>
      <c r="H32" s="8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1844.88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9428.74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1" t="s">
        <v>17</v>
      </c>
      <c r="D39" s="101"/>
      <c r="E39" s="101"/>
      <c r="F39" s="101"/>
      <c r="G39" s="101"/>
      <c r="H39" s="101"/>
      <c r="I39" s="101"/>
      <c r="J39" s="101"/>
      <c r="K39" s="101"/>
      <c r="L39" s="3"/>
    </row>
    <row r="40" spans="2:12" s="8" customFormat="1" ht="21" x14ac:dyDescent="0.35">
      <c r="B40" s="3"/>
      <c r="C40" s="83"/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9" t="s">
        <v>23</v>
      </c>
      <c r="D53" s="89"/>
      <c r="E53" s="89"/>
      <c r="F53" s="8"/>
      <c r="G53" s="89" t="s">
        <v>24</v>
      </c>
      <c r="H53" s="8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3" zoomScale="70" zoomScaleNormal="70" workbookViewId="0">
      <selection activeCell="O27" sqref="O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62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135</v>
      </c>
      <c r="H15" s="13" t="s">
        <v>136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137</v>
      </c>
      <c r="E16" s="50" t="s">
        <v>138</v>
      </c>
      <c r="F16" s="18"/>
      <c r="G16" s="18">
        <f>[1]ASU!$E$12</f>
        <v>6699</v>
      </c>
      <c r="H16" s="18">
        <f>'[1]WTR ELEC'!$L$23</f>
        <v>1914.3400000000001</v>
      </c>
      <c r="I16" s="18">
        <f>K33</f>
        <v>2286.16</v>
      </c>
      <c r="J16" s="18">
        <f>I16+H16+G16</f>
        <v>10899.5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4" t="s">
        <v>32</v>
      </c>
      <c r="E20" s="104"/>
      <c r="F20" s="46" t="s">
        <v>143</v>
      </c>
      <c r="G20" s="46"/>
      <c r="H20" s="46"/>
      <c r="I20" s="9"/>
      <c r="J20" s="22">
        <v>0</v>
      </c>
      <c r="K20" s="9">
        <f>H21</f>
        <v>946.3599999999999</v>
      </c>
    </row>
    <row r="21" spans="3:11" ht="21" x14ac:dyDescent="0.35">
      <c r="C21" s="39"/>
      <c r="D21" s="8"/>
      <c r="E21" s="8"/>
      <c r="F21" s="46">
        <v>759</v>
      </c>
      <c r="G21" s="46">
        <v>641</v>
      </c>
      <c r="H21" s="47">
        <f>(F21-G21)*8.02</f>
        <v>946.3599999999999</v>
      </c>
      <c r="I21" s="9"/>
      <c r="J21" s="9"/>
      <c r="K21" s="9"/>
    </row>
    <row r="22" spans="3:11" ht="21" x14ac:dyDescent="0.35">
      <c r="C22" s="39"/>
      <c r="D22" s="98" t="s">
        <v>92</v>
      </c>
      <c r="E22" s="98"/>
      <c r="F22" s="99">
        <f>F21-G21</f>
        <v>118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144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8" t="s">
        <v>93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4" t="s">
        <v>130</v>
      </c>
      <c r="E28" s="104"/>
      <c r="F28" s="46" t="s">
        <v>140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21" customHeight="1" x14ac:dyDescent="0.35">
      <c r="C30" s="38"/>
      <c r="D30" s="102"/>
      <c r="E30" s="102"/>
      <c r="F30" s="103"/>
      <c r="G30" s="103"/>
      <c r="H30" s="103"/>
      <c r="I30" s="103"/>
      <c r="J30" s="71"/>
      <c r="K30" s="71"/>
    </row>
    <row r="31" spans="3:11" ht="27" customHeight="1" x14ac:dyDescent="0.35">
      <c r="C31" s="40"/>
      <c r="D31" s="44"/>
      <c r="E31" s="44"/>
      <c r="F31" s="84"/>
      <c r="G31" s="84"/>
      <c r="H31" s="84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2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(K20+K24+K29)</f>
        <v>2286.16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I16+H16+G16</f>
        <v>10899.5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101" t="s">
        <v>17</v>
      </c>
      <c r="D38" s="101"/>
      <c r="E38" s="101"/>
      <c r="F38" s="101"/>
      <c r="G38" s="101"/>
      <c r="H38" s="101"/>
      <c r="I38" s="101"/>
      <c r="J38" s="101"/>
      <c r="K38" s="101"/>
      <c r="L38" s="3"/>
    </row>
    <row r="39" spans="2:12" s="8" customFormat="1" ht="21" x14ac:dyDescent="0.35">
      <c r="B39" s="3"/>
      <c r="C39" s="85"/>
      <c r="D39" s="85"/>
      <c r="E39" s="85"/>
      <c r="F39" s="85"/>
      <c r="G39" s="85"/>
      <c r="H39" s="85"/>
      <c r="I39" s="85"/>
      <c r="J39" s="85"/>
      <c r="K39" s="85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1"/>
      <c r="D42" s="91"/>
      <c r="E42" s="91"/>
      <c r="F42" s="91"/>
      <c r="G42" s="91"/>
      <c r="H42" s="91"/>
      <c r="I42" s="91"/>
      <c r="J42" s="91"/>
      <c r="K42" s="91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0" t="s">
        <v>141</v>
      </c>
      <c r="D51" s="90"/>
      <c r="E51" s="90"/>
      <c r="F51" s="8"/>
      <c r="G51" s="90" t="s">
        <v>31</v>
      </c>
      <c r="H51" s="90"/>
      <c r="I51" s="9"/>
      <c r="J51" s="9"/>
      <c r="K51" s="9"/>
    </row>
    <row r="52" spans="3:11" ht="21" x14ac:dyDescent="0.35">
      <c r="C52" s="89" t="s">
        <v>142</v>
      </c>
      <c r="D52" s="89"/>
      <c r="E52" s="89"/>
      <c r="F52" s="8"/>
      <c r="G52" s="89" t="s">
        <v>24</v>
      </c>
      <c r="H52" s="8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2:K42"/>
    <mergeCell ref="C51:E51"/>
    <mergeCell ref="G51:H51"/>
    <mergeCell ref="C52:E52"/>
    <mergeCell ref="G52:H52"/>
    <mergeCell ref="C38:K38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0:E30"/>
    <mergeCell ref="F30:I30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0"/>
  <sheetViews>
    <sheetView topLeftCell="A7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>
        <v>164.7</v>
      </c>
      <c r="I16" s="18">
        <f>K35</f>
        <v>992.04</v>
      </c>
      <c r="J16" s="18">
        <f>I16+H16+G16</f>
        <v>1156.74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7" t="s">
        <v>32</v>
      </c>
      <c r="E20" s="97"/>
      <c r="F20" s="46" t="s">
        <v>44</v>
      </c>
      <c r="G20" s="46"/>
      <c r="H20" s="46"/>
      <c r="I20" s="9"/>
      <c r="J20" s="22">
        <v>0</v>
      </c>
      <c r="K20" s="9">
        <f>H21</f>
        <v>644.4</v>
      </c>
    </row>
    <row r="21" spans="3:11" ht="21" x14ac:dyDescent="0.35">
      <c r="C21" s="39"/>
      <c r="D21" s="8"/>
      <c r="E21" s="8"/>
      <c r="F21" s="46">
        <v>45</v>
      </c>
      <c r="G21" s="46">
        <v>9</v>
      </c>
      <c r="H21" s="47">
        <f>(F21-G21)*17.9</f>
        <v>644.4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347.64</v>
      </c>
    </row>
    <row r="25" spans="3:11" ht="21" x14ac:dyDescent="0.35">
      <c r="C25" s="39"/>
      <c r="D25" s="8"/>
      <c r="E25" s="8"/>
      <c r="F25" s="46">
        <v>3</v>
      </c>
      <c r="G25" s="46">
        <v>0</v>
      </c>
      <c r="H25" s="47">
        <f>(F25-G25)*115.88</f>
        <v>347.64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992.04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1156.74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9" t="s">
        <v>23</v>
      </c>
      <c r="D55" s="89"/>
      <c r="E55" s="89"/>
      <c r="F55" s="8"/>
      <c r="G55" s="89" t="s">
        <v>24</v>
      </c>
      <c r="H55" s="8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0"/>
  <sheetViews>
    <sheetView topLeftCell="A7" workbookViewId="0">
      <selection activeCell="G28" sqref="G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1156.74</v>
      </c>
      <c r="I16" s="18">
        <f>K35</f>
        <v>721.96</v>
      </c>
      <c r="J16" s="18">
        <f>I16+H16+G16</f>
        <v>1878.7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7" t="s">
        <v>32</v>
      </c>
      <c r="E20" s="97"/>
      <c r="F20" s="46" t="s">
        <v>49</v>
      </c>
      <c r="G20" s="46"/>
      <c r="H20" s="46"/>
      <c r="I20" s="9"/>
      <c r="J20" s="22">
        <v>0</v>
      </c>
      <c r="K20" s="9">
        <f>H21</f>
        <v>489.6</v>
      </c>
    </row>
    <row r="21" spans="3:11" ht="21" x14ac:dyDescent="0.35">
      <c r="C21" s="39"/>
      <c r="D21" s="8"/>
      <c r="E21" s="8"/>
      <c r="F21" s="46">
        <v>75</v>
      </c>
      <c r="G21" s="46">
        <v>45</v>
      </c>
      <c r="H21" s="47">
        <f>(F21-G21)*16.32</f>
        <v>489.6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232.36</v>
      </c>
    </row>
    <row r="25" spans="3:11" ht="21" x14ac:dyDescent="0.35">
      <c r="C25" s="39"/>
      <c r="D25" s="8"/>
      <c r="E25" s="8"/>
      <c r="F25" s="46">
        <v>5</v>
      </c>
      <c r="G25" s="46">
        <v>3</v>
      </c>
      <c r="H25" s="47">
        <f>(F25-G25)*116.18</f>
        <v>232.36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721.96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1878.7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9" t="s">
        <v>23</v>
      </c>
      <c r="D55" s="89"/>
      <c r="E55" s="89"/>
      <c r="F55" s="8"/>
      <c r="G55" s="89" t="s">
        <v>24</v>
      </c>
      <c r="H55" s="8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0"/>
  <sheetViews>
    <sheetView topLeftCell="A4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53</v>
      </c>
      <c r="E16" s="50" t="s">
        <v>54</v>
      </c>
      <c r="F16" s="18"/>
      <c r="G16" s="18"/>
      <c r="H16" s="18">
        <v>1878.7</v>
      </c>
      <c r="I16" s="18">
        <f>K35</f>
        <v>969.8900000000001</v>
      </c>
      <c r="J16" s="18">
        <f>I16+H16+G16</f>
        <v>2848.59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7" t="s">
        <v>32</v>
      </c>
      <c r="E20" s="97"/>
      <c r="F20" s="46" t="s">
        <v>55</v>
      </c>
      <c r="G20" s="46"/>
      <c r="H20" s="46"/>
      <c r="I20" s="9"/>
      <c r="J20" s="22">
        <v>0</v>
      </c>
      <c r="K20" s="9">
        <f>H21</f>
        <v>853.84000000000015</v>
      </c>
    </row>
    <row r="21" spans="3:11" ht="21" x14ac:dyDescent="0.35">
      <c r="C21" s="39"/>
      <c r="D21" s="8"/>
      <c r="E21" s="8"/>
      <c r="F21" s="46">
        <v>127</v>
      </c>
      <c r="G21" s="46">
        <v>75</v>
      </c>
      <c r="H21" s="47">
        <f>(F21-G21)*16.42</f>
        <v>853.84000000000015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116.05</v>
      </c>
    </row>
    <row r="25" spans="3:11" ht="21" x14ac:dyDescent="0.35">
      <c r="C25" s="39"/>
      <c r="D25" s="8"/>
      <c r="E25" s="8"/>
      <c r="F25" s="46">
        <v>6</v>
      </c>
      <c r="G25" s="46">
        <v>5</v>
      </c>
      <c r="H25" s="47">
        <f>(F25-G25)*116.05</f>
        <v>116.05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969.8900000000001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2848.59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9" t="s">
        <v>23</v>
      </c>
      <c r="D55" s="89"/>
      <c r="E55" s="89"/>
      <c r="F55" s="8"/>
      <c r="G55" s="89" t="s">
        <v>24</v>
      </c>
      <c r="H55" s="8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L60"/>
  <sheetViews>
    <sheetView topLeftCell="A10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62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58</v>
      </c>
      <c r="E16" s="50" t="s">
        <v>59</v>
      </c>
      <c r="F16" s="18"/>
      <c r="G16" s="18"/>
      <c r="H16" s="18">
        <v>2848.59</v>
      </c>
      <c r="I16" s="18">
        <f>K35</f>
        <v>295.56000000000006</v>
      </c>
      <c r="J16" s="18">
        <f>I16+H16+G16</f>
        <v>3144.15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7" t="s">
        <v>32</v>
      </c>
      <c r="E20" s="97"/>
      <c r="F20" s="46" t="s">
        <v>60</v>
      </c>
      <c r="G20" s="46"/>
      <c r="H20" s="46"/>
      <c r="I20" s="9"/>
      <c r="J20" s="22">
        <v>0</v>
      </c>
      <c r="K20" s="9">
        <f>H21</f>
        <v>295.56000000000006</v>
      </c>
    </row>
    <row r="21" spans="3:11" ht="21" x14ac:dyDescent="0.35">
      <c r="C21" s="39"/>
      <c r="D21" s="8"/>
      <c r="E21" s="8"/>
      <c r="F21" s="46">
        <v>145</v>
      </c>
      <c r="G21" s="46">
        <v>127</v>
      </c>
      <c r="H21" s="47">
        <f>(F21-G21)*16.42</f>
        <v>295.56000000000006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295.56000000000006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3144.15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9" t="s">
        <v>23</v>
      </c>
      <c r="D55" s="89"/>
      <c r="E55" s="89"/>
      <c r="F55" s="8"/>
      <c r="G55" s="89" t="s">
        <v>24</v>
      </c>
      <c r="H55" s="8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60"/>
  <sheetViews>
    <sheetView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62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64</v>
      </c>
      <c r="E16" s="50" t="s">
        <v>65</v>
      </c>
      <c r="F16" s="18"/>
      <c r="G16" s="18"/>
      <c r="H16" s="18">
        <v>3144.15</v>
      </c>
      <c r="I16" s="18">
        <f>K35</f>
        <v>763.17000000000007</v>
      </c>
      <c r="J16" s="18">
        <f>I16+H16+G16</f>
        <v>3907.32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7" t="s">
        <v>32</v>
      </c>
      <c r="E20" s="97"/>
      <c r="F20" s="46" t="s">
        <v>66</v>
      </c>
      <c r="G20" s="46"/>
      <c r="H20" s="46"/>
      <c r="I20" s="9"/>
      <c r="J20" s="22">
        <v>0</v>
      </c>
      <c r="K20" s="9">
        <f>H21</f>
        <v>415.38</v>
      </c>
    </row>
    <row r="21" spans="3:11" ht="21" x14ac:dyDescent="0.35">
      <c r="C21" s="39"/>
      <c r="D21" s="8"/>
      <c r="E21" s="8"/>
      <c r="F21" s="46">
        <v>168</v>
      </c>
      <c r="G21" s="46">
        <v>145</v>
      </c>
      <c r="H21" s="47">
        <f>(F21-G21)*18.06</f>
        <v>415.38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67</v>
      </c>
      <c r="G24" s="46"/>
      <c r="H24" s="46"/>
      <c r="I24" s="9"/>
      <c r="J24" s="22">
        <v>0</v>
      </c>
      <c r="K24" s="9">
        <f>H25</f>
        <v>347.79</v>
      </c>
    </row>
    <row r="25" spans="3:11" ht="21" x14ac:dyDescent="0.35">
      <c r="C25" s="39"/>
      <c r="D25" s="8"/>
      <c r="E25" s="8"/>
      <c r="F25" s="46">
        <v>9</v>
      </c>
      <c r="G25" s="46">
        <v>6</v>
      </c>
      <c r="H25" s="47">
        <f>(F25-G25)*115.93</f>
        <v>347.79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763.17000000000007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3907.32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9" t="s">
        <v>23</v>
      </c>
      <c r="D55" s="89"/>
      <c r="E55" s="89"/>
      <c r="F55" s="8"/>
      <c r="G55" s="89" t="s">
        <v>24</v>
      </c>
      <c r="H55" s="8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L60"/>
  <sheetViews>
    <sheetView topLeftCell="A13" zoomScale="85" zoomScaleNormal="85" workbookViewId="0">
      <selection activeCell="F24" sqref="F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62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69</v>
      </c>
      <c r="E16" s="50" t="s">
        <v>70</v>
      </c>
      <c r="F16" s="18"/>
      <c r="G16" s="18"/>
      <c r="H16" s="18">
        <v>3907.32</v>
      </c>
      <c r="I16" s="18">
        <f>K35</f>
        <v>574.19999999999993</v>
      </c>
      <c r="J16" s="18">
        <f>I16+H16+G16</f>
        <v>4481.5200000000004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7" t="s">
        <v>32</v>
      </c>
      <c r="E20" s="97"/>
      <c r="F20" s="46" t="s">
        <v>72</v>
      </c>
      <c r="G20" s="46"/>
      <c r="H20" s="46"/>
      <c r="I20" s="9"/>
      <c r="J20" s="22">
        <v>0</v>
      </c>
      <c r="K20" s="9">
        <f>H21</f>
        <v>574.19999999999993</v>
      </c>
    </row>
    <row r="21" spans="3:11" ht="21" x14ac:dyDescent="0.35">
      <c r="C21" s="39"/>
      <c r="D21" s="8"/>
      <c r="E21" s="8"/>
      <c r="F21" s="46">
        <v>201</v>
      </c>
      <c r="G21" s="46">
        <v>168</v>
      </c>
      <c r="H21" s="47">
        <f>(F21-G21)*17.4</f>
        <v>574.19999999999993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574.19999999999993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4481.5200000000004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9" t="s">
        <v>23</v>
      </c>
      <c r="D55" s="89"/>
      <c r="E55" s="89"/>
      <c r="F55" s="8"/>
      <c r="G55" s="89" t="s">
        <v>24</v>
      </c>
      <c r="H55" s="8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L60"/>
  <sheetViews>
    <sheetView topLeftCell="A13" zoomScale="85" zoomScaleNormal="85" workbookViewId="0">
      <selection activeCell="N12" sqref="N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62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74</v>
      </c>
      <c r="E16" s="50" t="s">
        <v>75</v>
      </c>
      <c r="F16" s="18"/>
      <c r="G16" s="18"/>
      <c r="H16" s="18">
        <v>4481.5200000000004</v>
      </c>
      <c r="I16" s="18">
        <f>K35</f>
        <v>411.58</v>
      </c>
      <c r="J16" s="18">
        <f>I16+H16+G16</f>
        <v>4893.1000000000004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7" t="s">
        <v>32</v>
      </c>
      <c r="E20" s="97"/>
      <c r="F20" s="46" t="s">
        <v>76</v>
      </c>
      <c r="G20" s="46"/>
      <c r="H20" s="46"/>
      <c r="I20" s="9"/>
      <c r="J20" s="22">
        <v>0</v>
      </c>
      <c r="K20" s="9">
        <f>H21</f>
        <v>411.58</v>
      </c>
    </row>
    <row r="21" spans="3:11" ht="21" x14ac:dyDescent="0.35">
      <c r="C21" s="39"/>
      <c r="D21" s="8"/>
      <c r="E21" s="8"/>
      <c r="F21" s="46">
        <v>227</v>
      </c>
      <c r="G21" s="46">
        <v>201</v>
      </c>
      <c r="H21" s="47">
        <f>(F21-G21)*15.83</f>
        <v>411.58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411.58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4893.1000000000004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9" t="s">
        <v>23</v>
      </c>
      <c r="D55" s="89"/>
      <c r="E55" s="89"/>
      <c r="F55" s="8"/>
      <c r="G55" s="89" t="s">
        <v>24</v>
      </c>
      <c r="H55" s="8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L60"/>
  <sheetViews>
    <sheetView topLeftCell="A13" zoomScale="85" zoomScaleNormal="85" workbookViewId="0">
      <selection activeCell="D26" sqref="D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62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79</v>
      </c>
      <c r="E16" s="50" t="s">
        <v>80</v>
      </c>
      <c r="F16" s="18"/>
      <c r="G16" s="18"/>
      <c r="H16" s="18">
        <v>4893.1000000000004</v>
      </c>
      <c r="I16" s="18">
        <f>K35</f>
        <v>364.09</v>
      </c>
      <c r="J16" s="18">
        <f>I16+H16+G16</f>
        <v>5257.1900000000005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7" t="s">
        <v>32</v>
      </c>
      <c r="E20" s="97"/>
      <c r="F20" s="46" t="s">
        <v>81</v>
      </c>
      <c r="G20" s="46"/>
      <c r="H20" s="46"/>
      <c r="I20" s="9"/>
      <c r="J20" s="22">
        <v>0</v>
      </c>
      <c r="K20" s="9">
        <f>H21</f>
        <v>364.09</v>
      </c>
    </row>
    <row r="21" spans="3:11" ht="21" x14ac:dyDescent="0.35">
      <c r="C21" s="39"/>
      <c r="D21" s="8"/>
      <c r="E21" s="8"/>
      <c r="F21" s="46">
        <v>250</v>
      </c>
      <c r="G21" s="46">
        <v>227</v>
      </c>
      <c r="H21" s="47">
        <f>(F21-G21)*15.83</f>
        <v>364.09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364.09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5257.1900000000005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60" t="s">
        <v>83</v>
      </c>
      <c r="D41" s="60" t="s">
        <v>84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0" t="s">
        <v>85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9" t="s">
        <v>23</v>
      </c>
      <c r="D55" s="89"/>
      <c r="E55" s="89"/>
      <c r="F55" s="8"/>
      <c r="G55" s="89" t="s">
        <v>24</v>
      </c>
      <c r="H55" s="8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13</vt:i4>
      </vt:variant>
    </vt:vector>
  </HeadingPairs>
  <TitlesOfParts>
    <vt:vector size="31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APR 2020 (2)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'APR 2020 (2)'!Print_Area</vt:lpstr>
      <vt:lpstr>'AUG 2020'!Print_Area</vt:lpstr>
      <vt:lpstr>'AUGUST 2019'!Print_Area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2020-11-05T06:16:43Z</cp:lastPrinted>
  <dcterms:created xsi:type="dcterms:W3CDTF">2018-02-28T02:33:50Z</dcterms:created>
  <dcterms:modified xsi:type="dcterms:W3CDTF">2020-12-16T10:37:46Z</dcterms:modified>
</cp:coreProperties>
</file>