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4" r:id="rId3"/>
    <sheet name="OCTOBER 2019" sheetId="3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externalReferences>
    <externalReference r:id="rId18"/>
  </externalReferences>
  <definedNames>
    <definedName name="_xlnm.Print_Area" localSheetId="9">'APR 2020'!$A$1:$K$59</definedName>
    <definedName name="_xlnm.Print_Area" localSheetId="13">'AUG 2020'!$A$1:$K$54</definedName>
    <definedName name="_xlnm.Print_Area" localSheetId="7">'FEB 2020'!$A$1:$K$57</definedName>
    <definedName name="_xlnm.Print_Area" localSheetId="12">'JUL 2020'!$A$1:$K$54</definedName>
    <definedName name="_xlnm.Print_Area" localSheetId="0">'JULY 2019'!$B$2:$L$57</definedName>
    <definedName name="_xlnm.Print_Area" localSheetId="11">'JUN 2020'!$A$1:$K$54</definedName>
    <definedName name="_xlnm.Print_Area" localSheetId="8">'MAR 2020'!$A$1:$K$57</definedName>
    <definedName name="_xlnm.Print_Area" localSheetId="10">'MAY 2020'!$A$1:$K$60</definedName>
    <definedName name="_xlnm.Print_Area" localSheetId="16">'NOV 2020'!$A$1:$K$54</definedName>
    <definedName name="_xlnm.Print_Area" localSheetId="15">'OCT 2020'!$A$1:$K$54</definedName>
    <definedName name="_xlnm.Print_Area" localSheetId="14">'SEPT 2020'!$A$1:$K$54</definedName>
  </definedNames>
  <calcPr calcId="152511"/>
</workbook>
</file>

<file path=xl/calcChain.xml><?xml version="1.0" encoding="utf-8"?>
<calcChain xmlns="http://schemas.openxmlformats.org/spreadsheetml/2006/main">
  <c r="K34" i="17" l="1"/>
  <c r="H25" i="17"/>
  <c r="H21" i="17"/>
  <c r="G16" i="17" l="1"/>
  <c r="K33" i="17"/>
  <c r="H29" i="17"/>
  <c r="K29" i="17" s="1"/>
  <c r="F26" i="17"/>
  <c r="K24" i="17"/>
  <c r="F22" i="17"/>
  <c r="K20" i="17"/>
  <c r="H29" i="16"/>
  <c r="K29" i="16" s="1"/>
  <c r="I16" i="17" l="1"/>
  <c r="J16" i="17" s="1"/>
  <c r="H25" i="16"/>
  <c r="K36" i="17" l="1"/>
  <c r="H21" i="16"/>
  <c r="K33" i="16" l="1"/>
  <c r="F26" i="16"/>
  <c r="K24" i="16"/>
  <c r="F22" i="16"/>
  <c r="K20" i="16"/>
  <c r="K34" i="16" l="1"/>
  <c r="I16" i="16"/>
  <c r="J16" i="16" s="1"/>
  <c r="H21" i="15"/>
  <c r="K20" i="15" s="1"/>
  <c r="H25" i="15"/>
  <c r="K24" i="15" s="1"/>
  <c r="K33" i="15"/>
  <c r="K29" i="15"/>
  <c r="K27" i="15"/>
  <c r="F26" i="15"/>
  <c r="F22" i="15"/>
  <c r="K36" i="16" l="1"/>
  <c r="K34" i="15"/>
  <c r="I16" i="15" s="1"/>
  <c r="K36" i="15" s="1"/>
  <c r="H25" i="14"/>
  <c r="H21" i="14"/>
  <c r="J16" i="15" l="1"/>
  <c r="K33" i="14"/>
  <c r="K29" i="14"/>
  <c r="K27" i="14"/>
  <c r="F26" i="14"/>
  <c r="K24" i="14"/>
  <c r="F22" i="14"/>
  <c r="K20" i="14"/>
  <c r="K34" i="14" l="1"/>
  <c r="I16" i="14" s="1"/>
  <c r="J16" i="14" s="1"/>
  <c r="H25" i="13"/>
  <c r="K36" i="14" l="1"/>
  <c r="H21" i="13"/>
  <c r="K33" i="13" l="1"/>
  <c r="K29" i="13"/>
  <c r="K27" i="13"/>
  <c r="F26" i="13"/>
  <c r="K24" i="13"/>
  <c r="F22" i="13"/>
  <c r="K20" i="13"/>
  <c r="K34" i="13" l="1"/>
  <c r="I16" i="13" s="1"/>
  <c r="K36" i="13" s="1"/>
  <c r="K31" i="12"/>
  <c r="F26" i="9"/>
  <c r="K33" i="12"/>
  <c r="H25" i="12"/>
  <c r="K24" i="12" s="1"/>
  <c r="H21" i="12"/>
  <c r="K20" i="12" s="1"/>
  <c r="K29" i="12"/>
  <c r="F26" i="12"/>
  <c r="F22" i="12"/>
  <c r="K27" i="12"/>
  <c r="J16" i="13" l="1"/>
  <c r="K34" i="12"/>
  <c r="I16" i="12" s="1"/>
  <c r="K36" i="12" s="1"/>
  <c r="K33" i="11"/>
  <c r="J16" i="12" l="1"/>
  <c r="H21" i="11"/>
  <c r="K35" i="11" l="1"/>
  <c r="K30" i="11"/>
  <c r="F26" i="11"/>
  <c r="H25" i="11"/>
  <c r="I28" i="11" s="1"/>
  <c r="K28" i="11" s="1"/>
  <c r="F22" i="11"/>
  <c r="K20" i="11"/>
  <c r="K24" i="11" l="1"/>
  <c r="K36" i="11"/>
  <c r="I16" i="11" s="1"/>
  <c r="J16" i="11" s="1"/>
  <c r="F26" i="10"/>
  <c r="F22" i="10"/>
  <c r="K38" i="11" l="1"/>
  <c r="H25" i="10"/>
  <c r="H21" i="10"/>
  <c r="I28" i="10" s="1"/>
  <c r="K35" i="10" l="1"/>
  <c r="K33" i="10"/>
  <c r="K30" i="10"/>
  <c r="K28" i="10"/>
  <c r="K24" i="10"/>
  <c r="K20" i="10"/>
  <c r="K36" i="10" l="1"/>
  <c r="I16" i="10" s="1"/>
  <c r="K38" i="10" s="1"/>
  <c r="H16" i="8"/>
  <c r="J16" i="10" l="1"/>
  <c r="K34" i="9"/>
  <c r="K32" i="9"/>
  <c r="K29" i="9"/>
  <c r="K27" i="9"/>
  <c r="H25" i="9"/>
  <c r="K24" i="9" s="1"/>
  <c r="H21" i="9"/>
  <c r="K20" i="9" s="1"/>
  <c r="K35" i="9" l="1"/>
  <c r="I16" i="9" s="1"/>
  <c r="K37" i="9" s="1"/>
  <c r="H25" i="8"/>
  <c r="H21" i="8"/>
  <c r="J16" i="9" l="1"/>
  <c r="K34" i="8"/>
  <c r="K32" i="8"/>
  <c r="K29" i="8"/>
  <c r="K27" i="8"/>
  <c r="K24" i="8"/>
  <c r="K20" i="8"/>
  <c r="K35" i="8" l="1"/>
  <c r="I16" i="8" s="1"/>
  <c r="J16" i="8" s="1"/>
  <c r="H21" i="7"/>
  <c r="K37" i="8" l="1"/>
  <c r="H25" i="7"/>
  <c r="K34" i="7" l="1"/>
  <c r="K32" i="7"/>
  <c r="K29" i="7"/>
  <c r="K27" i="7"/>
  <c r="K24" i="7"/>
  <c r="K20" i="7"/>
  <c r="K35" i="7" l="1"/>
  <c r="I16" i="7" s="1"/>
  <c r="K37" i="7" s="1"/>
  <c r="H25" i="6"/>
  <c r="J16" i="7" l="1"/>
  <c r="H21" i="6"/>
  <c r="K34" i="6" l="1"/>
  <c r="K32" i="6"/>
  <c r="K29" i="6"/>
  <c r="K27" i="6"/>
  <c r="K24" i="6"/>
  <c r="K20" i="6"/>
  <c r="K35" i="6" l="1"/>
  <c r="I16" i="6" s="1"/>
  <c r="J16" i="6" s="1"/>
  <c r="H25" i="5"/>
  <c r="K24" i="5" s="1"/>
  <c r="H21" i="5"/>
  <c r="K20" i="5" s="1"/>
  <c r="K34" i="5"/>
  <c r="K32" i="5"/>
  <c r="K29" i="5"/>
  <c r="K27" i="5"/>
  <c r="K37" i="6" l="1"/>
  <c r="K35" i="5"/>
  <c r="I16" i="5" s="1"/>
  <c r="J16" i="5" s="1"/>
  <c r="H25" i="3"/>
  <c r="K37" i="5" l="1"/>
  <c r="H21" i="4"/>
  <c r="K20" i="4" s="1"/>
  <c r="K34" i="4"/>
  <c r="K32" i="4"/>
  <c r="K29" i="4"/>
  <c r="K27" i="4"/>
  <c r="H25" i="4"/>
  <c r="K24" i="4" s="1"/>
  <c r="K35" i="4" l="1"/>
  <c r="I16" i="4" s="1"/>
  <c r="K37" i="4" s="1"/>
  <c r="J16" i="4"/>
  <c r="H21" i="3"/>
  <c r="K34" i="3" l="1"/>
  <c r="K32" i="3"/>
  <c r="K29" i="3"/>
  <c r="K27" i="3"/>
  <c r="K24" i="3"/>
  <c r="K20" i="3"/>
  <c r="K35" i="3" l="1"/>
  <c r="I16" i="3" s="1"/>
  <c r="K37" i="3" s="1"/>
  <c r="H25" i="2"/>
  <c r="H21" i="2"/>
  <c r="J16" i="3" l="1"/>
  <c r="K34" i="2"/>
  <c r="K32" i="2"/>
  <c r="K29" i="2"/>
  <c r="K27" i="2"/>
  <c r="K24" i="2"/>
  <c r="K20" i="2"/>
  <c r="K35" i="2" l="1"/>
  <c r="I16" i="2" s="1"/>
  <c r="J16" i="2" s="1"/>
  <c r="H25" i="1"/>
  <c r="H21" i="1"/>
  <c r="K37" i="2" l="1"/>
  <c r="K24" i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<sst xmlns="http://schemas.openxmlformats.org/spreadsheetml/2006/main" count="740" uniqueCount="147">
  <si>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</si>
  <si>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</si>
  <si>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</si>
  <si>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</si>
  <si>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</si>
  <si>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</si>
  <si>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</si>
  <si>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</si>
  <si>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</si>
  <si>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</si>
  <si>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</si>
  <si>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</si>
  <si>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</si>
  <si>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</si>
  <si>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</si>
  <si>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</si>
  <si>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</si>
  <si>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</si>
  <si>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</si>
  <si>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</si>
  <si>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</si>
  <si>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</si>
  <si>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</si>
  <si>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</si>
  <si>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</si>
  <si>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</si>
  <si>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</si>
  <si>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</si>
  <si>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</si>
  <si>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</si>
  <si>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</si>
  <si>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</si>
  <si>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</si>
  <si>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</si>
  <si>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</si>
  <si>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</si>
  <si>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</si>
  <si>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r>
      <t>REGISTERED OWNER:</t>
    </r>
    <r>
      <rPr>
        <b/>
        <sz val="22"/>
        <color theme="1"/>
        <rFont val="Calibri"/>
        <family val="2"/>
        <scheme val="minor"/>
      </rPr>
      <t xml:space="preserve"> JAYSON PATRICK CHAVEZ</t>
    </r>
  </si>
  <si>
    <t>UNIT: 12B16</t>
  </si>
  <si>
    <t>PRES: JULY 25 2019 - PREV: JUNE 20 2019 * 18.30</t>
  </si>
  <si>
    <t>PRES: JULY 25 2019 - PREV: JUNE 20 2019 * 120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</si>
  <si>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</si>
  <si>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</si>
  <si>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</si>
  <si>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</si>
  <si>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</si>
  <si>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JAYSON PATRICK CHAVEZ</t>
    </r>
  </si>
  <si>
    <t>PAID</t>
  </si>
  <si>
    <t>BILLING MONTH: OCTOBER 2019</t>
  </si>
  <si>
    <t>NOV 5 2019</t>
  </si>
  <si>
    <t>NOV 15 2019</t>
  </si>
  <si>
    <t>PRES: OCT 25 2019 - PREV: SEPT 26 2019 * 16.42</t>
  </si>
  <si>
    <t>BILLING MONTH: SEPTEMBER 2019</t>
  </si>
  <si>
    <t>OCT 5 2019</t>
  </si>
  <si>
    <t>OCT 15 2019</t>
  </si>
  <si>
    <t>PRES: SEPT 25 2019 - PREV: AUG 26 2019 * 16.32</t>
  </si>
  <si>
    <t>PRES: SEPT 25 2019 - PREV: AUG 26 2019 * 116.18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</si>
  <si>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</si>
  <si>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</si>
  <si>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</si>
  <si>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</si>
  <si>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</si>
  <si>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</si>
  <si>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</si>
  <si>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</si>
  <si>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</si>
  <si>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</si>
  <si>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</si>
  <si>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</si>
  <si>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</si>
  <si>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</si>
  <si>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SUBJECT FOR DISCONNECTION OF UTILITIES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</si>
  <si>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</si>
  <si>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</si>
  <si>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</si>
  <si>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</si>
  <si>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</si>
  <si>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2019 * 15.83</t>
  </si>
  <si>
    <t>PRES: FEB 25 2020 - PREV: JAN 26 2019 * 117.31</t>
  </si>
  <si>
    <t>BILLING MONTH: MARCH 2020</t>
  </si>
  <si>
    <t>APR 5 2020</t>
  </si>
  <si>
    <t>APR 15 2020</t>
  </si>
  <si>
    <t>PRES: MAR 25 2020 - PREV: FEB 26 2019 * 15.83</t>
  </si>
  <si>
    <t>PRES: MAR 25 2020 - PREV: FEB 26 2019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</si>
  <si>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</si>
  <si>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</si>
  <si>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</si>
  <si>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</si>
  <si>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</si>
  <si>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</si>
  <si>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</si>
  <si>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</si>
  <si>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</si>
  <si>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</si>
  <si>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</si>
  <si>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</si>
  <si>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</si>
  <si>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</si>
  <si>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</si>
  <si>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</si>
  <si>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</si>
  <si>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</si>
  <si>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</si>
  <si>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</si>
  <si>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2020 - 243 kWh x 10.98 = 2,668.14 + 20% (AC) = 3,201.77 - 3,846.69 (billing Mar2020) = </t>
    </r>
    <r>
      <rPr>
        <b/>
        <u/>
        <sz val="14"/>
        <color rgb="FFFF0000"/>
        <rFont val="Calibri"/>
        <family val="2"/>
        <scheme val="minor"/>
      </rPr>
      <t>644.92</t>
    </r>
    <r>
      <rPr>
        <b/>
        <sz val="14"/>
        <color rgb="FFFF0000"/>
        <rFont val="Calibri"/>
        <family val="2"/>
        <scheme val="minor"/>
      </rPr>
      <t xml:space="preserve">
APR 2020 - 359 kWh x 9.79 = 3,514.61 + 20% (AC) = 4,217.53 - 4,730.18 (billing Apr2020) = </t>
    </r>
    <r>
      <rPr>
        <b/>
        <u/>
        <sz val="14"/>
        <color rgb="FFFF0000"/>
        <rFont val="Calibri"/>
        <family val="2"/>
        <scheme val="minor"/>
      </rPr>
      <t>512.65</t>
    </r>
  </si>
  <si>
    <t>* SECURITY
* JANITORIAL SERVICES
* PMS (BUILDING EQUIPMENTS)
* TECHNICAL SERVICES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</si>
  <si>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</si>
  <si>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</si>
  <si>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</si>
  <si>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</si>
  <si>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</si>
  <si>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2020 - 5 cubic x 96.92 = 484.60 + 20% (AC) = 581.52 - 586.55 (billing Mar2020) = </t>
    </r>
    <r>
      <rPr>
        <b/>
        <u/>
        <sz val="14"/>
        <color rgb="FFFF0000"/>
        <rFont val="Calibri"/>
        <family val="2"/>
        <scheme val="minor"/>
      </rPr>
      <t>5.03</t>
    </r>
    <r>
      <rPr>
        <b/>
        <sz val="14"/>
        <color rgb="FFFF0000"/>
        <rFont val="Calibri"/>
        <family val="2"/>
        <scheme val="minor"/>
      </rPr>
      <t xml:space="preserve">
APR 2020 - 7 cubic x 96.21 = 673.47 + 20% (AC) = 808.16 - 821.18 (billing Apr2020) = </t>
    </r>
    <r>
      <rPr>
        <b/>
        <u/>
        <sz val="14"/>
        <color rgb="FFFF0000"/>
        <rFont val="Calibri"/>
        <family val="2"/>
        <scheme val="minor"/>
      </rPr>
      <t xml:space="preserve">13.02
</t>
    </r>
    <r>
      <rPr>
        <b/>
        <sz val="14"/>
        <color rgb="FFFF0000"/>
        <rFont val="Calibri"/>
        <family val="2"/>
        <scheme val="minor"/>
      </rPr>
      <t xml:space="preserve">MAY 2020 - 7 cubic x 95.58 = 669.06 + 20% (AC) = 802.87 - 821.19 (billing May2020) = </t>
    </r>
    <r>
      <rPr>
        <b/>
        <u/>
        <sz val="14"/>
        <color rgb="FFFF0000"/>
        <rFont val="Calibri"/>
        <family val="2"/>
        <scheme val="minor"/>
      </rPr>
      <t>18.32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</si>
  <si>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</si>
  <si>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</si>
  <si>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</si>
  <si>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</si>
  <si>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</si>
  <si>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</si>
  <si>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</si>
  <si>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</si>
  <si>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</si>
  <si>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</si>
  <si>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</si>
  <si>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</si>
  <si>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</si>
  <si>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</si>
  <si>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</si>
  <si>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</si>
  <si>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</si>
  <si>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</si>
  <si>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</si>
  <si>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</si>
  <si>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</si>
  <si>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</si>
  <si>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</si>
  <si>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</si>
  <si>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</si>
  <si>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</si>
  <si>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</si>
  <si>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</si>
  <si>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</si>
  <si>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12/5/20250</t>
  </si>
  <si>
    <t>FOR THE MONTH OF DEC 2020</t>
  </si>
  <si>
    <t xml:space="preserve">WATER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</si>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</sst>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/>
    <xf numFmtId="0" fontId="19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164" fontId="20" fillId="0" borderId="0" xfId="1" applyFont="1"/>
    <xf numFmtId="164" fontId="21" fillId="0" borderId="0" xfId="1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9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4</xdr:col>
      <xdr:colOff>434900</xdr:colOff>
      <xdr:row>50</xdr:row>
      <xdr:rowOff>103894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716000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178118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87350"/>
          <a:ext cx="745671" cy="1232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12B16%20-%20CHAVE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/>
      <sheetData sheetId="1">
        <row r="12">
          <cell r="E12">
            <v>6744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22" zoomScale="80" zoomScaleNormal="80" zoomScaleSheetLayoutView="80" workbookViewId="0">
      <selection activeCell="H15" sqref="H1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266.39999999999998</v>
      </c>
      <c r="J16" s="18">
        <f>I16+H16+G16</f>
        <v>266.39999999999998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95" t="s">
        <v>32</v>
      </c>
      <c r="E20" s="95"/>
      <c r="F20" s="46" t="s">
        <v>39</v>
      </c>
      <c r="G20" s="46"/>
      <c r="H20" s="46"/>
      <c r="I20" s="9"/>
      <c r="J20" s="22">
        <v>0</v>
      </c>
      <c r="K20" s="9">
        <f>H21</f>
        <v>146.4</v>
      </c>
    </row>
    <row r="21" spans="3:11" ht="21" x14ac:dyDescent="0.35">
      <c r="C21" s="39"/>
      <c r="D21" s="8"/>
      <c r="E21" s="8"/>
      <c r="F21" s="46">
        <v>98</v>
      </c>
      <c r="G21" s="46">
        <v>90</v>
      </c>
      <c r="H21" s="47">
        <f>(F21-G21)*18.3</f>
        <v>146.4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120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(F25-G25)*120</f>
        <v>120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266.39999999999998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266.39999999999998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29:H30"/>
    <mergeCell ref="C14:K14"/>
    <mergeCell ref="I3:K4"/>
    <mergeCell ref="F19:H19"/>
    <mergeCell ref="D19:E19"/>
    <mergeCell ref="D20:E20"/>
    <mergeCell ref="F32:H32"/>
    <mergeCell ref="C55:E55"/>
    <mergeCell ref="G55:H55"/>
    <mergeCell ref="G54:H54"/>
    <mergeCell ref="C40:K40"/>
    <mergeCell ref="C54:E54"/>
    <mergeCell ref="C45:K45"/>
  </mergeCells>
  <pageMargins left="0.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70" zoomScaleNormal="70" workbookViewId="0">
      <selection activeCell="L27" sqref="L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88</v>
      </c>
      <c r="E16" s="50" t="s">
        <v>89</v>
      </c>
      <c r="F16" s="18"/>
      <c r="G16" s="18"/>
      <c r="H16" s="18">
        <v>7851.84</v>
      </c>
      <c r="I16" s="18">
        <f>K36</f>
        <v>5551.3680000000004</v>
      </c>
      <c r="J16" s="18">
        <f>I16+H16+G16</f>
        <v>13403.208000000001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5" t="s">
        <v>32</v>
      </c>
      <c r="E20" s="95"/>
      <c r="F20" s="46" t="s">
        <v>90</v>
      </c>
      <c r="G20" s="46"/>
      <c r="H20" s="46"/>
      <c r="I20" s="9"/>
      <c r="J20" s="22">
        <v>0</v>
      </c>
      <c r="K20" s="9">
        <f>H21</f>
        <v>3941.82</v>
      </c>
    </row>
    <row r="21" spans="3:11" ht="21" x14ac:dyDescent="0.35">
      <c r="C21" s="39"/>
      <c r="D21" s="8"/>
      <c r="E21" s="8"/>
      <c r="F21" s="46">
        <v>1839</v>
      </c>
      <c r="G21" s="46">
        <v>1480</v>
      </c>
      <c r="H21" s="47">
        <f>(F21-G21)*10.98</f>
        <v>3941.82</v>
      </c>
      <c r="I21" s="9"/>
      <c r="J21" s="9"/>
      <c r="K21" s="9"/>
    </row>
    <row r="22" spans="3:11" ht="21" x14ac:dyDescent="0.35">
      <c r="C22" s="39"/>
      <c r="D22" s="96" t="s">
        <v>93</v>
      </c>
      <c r="E22" s="96"/>
      <c r="F22" s="97">
        <f>F21-G21</f>
        <v>359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91</v>
      </c>
      <c r="G24" s="46"/>
      <c r="H24" s="46"/>
      <c r="I24" s="9"/>
      <c r="J24" s="22">
        <v>0</v>
      </c>
      <c r="K24" s="9">
        <f>H25</f>
        <v>684.32</v>
      </c>
    </row>
    <row r="25" spans="3:11" ht="21" x14ac:dyDescent="0.35">
      <c r="C25" s="39"/>
      <c r="D25" s="8"/>
      <c r="E25" s="8"/>
      <c r="F25" s="46">
        <v>44</v>
      </c>
      <c r="G25" s="46">
        <v>37</v>
      </c>
      <c r="H25" s="47">
        <f>(F25-G25)*97.76</f>
        <v>684.32</v>
      </c>
      <c r="I25" s="9"/>
      <c r="J25" s="9"/>
      <c r="K25" s="9"/>
    </row>
    <row r="26" spans="3:11" ht="21" x14ac:dyDescent="0.35">
      <c r="C26" s="39"/>
      <c r="D26" s="96" t="s">
        <v>94</v>
      </c>
      <c r="E26" s="96"/>
      <c r="F26" s="97">
        <f>F25-G25</f>
        <v>7</v>
      </c>
      <c r="G26" s="97"/>
      <c r="H26" s="45"/>
      <c r="I26" s="9"/>
      <c r="J26" s="9"/>
      <c r="K26" s="9"/>
    </row>
    <row r="27" spans="3:11" ht="21" x14ac:dyDescent="0.35">
      <c r="C27" s="39"/>
      <c r="D27" s="67"/>
      <c r="E27" s="67"/>
      <c r="F27" s="68"/>
      <c r="G27" s="68"/>
      <c r="H27" s="45"/>
      <c r="I27" s="9"/>
      <c r="J27" s="9"/>
      <c r="K27" s="9"/>
    </row>
    <row r="28" spans="3:11" ht="21" x14ac:dyDescent="0.35">
      <c r="C28" s="38"/>
      <c r="D28" s="7" t="s">
        <v>92</v>
      </c>
      <c r="E28" s="8"/>
      <c r="F28" s="8"/>
      <c r="G28" s="8"/>
      <c r="H28" s="8"/>
      <c r="I28" s="9">
        <f>(H21+H25)*20%</f>
        <v>925.22800000000007</v>
      </c>
      <c r="J28" s="22">
        <v>0</v>
      </c>
      <c r="K28" s="9">
        <f>I28</f>
        <v>925.22800000000007</v>
      </c>
    </row>
    <row r="29" spans="3:11" ht="21" x14ac:dyDescent="0.35">
      <c r="C29" s="98" t="s">
        <v>95</v>
      </c>
      <c r="D29" s="98"/>
      <c r="E29" s="98"/>
      <c r="F29" s="8"/>
      <c r="G29" s="8"/>
      <c r="H29" s="8"/>
      <c r="I29" s="9"/>
      <c r="J29" s="22"/>
      <c r="K29" s="9"/>
    </row>
    <row r="30" spans="3:11" ht="21" x14ac:dyDescent="0.35">
      <c r="C30" s="98"/>
      <c r="D30" s="98"/>
      <c r="E30" s="98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1" x14ac:dyDescent="0.35">
      <c r="C31" s="98"/>
      <c r="D31" s="98"/>
      <c r="E31" s="98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21" x14ac:dyDescent="0.35">
      <c r="C33" s="38"/>
      <c r="D33" s="44"/>
      <c r="E33" s="44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5551.3680000000004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13403.208000000001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7" t="s">
        <v>17</v>
      </c>
      <c r="D41" s="87"/>
      <c r="E41" s="87"/>
      <c r="F41" s="87"/>
      <c r="G41" s="87"/>
      <c r="H41" s="87"/>
      <c r="I41" s="87"/>
      <c r="J41" s="87"/>
      <c r="K41" s="87"/>
      <c r="L41" s="3"/>
    </row>
    <row r="42" spans="2:12" s="8" customFormat="1" ht="21" x14ac:dyDescent="0.35">
      <c r="B42" s="3"/>
      <c r="C42" s="63" t="s">
        <v>84</v>
      </c>
      <c r="D42" s="63" t="s">
        <v>85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4"/>
      <c r="D43" s="63" t="s">
        <v>86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2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 x14ac:dyDescent="0.35">
      <c r="C57" s="87" t="s">
        <v>23</v>
      </c>
      <c r="D57" s="87"/>
      <c r="E57" s="87"/>
      <c r="F57" s="8"/>
      <c r="G57" s="87" t="s">
        <v>24</v>
      </c>
      <c r="H57" s="8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7" zoomScale="85" zoomScaleNormal="85" workbookViewId="0">
      <selection activeCell="C41" sqref="C41:K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97</v>
      </c>
      <c r="E16" s="50" t="s">
        <v>98</v>
      </c>
      <c r="F16" s="18"/>
      <c r="G16" s="18"/>
      <c r="H16" s="18"/>
      <c r="I16" s="18">
        <f>K36</f>
        <v>4069.1139999999996</v>
      </c>
      <c r="J16" s="18">
        <f>I16+H16+G16</f>
        <v>4069.1139999999996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5" t="s">
        <v>32</v>
      </c>
      <c r="E20" s="95"/>
      <c r="F20" s="46" t="s">
        <v>99</v>
      </c>
      <c r="G20" s="46"/>
      <c r="H20" s="46"/>
      <c r="I20" s="9"/>
      <c r="J20" s="22">
        <v>0</v>
      </c>
      <c r="K20" s="9">
        <f>H21</f>
        <v>3671.2499999999995</v>
      </c>
    </row>
    <row r="21" spans="3:11" ht="21" x14ac:dyDescent="0.35">
      <c r="C21" s="39"/>
      <c r="D21" s="8"/>
      <c r="E21" s="8"/>
      <c r="F21" s="46">
        <v>2214</v>
      </c>
      <c r="G21" s="46">
        <v>1839</v>
      </c>
      <c r="H21" s="47">
        <f>(F21-G21)*9.79</f>
        <v>3671.2499999999995</v>
      </c>
      <c r="I21" s="9"/>
      <c r="J21" s="9"/>
      <c r="K21" s="9"/>
    </row>
    <row r="22" spans="3:11" ht="21" x14ac:dyDescent="0.35">
      <c r="C22" s="39"/>
      <c r="D22" s="96" t="s">
        <v>93</v>
      </c>
      <c r="E22" s="96"/>
      <c r="F22" s="97">
        <f>F21-G21</f>
        <v>375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100</v>
      </c>
      <c r="G24" s="46"/>
      <c r="H24" s="46"/>
      <c r="I24" s="9"/>
      <c r="J24" s="22">
        <v>0</v>
      </c>
      <c r="K24" s="9">
        <f>H25</f>
        <v>684.32</v>
      </c>
    </row>
    <row r="25" spans="3:11" ht="21" x14ac:dyDescent="0.35">
      <c r="C25" s="39"/>
      <c r="D25" s="8"/>
      <c r="E25" s="8"/>
      <c r="F25" s="46">
        <v>51</v>
      </c>
      <c r="G25" s="46">
        <v>44</v>
      </c>
      <c r="H25" s="47">
        <f>(F25-G25)*97.76</f>
        <v>684.32</v>
      </c>
      <c r="I25" s="9"/>
      <c r="J25" s="9"/>
      <c r="K25" s="9"/>
    </row>
    <row r="26" spans="3:11" ht="21" x14ac:dyDescent="0.35">
      <c r="C26" s="39"/>
      <c r="D26" s="96" t="s">
        <v>94</v>
      </c>
      <c r="E26" s="96"/>
      <c r="F26" s="97">
        <f>F25-G25</f>
        <v>7</v>
      </c>
      <c r="G26" s="97"/>
      <c r="H26" s="45"/>
      <c r="I26" s="9"/>
      <c r="J26" s="9"/>
      <c r="K26" s="9"/>
    </row>
    <row r="27" spans="3:11" ht="21" x14ac:dyDescent="0.35">
      <c r="C27" s="39"/>
      <c r="D27" s="67"/>
      <c r="E27" s="67"/>
      <c r="F27" s="68"/>
      <c r="G27" s="68"/>
      <c r="H27" s="45"/>
      <c r="I27" s="9"/>
      <c r="J27" s="9"/>
      <c r="K27" s="9"/>
    </row>
    <row r="28" spans="3:11" ht="21" x14ac:dyDescent="0.35">
      <c r="C28" s="38"/>
      <c r="D28" s="7" t="s">
        <v>92</v>
      </c>
      <c r="E28" s="8"/>
      <c r="F28" s="8"/>
      <c r="G28" s="8"/>
      <c r="H28" s="8"/>
      <c r="I28" s="9">
        <f>(H21+H25)*20%</f>
        <v>871.11400000000003</v>
      </c>
      <c r="J28" s="22">
        <v>0</v>
      </c>
      <c r="K28" s="9">
        <f>I28</f>
        <v>871.11400000000003</v>
      </c>
    </row>
    <row r="29" spans="3:11" ht="21" customHeight="1" x14ac:dyDescent="0.35">
      <c r="C29" s="98" t="s">
        <v>105</v>
      </c>
      <c r="D29" s="98"/>
      <c r="E29" s="98"/>
      <c r="F29" s="8"/>
      <c r="G29" s="8"/>
      <c r="H29" s="8"/>
      <c r="I29" s="9"/>
      <c r="J29" s="22"/>
      <c r="K29" s="9"/>
    </row>
    <row r="30" spans="3:11" ht="21" x14ac:dyDescent="0.35">
      <c r="C30" s="98"/>
      <c r="D30" s="98"/>
      <c r="E30" s="98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8"/>
      <c r="D31" s="98"/>
      <c r="E31" s="98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95.1" customHeight="1" x14ac:dyDescent="0.35">
      <c r="C33" s="38"/>
      <c r="D33" s="100" t="s">
        <v>101</v>
      </c>
      <c r="E33" s="100"/>
      <c r="F33" s="101" t="s">
        <v>104</v>
      </c>
      <c r="G33" s="101"/>
      <c r="H33" s="101"/>
      <c r="I33" s="101"/>
      <c r="J33" s="69">
        <v>0</v>
      </c>
      <c r="K33" s="70">
        <f>(644.92+512.65)</f>
        <v>1157.57</v>
      </c>
    </row>
    <row r="34" spans="2:12" ht="27" customHeight="1" x14ac:dyDescent="0.35">
      <c r="C34" s="40"/>
      <c r="D34" s="44"/>
      <c r="E34" s="44"/>
      <c r="F34" s="65"/>
      <c r="G34" s="65"/>
      <c r="H34" s="6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4069.1139999999996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4069.1139999999996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6"/>
      <c r="D42" s="66"/>
      <c r="E42" s="66"/>
      <c r="F42" s="66"/>
      <c r="G42" s="66"/>
      <c r="H42" s="66"/>
      <c r="I42" s="66"/>
      <c r="J42" s="66"/>
      <c r="K42" s="66"/>
      <c r="L42" s="3"/>
    </row>
    <row r="43" spans="2:12" s="8" customFormat="1" ht="23.25" x14ac:dyDescent="0.35">
      <c r="B43" s="3"/>
      <c r="C43" s="58" t="s">
        <v>84</v>
      </c>
      <c r="D43" s="63" t="s">
        <v>102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3" t="s">
        <v>103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3" t="s">
        <v>86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9"/>
      <c r="D48" s="89"/>
      <c r="E48" s="89"/>
      <c r="F48" s="89"/>
      <c r="G48" s="89"/>
      <c r="H48" s="89"/>
      <c r="I48" s="89"/>
      <c r="J48" s="89"/>
      <c r="K48" s="89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8" t="s">
        <v>33</v>
      </c>
      <c r="D57" s="88"/>
      <c r="E57" s="88"/>
      <c r="F57" s="8"/>
      <c r="G57" s="88" t="s">
        <v>31</v>
      </c>
      <c r="H57" s="88"/>
      <c r="I57" s="9"/>
      <c r="J57" s="9"/>
      <c r="K57" s="9"/>
    </row>
    <row r="58" spans="3:11" ht="21" x14ac:dyDescent="0.35">
      <c r="C58" s="87" t="s">
        <v>23</v>
      </c>
      <c r="D58" s="87"/>
      <c r="E58" s="87"/>
      <c r="F58" s="8"/>
      <c r="G58" s="87" t="s">
        <v>24</v>
      </c>
      <c r="H58" s="87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0" zoomScale="85" zoomScaleNormal="85" workbookViewId="0">
      <selection activeCell="A46" sqref="A46:XFD4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107</v>
      </c>
      <c r="E16" s="50" t="s">
        <v>108</v>
      </c>
      <c r="F16" s="18"/>
      <c r="G16" s="18"/>
      <c r="H16" s="18"/>
      <c r="I16" s="18">
        <f>K34</f>
        <v>3830.99</v>
      </c>
      <c r="J16" s="18">
        <f>I16+H16+G16</f>
        <v>3830.99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5" t="s">
        <v>32</v>
      </c>
      <c r="E20" s="95"/>
      <c r="F20" s="46" t="s">
        <v>109</v>
      </c>
      <c r="G20" s="46"/>
      <c r="H20" s="46"/>
      <c r="I20" s="9"/>
      <c r="J20" s="22">
        <v>0</v>
      </c>
      <c r="K20" s="9">
        <f>H21</f>
        <v>3290.0399999999995</v>
      </c>
    </row>
    <row r="21" spans="3:11" ht="21" x14ac:dyDescent="0.35">
      <c r="C21" s="39"/>
      <c r="D21" s="8"/>
      <c r="E21" s="8"/>
      <c r="F21" s="46">
        <v>2556</v>
      </c>
      <c r="G21" s="46">
        <v>2214</v>
      </c>
      <c r="H21" s="47">
        <f>(F21-G21)*9.62</f>
        <v>3290.0399999999995</v>
      </c>
      <c r="I21" s="9"/>
      <c r="J21" s="9"/>
      <c r="K21" s="9"/>
    </row>
    <row r="22" spans="3:11" ht="21" x14ac:dyDescent="0.35">
      <c r="C22" s="39"/>
      <c r="D22" s="96" t="s">
        <v>93</v>
      </c>
      <c r="E22" s="96"/>
      <c r="F22" s="97">
        <f>F21-G21</f>
        <v>342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110</v>
      </c>
      <c r="G24" s="46"/>
      <c r="H24" s="46"/>
      <c r="I24" s="9"/>
      <c r="J24" s="22">
        <v>0</v>
      </c>
      <c r="K24" s="9">
        <f>H25</f>
        <v>577.31999999999994</v>
      </c>
    </row>
    <row r="25" spans="3:11" ht="21" x14ac:dyDescent="0.35">
      <c r="C25" s="39"/>
      <c r="D25" s="8"/>
      <c r="E25" s="8"/>
      <c r="F25" s="46">
        <v>57</v>
      </c>
      <c r="G25" s="46">
        <v>51</v>
      </c>
      <c r="H25" s="47">
        <f>(F25-G25)*96.22</f>
        <v>577.31999999999994</v>
      </c>
      <c r="I25" s="9"/>
      <c r="J25" s="9"/>
      <c r="K25" s="9"/>
    </row>
    <row r="26" spans="3:11" ht="21" x14ac:dyDescent="0.35">
      <c r="C26" s="39"/>
      <c r="D26" s="96" t="s">
        <v>94</v>
      </c>
      <c r="E26" s="96"/>
      <c r="F26" s="97">
        <f>F25-G25</f>
        <v>6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5"/>
      <c r="D28" s="75"/>
      <c r="E28" s="75"/>
      <c r="F28" s="8"/>
      <c r="G28" s="8"/>
      <c r="H28" s="8"/>
      <c r="I28" s="9"/>
      <c r="J28" s="22"/>
      <c r="K28" s="9"/>
    </row>
    <row r="29" spans="3:11" ht="21" x14ac:dyDescent="0.35">
      <c r="C29" s="75"/>
      <c r="D29" s="75"/>
      <c r="E29" s="75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5"/>
      <c r="D30" s="75"/>
      <c r="E30" s="75"/>
      <c r="F30" s="86"/>
      <c r="G30" s="86"/>
      <c r="H30" s="86"/>
      <c r="I30" s="9"/>
      <c r="J30" s="9"/>
      <c r="K30" s="9"/>
    </row>
    <row r="31" spans="3:11" ht="135" customHeight="1" x14ac:dyDescent="0.35">
      <c r="C31" s="38"/>
      <c r="D31" s="100" t="s">
        <v>101</v>
      </c>
      <c r="E31" s="100"/>
      <c r="F31" s="101" t="s">
        <v>111</v>
      </c>
      <c r="G31" s="101"/>
      <c r="H31" s="101"/>
      <c r="I31" s="101"/>
      <c r="J31" s="70">
        <v>0</v>
      </c>
      <c r="K31" s="70">
        <f>5.03+13.02+18.32</f>
        <v>36.370000000000005</v>
      </c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3830.99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3830.99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87" t="s">
        <v>23</v>
      </c>
      <c r="D52" s="87"/>
      <c r="E52" s="87"/>
      <c r="F52" s="8"/>
      <c r="G52" s="87" t="s">
        <v>24</v>
      </c>
      <c r="H52" s="8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O10" sqref="O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113</v>
      </c>
      <c r="E16" s="50" t="s">
        <v>114</v>
      </c>
      <c r="F16" s="18"/>
      <c r="G16" s="18"/>
      <c r="H16" s="18">
        <v>3830.99</v>
      </c>
      <c r="I16" s="18">
        <f>K34</f>
        <v>3340.25</v>
      </c>
      <c r="J16" s="18">
        <f>I16+H16+G16</f>
        <v>7171.24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5" t="s">
        <v>32</v>
      </c>
      <c r="E20" s="95"/>
      <c r="F20" s="46" t="s">
        <v>115</v>
      </c>
      <c r="G20" s="46"/>
      <c r="H20" s="46"/>
      <c r="I20" s="9"/>
      <c r="J20" s="22">
        <v>0</v>
      </c>
      <c r="K20" s="9">
        <f>H21</f>
        <v>2759.9300000000003</v>
      </c>
    </row>
    <row r="21" spans="3:11" ht="21" x14ac:dyDescent="0.35">
      <c r="C21" s="39"/>
      <c r="D21" s="8"/>
      <c r="E21" s="8"/>
      <c r="F21" s="46">
        <v>2863</v>
      </c>
      <c r="G21" s="46">
        <v>2556</v>
      </c>
      <c r="H21" s="47">
        <f>(F21-G21)*8.99</f>
        <v>2759.9300000000003</v>
      </c>
      <c r="I21" s="9"/>
      <c r="J21" s="9"/>
      <c r="K21" s="9"/>
    </row>
    <row r="22" spans="3:11" ht="21" x14ac:dyDescent="0.35">
      <c r="C22" s="39"/>
      <c r="D22" s="96" t="s">
        <v>93</v>
      </c>
      <c r="E22" s="96"/>
      <c r="F22" s="97">
        <f>F21-G21</f>
        <v>307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116</v>
      </c>
      <c r="G24" s="46"/>
      <c r="H24" s="46"/>
      <c r="I24" s="9"/>
      <c r="J24" s="22">
        <v>0</v>
      </c>
      <c r="K24" s="9">
        <f>H25</f>
        <v>580.31999999999994</v>
      </c>
    </row>
    <row r="25" spans="3:11" ht="21" x14ac:dyDescent="0.35">
      <c r="C25" s="39"/>
      <c r="D25" s="8"/>
      <c r="E25" s="8"/>
      <c r="F25" s="46">
        <v>63</v>
      </c>
      <c r="G25" s="46">
        <v>57</v>
      </c>
      <c r="H25" s="47">
        <f>(F25-G25)*96.72</f>
        <v>580.31999999999994</v>
      </c>
      <c r="I25" s="9"/>
      <c r="J25" s="9"/>
      <c r="K25" s="9"/>
    </row>
    <row r="26" spans="3:11" ht="21" x14ac:dyDescent="0.35">
      <c r="C26" s="39"/>
      <c r="D26" s="96" t="s">
        <v>94</v>
      </c>
      <c r="E26" s="96"/>
      <c r="F26" s="97">
        <f>F25-G25</f>
        <v>6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5"/>
      <c r="D28" s="75"/>
      <c r="E28" s="75"/>
      <c r="F28" s="8"/>
      <c r="G28" s="8"/>
      <c r="H28" s="8"/>
      <c r="I28" s="9"/>
      <c r="J28" s="22"/>
      <c r="K28" s="9"/>
    </row>
    <row r="29" spans="3:11" ht="21" x14ac:dyDescent="0.35">
      <c r="C29" s="75"/>
      <c r="D29" s="75"/>
      <c r="E29" s="75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5"/>
      <c r="D30" s="75"/>
      <c r="E30" s="75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100"/>
      <c r="E31" s="100"/>
      <c r="F31" s="101"/>
      <c r="G31" s="101"/>
      <c r="H31" s="101"/>
      <c r="I31" s="101"/>
      <c r="J31" s="70"/>
      <c r="K31" s="70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3340.25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7171.24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87" t="s">
        <v>23</v>
      </c>
      <c r="D52" s="87"/>
      <c r="E52" s="87"/>
      <c r="F52" s="8"/>
      <c r="G52" s="87" t="s">
        <v>24</v>
      </c>
      <c r="H52" s="8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0" zoomScale="85" zoomScaleNormal="85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118</v>
      </c>
      <c r="E16" s="50" t="s">
        <v>119</v>
      </c>
      <c r="F16" s="18"/>
      <c r="G16" s="18"/>
      <c r="H16" s="18"/>
      <c r="I16" s="18">
        <f>K34</f>
        <v>2698.3900000000003</v>
      </c>
      <c r="J16" s="18">
        <f>I16+H16+G16</f>
        <v>2698.3900000000003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5" t="s">
        <v>32</v>
      </c>
      <c r="E20" s="95"/>
      <c r="F20" s="46" t="s">
        <v>120</v>
      </c>
      <c r="G20" s="46"/>
      <c r="H20" s="46"/>
      <c r="I20" s="9"/>
      <c r="J20" s="22">
        <v>0</v>
      </c>
      <c r="K20" s="9">
        <f>H21</f>
        <v>2210.6400000000003</v>
      </c>
    </row>
    <row r="21" spans="3:11" ht="21" x14ac:dyDescent="0.35">
      <c r="C21" s="39"/>
      <c r="D21" s="8"/>
      <c r="E21" s="8"/>
      <c r="F21" s="46">
        <v>3107</v>
      </c>
      <c r="G21" s="46">
        <v>2863</v>
      </c>
      <c r="H21" s="47">
        <f>(F21-G21)*9.06</f>
        <v>2210.6400000000003</v>
      </c>
      <c r="I21" s="9"/>
      <c r="J21" s="9"/>
      <c r="K21" s="9"/>
    </row>
    <row r="22" spans="3:11" ht="21" x14ac:dyDescent="0.35">
      <c r="C22" s="39"/>
      <c r="D22" s="96" t="s">
        <v>93</v>
      </c>
      <c r="E22" s="96"/>
      <c r="F22" s="97">
        <f>F21-G21</f>
        <v>244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121</v>
      </c>
      <c r="G24" s="46"/>
      <c r="H24" s="46"/>
      <c r="I24" s="9"/>
      <c r="J24" s="22">
        <v>0</v>
      </c>
      <c r="K24" s="9">
        <f>H25</f>
        <v>487.75</v>
      </c>
    </row>
    <row r="25" spans="3:11" ht="21" x14ac:dyDescent="0.35">
      <c r="C25" s="39"/>
      <c r="D25" s="8"/>
      <c r="E25" s="8"/>
      <c r="F25" s="46">
        <v>68</v>
      </c>
      <c r="G25" s="46">
        <v>63</v>
      </c>
      <c r="H25" s="47">
        <f>(F25-G25)*97.55</f>
        <v>487.75</v>
      </c>
      <c r="I25" s="9"/>
      <c r="J25" s="9"/>
      <c r="K25" s="9"/>
    </row>
    <row r="26" spans="3:11" ht="21" x14ac:dyDescent="0.35">
      <c r="C26" s="39"/>
      <c r="D26" s="96" t="s">
        <v>94</v>
      </c>
      <c r="E26" s="96"/>
      <c r="F26" s="97">
        <f>F25-G25</f>
        <v>5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5"/>
      <c r="D28" s="75"/>
      <c r="E28" s="75"/>
      <c r="F28" s="8"/>
      <c r="G28" s="8"/>
      <c r="H28" s="8"/>
      <c r="I28" s="9"/>
      <c r="J28" s="22"/>
      <c r="K28" s="9"/>
    </row>
    <row r="29" spans="3:11" ht="21" x14ac:dyDescent="0.35">
      <c r="C29" s="75"/>
      <c r="D29" s="75"/>
      <c r="E29" s="75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5"/>
      <c r="D30" s="75"/>
      <c r="E30" s="75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100"/>
      <c r="E31" s="100"/>
      <c r="F31" s="101"/>
      <c r="G31" s="101"/>
      <c r="H31" s="101"/>
      <c r="I31" s="101"/>
      <c r="J31" s="70"/>
      <c r="K31" s="70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2698.3900000000003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2698.3900000000003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87" t="s">
        <v>23</v>
      </c>
      <c r="D52" s="87"/>
      <c r="E52" s="87"/>
      <c r="F52" s="8"/>
      <c r="G52" s="87" t="s">
        <v>24</v>
      </c>
      <c r="H52" s="8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O19" sqref="O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123</v>
      </c>
      <c r="E16" s="50" t="s">
        <v>124</v>
      </c>
      <c r="F16" s="18"/>
      <c r="G16" s="18"/>
      <c r="H16" s="18">
        <v>2698.39</v>
      </c>
      <c r="I16" s="18">
        <f>K34</f>
        <v>3479.4700000000003</v>
      </c>
      <c r="J16" s="18">
        <f>I16+H16+G16</f>
        <v>6177.8600000000006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5" t="s">
        <v>32</v>
      </c>
      <c r="E20" s="95"/>
      <c r="F20" s="46" t="s">
        <v>125</v>
      </c>
      <c r="G20" s="46"/>
      <c r="H20" s="46"/>
      <c r="I20" s="9"/>
      <c r="J20" s="22">
        <v>0</v>
      </c>
      <c r="K20" s="9">
        <f>H21</f>
        <v>2891.05</v>
      </c>
    </row>
    <row r="21" spans="3:11" ht="21" x14ac:dyDescent="0.35">
      <c r="C21" s="39"/>
      <c r="D21" s="8"/>
      <c r="E21" s="8"/>
      <c r="F21" s="46">
        <v>3442</v>
      </c>
      <c r="G21" s="46">
        <v>3107</v>
      </c>
      <c r="H21" s="47">
        <f>(F21-G21)*8.63</f>
        <v>2891.05</v>
      </c>
      <c r="I21" s="9"/>
      <c r="J21" s="9"/>
      <c r="K21" s="9"/>
    </row>
    <row r="22" spans="3:11" ht="21" x14ac:dyDescent="0.35">
      <c r="C22" s="39"/>
      <c r="D22" s="96" t="s">
        <v>93</v>
      </c>
      <c r="E22" s="96"/>
      <c r="F22" s="97">
        <f>F21-G21</f>
        <v>335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126</v>
      </c>
      <c r="G24" s="46"/>
      <c r="H24" s="46"/>
      <c r="I24" s="9"/>
      <c r="J24" s="22">
        <v>0</v>
      </c>
      <c r="K24" s="9">
        <f>H25</f>
        <v>588.41999999999996</v>
      </c>
    </row>
    <row r="25" spans="3:11" ht="21" x14ac:dyDescent="0.35">
      <c r="C25" s="39"/>
      <c r="D25" s="8"/>
      <c r="E25" s="8"/>
      <c r="F25" s="46">
        <v>74</v>
      </c>
      <c r="G25" s="46">
        <v>68</v>
      </c>
      <c r="H25" s="47">
        <f>(F25-G25)*98.07</f>
        <v>588.41999999999996</v>
      </c>
      <c r="I25" s="9"/>
      <c r="J25" s="9"/>
      <c r="K25" s="9"/>
    </row>
    <row r="26" spans="3:11" ht="21" x14ac:dyDescent="0.35">
      <c r="C26" s="39"/>
      <c r="D26" s="96" t="s">
        <v>94</v>
      </c>
      <c r="E26" s="96"/>
      <c r="F26" s="97">
        <f>F25-G25</f>
        <v>6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5"/>
      <c r="D28" s="75"/>
      <c r="E28" s="75"/>
      <c r="F28" s="8"/>
      <c r="G28" s="8"/>
      <c r="H28" s="8"/>
      <c r="I28" s="9"/>
      <c r="J28" s="22"/>
      <c r="K28" s="9"/>
    </row>
    <row r="29" spans="3:11" ht="21" x14ac:dyDescent="0.35">
      <c r="C29" s="75"/>
      <c r="D29" s="75"/>
      <c r="E29" s="75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5"/>
      <c r="D30" s="75"/>
      <c r="E30" s="75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100"/>
      <c r="E31" s="100"/>
      <c r="F31" s="101"/>
      <c r="G31" s="101"/>
      <c r="H31" s="101"/>
      <c r="I31" s="101"/>
      <c r="J31" s="70"/>
      <c r="K31" s="70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3479.4700000000003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6177.8600000000006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79"/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87" t="s">
        <v>23</v>
      </c>
      <c r="D52" s="87"/>
      <c r="E52" s="87"/>
      <c r="F52" s="8"/>
      <c r="G52" s="87" t="s">
        <v>24</v>
      </c>
      <c r="H52" s="8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2" zoomScale="70" zoomScaleNormal="70" workbookViewId="0">
      <selection activeCell="K20" sqref="K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132</v>
      </c>
      <c r="H15" s="13" t="s">
        <v>133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127</v>
      </c>
      <c r="E16" s="50" t="s">
        <v>128</v>
      </c>
      <c r="F16" s="18"/>
      <c r="G16" s="18">
        <v>5395.2</v>
      </c>
      <c r="H16" s="18"/>
      <c r="I16" s="18">
        <f>K34</f>
        <v>3916.5600000000004</v>
      </c>
      <c r="J16" s="18">
        <f>I16+H16+G16</f>
        <v>9311.76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2" t="s">
        <v>134</v>
      </c>
      <c r="E20" s="102"/>
      <c r="F20" s="46" t="s">
        <v>129</v>
      </c>
      <c r="G20" s="46"/>
      <c r="H20" s="46"/>
      <c r="I20" s="9"/>
      <c r="J20" s="22">
        <v>0</v>
      </c>
      <c r="K20" s="9">
        <f>H21</f>
        <v>1976.4</v>
      </c>
    </row>
    <row r="21" spans="3:11" ht="21" x14ac:dyDescent="0.35">
      <c r="C21" s="39"/>
      <c r="D21" s="8"/>
      <c r="E21" s="8"/>
      <c r="F21" s="46">
        <v>3712</v>
      </c>
      <c r="G21" s="46">
        <v>3442</v>
      </c>
      <c r="H21" s="47">
        <f>(F21-G21)*7.32</f>
        <v>1976.4</v>
      </c>
      <c r="I21" s="9"/>
      <c r="J21" s="9"/>
      <c r="K21" s="9"/>
    </row>
    <row r="22" spans="3:11" ht="21" x14ac:dyDescent="0.35">
      <c r="C22" s="39"/>
      <c r="D22" s="96" t="s">
        <v>93</v>
      </c>
      <c r="E22" s="96"/>
      <c r="F22" s="97">
        <f>F21-G21</f>
        <v>270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135</v>
      </c>
      <c r="E24" s="8"/>
      <c r="F24" s="46" t="s">
        <v>130</v>
      </c>
      <c r="G24" s="46"/>
      <c r="H24" s="46"/>
      <c r="I24" s="9"/>
      <c r="J24" s="22">
        <v>0</v>
      </c>
      <c r="K24" s="9">
        <f>H25</f>
        <v>591.36</v>
      </c>
    </row>
    <row r="25" spans="3:11" ht="21" x14ac:dyDescent="0.35">
      <c r="C25" s="39"/>
      <c r="D25" s="8"/>
      <c r="E25" s="8"/>
      <c r="F25" s="46">
        <v>80</v>
      </c>
      <c r="G25" s="46">
        <v>74</v>
      </c>
      <c r="H25" s="47">
        <f>(F25-G25)*98.56</f>
        <v>591.36</v>
      </c>
      <c r="I25" s="9"/>
      <c r="J25" s="9"/>
      <c r="K25" s="9"/>
    </row>
    <row r="26" spans="3:11" ht="21" x14ac:dyDescent="0.35">
      <c r="C26" s="39"/>
      <c r="D26" s="96" t="s">
        <v>94</v>
      </c>
      <c r="E26" s="96"/>
      <c r="F26" s="97">
        <f>F25-G25</f>
        <v>6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02" t="s">
        <v>136</v>
      </c>
      <c r="E28" s="102"/>
      <c r="F28" s="46" t="s">
        <v>137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22.48</v>
      </c>
      <c r="G29" s="46">
        <v>60</v>
      </c>
      <c r="H29" s="47">
        <f>F29*G29</f>
        <v>1348.8</v>
      </c>
      <c r="I29" s="9"/>
      <c r="J29" s="22">
        <v>0</v>
      </c>
      <c r="K29" s="9">
        <f>H29</f>
        <v>1348.8</v>
      </c>
    </row>
    <row r="30" spans="3:11" ht="35.1" customHeight="1" x14ac:dyDescent="0.35">
      <c r="C30" s="75"/>
      <c r="D30" s="75"/>
      <c r="E30" s="75"/>
      <c r="F30" s="82"/>
      <c r="G30" s="82"/>
      <c r="H30" s="82"/>
      <c r="I30" s="9"/>
      <c r="J30" s="9"/>
      <c r="K30" s="9"/>
    </row>
    <row r="31" spans="3:11" ht="21" customHeight="1" x14ac:dyDescent="0.35">
      <c r="C31" s="38"/>
      <c r="D31" s="100"/>
      <c r="E31" s="100"/>
      <c r="F31" s="101"/>
      <c r="G31" s="101"/>
      <c r="H31" s="101"/>
      <c r="I31" s="101"/>
      <c r="J31" s="70"/>
      <c r="K31" s="70"/>
    </row>
    <row r="32" spans="3:11" ht="27" customHeight="1" x14ac:dyDescent="0.35">
      <c r="C32" s="40"/>
      <c r="D32" s="44"/>
      <c r="E32" s="44"/>
      <c r="F32" s="80"/>
      <c r="G32" s="80"/>
      <c r="H32" s="8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3916.5600000000004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9311.76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81"/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87" t="s">
        <v>23</v>
      </c>
      <c r="D52" s="87"/>
      <c r="E52" s="87"/>
      <c r="F52" s="8"/>
      <c r="G52" s="87" t="s">
        <v>24</v>
      </c>
      <c r="H52" s="8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1" zoomScale="70" zoomScaleNormal="70" workbookViewId="0">
      <selection activeCell="Q25" sqref="Q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132</v>
      </c>
      <c r="H15" s="13" t="s">
        <v>133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139</v>
      </c>
      <c r="E16" s="50" t="s">
        <v>140</v>
      </c>
      <c r="F16" s="18"/>
      <c r="G16" s="18">
        <f>[1]ASU!$E$12</f>
        <v>6744</v>
      </c>
      <c r="H16" s="18"/>
      <c r="I16" s="18">
        <f>K34</f>
        <v>3442.95</v>
      </c>
      <c r="J16" s="18">
        <f>I16+H16+G16</f>
        <v>10186.950000000001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 t="s">
        <v>141</v>
      </c>
      <c r="D20" s="102" t="s">
        <v>32</v>
      </c>
      <c r="E20" s="102"/>
      <c r="F20" s="46" t="s">
        <v>145</v>
      </c>
      <c r="G20" s="46"/>
      <c r="H20" s="46"/>
      <c r="I20" s="9"/>
      <c r="J20" s="22">
        <v>0</v>
      </c>
      <c r="K20" s="9">
        <f>H21</f>
        <v>1604</v>
      </c>
    </row>
    <row r="21" spans="3:11" ht="21" x14ac:dyDescent="0.35">
      <c r="C21" s="39"/>
      <c r="D21" s="8"/>
      <c r="E21" s="8"/>
      <c r="F21" s="46">
        <v>3912</v>
      </c>
      <c r="G21" s="46">
        <v>3712</v>
      </c>
      <c r="H21" s="47">
        <f>(F21-G21)*8.02</f>
        <v>1604</v>
      </c>
      <c r="I21" s="9"/>
      <c r="J21" s="9"/>
      <c r="K21" s="9"/>
    </row>
    <row r="22" spans="3:11" ht="21" x14ac:dyDescent="0.35">
      <c r="C22" s="39"/>
      <c r="D22" s="96" t="s">
        <v>93</v>
      </c>
      <c r="E22" s="96"/>
      <c r="F22" s="97">
        <f>F21-G21</f>
        <v>200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 t="s">
        <v>141</v>
      </c>
      <c r="D24" s="7" t="s">
        <v>143</v>
      </c>
      <c r="E24" s="8"/>
      <c r="F24" s="46" t="s">
        <v>146</v>
      </c>
      <c r="G24" s="46"/>
      <c r="H24" s="46"/>
      <c r="I24" s="9"/>
      <c r="J24" s="22">
        <v>0</v>
      </c>
      <c r="K24" s="9">
        <f>H25</f>
        <v>490.15</v>
      </c>
    </row>
    <row r="25" spans="3:11" ht="21" x14ac:dyDescent="0.35">
      <c r="C25" s="39"/>
      <c r="D25" s="8"/>
      <c r="E25" s="8"/>
      <c r="F25" s="46">
        <v>85</v>
      </c>
      <c r="G25" s="46">
        <v>80</v>
      </c>
      <c r="H25" s="47">
        <f>(F25-G25)*98.03</f>
        <v>490.15</v>
      </c>
      <c r="I25" s="9"/>
      <c r="J25" s="9"/>
      <c r="K25" s="9"/>
    </row>
    <row r="26" spans="3:11" ht="21" x14ac:dyDescent="0.35">
      <c r="C26" s="39"/>
      <c r="D26" s="96" t="s">
        <v>94</v>
      </c>
      <c r="E26" s="96"/>
      <c r="F26" s="97">
        <f>F25-G25</f>
        <v>5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102" t="s">
        <v>136</v>
      </c>
      <c r="E28" s="102"/>
      <c r="F28" s="46" t="s">
        <v>142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22.48</v>
      </c>
      <c r="G29" s="46">
        <v>60</v>
      </c>
      <c r="H29" s="47">
        <f>F29*G29</f>
        <v>1348.8</v>
      </c>
      <c r="I29" s="9"/>
      <c r="J29" s="22">
        <v>0</v>
      </c>
      <c r="K29" s="9">
        <f>H29</f>
        <v>1348.8</v>
      </c>
    </row>
    <row r="30" spans="3:11" ht="35.1" customHeight="1" x14ac:dyDescent="0.35">
      <c r="C30" s="75"/>
      <c r="D30" s="75"/>
      <c r="E30" s="75"/>
      <c r="F30" s="82"/>
      <c r="G30" s="82"/>
      <c r="H30" s="82"/>
      <c r="I30" s="9"/>
      <c r="J30" s="9"/>
      <c r="K30" s="9"/>
    </row>
    <row r="31" spans="3:11" ht="21" customHeight="1" x14ac:dyDescent="0.35">
      <c r="C31" s="38"/>
      <c r="D31" s="100"/>
      <c r="E31" s="100"/>
      <c r="F31" s="101"/>
      <c r="G31" s="101"/>
      <c r="H31" s="101"/>
      <c r="I31" s="101"/>
      <c r="J31" s="70"/>
      <c r="K31" s="70"/>
    </row>
    <row r="32" spans="3:11" ht="27" customHeight="1" x14ac:dyDescent="0.35">
      <c r="C32" s="40"/>
      <c r="D32" s="44"/>
      <c r="E32" s="44"/>
      <c r="F32" s="83"/>
      <c r="G32" s="83"/>
      <c r="H32" s="8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3442.95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10186.950000000001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84"/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144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87" t="s">
        <v>23</v>
      </c>
      <c r="D52" s="87"/>
      <c r="E52" s="87"/>
      <c r="F52" s="8"/>
      <c r="G52" s="87" t="s">
        <v>24</v>
      </c>
      <c r="H52" s="8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31" workbookViewId="0">
      <selection activeCell="N31" sqref="N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>
        <v>266.39999999999998</v>
      </c>
      <c r="I16" s="18">
        <f>K35</f>
        <v>472.93999999999994</v>
      </c>
      <c r="J16" s="18">
        <f>I16+H16+G16</f>
        <v>739.33999999999992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5" t="s">
        <v>32</v>
      </c>
      <c r="E20" s="95"/>
      <c r="F20" s="46" t="s">
        <v>44</v>
      </c>
      <c r="G20" s="46"/>
      <c r="H20" s="46"/>
      <c r="I20" s="9"/>
      <c r="J20" s="22">
        <v>0</v>
      </c>
      <c r="K20" s="9">
        <f>H21</f>
        <v>125.29999999999998</v>
      </c>
    </row>
    <row r="21" spans="3:11" ht="21" x14ac:dyDescent="0.35">
      <c r="C21" s="39"/>
      <c r="D21" s="8"/>
      <c r="E21" s="8"/>
      <c r="F21" s="46">
        <v>105</v>
      </c>
      <c r="G21" s="46">
        <v>98</v>
      </c>
      <c r="H21" s="47">
        <f>(F21-G21)*17.9</f>
        <v>125.29999999999998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347.64</v>
      </c>
    </row>
    <row r="25" spans="3:11" ht="21" x14ac:dyDescent="0.35">
      <c r="C25" s="39"/>
      <c r="D25" s="8"/>
      <c r="E25" s="8"/>
      <c r="F25" s="46">
        <v>4</v>
      </c>
      <c r="G25" s="46">
        <v>1</v>
      </c>
      <c r="H25" s="47">
        <f>(F25-G25)*115.88</f>
        <v>347.64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3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3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3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472.93999999999994</v>
      </c>
    </row>
    <row r="36" spans="2:13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3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739.33999999999992</v>
      </c>
      <c r="L37" s="8"/>
      <c r="M37" s="53" t="s">
        <v>47</v>
      </c>
    </row>
    <row r="38" spans="2:13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3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3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3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3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3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3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3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G26" sqref="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53</v>
      </c>
      <c r="E16" s="50" t="s">
        <v>54</v>
      </c>
      <c r="F16" s="18"/>
      <c r="G16" s="18"/>
      <c r="H16" s="18"/>
      <c r="I16" s="18">
        <f>K35</f>
        <v>2798.4800000000005</v>
      </c>
      <c r="J16" s="18">
        <f>I16+H16+G16</f>
        <v>2798.4800000000005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5" t="s">
        <v>32</v>
      </c>
      <c r="E20" s="95"/>
      <c r="F20" s="46" t="s">
        <v>55</v>
      </c>
      <c r="G20" s="46"/>
      <c r="H20" s="46"/>
      <c r="I20" s="9"/>
      <c r="J20" s="22">
        <v>0</v>
      </c>
      <c r="K20" s="9">
        <f>H21</f>
        <v>2333.7600000000002</v>
      </c>
    </row>
    <row r="21" spans="3:11" ht="21" x14ac:dyDescent="0.35">
      <c r="C21" s="39"/>
      <c r="D21" s="8"/>
      <c r="E21" s="8"/>
      <c r="F21" s="46">
        <v>248</v>
      </c>
      <c r="G21" s="46">
        <v>105</v>
      </c>
      <c r="H21" s="47">
        <f>(F21-G21)*16.32</f>
        <v>2333.7600000000002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464.72</v>
      </c>
    </row>
    <row r="25" spans="3:11" ht="21" x14ac:dyDescent="0.35">
      <c r="C25" s="39"/>
      <c r="D25" s="8"/>
      <c r="E25" s="8"/>
      <c r="F25" s="46">
        <v>8</v>
      </c>
      <c r="G25" s="46">
        <v>4</v>
      </c>
      <c r="H25" s="47">
        <f>(F25-G25)*116.18</f>
        <v>464.72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2798.4800000000005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2798.4800000000005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49</v>
      </c>
      <c r="E16" s="50" t="s">
        <v>50</v>
      </c>
      <c r="F16" s="18"/>
      <c r="G16" s="18"/>
      <c r="H16" s="18">
        <v>2798.48</v>
      </c>
      <c r="I16" s="18">
        <f>K35</f>
        <v>4521.05</v>
      </c>
      <c r="J16" s="18">
        <f>I16+H16+G16</f>
        <v>7319.5300000000007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5" t="s">
        <v>32</v>
      </c>
      <c r="E20" s="95"/>
      <c r="F20" s="46" t="s">
        <v>51</v>
      </c>
      <c r="G20" s="46"/>
      <c r="H20" s="46"/>
      <c r="I20" s="9"/>
      <c r="J20" s="22">
        <v>0</v>
      </c>
      <c r="K20" s="9">
        <f>H21</f>
        <v>3940.8</v>
      </c>
    </row>
    <row r="21" spans="3:11" ht="21" x14ac:dyDescent="0.35">
      <c r="C21" s="39"/>
      <c r="D21" s="8"/>
      <c r="E21" s="8"/>
      <c r="F21" s="46">
        <v>488</v>
      </c>
      <c r="G21" s="46">
        <v>248</v>
      </c>
      <c r="H21" s="47">
        <f>(F21-G21)*16.42</f>
        <v>3940.8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57</v>
      </c>
      <c r="G24" s="46"/>
      <c r="H24" s="46"/>
      <c r="I24" s="9"/>
      <c r="J24" s="22">
        <v>0</v>
      </c>
      <c r="K24" s="9">
        <f>H25</f>
        <v>580.25</v>
      </c>
    </row>
    <row r="25" spans="3:11" ht="21" x14ac:dyDescent="0.35">
      <c r="C25" s="39"/>
      <c r="D25" s="8"/>
      <c r="E25" s="8"/>
      <c r="F25" s="46">
        <v>13</v>
      </c>
      <c r="G25" s="46">
        <v>8</v>
      </c>
      <c r="H25" s="47">
        <f>(F25-G25)*116.05</f>
        <v>580.25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4521.05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7319.5300000000007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I7" sqref="I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59</v>
      </c>
      <c r="E16" s="50" t="s">
        <v>60</v>
      </c>
      <c r="F16" s="18"/>
      <c r="G16" s="18"/>
      <c r="H16" s="18">
        <v>7319.53</v>
      </c>
      <c r="I16" s="18">
        <f>K35</f>
        <v>4072.2799999999997</v>
      </c>
      <c r="J16" s="18">
        <f>I16+H16+G16</f>
        <v>11391.81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5" t="s">
        <v>32</v>
      </c>
      <c r="E20" s="95"/>
      <c r="F20" s="46" t="s">
        <v>61</v>
      </c>
      <c r="G20" s="46"/>
      <c r="H20" s="46"/>
      <c r="I20" s="9"/>
      <c r="J20" s="22">
        <v>0</v>
      </c>
      <c r="K20" s="9">
        <f>H21</f>
        <v>3493.3799999999997</v>
      </c>
    </row>
    <row r="21" spans="3:11" ht="21" x14ac:dyDescent="0.35">
      <c r="C21" s="39"/>
      <c r="D21" s="8"/>
      <c r="E21" s="8"/>
      <c r="F21" s="46">
        <v>689</v>
      </c>
      <c r="G21" s="46">
        <v>488</v>
      </c>
      <c r="H21" s="47">
        <f>(F21-G21)*17.38</f>
        <v>3493.3799999999997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62</v>
      </c>
      <c r="G24" s="46"/>
      <c r="H24" s="46"/>
      <c r="I24" s="9"/>
      <c r="J24" s="22">
        <v>0</v>
      </c>
      <c r="K24" s="9">
        <f>H25</f>
        <v>578.9</v>
      </c>
    </row>
    <row r="25" spans="3:11" ht="21" x14ac:dyDescent="0.35">
      <c r="C25" s="39"/>
      <c r="D25" s="8"/>
      <c r="E25" s="8"/>
      <c r="F25" s="46">
        <v>18</v>
      </c>
      <c r="G25" s="46">
        <v>13</v>
      </c>
      <c r="H25" s="47">
        <f>(F25-G25)*115.78</f>
        <v>578.9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4072.2799999999997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11391.81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H7" sqref="H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64</v>
      </c>
      <c r="E16" s="50" t="s">
        <v>65</v>
      </c>
      <c r="F16" s="18"/>
      <c r="G16" s="18"/>
      <c r="H16" s="18">
        <v>11391.81</v>
      </c>
      <c r="I16" s="18">
        <f>K35</f>
        <v>4083.29</v>
      </c>
      <c r="J16" s="18">
        <f>I16+H16+G16</f>
        <v>15475.099999999999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5" t="s">
        <v>32</v>
      </c>
      <c r="E20" s="95"/>
      <c r="F20" s="46" t="s">
        <v>66</v>
      </c>
      <c r="G20" s="46"/>
      <c r="H20" s="46"/>
      <c r="I20" s="9"/>
      <c r="J20" s="22">
        <v>0</v>
      </c>
      <c r="K20" s="9">
        <f>H21</f>
        <v>3503.64</v>
      </c>
    </row>
    <row r="21" spans="3:11" ht="21" x14ac:dyDescent="0.35">
      <c r="C21" s="39"/>
      <c r="D21" s="8"/>
      <c r="E21" s="8"/>
      <c r="F21" s="46">
        <v>883</v>
      </c>
      <c r="G21" s="46">
        <v>689</v>
      </c>
      <c r="H21" s="47">
        <f>(F21-G21)*18.06</f>
        <v>3503.64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67</v>
      </c>
      <c r="G24" s="46"/>
      <c r="H24" s="46"/>
      <c r="I24" s="9"/>
      <c r="J24" s="22">
        <v>0</v>
      </c>
      <c r="K24" s="9">
        <f>H25</f>
        <v>579.65000000000009</v>
      </c>
    </row>
    <row r="25" spans="3:11" ht="21" x14ac:dyDescent="0.35">
      <c r="C25" s="39"/>
      <c r="D25" s="8"/>
      <c r="E25" s="8"/>
      <c r="F25" s="46">
        <v>23</v>
      </c>
      <c r="G25" s="46">
        <v>18</v>
      </c>
      <c r="H25" s="47">
        <f>(F25-G25)*115.93</f>
        <v>579.65000000000009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4083.29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15475.099999999999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F29" sqref="F29:H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69</v>
      </c>
      <c r="E16" s="50" t="s">
        <v>70</v>
      </c>
      <c r="F16" s="18"/>
      <c r="G16" s="18"/>
      <c r="H16" s="18">
        <v>15475.1</v>
      </c>
      <c r="I16" s="18">
        <f>K35</f>
        <v>3532.71</v>
      </c>
      <c r="J16" s="18">
        <f>I16+H16+G16</f>
        <v>19007.810000000001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5" t="s">
        <v>32</v>
      </c>
      <c r="E20" s="95"/>
      <c r="F20" s="46" t="s">
        <v>73</v>
      </c>
      <c r="G20" s="46"/>
      <c r="H20" s="46"/>
      <c r="I20" s="9"/>
      <c r="J20" s="22">
        <v>0</v>
      </c>
      <c r="K20" s="9">
        <f>H21</f>
        <v>3184.2</v>
      </c>
    </row>
    <row r="21" spans="3:11" ht="21" x14ac:dyDescent="0.35">
      <c r="C21" s="39"/>
      <c r="D21" s="8"/>
      <c r="E21" s="8"/>
      <c r="F21" s="46">
        <v>1066</v>
      </c>
      <c r="G21" s="46">
        <v>883</v>
      </c>
      <c r="H21" s="47">
        <f>(F21-G21)*17.4</f>
        <v>3184.2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72</v>
      </c>
      <c r="G24" s="46"/>
      <c r="H24" s="46"/>
      <c r="I24" s="9"/>
      <c r="J24" s="22">
        <v>0</v>
      </c>
      <c r="K24" s="9">
        <f>H25</f>
        <v>348.51</v>
      </c>
    </row>
    <row r="25" spans="3:11" ht="21" x14ac:dyDescent="0.35">
      <c r="C25" s="39"/>
      <c r="D25" s="8"/>
      <c r="E25" s="8"/>
      <c r="F25" s="46">
        <v>26</v>
      </c>
      <c r="G25" s="46">
        <v>23</v>
      </c>
      <c r="H25" s="47">
        <f>(F25-G25)*116.17</f>
        <v>348.51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3532.71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19007.810000000001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3.25" x14ac:dyDescent="0.35">
      <c r="B41" s="3"/>
      <c r="C41" s="58" t="s">
        <v>71</v>
      </c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75</v>
      </c>
      <c r="E16" s="50" t="s">
        <v>76</v>
      </c>
      <c r="F16" s="18"/>
      <c r="G16" s="18"/>
      <c r="H16" s="18" t="e">
        <f>#REF!</f>
        <v>#REF!</v>
      </c>
      <c r="I16" s="18">
        <f>K35</f>
        <v>3410.79</v>
      </c>
      <c r="J16" s="18" t="e">
        <f>I16+H16+G16</f>
        <v>#REF!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5" t="s">
        <v>32</v>
      </c>
      <c r="E20" s="95"/>
      <c r="F20" s="46" t="s">
        <v>77</v>
      </c>
      <c r="G20" s="46"/>
      <c r="H20" s="46"/>
      <c r="I20" s="9"/>
      <c r="J20" s="22">
        <v>0</v>
      </c>
      <c r="K20" s="9">
        <f>H21</f>
        <v>2706.93</v>
      </c>
    </row>
    <row r="21" spans="3:11" ht="21" x14ac:dyDescent="0.35">
      <c r="C21" s="39"/>
      <c r="D21" s="8"/>
      <c r="E21" s="8"/>
      <c r="F21" s="46">
        <v>1237</v>
      </c>
      <c r="G21" s="46">
        <v>1066</v>
      </c>
      <c r="H21" s="47">
        <f>(F21-G21)*15.83</f>
        <v>2706.93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703.86</v>
      </c>
    </row>
    <row r="25" spans="3:11" ht="21" x14ac:dyDescent="0.35">
      <c r="C25" s="39"/>
      <c r="D25" s="8"/>
      <c r="E25" s="8"/>
      <c r="F25" s="46">
        <v>32</v>
      </c>
      <c r="G25" s="46">
        <v>26</v>
      </c>
      <c r="H25" s="47">
        <f>(F25-G25)*117.31</f>
        <v>703.86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9"/>
      <c r="G31" s="59"/>
      <c r="H31" s="59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9"/>
      <c r="G33" s="59"/>
      <c r="H33" s="59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3410.79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 t="e">
        <f>I16+H16+G16</f>
        <v>#REF!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3.25" x14ac:dyDescent="0.35">
      <c r="B41" s="3"/>
      <c r="C41" s="58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3" t="s">
        <v>14</v>
      </c>
      <c r="J3" s="93"/>
      <c r="K3" s="93"/>
    </row>
    <row r="4" spans="3:11" ht="21" x14ac:dyDescent="0.35">
      <c r="C4" s="8"/>
      <c r="D4" s="8"/>
      <c r="E4" s="8"/>
      <c r="F4" s="8"/>
      <c r="G4" s="8"/>
      <c r="H4" s="8"/>
      <c r="I4" s="93"/>
      <c r="J4" s="93"/>
      <c r="K4" s="9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80</v>
      </c>
      <c r="E16" s="50" t="s">
        <v>81</v>
      </c>
      <c r="F16" s="18"/>
      <c r="G16" s="18"/>
      <c r="H16" s="18">
        <v>3418.6</v>
      </c>
      <c r="I16" s="18">
        <f>K35</f>
        <v>4433.24</v>
      </c>
      <c r="J16" s="18">
        <f>I16+H16+G16</f>
        <v>7851.84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4" t="s">
        <v>8</v>
      </c>
      <c r="E19" s="94"/>
      <c r="F19" s="94" t="s">
        <v>9</v>
      </c>
      <c r="G19" s="94"/>
      <c r="H19" s="9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5" t="s">
        <v>32</v>
      </c>
      <c r="E20" s="95"/>
      <c r="F20" s="46" t="s">
        <v>82</v>
      </c>
      <c r="G20" s="46"/>
      <c r="H20" s="46"/>
      <c r="I20" s="9"/>
      <c r="J20" s="22">
        <v>0</v>
      </c>
      <c r="K20" s="9">
        <f>H21</f>
        <v>3846.69</v>
      </c>
    </row>
    <row r="21" spans="3:11" ht="21" x14ac:dyDescent="0.35">
      <c r="C21" s="39"/>
      <c r="D21" s="8"/>
      <c r="E21" s="8"/>
      <c r="F21" s="46">
        <v>1480</v>
      </c>
      <c r="G21" s="46">
        <v>1237</v>
      </c>
      <c r="H21" s="47">
        <f>(F21-G21)*15.83</f>
        <v>3846.69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83</v>
      </c>
      <c r="G24" s="46"/>
      <c r="H24" s="46"/>
      <c r="I24" s="9"/>
      <c r="J24" s="22">
        <v>0</v>
      </c>
      <c r="K24" s="9">
        <f>H25</f>
        <v>586.54999999999995</v>
      </c>
    </row>
    <row r="25" spans="3:11" ht="21" x14ac:dyDescent="0.35">
      <c r="C25" s="39"/>
      <c r="D25" s="8"/>
      <c r="E25" s="8"/>
      <c r="F25" s="46">
        <v>37</v>
      </c>
      <c r="G25" s="46">
        <v>32</v>
      </c>
      <c r="H25" s="47">
        <f>(F25-G25)*117.31</f>
        <v>586.54999999999995</v>
      </c>
      <c r="I25" s="9"/>
      <c r="J25" s="9"/>
      <c r="K25" s="9"/>
    </row>
    <row r="26" spans="3:11" ht="21" x14ac:dyDescent="0.35">
      <c r="C26" s="39"/>
      <c r="D26" s="96" t="s">
        <v>94</v>
      </c>
      <c r="E26" s="96"/>
      <c r="F26" s="97">
        <f>F25-G25</f>
        <v>5</v>
      </c>
      <c r="G26" s="9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60"/>
      <c r="G31" s="60"/>
      <c r="H31" s="60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60"/>
      <c r="G33" s="60"/>
      <c r="H33" s="6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4433.24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7851.84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62" t="s">
        <v>84</v>
      </c>
      <c r="D41" s="62" t="s">
        <v>85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2" t="s">
        <v>86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2020-12-16T10:40:40Z</cp:lastPrinted>
  <dcterms:created xsi:type="dcterms:W3CDTF">2018-02-28T02:33:50Z</dcterms:created>
  <dcterms:modified xsi:type="dcterms:W3CDTF">2020-12-16T10:41:10Z</dcterms:modified>
</cp:coreProperties>
</file>