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externalReferences>
    <externalReference r:id="rId18"/>
  </externalReferences>
  <definedNames>
    <definedName name="_xlnm.Print_Area" localSheetId="9">'APR 2020'!$A$1:$K$59</definedName>
    <definedName name="_xlnm.Print_Area" localSheetId="13">'AUG 2020'!$A$1:$K$54</definedName>
    <definedName name="_xlnm.Print_Area" localSheetId="7">'FEB 2020'!$A$1:$K$57</definedName>
    <definedName name="_xlnm.Print_Area" localSheetId="12">'JUL 2020'!$A$1:$K$54</definedName>
    <definedName name="_xlnm.Print_Area" localSheetId="0">'JULY 2019'!$B$2:$L$57</definedName>
    <definedName name="_xlnm.Print_Area" localSheetId="11">'JUN 2020'!$A$1:$K$54</definedName>
    <definedName name="_xlnm.Print_Area" localSheetId="8">'MAR 2020'!$A$1:$K$57</definedName>
    <definedName name="_xlnm.Print_Area" localSheetId="10">'MAY 2020'!$A$1:$K$59</definedName>
    <definedName name="_xlnm.Print_Area" localSheetId="16">'NOV 2020'!$A$1:$K$55</definedName>
    <definedName name="_xlnm.Print_Area" localSheetId="15">'OCT 2020'!$A$1:$K$55</definedName>
    <definedName name="_xlnm.Print_Area" localSheetId="14">'SEPT 2020'!$A$1:$K$55</definedName>
  </definedNames>
  <calcPr calcId="152511"/>
</workbook>
</file>

<file path=xl/calcChain.xml><?xml version="1.0" encoding="utf-8"?>
<calcChain xmlns="http://schemas.openxmlformats.org/spreadsheetml/2006/main">
  <c r="K34" i="17" l="1"/>
  <c r="H25" i="17"/>
  <c r="H21" i="17"/>
  <c r="H16" i="17" l="1"/>
  <c r="G16" i="17"/>
  <c r="K33" i="17"/>
  <c r="H29" i="17"/>
  <c r="K29" i="17" s="1"/>
  <c r="F26" i="17"/>
  <c r="K24" i="17"/>
  <c r="F22" i="17"/>
  <c r="K20" i="17"/>
  <c r="I16" i="17" l="1"/>
  <c r="K36" i="17" s="1"/>
  <c r="H25" i="16"/>
  <c r="J16" i="17" l="1"/>
  <c r="K29" i="16"/>
  <c r="H29" i="16"/>
  <c r="H21" i="16" l="1"/>
  <c r="K33" i="16" l="1"/>
  <c r="F26" i="16"/>
  <c r="K24" i="16"/>
  <c r="F22" i="16"/>
  <c r="K20" i="16"/>
  <c r="K34" i="16" l="1"/>
  <c r="I16" i="16" s="1"/>
  <c r="K36" i="16" s="1"/>
  <c r="H25" i="15"/>
  <c r="H21" i="15"/>
  <c r="K20" i="15" s="1"/>
  <c r="K33" i="15"/>
  <c r="K29" i="15"/>
  <c r="K27" i="15"/>
  <c r="F26" i="15"/>
  <c r="K24" i="15"/>
  <c r="F22" i="15"/>
  <c r="J16" i="16" l="1"/>
  <c r="K34" i="15"/>
  <c r="I16" i="15" s="1"/>
  <c r="K36" i="15"/>
  <c r="J16" i="15"/>
  <c r="H25" i="14"/>
  <c r="H21" i="14"/>
  <c r="K33" i="14" l="1"/>
  <c r="K29" i="14"/>
  <c r="K27" i="14"/>
  <c r="F26" i="14"/>
  <c r="K24" i="14"/>
  <c r="F22" i="14"/>
  <c r="K20" i="14"/>
  <c r="K34" i="14" l="1"/>
  <c r="I16" i="14" s="1"/>
  <c r="J16" i="14" s="1"/>
  <c r="H25" i="13"/>
  <c r="K36" i="14" l="1"/>
  <c r="H21" i="13"/>
  <c r="K33" i="13" l="1"/>
  <c r="K29" i="13"/>
  <c r="K27" i="13"/>
  <c r="F26" i="13"/>
  <c r="K24" i="13"/>
  <c r="F22" i="13"/>
  <c r="K20" i="13"/>
  <c r="K34" i="13" l="1"/>
  <c r="I16" i="13" s="1"/>
  <c r="J16" i="13" s="1"/>
  <c r="K31" i="12"/>
  <c r="K36" i="13" l="1"/>
  <c r="F26" i="9"/>
  <c r="K33" i="12"/>
  <c r="H25" i="12"/>
  <c r="K24" i="12" s="1"/>
  <c r="H21" i="12"/>
  <c r="K29" i="12"/>
  <c r="F26" i="12"/>
  <c r="F22" i="12"/>
  <c r="K27" i="12" l="1"/>
  <c r="K20" i="12"/>
  <c r="K34" i="12" s="1"/>
  <c r="K33" i="11"/>
  <c r="I16" i="12" l="1"/>
  <c r="K36" i="12" s="1"/>
  <c r="J16" i="12"/>
  <c r="H21" i="11"/>
  <c r="K35" i="11" l="1"/>
  <c r="K30" i="11"/>
  <c r="F26" i="11"/>
  <c r="H25" i="11"/>
  <c r="K24" i="11" s="1"/>
  <c r="F22" i="11"/>
  <c r="K20" i="11"/>
  <c r="I28" i="11" l="1"/>
  <c r="K28" i="11" s="1"/>
  <c r="F26" i="10"/>
  <c r="F22" i="10"/>
  <c r="I16" i="11" l="1"/>
  <c r="K36" i="11"/>
  <c r="K38" i="11"/>
  <c r="J16" i="11"/>
  <c r="H25" i="10"/>
  <c r="K24" i="10" s="1"/>
  <c r="H21" i="10"/>
  <c r="K35" i="10"/>
  <c r="K33" i="10"/>
  <c r="K30" i="10"/>
  <c r="K20" i="10" l="1"/>
  <c r="I28" i="10"/>
  <c r="K28" i="10"/>
  <c r="K36" i="10" s="1"/>
  <c r="I16" i="10" s="1"/>
  <c r="K34" i="9"/>
  <c r="K32" i="9"/>
  <c r="K29" i="9"/>
  <c r="K27" i="9"/>
  <c r="H25" i="9"/>
  <c r="K24" i="9" s="1"/>
  <c r="H21" i="9"/>
  <c r="K20" i="9" s="1"/>
  <c r="K38" i="10" l="1"/>
  <c r="J16" i="10"/>
  <c r="K35" i="9"/>
  <c r="I16" i="9" s="1"/>
  <c r="K37" i="9" s="1"/>
  <c r="H25" i="8"/>
  <c r="H21" i="8"/>
  <c r="J16" i="9" l="1"/>
  <c r="K34" i="8"/>
  <c r="K32" i="8"/>
  <c r="K29" i="8"/>
  <c r="K27" i="8"/>
  <c r="K24" i="8"/>
  <c r="K20" i="8"/>
  <c r="K35" i="8" l="1"/>
  <c r="I16" i="8" s="1"/>
  <c r="J16" i="8" s="1"/>
  <c r="K37" i="8"/>
  <c r="H25" i="6"/>
  <c r="H21" i="7"/>
  <c r="K20" i="7" s="1"/>
  <c r="K34" i="7"/>
  <c r="K32" i="7"/>
  <c r="K29" i="7"/>
  <c r="K27" i="7"/>
  <c r="H25" i="7"/>
  <c r="K24" i="7"/>
  <c r="K35" i="7" l="1"/>
  <c r="I16" i="7" s="1"/>
  <c r="K37" i="7" s="1"/>
  <c r="J16" i="7" l="1"/>
  <c r="H21" i="6"/>
  <c r="K34" i="6" l="1"/>
  <c r="K32" i="6"/>
  <c r="K29" i="6"/>
  <c r="K27" i="6"/>
  <c r="K24" i="6"/>
  <c r="K20" i="6"/>
  <c r="K35" i="6" l="1"/>
  <c r="I16" i="6" s="1"/>
  <c r="K37" i="6" s="1"/>
  <c r="H25" i="5"/>
  <c r="H21" i="5"/>
  <c r="K20" i="5" s="1"/>
  <c r="K34" i="5"/>
  <c r="K32" i="5"/>
  <c r="K29" i="5"/>
  <c r="K27" i="5"/>
  <c r="K24" i="5"/>
  <c r="J16" i="6" l="1"/>
  <c r="K35" i="5"/>
  <c r="I16" i="5" s="1"/>
  <c r="J16" i="5"/>
  <c r="K37" i="5"/>
  <c r="H25" i="4"/>
  <c r="H21" i="4" l="1"/>
  <c r="K34" i="4" l="1"/>
  <c r="K32" i="4"/>
  <c r="K29" i="4"/>
  <c r="K27" i="4"/>
  <c r="K24" i="4"/>
  <c r="K20" i="4"/>
  <c r="K35" i="4" l="1"/>
  <c r="I16" i="4" s="1"/>
  <c r="J16" i="4" s="1"/>
  <c r="H25" i="3"/>
  <c r="K37" i="4" l="1"/>
  <c r="K34" i="3"/>
  <c r="K32" i="3"/>
  <c r="K29" i="3"/>
  <c r="K27" i="3"/>
  <c r="K24" i="3"/>
  <c r="H21" i="3"/>
  <c r="K20" i="3" s="1"/>
  <c r="K35" i="3" l="1"/>
  <c r="I16" i="3" s="1"/>
  <c r="K37" i="3" s="1"/>
  <c r="H25" i="2"/>
  <c r="K24" i="2" s="1"/>
  <c r="H21" i="2"/>
  <c r="K20" i="2" s="1"/>
  <c r="K34" i="2"/>
  <c r="K32" i="2"/>
  <c r="K29" i="2"/>
  <c r="K27" i="2"/>
  <c r="J16" i="3" l="1"/>
  <c r="K35" i="2"/>
  <c r="I16" i="2" s="1"/>
  <c r="K37" i="2" s="1"/>
  <c r="H25" i="1"/>
  <c r="H21" i="1"/>
  <c r="J16" i="2" l="1"/>
  <c r="K24" i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<sst xmlns="http://schemas.openxmlformats.org/spreadsheetml/2006/main" count="735" uniqueCount="145">
  <si>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</si>
  <si>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</si>
  <si>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</si>
  <si>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</si>
  <si>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</si>
  <si>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</si>
  <si>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</si>
  <si>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</si>
  <si>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</si>
  <si>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</si>
  <si>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</si>
  <si>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</si>
  <si>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</si>
  <si>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</si>
  <si>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</si>
  <si>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</si>
  <si>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</si>
  <si>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</si>
  <si>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</si>
  <si>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</si>
  <si>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</si>
  <si>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</si>
  <si>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</si>
  <si>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</si>
  <si>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</si>
  <si>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</si>
  <si>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</si>
  <si>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</si>
  <si>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</si>
  <si>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</si>
  <si>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</si>
  <si>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</si>
  <si>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</si>
  <si>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</si>
  <si>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</si>
  <si>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</si>
  <si>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</si>
  <si>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r>
      <t>REGISTERED OWNER:</t>
    </r>
    <r>
      <rPr>
        <b/>
        <sz val="22"/>
        <color theme="1"/>
        <rFont val="Calibri"/>
        <family val="2"/>
        <scheme val="minor"/>
      </rPr>
      <t xml:space="preserve"> FE CANTA</t>
    </r>
  </si>
  <si>
    <t>UNIT: 14A19</t>
  </si>
  <si>
    <t>PRES: JULY 25 2019 - PREV: MAY 23 2019 * 18.30</t>
  </si>
  <si>
    <t>PRES: JULY 25 2019 - PREV: MAY 23 2019 * 120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</si>
  <si>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</si>
  <si>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</si>
  <si>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</si>
  <si>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</si>
  <si>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</si>
  <si>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</si>
  <si>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</si>
  <si>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</si>
  <si>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</si>
  <si>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FE CANTA</t>
    </r>
  </si>
  <si>
    <t>PAID</t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</si>
  <si>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</si>
  <si>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</si>
  <si>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</si>
  <si>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</si>
  <si>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</si>
  <si>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</si>
  <si>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</si>
  <si>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</si>
  <si>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</si>
  <si>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</si>
  <si>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</si>
  <si>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</si>
  <si>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</si>
  <si>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PRES: DEC 25 2019 - PREV: NOV 26 2019 * 18.06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</si>
  <si>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</si>
  <si>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</si>
  <si>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</si>
  <si>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</si>
  <si>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</si>
  <si>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PRES: DEC 25 2019 - PREV: NOV 26 2019 * 115.93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</si>
  <si>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</si>
  <si>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</si>
  <si>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</si>
  <si>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</si>
  <si>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</si>
  <si>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</si>
  <si>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</si>
  <si>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</si>
  <si>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</si>
  <si>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</si>
  <si>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</si>
  <si>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</si>
  <si>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</si>
  <si>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</si>
  <si>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</si>
  <si>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</si>
  <si>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</si>
  <si>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</si>
  <si>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</si>
  <si>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</si>
  <si>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</si>
  <si>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</si>
  <si>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</si>
  <si>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</si>
  <si>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</si>
  <si>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</si>
  <si>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</si>
  <si>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</si>
  <si>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</si>
  <si>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ELECTRICITY:
MAR 2020 - 217 kWh x 10.98 = 2,382.66 + 20% (AC) = 2,859.19 - 3,435.11 (billing Mar2020) = </t>
    </r>
    <r>
      <rPr>
        <b/>
        <u/>
        <sz val="14"/>
        <color rgb="FFFF0000"/>
        <rFont val="Calibri"/>
        <family val="2"/>
        <scheme val="minor"/>
      </rPr>
      <t>575.92</t>
    </r>
    <r>
      <rPr>
        <b/>
        <sz val="14"/>
        <color rgb="FFFF0000"/>
        <rFont val="Calibri"/>
        <family val="2"/>
        <scheme val="minor"/>
      </rPr>
      <t xml:space="preserve">
APR 2020 - 316 kWh x 9.79 = 3,093.64 + 20% (AC) = 3,712.37 - 4,163.62 (billing Apr2020) = </t>
    </r>
    <r>
      <rPr>
        <b/>
        <u/>
        <sz val="14"/>
        <color rgb="FFFF0000"/>
        <rFont val="Calibri"/>
        <family val="2"/>
        <scheme val="minor"/>
      </rPr>
      <t>451.25</t>
    </r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</si>
  <si>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</si>
  <si>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</si>
  <si>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</si>
  <si>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</si>
  <si>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</si>
  <si>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</si>
  <si>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</si>
  <si>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2020 - 5 cubic x 96.92 = 484.60 + 20% (AC) = 581.52 - 586.55 (billing Mar2020) = </t>
    </r>
    <r>
      <rPr>
        <b/>
        <u/>
        <sz val="14"/>
        <color rgb="FFFF0000"/>
        <rFont val="Calibri"/>
        <family val="2"/>
        <scheme val="minor"/>
      </rPr>
      <t>5.03</t>
    </r>
    <r>
      <rPr>
        <b/>
        <sz val="14"/>
        <color rgb="FFFF0000"/>
        <rFont val="Calibri"/>
        <family val="2"/>
        <scheme val="minor"/>
      </rPr>
      <t xml:space="preserve">
APR 2020 - 6 cubic x 96.21 = 577.26 + 20% (AC) = 692.71 - 703.87 (billing Apr2020) = </t>
    </r>
    <r>
      <rPr>
        <b/>
        <u/>
        <sz val="14"/>
        <color rgb="FFFF0000"/>
        <rFont val="Calibri"/>
        <family val="2"/>
        <scheme val="minor"/>
      </rPr>
      <t xml:space="preserve">11.16
</t>
    </r>
    <r>
      <rPr>
        <b/>
        <sz val="14"/>
        <color rgb="FFFF0000"/>
        <rFont val="Calibri"/>
        <family val="2"/>
        <scheme val="minor"/>
      </rPr>
      <t xml:space="preserve">MAY 2020 - 6 cubic x 95.58 = 573.48 + 20% (AC) = 688.18 - 703.87 (billing May2020) = </t>
    </r>
    <r>
      <rPr>
        <b/>
        <u/>
        <sz val="14"/>
        <color rgb="FFFF0000"/>
        <rFont val="Calibri"/>
        <family val="2"/>
        <scheme val="minor"/>
      </rPr>
      <t>15.69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</si>
  <si>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</si>
  <si>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</si>
  <si>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</si>
  <si>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</si>
  <si>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</si>
  <si>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</si>
  <si>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</si>
  <si>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</si>
  <si>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</si>
  <si>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</si>
  <si>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</si>
  <si>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</si>
  <si>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</si>
  <si>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</si>
  <si>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</si>
  <si>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</si>
  <si>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</si>
  <si>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</si>
  <si>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</si>
  <si>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</si>
  <si>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</si>
  <si>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</si>
  <si>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</si>
  <si>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</si>
  <si>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</si>
  <si>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PRES: OCT 25 2020 - PREV: SEPT 26 2020 * 98.56</t>
  </si>
  <si>
    <t>BILLING MONTH: DECEMBER 2020</t>
  </si>
  <si>
    <t>DEC 5 2020</t>
  </si>
  <si>
    <t>DEC 15 2020</t>
  </si>
  <si>
    <t>FOR THE MONTH OF DEC 2020</t>
  </si>
  <si>
    <t xml:space="preserve">ELECTRICITY </t>
  </si>
  <si>
    <t>JENIFFER JAMIG</t>
  </si>
  <si>
    <t>BILLING AND COLLECTION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</si>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</sst>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5" fillId="0" borderId="0" xfId="0" applyFont="1" applyFill="1" applyAlignment="1">
      <alignment horizontal="left" vertical="top" wrapText="1"/>
    </xf>
    <xf numFmtId="0" fontId="16" fillId="4" borderId="0" xfId="0" applyFont="1" applyFill="1"/>
    <xf numFmtId="0" fontId="5" fillId="0" borderId="0" xfId="0" applyFont="1" applyFill="1" applyAlignment="1">
      <alignment horizontal="left" vertical="top" wrapText="1"/>
    </xf>
    <xf numFmtId="0" fontId="16" fillId="0" borderId="0" xfId="0" applyFont="1" applyFill="1"/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/>
    <xf numFmtId="0" fontId="18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64" fontId="20" fillId="0" borderId="0" xfId="1" applyFont="1"/>
    <xf numFmtId="0" fontId="22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447059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4</xdr:col>
      <xdr:colOff>434900</xdr:colOff>
      <xdr:row>51</xdr:row>
      <xdr:rowOff>103894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984941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54050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14A19%20-%20CAN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SOC DUES"/>
    </sheetNames>
    <sheetDataSet>
      <sheetData sheetId="0"/>
      <sheetData sheetId="1">
        <row r="12">
          <cell r="E12">
            <v>1349.3999999999999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view="pageBreakPreview" topLeftCell="A32" zoomScaleNormal="80" zoomScaleSheetLayoutView="100" workbookViewId="0">
      <selection activeCell="M38" sqref="M3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1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9472.2000000000007</v>
      </c>
      <c r="J16" s="18">
        <f>I16+H16+G16</f>
        <v>9472.2000000000007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96" t="s">
        <v>32</v>
      </c>
      <c r="E20" s="96"/>
      <c r="F20" s="46" t="s">
        <v>39</v>
      </c>
      <c r="G20" s="46"/>
      <c r="H20" s="46"/>
      <c r="I20" s="9"/>
      <c r="J20" s="22">
        <v>0</v>
      </c>
      <c r="K20" s="9">
        <f>H21</f>
        <v>6112.2</v>
      </c>
    </row>
    <row r="21" spans="3:11" ht="21" x14ac:dyDescent="0.35">
      <c r="C21" s="39"/>
      <c r="D21" s="8"/>
      <c r="E21" s="8"/>
      <c r="F21" s="46">
        <v>360</v>
      </c>
      <c r="G21" s="46">
        <v>26</v>
      </c>
      <c r="H21" s="47">
        <f>(F21-G21)*18.3</f>
        <v>6112.2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3360</v>
      </c>
    </row>
    <row r="25" spans="3:11" ht="21" x14ac:dyDescent="0.35">
      <c r="C25" s="39"/>
      <c r="D25" s="8"/>
      <c r="E25" s="8"/>
      <c r="F25" s="46">
        <v>28</v>
      </c>
      <c r="G25" s="46">
        <v>0</v>
      </c>
      <c r="H25" s="47">
        <f>(F25-G25)*120</f>
        <v>3360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3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3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3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9472.2000000000007</v>
      </c>
    </row>
    <row r="36" spans="2:13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3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9472.2000000000007</v>
      </c>
      <c r="L37" s="8"/>
      <c r="M37" s="53" t="s">
        <v>51</v>
      </c>
    </row>
    <row r="38" spans="2:13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3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3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3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3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3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3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3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29:H30"/>
    <mergeCell ref="C14:K14"/>
    <mergeCell ref="I3:K4"/>
    <mergeCell ref="F19:H19"/>
    <mergeCell ref="D19:E19"/>
    <mergeCell ref="D20:E20"/>
    <mergeCell ref="F32:H32"/>
    <mergeCell ref="C55:E55"/>
    <mergeCell ref="G55:H55"/>
    <mergeCell ref="G54:H54"/>
    <mergeCell ref="C40:K40"/>
    <mergeCell ref="C54:E54"/>
    <mergeCell ref="C45:K45"/>
  </mergeCells>
  <pageMargins left="0.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2"/>
  <sheetViews>
    <sheetView topLeftCell="A30" zoomScale="70" zoomScaleNormal="70" workbookViewId="0">
      <selection activeCell="A45" sqref="A45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1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86</v>
      </c>
      <c r="E16" s="50" t="s">
        <v>87</v>
      </c>
      <c r="F16" s="18"/>
      <c r="G16" s="18"/>
      <c r="H16" s="18"/>
      <c r="I16" s="18">
        <f>K36</f>
        <v>4867.4880000000003</v>
      </c>
      <c r="J16" s="18">
        <f>I16+H16+G16</f>
        <v>4867.4880000000003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6" t="s">
        <v>32</v>
      </c>
      <c r="E20" s="96"/>
      <c r="F20" s="46" t="s">
        <v>88</v>
      </c>
      <c r="G20" s="46"/>
      <c r="H20" s="46"/>
      <c r="I20" s="9"/>
      <c r="J20" s="22">
        <v>0</v>
      </c>
      <c r="K20" s="9">
        <f>H21</f>
        <v>3469.6800000000003</v>
      </c>
    </row>
    <row r="21" spans="3:11" ht="21" x14ac:dyDescent="0.35">
      <c r="C21" s="39"/>
      <c r="D21" s="8"/>
      <c r="E21" s="8"/>
      <c r="F21" s="46">
        <v>1898</v>
      </c>
      <c r="G21" s="46">
        <v>1582</v>
      </c>
      <c r="H21" s="47">
        <f>(F21-G21)*10.98</f>
        <v>3469.6800000000003</v>
      </c>
      <c r="I21" s="9"/>
      <c r="J21" s="9"/>
      <c r="K21" s="9"/>
    </row>
    <row r="22" spans="3:11" ht="21" x14ac:dyDescent="0.35">
      <c r="C22" s="39"/>
      <c r="D22" s="97" t="s">
        <v>91</v>
      </c>
      <c r="E22" s="97"/>
      <c r="F22" s="98">
        <f>F21-G21</f>
        <v>316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89</v>
      </c>
      <c r="G24" s="46"/>
      <c r="H24" s="46"/>
      <c r="I24" s="9"/>
      <c r="J24" s="22">
        <v>0</v>
      </c>
      <c r="K24" s="9">
        <f>H25</f>
        <v>586.56000000000006</v>
      </c>
    </row>
    <row r="25" spans="3:11" ht="21" x14ac:dyDescent="0.35">
      <c r="C25" s="39"/>
      <c r="D25" s="8"/>
      <c r="E25" s="8"/>
      <c r="F25" s="46">
        <v>82</v>
      </c>
      <c r="G25" s="46">
        <v>76</v>
      </c>
      <c r="H25" s="47">
        <f>(F25-G25)*97.76</f>
        <v>586.56000000000006</v>
      </c>
      <c r="I25" s="9"/>
      <c r="J25" s="9"/>
      <c r="K25" s="9"/>
    </row>
    <row r="26" spans="3:11" ht="21" x14ac:dyDescent="0.35">
      <c r="C26" s="39"/>
      <c r="D26" s="97" t="s">
        <v>92</v>
      </c>
      <c r="E26" s="97"/>
      <c r="F26" s="98">
        <f>F25-G25</f>
        <v>6</v>
      </c>
      <c r="G26" s="98"/>
      <c r="H26" s="45"/>
      <c r="I26" s="9"/>
      <c r="J26" s="9"/>
      <c r="K26" s="9"/>
    </row>
    <row r="27" spans="3:11" ht="21" x14ac:dyDescent="0.35">
      <c r="C27" s="39"/>
      <c r="D27" s="68"/>
      <c r="E27" s="68"/>
      <c r="F27" s="69"/>
      <c r="G27" s="69"/>
      <c r="H27" s="45"/>
      <c r="I27" s="9"/>
      <c r="J27" s="9"/>
      <c r="K27" s="9"/>
    </row>
    <row r="28" spans="3:11" ht="21" x14ac:dyDescent="0.35">
      <c r="C28" s="38"/>
      <c r="D28" s="7" t="s">
        <v>90</v>
      </c>
      <c r="E28" s="8"/>
      <c r="F28" s="8"/>
      <c r="G28" s="8"/>
      <c r="H28" s="8"/>
      <c r="I28" s="9">
        <f>(H21+H25)*20%</f>
        <v>811.24800000000005</v>
      </c>
      <c r="J28" s="22">
        <v>0</v>
      </c>
      <c r="K28" s="9">
        <f>I28</f>
        <v>811.24800000000005</v>
      </c>
    </row>
    <row r="29" spans="3:11" ht="21" x14ac:dyDescent="0.35">
      <c r="C29" s="99" t="s">
        <v>93</v>
      </c>
      <c r="D29" s="99"/>
      <c r="E29" s="99"/>
      <c r="F29" s="8"/>
      <c r="G29" s="8"/>
      <c r="H29" s="8"/>
      <c r="I29" s="9"/>
      <c r="J29" s="22"/>
      <c r="K29" s="9"/>
    </row>
    <row r="30" spans="3:11" ht="21" x14ac:dyDescent="0.35">
      <c r="C30" s="99"/>
      <c r="D30" s="99"/>
      <c r="E30" s="99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21" x14ac:dyDescent="0.35">
      <c r="C31" s="99"/>
      <c r="D31" s="99"/>
      <c r="E31" s="99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2"/>
      <c r="G32" s="62"/>
      <c r="H32" s="62"/>
      <c r="I32" s="9"/>
      <c r="J32" s="9"/>
      <c r="K32" s="9"/>
    </row>
    <row r="33" spans="2:13" ht="21" x14ac:dyDescent="0.35">
      <c r="C33" s="38"/>
      <c r="D33" s="44"/>
      <c r="E33" s="44"/>
      <c r="F33" s="86"/>
      <c r="G33" s="87"/>
      <c r="H33" s="87"/>
      <c r="I33" s="9"/>
      <c r="J33" s="9">
        <v>0</v>
      </c>
      <c r="K33" s="9">
        <f>I33+J33</f>
        <v>0</v>
      </c>
    </row>
    <row r="34" spans="2:13" ht="27" customHeight="1" x14ac:dyDescent="0.35">
      <c r="C34" s="40"/>
      <c r="D34" s="44"/>
      <c r="E34" s="44"/>
      <c r="F34" s="62"/>
      <c r="G34" s="62"/>
      <c r="H34" s="62"/>
      <c r="I34" s="9"/>
      <c r="J34" s="9"/>
      <c r="K34" s="9"/>
    </row>
    <row r="35" spans="2:13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3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4867.4880000000003</v>
      </c>
    </row>
    <row r="37" spans="2:13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3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4867.4880000000003</v>
      </c>
      <c r="L38" s="8"/>
      <c r="M38" s="57"/>
    </row>
    <row r="39" spans="2:13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3" s="8" customFormat="1" ht="21" x14ac:dyDescent="0.35">
      <c r="C41" s="88" t="s">
        <v>17</v>
      </c>
      <c r="D41" s="88"/>
      <c r="E41" s="88"/>
      <c r="F41" s="88"/>
      <c r="G41" s="88"/>
      <c r="H41" s="88"/>
      <c r="I41" s="88"/>
      <c r="J41" s="88"/>
      <c r="K41" s="88"/>
      <c r="L41" s="3"/>
    </row>
    <row r="42" spans="2:13" s="8" customFormat="1" ht="21" x14ac:dyDescent="0.35">
      <c r="B42" s="3"/>
      <c r="C42" s="64" t="s">
        <v>82</v>
      </c>
      <c r="D42" s="64" t="s">
        <v>83</v>
      </c>
      <c r="E42" s="3"/>
      <c r="F42" s="3"/>
      <c r="G42" s="3"/>
      <c r="H42" s="3"/>
      <c r="I42" s="4"/>
      <c r="J42" s="4"/>
      <c r="K42" s="4"/>
      <c r="L42" s="3"/>
    </row>
    <row r="43" spans="2:13" s="8" customFormat="1" ht="21" x14ac:dyDescent="0.35">
      <c r="B43" s="3"/>
      <c r="C43" s="65"/>
      <c r="D43" s="64" t="s">
        <v>84</v>
      </c>
      <c r="E43" s="3"/>
      <c r="F43" s="3"/>
      <c r="G43" s="3"/>
      <c r="H43" s="3"/>
      <c r="I43" s="4"/>
      <c r="J43" s="4"/>
      <c r="K43" s="4"/>
      <c r="L43" s="3"/>
    </row>
    <row r="44" spans="2:13" s="8" customFormat="1" ht="21" x14ac:dyDescent="0.35">
      <c r="B44" s="3"/>
      <c r="C44" s="3"/>
      <c r="D44" s="63"/>
      <c r="E44" s="3"/>
      <c r="F44" s="3"/>
      <c r="G44" s="3"/>
      <c r="H44" s="3"/>
      <c r="I44" s="4"/>
      <c r="J44" s="4"/>
      <c r="K44" s="4"/>
      <c r="L44" s="3"/>
    </row>
    <row r="45" spans="2:13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3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3" ht="10.5" customHeight="1" x14ac:dyDescent="0.25">
      <c r="C47" s="90"/>
      <c r="D47" s="90"/>
      <c r="E47" s="90"/>
      <c r="F47" s="90"/>
      <c r="G47" s="90"/>
      <c r="H47" s="90"/>
      <c r="I47" s="90"/>
      <c r="J47" s="90"/>
      <c r="K47" s="90"/>
    </row>
    <row r="48" spans="2:13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88" t="s">
        <v>23</v>
      </c>
      <c r="D57" s="88"/>
      <c r="E57" s="88"/>
      <c r="F57" s="8"/>
      <c r="G57" s="88" t="s">
        <v>24</v>
      </c>
      <c r="H57" s="8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2"/>
  <sheetViews>
    <sheetView topLeftCell="A16" zoomScale="85" zoomScaleNormal="85" workbookViewId="0">
      <selection activeCell="O33" sqref="O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1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95</v>
      </c>
      <c r="E16" s="50" t="s">
        <v>96</v>
      </c>
      <c r="F16" s="18"/>
      <c r="G16" s="18"/>
      <c r="H16" s="18">
        <v>4867.49</v>
      </c>
      <c r="I16" s="18">
        <f>K36</f>
        <v>3177.6059999999998</v>
      </c>
      <c r="J16" s="18">
        <f>I16+H16+G16</f>
        <v>8045.0959999999995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6" t="s">
        <v>32</v>
      </c>
      <c r="E20" s="96"/>
      <c r="F20" s="46" t="s">
        <v>97</v>
      </c>
      <c r="G20" s="46"/>
      <c r="H20" s="46"/>
      <c r="I20" s="9"/>
      <c r="J20" s="22">
        <v>0</v>
      </c>
      <c r="K20" s="9">
        <f>H21</f>
        <v>2917.4199999999996</v>
      </c>
    </row>
    <row r="21" spans="3:11" ht="21" x14ac:dyDescent="0.35">
      <c r="C21" s="39"/>
      <c r="D21" s="8"/>
      <c r="E21" s="8"/>
      <c r="F21" s="46">
        <v>2196</v>
      </c>
      <c r="G21" s="46">
        <v>1898</v>
      </c>
      <c r="H21" s="47">
        <f>(F21-G21)*9.79</f>
        <v>2917.4199999999996</v>
      </c>
      <c r="I21" s="9"/>
      <c r="J21" s="9"/>
      <c r="K21" s="9"/>
    </row>
    <row r="22" spans="3:11" ht="21" x14ac:dyDescent="0.35">
      <c r="C22" s="39"/>
      <c r="D22" s="97" t="s">
        <v>91</v>
      </c>
      <c r="E22" s="97"/>
      <c r="F22" s="98">
        <f>F21-G21</f>
        <v>298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586.56000000000006</v>
      </c>
    </row>
    <row r="25" spans="3:11" ht="21" x14ac:dyDescent="0.35">
      <c r="C25" s="39"/>
      <c r="D25" s="8"/>
      <c r="E25" s="8"/>
      <c r="F25" s="46">
        <v>88</v>
      </c>
      <c r="G25" s="46">
        <v>82</v>
      </c>
      <c r="H25" s="47">
        <f>(F25-G25)*97.76</f>
        <v>586.56000000000006</v>
      </c>
      <c r="I25" s="9"/>
      <c r="J25" s="9"/>
      <c r="K25" s="9"/>
    </row>
    <row r="26" spans="3:11" ht="21" x14ac:dyDescent="0.35">
      <c r="C26" s="39"/>
      <c r="D26" s="97" t="s">
        <v>92</v>
      </c>
      <c r="E26" s="97"/>
      <c r="F26" s="98">
        <f>F25-G25</f>
        <v>6</v>
      </c>
      <c r="G26" s="98"/>
      <c r="H26" s="45"/>
      <c r="I26" s="9"/>
      <c r="J26" s="9"/>
      <c r="K26" s="9"/>
    </row>
    <row r="27" spans="3:11" ht="21" x14ac:dyDescent="0.35">
      <c r="C27" s="39"/>
      <c r="D27" s="68"/>
      <c r="E27" s="68"/>
      <c r="F27" s="69"/>
      <c r="G27" s="69"/>
      <c r="H27" s="45"/>
      <c r="I27" s="9"/>
      <c r="J27" s="9"/>
      <c r="K27" s="9"/>
    </row>
    <row r="28" spans="3:11" ht="21" x14ac:dyDescent="0.35">
      <c r="C28" s="38"/>
      <c r="D28" s="7" t="s">
        <v>90</v>
      </c>
      <c r="E28" s="8"/>
      <c r="F28" s="8"/>
      <c r="G28" s="8"/>
      <c r="H28" s="8"/>
      <c r="I28" s="9">
        <f>(H21+H25)*20%</f>
        <v>700.79599999999994</v>
      </c>
      <c r="J28" s="22">
        <v>0</v>
      </c>
      <c r="K28" s="9">
        <f>I28</f>
        <v>700.79599999999994</v>
      </c>
    </row>
    <row r="29" spans="3:11" ht="21" customHeight="1" x14ac:dyDescent="0.35">
      <c r="C29" s="99" t="s">
        <v>99</v>
      </c>
      <c r="D29" s="99"/>
      <c r="E29" s="99"/>
      <c r="F29" s="8"/>
      <c r="G29" s="8"/>
      <c r="H29" s="8"/>
      <c r="I29" s="9"/>
      <c r="J29" s="22"/>
      <c r="K29" s="9"/>
    </row>
    <row r="30" spans="3:11" ht="21" x14ac:dyDescent="0.35">
      <c r="C30" s="99"/>
      <c r="D30" s="99"/>
      <c r="E30" s="99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9"/>
      <c r="D31" s="99"/>
      <c r="E31" s="99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6"/>
      <c r="G32" s="66"/>
      <c r="H32" s="66"/>
      <c r="I32" s="9"/>
      <c r="J32" s="9"/>
      <c r="K32" s="9"/>
    </row>
    <row r="33" spans="2:13" ht="96.95" customHeight="1" x14ac:dyDescent="0.35">
      <c r="C33" s="38"/>
      <c r="D33" s="101" t="s">
        <v>100</v>
      </c>
      <c r="E33" s="101"/>
      <c r="F33" s="102" t="s">
        <v>101</v>
      </c>
      <c r="G33" s="102"/>
      <c r="H33" s="102"/>
      <c r="I33" s="102"/>
      <c r="J33" s="72">
        <v>0</v>
      </c>
      <c r="K33" s="72">
        <f>(575.92+451.25)</f>
        <v>1027.17</v>
      </c>
    </row>
    <row r="34" spans="2:13" ht="27" customHeight="1" x14ac:dyDescent="0.35">
      <c r="C34" s="40"/>
      <c r="D34" s="44"/>
      <c r="E34" s="44"/>
      <c r="F34" s="66"/>
      <c r="G34" s="66"/>
      <c r="H34" s="66"/>
      <c r="I34" s="9"/>
      <c r="J34" s="9"/>
      <c r="K34" s="9"/>
    </row>
    <row r="35" spans="2:13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3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3177.6059999999998</v>
      </c>
    </row>
    <row r="37" spans="2:13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3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8045.0959999999995</v>
      </c>
      <c r="L38" s="8"/>
      <c r="M38" s="57"/>
    </row>
    <row r="39" spans="2:13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3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3" s="8" customFormat="1" ht="21" x14ac:dyDescent="0.35">
      <c r="B42" s="3"/>
      <c r="C42" s="67"/>
      <c r="D42" s="67"/>
      <c r="E42" s="67"/>
      <c r="F42" s="67"/>
      <c r="G42" s="67"/>
      <c r="H42" s="67"/>
      <c r="I42" s="67"/>
      <c r="J42" s="67"/>
      <c r="K42" s="67"/>
      <c r="L42" s="3"/>
    </row>
    <row r="43" spans="2:13" s="8" customFormat="1" ht="23.25" x14ac:dyDescent="0.35">
      <c r="B43" s="3"/>
      <c r="C43" s="73" t="s">
        <v>82</v>
      </c>
      <c r="D43" s="64" t="s">
        <v>102</v>
      </c>
      <c r="E43" s="3"/>
      <c r="F43" s="3"/>
      <c r="G43" s="3"/>
      <c r="H43" s="3"/>
      <c r="I43" s="4"/>
      <c r="J43" s="4"/>
      <c r="K43" s="4"/>
      <c r="L43" s="3"/>
    </row>
    <row r="44" spans="2:13" s="8" customFormat="1" ht="23.25" x14ac:dyDescent="0.35">
      <c r="B44" s="3"/>
      <c r="C44" s="1"/>
      <c r="D44" s="64" t="s">
        <v>103</v>
      </c>
      <c r="E44" s="3"/>
      <c r="F44" s="3"/>
      <c r="G44" s="3"/>
      <c r="H44" s="3"/>
      <c r="I44" s="4"/>
      <c r="J44" s="4"/>
      <c r="K44" s="4"/>
      <c r="L44" s="3"/>
    </row>
    <row r="45" spans="2:13" s="8" customFormat="1" ht="21" x14ac:dyDescent="0.35">
      <c r="B45" s="3"/>
      <c r="C45" s="3"/>
      <c r="D45" s="64" t="s">
        <v>84</v>
      </c>
      <c r="E45" s="3"/>
      <c r="F45" s="3"/>
      <c r="G45" s="3"/>
      <c r="H45" s="3"/>
      <c r="I45" s="4"/>
      <c r="J45" s="4"/>
      <c r="K45" s="4"/>
      <c r="L45" s="3"/>
    </row>
    <row r="46" spans="2:13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3" ht="10.5" customHeight="1" x14ac:dyDescent="0.25">
      <c r="C47" s="90"/>
      <c r="D47" s="90"/>
      <c r="E47" s="90"/>
      <c r="F47" s="90"/>
      <c r="G47" s="90"/>
      <c r="H47" s="90"/>
      <c r="I47" s="90"/>
      <c r="J47" s="90"/>
      <c r="K47" s="90"/>
    </row>
    <row r="48" spans="2:13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88" t="s">
        <v>23</v>
      </c>
      <c r="D57" s="88"/>
      <c r="E57" s="88"/>
      <c r="F57" s="8"/>
      <c r="G57" s="88" t="s">
        <v>24</v>
      </c>
      <c r="H57" s="8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7"/>
  <sheetViews>
    <sheetView topLeftCell="A34" zoomScale="85" zoomScaleNormal="85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1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105</v>
      </c>
      <c r="E16" s="50" t="s">
        <v>106</v>
      </c>
      <c r="F16" s="18"/>
      <c r="G16" s="18"/>
      <c r="H16" s="18"/>
      <c r="I16" s="18">
        <f>K34</f>
        <v>2998.5599999999995</v>
      </c>
      <c r="J16" s="18">
        <f>I16+H16+G16</f>
        <v>2998.5599999999995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6" t="s">
        <v>32</v>
      </c>
      <c r="E20" s="96"/>
      <c r="F20" s="46" t="s">
        <v>107</v>
      </c>
      <c r="G20" s="46"/>
      <c r="H20" s="46"/>
      <c r="I20" s="9"/>
      <c r="J20" s="22">
        <v>0</v>
      </c>
      <c r="K20" s="9">
        <f>H21</f>
        <v>2356.8999999999996</v>
      </c>
    </row>
    <row r="21" spans="3:11" ht="21" x14ac:dyDescent="0.35">
      <c r="C21" s="39"/>
      <c r="D21" s="8"/>
      <c r="E21" s="8"/>
      <c r="F21" s="46">
        <v>2441</v>
      </c>
      <c r="G21" s="46">
        <v>2196</v>
      </c>
      <c r="H21" s="47">
        <f>(F21-G21)*9.62</f>
        <v>2356.8999999999996</v>
      </c>
      <c r="I21" s="9"/>
      <c r="J21" s="9"/>
      <c r="K21" s="9"/>
    </row>
    <row r="22" spans="3:11" ht="21" x14ac:dyDescent="0.35">
      <c r="C22" s="39"/>
      <c r="D22" s="97" t="s">
        <v>91</v>
      </c>
      <c r="E22" s="97"/>
      <c r="F22" s="98">
        <f>F21-G21</f>
        <v>245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673.54</v>
      </c>
    </row>
    <row r="25" spans="3:11" ht="21" x14ac:dyDescent="0.35">
      <c r="C25" s="39"/>
      <c r="D25" s="8"/>
      <c r="E25" s="8"/>
      <c r="F25" s="46">
        <v>95</v>
      </c>
      <c r="G25" s="46">
        <v>88</v>
      </c>
      <c r="H25" s="47">
        <f>(F25-G25)*96.22</f>
        <v>673.54</v>
      </c>
      <c r="I25" s="9"/>
      <c r="J25" s="9"/>
      <c r="K25" s="9"/>
    </row>
    <row r="26" spans="3:11" ht="21" x14ac:dyDescent="0.35">
      <c r="C26" s="39"/>
      <c r="D26" s="97" t="s">
        <v>92</v>
      </c>
      <c r="E26" s="97"/>
      <c r="F26" s="98">
        <f>F25-G25</f>
        <v>7</v>
      </c>
      <c r="G26" s="9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6"/>
      <c r="D28" s="76"/>
      <c r="E28" s="76"/>
      <c r="F28" s="8"/>
      <c r="G28" s="8"/>
      <c r="H28" s="8"/>
      <c r="I28" s="9"/>
      <c r="J28" s="22"/>
      <c r="K28" s="9"/>
    </row>
    <row r="29" spans="3:11" ht="21" x14ac:dyDescent="0.35">
      <c r="C29" s="76"/>
      <c r="D29" s="76"/>
      <c r="E29" s="76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6"/>
      <c r="D30" s="76"/>
      <c r="E30" s="76"/>
      <c r="F30" s="87"/>
      <c r="G30" s="87"/>
      <c r="H30" s="87"/>
      <c r="I30" s="9"/>
      <c r="J30" s="9"/>
      <c r="K30" s="9"/>
    </row>
    <row r="31" spans="3:11" ht="135" customHeight="1" x14ac:dyDescent="0.35">
      <c r="C31" s="38"/>
      <c r="D31" s="101" t="s">
        <v>100</v>
      </c>
      <c r="E31" s="101"/>
      <c r="F31" s="102" t="s">
        <v>109</v>
      </c>
      <c r="G31" s="102"/>
      <c r="H31" s="102"/>
      <c r="I31" s="102"/>
      <c r="J31" s="72">
        <v>0</v>
      </c>
      <c r="K31" s="72">
        <f>5.03+11.16+15.69</f>
        <v>31.880000000000003</v>
      </c>
    </row>
    <row r="32" spans="3:11" ht="27" customHeight="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3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3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2998.5599999999995</v>
      </c>
    </row>
    <row r="35" spans="2:13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3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2998.5599999999995</v>
      </c>
      <c r="L36" s="8"/>
      <c r="M36" s="57"/>
    </row>
    <row r="37" spans="2:13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3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3" s="8" customFormat="1" ht="21" x14ac:dyDescent="0.35">
      <c r="B40" s="3"/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3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3" ht="10.5" customHeight="1" x14ac:dyDescent="0.25">
      <c r="C42" s="90"/>
      <c r="D42" s="90"/>
      <c r="E42" s="90"/>
      <c r="F42" s="90"/>
      <c r="G42" s="90"/>
      <c r="H42" s="90"/>
      <c r="I42" s="90"/>
      <c r="J42" s="90"/>
      <c r="K42" s="90"/>
    </row>
    <row r="43" spans="2:13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3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3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3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88" t="s">
        <v>23</v>
      </c>
      <c r="D52" s="88"/>
      <c r="E52" s="88"/>
      <c r="F52" s="8"/>
      <c r="G52" s="88" t="s">
        <v>24</v>
      </c>
      <c r="H52" s="8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C42:K42"/>
    <mergeCell ref="C51:E51"/>
    <mergeCell ref="G51:H51"/>
    <mergeCell ref="C52:E52"/>
    <mergeCell ref="G52:H52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7"/>
  <sheetViews>
    <sheetView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1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111</v>
      </c>
      <c r="E16" s="50" t="s">
        <v>112</v>
      </c>
      <c r="F16" s="18"/>
      <c r="G16" s="18"/>
      <c r="H16" s="18"/>
      <c r="I16" s="18">
        <f>K34</f>
        <v>2850.45</v>
      </c>
      <c r="J16" s="18">
        <f>I16+H16+G16</f>
        <v>2850.45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6" t="s">
        <v>32</v>
      </c>
      <c r="E20" s="96"/>
      <c r="F20" s="46" t="s">
        <v>113</v>
      </c>
      <c r="G20" s="46"/>
      <c r="H20" s="46"/>
      <c r="I20" s="9"/>
      <c r="J20" s="22">
        <v>0</v>
      </c>
      <c r="K20" s="9">
        <f>H21</f>
        <v>2076.69</v>
      </c>
    </row>
    <row r="21" spans="3:11" ht="21" x14ac:dyDescent="0.35">
      <c r="C21" s="39"/>
      <c r="D21" s="8"/>
      <c r="E21" s="8"/>
      <c r="F21" s="46">
        <v>2672</v>
      </c>
      <c r="G21" s="46">
        <v>2441</v>
      </c>
      <c r="H21" s="47">
        <f>(F21-G21)*8.99</f>
        <v>2076.69</v>
      </c>
      <c r="I21" s="9"/>
      <c r="J21" s="9"/>
      <c r="K21" s="9"/>
    </row>
    <row r="22" spans="3:11" ht="21" x14ac:dyDescent="0.35">
      <c r="C22" s="39"/>
      <c r="D22" s="97" t="s">
        <v>91</v>
      </c>
      <c r="E22" s="97"/>
      <c r="F22" s="98">
        <f>F21-G21</f>
        <v>231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114</v>
      </c>
      <c r="G24" s="46"/>
      <c r="H24" s="46"/>
      <c r="I24" s="9"/>
      <c r="J24" s="22">
        <v>0</v>
      </c>
      <c r="K24" s="9">
        <f>H25</f>
        <v>773.76</v>
      </c>
    </row>
    <row r="25" spans="3:11" ht="21" x14ac:dyDescent="0.35">
      <c r="C25" s="39"/>
      <c r="D25" s="8"/>
      <c r="E25" s="8"/>
      <c r="F25" s="46">
        <v>103</v>
      </c>
      <c r="G25" s="46">
        <v>95</v>
      </c>
      <c r="H25" s="47">
        <f>(F25-G25)*96.72</f>
        <v>773.76</v>
      </c>
      <c r="I25" s="9"/>
      <c r="J25" s="9"/>
      <c r="K25" s="9"/>
    </row>
    <row r="26" spans="3:11" ht="21" x14ac:dyDescent="0.35">
      <c r="C26" s="39"/>
      <c r="D26" s="97" t="s">
        <v>92</v>
      </c>
      <c r="E26" s="97"/>
      <c r="F26" s="98">
        <f>F25-G25</f>
        <v>8</v>
      </c>
      <c r="G26" s="9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6"/>
      <c r="D28" s="76"/>
      <c r="E28" s="76"/>
      <c r="F28" s="8"/>
      <c r="G28" s="8"/>
      <c r="H28" s="8"/>
      <c r="I28" s="9"/>
      <c r="J28" s="22"/>
      <c r="K28" s="9"/>
    </row>
    <row r="29" spans="3:11" ht="21" x14ac:dyDescent="0.35">
      <c r="C29" s="76"/>
      <c r="D29" s="76"/>
      <c r="E29" s="76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6"/>
      <c r="D30" s="76"/>
      <c r="E30" s="76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101"/>
      <c r="E31" s="101"/>
      <c r="F31" s="102"/>
      <c r="G31" s="102"/>
      <c r="H31" s="102"/>
      <c r="I31" s="102"/>
      <c r="J31" s="72"/>
      <c r="K31" s="72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3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3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2850.45</v>
      </c>
    </row>
    <row r="35" spans="2:13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3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2850.45</v>
      </c>
      <c r="L36" s="8"/>
      <c r="M36" s="57"/>
    </row>
    <row r="37" spans="2:13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3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3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3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3" ht="10.5" customHeight="1" x14ac:dyDescent="0.25">
      <c r="C42" s="90"/>
      <c r="D42" s="90"/>
      <c r="E42" s="90"/>
      <c r="F42" s="90"/>
      <c r="G42" s="90"/>
      <c r="H42" s="90"/>
      <c r="I42" s="90"/>
      <c r="J42" s="90"/>
      <c r="K42" s="90"/>
    </row>
    <row r="43" spans="2:13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3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3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3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88" t="s">
        <v>23</v>
      </c>
      <c r="D52" s="88"/>
      <c r="E52" s="88"/>
      <c r="F52" s="8"/>
      <c r="G52" s="88" t="s">
        <v>24</v>
      </c>
      <c r="H52" s="8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2:K42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7"/>
  <sheetViews>
    <sheetView topLeftCell="A4" zoomScale="85" zoomScaleNormal="85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1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116</v>
      </c>
      <c r="E16" s="50" t="s">
        <v>117</v>
      </c>
      <c r="F16" s="18"/>
      <c r="G16" s="18"/>
      <c r="H16" s="18"/>
      <c r="I16" s="18">
        <f>K34</f>
        <v>2175.64</v>
      </c>
      <c r="J16" s="18">
        <f>I16+H16+G16</f>
        <v>2175.64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6" t="s">
        <v>32</v>
      </c>
      <c r="E20" s="96"/>
      <c r="F20" s="46" t="s">
        <v>119</v>
      </c>
      <c r="G20" s="46"/>
      <c r="H20" s="46"/>
      <c r="I20" s="9"/>
      <c r="J20" s="22">
        <v>0</v>
      </c>
      <c r="K20" s="9">
        <f>H21</f>
        <v>1395.24</v>
      </c>
    </row>
    <row r="21" spans="3:11" ht="21" x14ac:dyDescent="0.35">
      <c r="C21" s="39"/>
      <c r="D21" s="8"/>
      <c r="E21" s="8"/>
      <c r="F21" s="46">
        <v>2826</v>
      </c>
      <c r="G21" s="46">
        <v>2672</v>
      </c>
      <c r="H21" s="47">
        <f>(F21-G21)*9.06</f>
        <v>1395.24</v>
      </c>
      <c r="I21" s="9"/>
      <c r="J21" s="9"/>
      <c r="K21" s="9"/>
    </row>
    <row r="22" spans="3:11" ht="21" x14ac:dyDescent="0.35">
      <c r="C22" s="39"/>
      <c r="D22" s="97" t="s">
        <v>91</v>
      </c>
      <c r="E22" s="97"/>
      <c r="F22" s="98">
        <f>F21-G21</f>
        <v>154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118</v>
      </c>
      <c r="G24" s="46"/>
      <c r="H24" s="46"/>
      <c r="I24" s="9"/>
      <c r="J24" s="22">
        <v>0</v>
      </c>
      <c r="K24" s="9">
        <f>H25</f>
        <v>780.4</v>
      </c>
    </row>
    <row r="25" spans="3:11" ht="21" x14ac:dyDescent="0.35">
      <c r="C25" s="39"/>
      <c r="D25" s="8"/>
      <c r="E25" s="8"/>
      <c r="F25" s="46">
        <v>111</v>
      </c>
      <c r="G25" s="46">
        <v>103</v>
      </c>
      <c r="H25" s="47">
        <f>(F25-G25)*97.55</f>
        <v>780.4</v>
      </c>
      <c r="I25" s="9"/>
      <c r="J25" s="9"/>
      <c r="K25" s="9"/>
    </row>
    <row r="26" spans="3:11" ht="21" x14ac:dyDescent="0.35">
      <c r="C26" s="39"/>
      <c r="D26" s="97" t="s">
        <v>92</v>
      </c>
      <c r="E26" s="97"/>
      <c r="F26" s="98">
        <f>F25-G25</f>
        <v>8</v>
      </c>
      <c r="G26" s="9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6"/>
      <c r="D28" s="76"/>
      <c r="E28" s="76"/>
      <c r="F28" s="8"/>
      <c r="G28" s="8"/>
      <c r="H28" s="8"/>
      <c r="I28" s="9"/>
      <c r="J28" s="22"/>
      <c r="K28" s="9"/>
    </row>
    <row r="29" spans="3:11" ht="21" x14ac:dyDescent="0.35">
      <c r="C29" s="76"/>
      <c r="D29" s="76"/>
      <c r="E29" s="76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6"/>
      <c r="D30" s="76"/>
      <c r="E30" s="76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101"/>
      <c r="E31" s="101"/>
      <c r="F31" s="102"/>
      <c r="G31" s="102"/>
      <c r="H31" s="102"/>
      <c r="I31" s="102"/>
      <c r="J31" s="72"/>
      <c r="K31" s="72"/>
    </row>
    <row r="32" spans="3:11" ht="27" customHeight="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3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3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2175.64</v>
      </c>
    </row>
    <row r="35" spans="2:13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3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2175.64</v>
      </c>
      <c r="L36" s="8"/>
      <c r="M36" s="57"/>
    </row>
    <row r="37" spans="2:13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3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3" s="8" customFormat="1" ht="21" x14ac:dyDescent="0.35">
      <c r="B40" s="3"/>
      <c r="C40" s="78"/>
      <c r="D40" s="78"/>
      <c r="E40" s="78"/>
      <c r="F40" s="78"/>
      <c r="G40" s="78"/>
      <c r="H40" s="78"/>
      <c r="I40" s="78"/>
      <c r="J40" s="78"/>
      <c r="K40" s="78"/>
      <c r="L40" s="3"/>
    </row>
    <row r="41" spans="2:13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3" ht="10.5" customHeight="1" x14ac:dyDescent="0.25">
      <c r="C42" s="90"/>
      <c r="D42" s="90"/>
      <c r="E42" s="90"/>
      <c r="F42" s="90"/>
      <c r="G42" s="90"/>
      <c r="H42" s="90"/>
      <c r="I42" s="90"/>
      <c r="J42" s="90"/>
      <c r="K42" s="90"/>
    </row>
    <row r="43" spans="2:13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3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3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3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9" t="s">
        <v>33</v>
      </c>
      <c r="D51" s="89"/>
      <c r="E51" s="89"/>
      <c r="F51" s="8"/>
      <c r="G51" s="89" t="s">
        <v>31</v>
      </c>
      <c r="H51" s="89"/>
      <c r="I51" s="9"/>
      <c r="J51" s="9"/>
      <c r="K51" s="9"/>
    </row>
    <row r="52" spans="3:11" ht="21" x14ac:dyDescent="0.35">
      <c r="C52" s="88" t="s">
        <v>23</v>
      </c>
      <c r="D52" s="88"/>
      <c r="E52" s="88"/>
      <c r="F52" s="8"/>
      <c r="G52" s="88" t="s">
        <v>24</v>
      </c>
      <c r="H52" s="8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2:K42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8"/>
  <sheetViews>
    <sheetView zoomScale="85" zoomScaleNormal="85" workbookViewId="0">
      <selection activeCell="J10" sqref="J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1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121</v>
      </c>
      <c r="E16" s="50" t="s">
        <v>122</v>
      </c>
      <c r="F16" s="18"/>
      <c r="G16" s="18"/>
      <c r="H16" s="18">
        <v>2175.64</v>
      </c>
      <c r="I16" s="18">
        <f>K34</f>
        <v>1963.73</v>
      </c>
      <c r="J16" s="18">
        <f>I16+H16+G16</f>
        <v>4139.37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6" t="s">
        <v>32</v>
      </c>
      <c r="E20" s="96"/>
      <c r="F20" s="46" t="s">
        <v>123</v>
      </c>
      <c r="G20" s="46"/>
      <c r="H20" s="46"/>
      <c r="I20" s="9"/>
      <c r="J20" s="22">
        <v>0</v>
      </c>
      <c r="K20" s="9">
        <f>H21</f>
        <v>1277.24</v>
      </c>
    </row>
    <row r="21" spans="3:11" ht="21" x14ac:dyDescent="0.35">
      <c r="C21" s="39"/>
      <c r="D21" s="8"/>
      <c r="E21" s="8"/>
      <c r="F21" s="46">
        <v>2974</v>
      </c>
      <c r="G21" s="46">
        <v>2826</v>
      </c>
      <c r="H21" s="47">
        <f>(F21-G21)*8.63</f>
        <v>1277.24</v>
      </c>
      <c r="I21" s="9"/>
      <c r="J21" s="9"/>
      <c r="K21" s="9"/>
    </row>
    <row r="22" spans="3:11" ht="21" x14ac:dyDescent="0.35">
      <c r="C22" s="39"/>
      <c r="D22" s="97" t="s">
        <v>91</v>
      </c>
      <c r="E22" s="97"/>
      <c r="F22" s="98">
        <f>F21-G21</f>
        <v>148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124</v>
      </c>
      <c r="G24" s="46"/>
      <c r="H24" s="46"/>
      <c r="I24" s="9"/>
      <c r="J24" s="22">
        <v>0</v>
      </c>
      <c r="K24" s="9">
        <f>H25</f>
        <v>686.49</v>
      </c>
    </row>
    <row r="25" spans="3:11" ht="21" x14ac:dyDescent="0.35">
      <c r="C25" s="39"/>
      <c r="D25" s="8"/>
      <c r="E25" s="8"/>
      <c r="F25" s="46">
        <v>118</v>
      </c>
      <c r="G25" s="46">
        <v>111</v>
      </c>
      <c r="H25" s="47">
        <f>(F25-G25)*98.07</f>
        <v>686.49</v>
      </c>
      <c r="I25" s="9"/>
      <c r="J25" s="9"/>
      <c r="K25" s="9"/>
    </row>
    <row r="26" spans="3:11" ht="21" x14ac:dyDescent="0.35">
      <c r="C26" s="39"/>
      <c r="D26" s="97" t="s">
        <v>92</v>
      </c>
      <c r="E26" s="97"/>
      <c r="F26" s="98">
        <f>F25-G25</f>
        <v>7</v>
      </c>
      <c r="G26" s="9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6"/>
      <c r="D28" s="76"/>
      <c r="E28" s="76"/>
      <c r="F28" s="8"/>
      <c r="G28" s="8"/>
      <c r="H28" s="8"/>
      <c r="I28" s="9"/>
      <c r="J28" s="22"/>
      <c r="K28" s="9"/>
    </row>
    <row r="29" spans="3:11" ht="21" x14ac:dyDescent="0.35">
      <c r="C29" s="76"/>
      <c r="D29" s="76"/>
      <c r="E29" s="76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6"/>
      <c r="D30" s="76"/>
      <c r="E30" s="76"/>
      <c r="F30" s="87"/>
      <c r="G30" s="87"/>
      <c r="H30" s="87"/>
      <c r="I30" s="9"/>
      <c r="J30" s="9"/>
      <c r="K30" s="9"/>
    </row>
    <row r="31" spans="3:11" ht="21" customHeight="1" x14ac:dyDescent="0.35">
      <c r="C31" s="38"/>
      <c r="D31" s="101"/>
      <c r="E31" s="101"/>
      <c r="F31" s="102"/>
      <c r="G31" s="102"/>
      <c r="H31" s="102"/>
      <c r="I31" s="102"/>
      <c r="J31" s="72"/>
      <c r="K31" s="72"/>
    </row>
    <row r="32" spans="3:11" ht="27" customHeight="1" x14ac:dyDescent="0.35">
      <c r="C32" s="40"/>
      <c r="D32" s="44"/>
      <c r="E32" s="44"/>
      <c r="F32" s="79"/>
      <c r="G32" s="79"/>
      <c r="H32" s="79"/>
      <c r="I32" s="9"/>
      <c r="J32" s="9"/>
      <c r="K32" s="9"/>
    </row>
    <row r="33" spans="2:13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3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1963.73</v>
      </c>
    </row>
    <row r="35" spans="2:13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3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4139.37</v>
      </c>
      <c r="L36" s="8"/>
      <c r="M36" s="57"/>
    </row>
    <row r="37" spans="2:13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3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3" s="8" customFormat="1" ht="21" x14ac:dyDescent="0.35">
      <c r="B40" s="3"/>
      <c r="C40" s="80"/>
      <c r="D40" s="80"/>
      <c r="E40" s="80"/>
      <c r="F40" s="80"/>
      <c r="G40" s="80"/>
      <c r="H40" s="80"/>
      <c r="I40" s="80"/>
      <c r="J40" s="80"/>
      <c r="K40" s="80"/>
      <c r="L40" s="3"/>
    </row>
    <row r="41" spans="2:13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3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3" ht="10.5" customHeight="1" x14ac:dyDescent="0.25">
      <c r="C43" s="90"/>
      <c r="D43" s="90"/>
      <c r="E43" s="90"/>
      <c r="F43" s="90"/>
      <c r="G43" s="90"/>
      <c r="H43" s="90"/>
      <c r="I43" s="90"/>
      <c r="J43" s="90"/>
      <c r="K43" s="90"/>
    </row>
    <row r="44" spans="2:13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3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3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88" t="s">
        <v>23</v>
      </c>
      <c r="D53" s="88"/>
      <c r="E53" s="88"/>
      <c r="F53" s="8"/>
      <c r="G53" s="88" t="s">
        <v>24</v>
      </c>
      <c r="H53" s="8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8"/>
  <sheetViews>
    <sheetView topLeftCell="A13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1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129</v>
      </c>
      <c r="H15" s="13" t="s">
        <v>130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125</v>
      </c>
      <c r="E16" s="50" t="s">
        <v>126</v>
      </c>
      <c r="F16" s="18"/>
      <c r="G16" s="18"/>
      <c r="H16" s="18"/>
      <c r="I16" s="18">
        <f>K34</f>
        <v>3173.92</v>
      </c>
      <c r="J16" s="18">
        <f>I16+H16+G16</f>
        <v>3173.92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3" t="s">
        <v>131</v>
      </c>
      <c r="E20" s="103"/>
      <c r="F20" s="46" t="s">
        <v>127</v>
      </c>
      <c r="G20" s="46"/>
      <c r="H20" s="46"/>
      <c r="I20" s="9"/>
      <c r="J20" s="22">
        <v>0</v>
      </c>
      <c r="K20" s="9">
        <f>H21</f>
        <v>1134.6000000000001</v>
      </c>
    </row>
    <row r="21" spans="3:11" ht="21" x14ac:dyDescent="0.35">
      <c r="C21" s="39"/>
      <c r="D21" s="8"/>
      <c r="E21" s="8"/>
      <c r="F21" s="46">
        <v>3129</v>
      </c>
      <c r="G21" s="46">
        <v>2974</v>
      </c>
      <c r="H21" s="47">
        <f>(F21-G21)*7.32</f>
        <v>1134.6000000000001</v>
      </c>
      <c r="I21" s="9"/>
      <c r="J21" s="9"/>
      <c r="K21" s="9"/>
    </row>
    <row r="22" spans="3:11" ht="21" x14ac:dyDescent="0.35">
      <c r="C22" s="39"/>
      <c r="D22" s="97" t="s">
        <v>91</v>
      </c>
      <c r="E22" s="97"/>
      <c r="F22" s="98">
        <f>F21-G21</f>
        <v>155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132</v>
      </c>
      <c r="E24" s="8"/>
      <c r="F24" s="46" t="s">
        <v>135</v>
      </c>
      <c r="G24" s="46"/>
      <c r="H24" s="46"/>
      <c r="I24" s="9"/>
      <c r="J24" s="22">
        <v>0</v>
      </c>
      <c r="K24" s="9">
        <f>H25</f>
        <v>689.92000000000007</v>
      </c>
    </row>
    <row r="25" spans="3:11" ht="21" x14ac:dyDescent="0.35">
      <c r="C25" s="39"/>
      <c r="D25" s="8"/>
      <c r="E25" s="8"/>
      <c r="F25" s="46">
        <v>125</v>
      </c>
      <c r="G25" s="46">
        <v>118</v>
      </c>
      <c r="H25" s="47">
        <f>(F25-G25)*98.56</f>
        <v>689.92000000000007</v>
      </c>
      <c r="I25" s="9"/>
      <c r="J25" s="9"/>
      <c r="K25" s="9"/>
    </row>
    <row r="26" spans="3:11" ht="21" x14ac:dyDescent="0.35">
      <c r="C26" s="39"/>
      <c r="D26" s="97" t="s">
        <v>92</v>
      </c>
      <c r="E26" s="97"/>
      <c r="F26" s="98">
        <f>F25-G25</f>
        <v>7</v>
      </c>
      <c r="G26" s="9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03" t="s">
        <v>133</v>
      </c>
      <c r="E28" s="103"/>
      <c r="F28" s="46" t="s">
        <v>134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76"/>
      <c r="D30" s="76"/>
      <c r="E30" s="76"/>
      <c r="F30" s="83"/>
      <c r="G30" s="83"/>
      <c r="H30" s="83"/>
      <c r="I30" s="9"/>
      <c r="J30" s="9"/>
      <c r="K30" s="9"/>
    </row>
    <row r="31" spans="3:11" ht="21" customHeight="1" x14ac:dyDescent="0.35">
      <c r="C31" s="38"/>
      <c r="D31" s="101"/>
      <c r="E31" s="101"/>
      <c r="F31" s="102"/>
      <c r="G31" s="102"/>
      <c r="H31" s="102"/>
      <c r="I31" s="102"/>
      <c r="J31" s="72"/>
      <c r="K31" s="72"/>
    </row>
    <row r="32" spans="3:11" ht="27" customHeight="1" x14ac:dyDescent="0.35">
      <c r="C32" s="40"/>
      <c r="D32" s="44"/>
      <c r="E32" s="44"/>
      <c r="F32" s="81"/>
      <c r="G32" s="81"/>
      <c r="H32" s="81"/>
      <c r="I32" s="9"/>
      <c r="J32" s="9"/>
      <c r="K32" s="9"/>
    </row>
    <row r="33" spans="2:13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3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3173.92</v>
      </c>
    </row>
    <row r="35" spans="2:13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3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3173.92</v>
      </c>
      <c r="L36" s="8"/>
      <c r="M36" s="57"/>
    </row>
    <row r="37" spans="2:13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3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3" s="8" customFormat="1" ht="21" x14ac:dyDescent="0.35">
      <c r="B40" s="3"/>
      <c r="C40" s="82"/>
      <c r="D40" s="82"/>
      <c r="E40" s="82"/>
      <c r="F40" s="82"/>
      <c r="G40" s="82"/>
      <c r="H40" s="82"/>
      <c r="I40" s="82"/>
      <c r="J40" s="82"/>
      <c r="K40" s="82"/>
      <c r="L40" s="3"/>
    </row>
    <row r="41" spans="2:13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3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3" ht="10.5" customHeight="1" x14ac:dyDescent="0.25">
      <c r="C43" s="90"/>
      <c r="D43" s="90"/>
      <c r="E43" s="90"/>
      <c r="F43" s="90"/>
      <c r="G43" s="90"/>
      <c r="H43" s="90"/>
      <c r="I43" s="90"/>
      <c r="J43" s="90"/>
      <c r="K43" s="90"/>
    </row>
    <row r="44" spans="2:13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3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3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88" t="s">
        <v>23</v>
      </c>
      <c r="D53" s="88"/>
      <c r="E53" s="88"/>
      <c r="F53" s="8"/>
      <c r="G53" s="88" t="s">
        <v>24</v>
      </c>
      <c r="H53" s="8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8"/>
  <sheetViews>
    <sheetView tabSelected="1" topLeftCell="A14" zoomScale="70" zoomScaleNormal="70" workbookViewId="0">
      <selection activeCell="K35" sqref="K3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1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129</v>
      </c>
      <c r="H15" s="13" t="s">
        <v>130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137</v>
      </c>
      <c r="E16" s="50" t="s">
        <v>138</v>
      </c>
      <c r="F16" s="18"/>
      <c r="G16" s="18">
        <f>'[1]ASSOC DUES'!$E$12</f>
        <v>1349.3999999999999</v>
      </c>
      <c r="H16" s="18">
        <f>'OCT 2020'!K20+'OCT 2020'!K24</f>
        <v>1824.5200000000002</v>
      </c>
      <c r="I16" s="18">
        <f>K34</f>
        <v>6262.15</v>
      </c>
      <c r="J16" s="18">
        <f>I16+H16+G16</f>
        <v>9436.07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3" t="s">
        <v>140</v>
      </c>
      <c r="E20" s="103"/>
      <c r="F20" s="46" t="s">
        <v>143</v>
      </c>
      <c r="G20" s="46"/>
      <c r="H20" s="46"/>
      <c r="I20" s="9"/>
      <c r="J20" s="22">
        <v>0</v>
      </c>
      <c r="K20" s="9">
        <f>H21</f>
        <v>4226.54</v>
      </c>
    </row>
    <row r="21" spans="3:11" ht="21" x14ac:dyDescent="0.35">
      <c r="C21" s="39"/>
      <c r="D21" s="8"/>
      <c r="E21" s="8"/>
      <c r="F21" s="46">
        <v>3656</v>
      </c>
      <c r="G21" s="46">
        <v>3129</v>
      </c>
      <c r="H21" s="47">
        <f>(F21-G21)*8.02</f>
        <v>4226.54</v>
      </c>
      <c r="I21" s="9"/>
      <c r="J21" s="9"/>
      <c r="K21" s="9"/>
    </row>
    <row r="22" spans="3:11" ht="21" x14ac:dyDescent="0.35">
      <c r="C22" s="39"/>
      <c r="D22" s="97" t="s">
        <v>91</v>
      </c>
      <c r="E22" s="97"/>
      <c r="F22" s="98">
        <f>F21-G21</f>
        <v>527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144</v>
      </c>
      <c r="G24" s="46"/>
      <c r="H24" s="46"/>
      <c r="I24" s="9"/>
      <c r="J24" s="22">
        <v>0</v>
      </c>
      <c r="K24" s="9">
        <f>H25</f>
        <v>686.21</v>
      </c>
    </row>
    <row r="25" spans="3:11" ht="21" x14ac:dyDescent="0.35">
      <c r="C25" s="39"/>
      <c r="D25" s="8"/>
      <c r="E25" s="8"/>
      <c r="F25" s="46">
        <v>132</v>
      </c>
      <c r="G25" s="46">
        <v>125</v>
      </c>
      <c r="H25" s="47">
        <f>(F25-G25)*98.03</f>
        <v>686.21</v>
      </c>
      <c r="I25" s="9"/>
      <c r="J25" s="9"/>
      <c r="K25" s="9"/>
    </row>
    <row r="26" spans="3:11" ht="21" x14ac:dyDescent="0.35">
      <c r="C26" s="39"/>
      <c r="D26" s="97" t="s">
        <v>92</v>
      </c>
      <c r="E26" s="97"/>
      <c r="F26" s="98">
        <f>F25-G25</f>
        <v>7</v>
      </c>
      <c r="G26" s="98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103" t="s">
        <v>133</v>
      </c>
      <c r="E28" s="103"/>
      <c r="F28" s="46" t="s">
        <v>139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76"/>
      <c r="D30" s="76"/>
      <c r="E30" s="76"/>
      <c r="F30" s="83"/>
      <c r="G30" s="83"/>
      <c r="H30" s="83"/>
      <c r="I30" s="9"/>
      <c r="J30" s="9"/>
      <c r="K30" s="9"/>
    </row>
    <row r="31" spans="3:11" ht="21" customHeight="1" x14ac:dyDescent="0.35">
      <c r="C31" s="38"/>
      <c r="D31" s="101"/>
      <c r="E31" s="101"/>
      <c r="F31" s="102"/>
      <c r="G31" s="102"/>
      <c r="H31" s="102"/>
      <c r="I31" s="102"/>
      <c r="J31" s="72"/>
      <c r="K31" s="72"/>
    </row>
    <row r="32" spans="3:11" ht="27" customHeight="1" x14ac:dyDescent="0.35">
      <c r="C32" s="40"/>
      <c r="D32" s="44"/>
      <c r="E32" s="44"/>
      <c r="F32" s="84"/>
      <c r="G32" s="84"/>
      <c r="H32" s="84"/>
      <c r="I32" s="9"/>
      <c r="J32" s="9"/>
      <c r="K32" s="9"/>
    </row>
    <row r="33" spans="2:13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3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6262.15</v>
      </c>
    </row>
    <row r="35" spans="2:13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3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9436.07</v>
      </c>
      <c r="L36" s="8"/>
      <c r="M36" s="57"/>
    </row>
    <row r="37" spans="2:13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3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3" s="8" customFormat="1" ht="21" x14ac:dyDescent="0.35">
      <c r="B40" s="3"/>
      <c r="C40" s="85"/>
      <c r="D40" s="85"/>
      <c r="E40" s="85"/>
      <c r="F40" s="85"/>
      <c r="G40" s="85"/>
      <c r="H40" s="85"/>
      <c r="I40" s="85"/>
      <c r="J40" s="85"/>
      <c r="K40" s="85"/>
      <c r="L40" s="3"/>
    </row>
    <row r="41" spans="2:13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3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3" ht="10.5" customHeight="1" x14ac:dyDescent="0.25">
      <c r="C43" s="90"/>
      <c r="D43" s="90"/>
      <c r="E43" s="90"/>
      <c r="F43" s="90"/>
      <c r="G43" s="90"/>
      <c r="H43" s="90"/>
      <c r="I43" s="90"/>
      <c r="J43" s="90"/>
      <c r="K43" s="90"/>
    </row>
    <row r="44" spans="2:13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3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3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141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88" t="s">
        <v>142</v>
      </c>
      <c r="D53" s="88"/>
      <c r="E53" s="88"/>
      <c r="F53" s="8"/>
      <c r="G53" s="88" t="s">
        <v>24</v>
      </c>
      <c r="H53" s="8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25" workbookViewId="0">
      <selection activeCell="M38" sqref="M3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1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/>
      <c r="I16" s="18">
        <f>K35</f>
        <v>4272.4599999999991</v>
      </c>
      <c r="J16" s="18">
        <f>I16+H16+G16</f>
        <v>4272.4599999999991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6" t="s">
        <v>32</v>
      </c>
      <c r="E20" s="96"/>
      <c r="F20" s="46" t="s">
        <v>44</v>
      </c>
      <c r="G20" s="46"/>
      <c r="H20" s="46"/>
      <c r="I20" s="9"/>
      <c r="J20" s="22">
        <v>0</v>
      </c>
      <c r="K20" s="9">
        <f>H21</f>
        <v>2881.8999999999996</v>
      </c>
    </row>
    <row r="21" spans="3:11" ht="21" x14ac:dyDescent="0.35">
      <c r="C21" s="39"/>
      <c r="D21" s="8"/>
      <c r="E21" s="8"/>
      <c r="F21" s="46">
        <v>521</v>
      </c>
      <c r="G21" s="46">
        <v>360</v>
      </c>
      <c r="H21" s="47">
        <f>(F21-G21)*17.9</f>
        <v>2881.8999999999996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1390.56</v>
      </c>
    </row>
    <row r="25" spans="3:11" ht="21" x14ac:dyDescent="0.35">
      <c r="C25" s="39"/>
      <c r="D25" s="8"/>
      <c r="E25" s="8"/>
      <c r="F25" s="46">
        <v>40</v>
      </c>
      <c r="G25" s="46">
        <v>28</v>
      </c>
      <c r="H25" s="47">
        <f>(F25-G25)*115.88</f>
        <v>1390.56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3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3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3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4272.4599999999991</v>
      </c>
    </row>
    <row r="36" spans="2:13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3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4272.4599999999991</v>
      </c>
      <c r="L37" s="8"/>
      <c r="M37" s="53" t="s">
        <v>51</v>
      </c>
    </row>
    <row r="38" spans="2:13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3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3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3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3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3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3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3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10" zoomScale="70" zoomScaleNormal="70" workbookViewId="0">
      <selection activeCell="P24" sqref="P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1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/>
      <c r="I16" s="18">
        <f>K35</f>
        <v>2474.0200000000004</v>
      </c>
      <c r="J16" s="18">
        <f>I16+H16+G16</f>
        <v>2474.0200000000004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6" t="s">
        <v>32</v>
      </c>
      <c r="E20" s="96"/>
      <c r="F20" s="46" t="s">
        <v>49</v>
      </c>
      <c r="G20" s="46"/>
      <c r="H20" s="46"/>
      <c r="I20" s="9"/>
      <c r="J20" s="22">
        <v>0</v>
      </c>
      <c r="K20" s="9">
        <f>H21</f>
        <v>1893.1200000000001</v>
      </c>
    </row>
    <row r="21" spans="3:11" ht="21" x14ac:dyDescent="0.35">
      <c r="C21" s="39"/>
      <c r="D21" s="8"/>
      <c r="E21" s="8"/>
      <c r="F21" s="46">
        <v>637</v>
      </c>
      <c r="G21" s="46">
        <v>521</v>
      </c>
      <c r="H21" s="47">
        <f>(F21-G21)*16.32</f>
        <v>1893.1200000000001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52</v>
      </c>
      <c r="G24" s="46"/>
      <c r="H24" s="46"/>
      <c r="I24" s="9"/>
      <c r="J24" s="22">
        <v>0</v>
      </c>
      <c r="K24" s="9">
        <f>H25</f>
        <v>580.90000000000009</v>
      </c>
    </row>
    <row r="25" spans="3:11" ht="21" x14ac:dyDescent="0.35">
      <c r="C25" s="39"/>
      <c r="D25" s="8"/>
      <c r="E25" s="8"/>
      <c r="F25" s="46">
        <v>45</v>
      </c>
      <c r="G25" s="46">
        <v>40</v>
      </c>
      <c r="H25" s="47">
        <f>(F25-G25)*116.18</f>
        <v>580.90000000000009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3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3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3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2474.0200000000004</v>
      </c>
    </row>
    <row r="36" spans="2:13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3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2474.0200000000004</v>
      </c>
      <c r="L37" s="8"/>
      <c r="M37" s="55" t="s">
        <v>51</v>
      </c>
    </row>
    <row r="38" spans="2:13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3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3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3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3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3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3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3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7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1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54</v>
      </c>
      <c r="E16" s="50" t="s">
        <v>55</v>
      </c>
      <c r="F16" s="18"/>
      <c r="G16" s="18"/>
      <c r="H16" s="18"/>
      <c r="I16" s="18">
        <f>K35</f>
        <v>3996.7200000000003</v>
      </c>
      <c r="J16" s="18">
        <f>I16+H16+G16</f>
        <v>3996.7200000000003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6" t="s">
        <v>32</v>
      </c>
      <c r="E20" s="96"/>
      <c r="F20" s="46" t="s">
        <v>56</v>
      </c>
      <c r="G20" s="46"/>
      <c r="H20" s="46"/>
      <c r="I20" s="9"/>
      <c r="J20" s="22">
        <v>0</v>
      </c>
      <c r="K20" s="9">
        <f>H21</f>
        <v>3300.4200000000005</v>
      </c>
    </row>
    <row r="21" spans="3:11" ht="21" x14ac:dyDescent="0.35">
      <c r="C21" s="39"/>
      <c r="D21" s="8"/>
      <c r="E21" s="8"/>
      <c r="F21" s="46">
        <v>838</v>
      </c>
      <c r="G21" s="46">
        <v>637</v>
      </c>
      <c r="H21" s="47">
        <f>(F21-G21)*16.42</f>
        <v>3300.4200000000005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57</v>
      </c>
      <c r="G24" s="46"/>
      <c r="H24" s="46"/>
      <c r="I24" s="9"/>
      <c r="J24" s="22">
        <v>0</v>
      </c>
      <c r="K24" s="9">
        <f>H25</f>
        <v>696.3</v>
      </c>
    </row>
    <row r="25" spans="3:11" ht="21" x14ac:dyDescent="0.35">
      <c r="C25" s="39"/>
      <c r="D25" s="8"/>
      <c r="E25" s="8"/>
      <c r="F25" s="46">
        <v>51</v>
      </c>
      <c r="G25" s="46">
        <v>45</v>
      </c>
      <c r="H25" s="47">
        <f>(F25-G25)*116.05</f>
        <v>696.3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3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3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3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3996.7200000000003</v>
      </c>
    </row>
    <row r="36" spans="2:13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3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3996.7200000000003</v>
      </c>
      <c r="L37" s="8"/>
      <c r="M37" s="57"/>
    </row>
    <row r="38" spans="2:13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3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3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3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3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3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3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3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13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1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59</v>
      </c>
      <c r="E16" s="50" t="s">
        <v>60</v>
      </c>
      <c r="F16" s="18"/>
      <c r="G16" s="18"/>
      <c r="H16" s="18">
        <v>3996.72</v>
      </c>
      <c r="I16" s="18">
        <f>K35</f>
        <v>3353.8199999999997</v>
      </c>
      <c r="J16" s="18">
        <f>I16+H16+G16</f>
        <v>7350.5399999999991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6" t="s">
        <v>32</v>
      </c>
      <c r="E20" s="96"/>
      <c r="F20" s="46" t="s">
        <v>61</v>
      </c>
      <c r="G20" s="46"/>
      <c r="H20" s="46"/>
      <c r="I20" s="9"/>
      <c r="J20" s="22">
        <v>0</v>
      </c>
      <c r="K20" s="9">
        <f>H21</f>
        <v>2659.14</v>
      </c>
    </row>
    <row r="21" spans="3:11" ht="21" x14ac:dyDescent="0.35">
      <c r="C21" s="39"/>
      <c r="D21" s="8"/>
      <c r="E21" s="8"/>
      <c r="F21" s="46">
        <v>991</v>
      </c>
      <c r="G21" s="46">
        <v>838</v>
      </c>
      <c r="H21" s="47">
        <f>(F21-G21)*17.38</f>
        <v>2659.14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62</v>
      </c>
      <c r="G24" s="46"/>
      <c r="H24" s="46"/>
      <c r="I24" s="9"/>
      <c r="J24" s="22">
        <v>0</v>
      </c>
      <c r="K24" s="9">
        <f>H25</f>
        <v>694.68000000000006</v>
      </c>
    </row>
    <row r="25" spans="3:11" ht="21" x14ac:dyDescent="0.35">
      <c r="C25" s="39"/>
      <c r="D25" s="8"/>
      <c r="E25" s="8"/>
      <c r="F25" s="46">
        <v>57</v>
      </c>
      <c r="G25" s="46">
        <v>51</v>
      </c>
      <c r="H25" s="47">
        <f>(F25-G25)*115.78</f>
        <v>694.68000000000006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3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3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3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3353.8199999999997</v>
      </c>
    </row>
    <row r="36" spans="2:13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3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7350.5399999999991</v>
      </c>
      <c r="L37" s="8"/>
      <c r="M37" s="57"/>
    </row>
    <row r="38" spans="2:13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3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3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3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3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3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3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3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10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1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64</v>
      </c>
      <c r="E16" s="50" t="s">
        <v>64</v>
      </c>
      <c r="F16" s="18"/>
      <c r="G16" s="18"/>
      <c r="H16" s="18"/>
      <c r="I16" s="18">
        <f>K35</f>
        <v>3476.8199999999997</v>
      </c>
      <c r="J16" s="18">
        <f>I16+H16+G16</f>
        <v>3476.8199999999997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6" t="s">
        <v>32</v>
      </c>
      <c r="E20" s="96"/>
      <c r="F20" s="46" t="s">
        <v>65</v>
      </c>
      <c r="G20" s="46"/>
      <c r="H20" s="46"/>
      <c r="I20" s="9"/>
      <c r="J20" s="22">
        <v>0</v>
      </c>
      <c r="K20" s="9">
        <f>H21</f>
        <v>2781.24</v>
      </c>
    </row>
    <row r="21" spans="3:11" ht="21" x14ac:dyDescent="0.35">
      <c r="C21" s="39"/>
      <c r="D21" s="8"/>
      <c r="E21" s="8"/>
      <c r="F21" s="46">
        <v>1145</v>
      </c>
      <c r="G21" s="46">
        <v>991</v>
      </c>
      <c r="H21" s="47">
        <f>(F21-G21)*18.06</f>
        <v>2781.24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71</v>
      </c>
      <c r="G24" s="46"/>
      <c r="H24" s="46"/>
      <c r="I24" s="9"/>
      <c r="J24" s="22">
        <v>0</v>
      </c>
      <c r="K24" s="9">
        <f>H25</f>
        <v>695.58</v>
      </c>
    </row>
    <row r="25" spans="3:11" ht="21" x14ac:dyDescent="0.35">
      <c r="C25" s="39"/>
      <c r="D25" s="8"/>
      <c r="E25" s="8"/>
      <c r="F25" s="46">
        <v>63</v>
      </c>
      <c r="G25" s="46">
        <v>57</v>
      </c>
      <c r="H25" s="47">
        <f>(F25-G25)*115.93</f>
        <v>695.58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3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3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3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3476.8199999999997</v>
      </c>
    </row>
    <row r="36" spans="2:13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3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3476.8199999999997</v>
      </c>
      <c r="L37" s="8"/>
      <c r="M37" s="57"/>
    </row>
    <row r="38" spans="2:13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3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3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3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3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3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3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3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zoomScale="70" zoomScaleNormal="70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1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67</v>
      </c>
      <c r="E16" s="50" t="s">
        <v>68</v>
      </c>
      <c r="F16" s="18"/>
      <c r="G16" s="18"/>
      <c r="H16" s="18">
        <v>3476.82</v>
      </c>
      <c r="I16" s="18">
        <f>K35</f>
        <v>2192.91</v>
      </c>
      <c r="J16" s="18">
        <f>I16+H16+G16</f>
        <v>5669.73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6" t="s">
        <v>32</v>
      </c>
      <c r="E20" s="96"/>
      <c r="F20" s="46" t="s">
        <v>69</v>
      </c>
      <c r="G20" s="46"/>
      <c r="H20" s="46"/>
      <c r="I20" s="9"/>
      <c r="J20" s="22">
        <v>0</v>
      </c>
      <c r="K20" s="9">
        <f>H21</f>
        <v>1844.3999999999999</v>
      </c>
    </row>
    <row r="21" spans="3:11" ht="21" x14ac:dyDescent="0.35">
      <c r="C21" s="39"/>
      <c r="D21" s="8"/>
      <c r="E21" s="8"/>
      <c r="F21" s="46">
        <v>1251</v>
      </c>
      <c r="G21" s="46">
        <v>1145</v>
      </c>
      <c r="H21" s="47">
        <f>(F21-G21)*17.4</f>
        <v>1844.3999999999999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348.51</v>
      </c>
    </row>
    <row r="25" spans="3:11" ht="21" x14ac:dyDescent="0.35">
      <c r="C25" s="39"/>
      <c r="D25" s="8"/>
      <c r="E25" s="8"/>
      <c r="F25" s="46">
        <v>66</v>
      </c>
      <c r="G25" s="46">
        <v>63</v>
      </c>
      <c r="H25" s="47">
        <f>(F25-G25)*116.17</f>
        <v>348.51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9"/>
      <c r="G31" s="59"/>
      <c r="H31" s="59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3" ht="27" customHeight="1" x14ac:dyDescent="0.35">
      <c r="C33" s="40"/>
      <c r="D33" s="44"/>
      <c r="E33" s="44"/>
      <c r="F33" s="59"/>
      <c r="G33" s="59"/>
      <c r="H33" s="59"/>
      <c r="I33" s="9"/>
      <c r="J33" s="9"/>
      <c r="K33" s="9"/>
    </row>
    <row r="34" spans="2:13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3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2192.91</v>
      </c>
    </row>
    <row r="36" spans="2:13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3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5669.73</v>
      </c>
      <c r="L37" s="8"/>
      <c r="M37" s="57"/>
    </row>
    <row r="38" spans="2:13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3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3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3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3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3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3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3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4" zoomScale="70" zoomScaleNormal="70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1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73</v>
      </c>
      <c r="E16" s="50" t="s">
        <v>74</v>
      </c>
      <c r="F16" s="18"/>
      <c r="G16" s="18"/>
      <c r="H16" s="18"/>
      <c r="I16" s="18">
        <f>K35</f>
        <v>2391.17</v>
      </c>
      <c r="J16" s="18">
        <f>I16+H16+G16</f>
        <v>2391.17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6" t="s">
        <v>32</v>
      </c>
      <c r="E20" s="96"/>
      <c r="F20" s="46" t="s">
        <v>75</v>
      </c>
      <c r="G20" s="46"/>
      <c r="H20" s="46"/>
      <c r="I20" s="9"/>
      <c r="J20" s="22">
        <v>0</v>
      </c>
      <c r="K20" s="9">
        <f>H21</f>
        <v>1804.6200000000001</v>
      </c>
    </row>
    <row r="21" spans="3:11" ht="21" x14ac:dyDescent="0.35">
      <c r="C21" s="39"/>
      <c r="D21" s="8"/>
      <c r="E21" s="8"/>
      <c r="F21" s="46">
        <v>1365</v>
      </c>
      <c r="G21" s="46">
        <v>1251</v>
      </c>
      <c r="H21" s="47">
        <f>(F21-G21)*15.83</f>
        <v>1804.6200000000001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76</v>
      </c>
      <c r="G24" s="46"/>
      <c r="H24" s="46"/>
      <c r="I24" s="9"/>
      <c r="J24" s="22">
        <v>0</v>
      </c>
      <c r="K24" s="9">
        <f>H25</f>
        <v>586.54999999999995</v>
      </c>
    </row>
    <row r="25" spans="3:11" ht="21" x14ac:dyDescent="0.35">
      <c r="C25" s="39"/>
      <c r="D25" s="8"/>
      <c r="E25" s="8"/>
      <c r="F25" s="46">
        <v>71</v>
      </c>
      <c r="G25" s="46">
        <v>66</v>
      </c>
      <c r="H25" s="47">
        <f>(F25-G25)*117.31</f>
        <v>586.54999999999995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60"/>
      <c r="G31" s="60"/>
      <c r="H31" s="60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3" ht="27" customHeight="1" x14ac:dyDescent="0.35">
      <c r="C33" s="40"/>
      <c r="D33" s="44"/>
      <c r="E33" s="44"/>
      <c r="F33" s="60"/>
      <c r="G33" s="60"/>
      <c r="H33" s="60"/>
      <c r="I33" s="9"/>
      <c r="J33" s="9"/>
      <c r="K33" s="9"/>
    </row>
    <row r="34" spans="2:13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3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2391.17</v>
      </c>
    </row>
    <row r="36" spans="2:13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3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2391.17</v>
      </c>
      <c r="L37" s="8"/>
      <c r="M37" s="57"/>
    </row>
    <row r="38" spans="2:13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3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3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3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3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3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3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3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12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94" t="s">
        <v>14</v>
      </c>
      <c r="J3" s="94"/>
      <c r="K3" s="94"/>
    </row>
    <row r="4" spans="3:11" ht="21" x14ac:dyDescent="0.35">
      <c r="C4" s="8"/>
      <c r="D4" s="8"/>
      <c r="E4" s="8"/>
      <c r="F4" s="8"/>
      <c r="G4" s="8"/>
      <c r="H4" s="8"/>
      <c r="I4" s="94"/>
      <c r="J4" s="94"/>
      <c r="K4" s="9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1" t="s">
        <v>12</v>
      </c>
      <c r="D14" s="92"/>
      <c r="E14" s="92"/>
      <c r="F14" s="92"/>
      <c r="G14" s="92"/>
      <c r="H14" s="92"/>
      <c r="I14" s="92"/>
      <c r="J14" s="92"/>
      <c r="K14" s="9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78</v>
      </c>
      <c r="E16" s="50" t="s">
        <v>79</v>
      </c>
      <c r="F16" s="18"/>
      <c r="G16" s="18"/>
      <c r="H16" s="18"/>
      <c r="I16" s="18">
        <f>K35</f>
        <v>4021.66</v>
      </c>
      <c r="J16" s="18">
        <f>I16+H16+G16</f>
        <v>4021.66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95" t="s">
        <v>8</v>
      </c>
      <c r="E19" s="95"/>
      <c r="F19" s="95" t="s">
        <v>9</v>
      </c>
      <c r="G19" s="95"/>
      <c r="H19" s="9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6" t="s">
        <v>32</v>
      </c>
      <c r="E20" s="96"/>
      <c r="F20" s="46" t="s">
        <v>80</v>
      </c>
      <c r="G20" s="46"/>
      <c r="H20" s="46"/>
      <c r="I20" s="9"/>
      <c r="J20" s="22">
        <v>0</v>
      </c>
      <c r="K20" s="9">
        <f>H21</f>
        <v>3435.11</v>
      </c>
    </row>
    <row r="21" spans="3:11" ht="21" x14ac:dyDescent="0.35">
      <c r="C21" s="39"/>
      <c r="D21" s="8"/>
      <c r="E21" s="8"/>
      <c r="F21" s="46">
        <v>1582</v>
      </c>
      <c r="G21" s="46">
        <v>1365</v>
      </c>
      <c r="H21" s="47">
        <f>(F21-G21)*15.83</f>
        <v>3435.11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81</v>
      </c>
      <c r="G24" s="46"/>
      <c r="H24" s="46"/>
      <c r="I24" s="9"/>
      <c r="J24" s="22">
        <v>0</v>
      </c>
      <c r="K24" s="9">
        <f>H25</f>
        <v>586.54999999999995</v>
      </c>
    </row>
    <row r="25" spans="3:11" ht="21" x14ac:dyDescent="0.35">
      <c r="C25" s="39"/>
      <c r="D25" s="8"/>
      <c r="E25" s="8"/>
      <c r="F25" s="46">
        <v>76</v>
      </c>
      <c r="G25" s="46">
        <v>71</v>
      </c>
      <c r="H25" s="47">
        <f>(F25-G25)*117.31</f>
        <v>586.54999999999995</v>
      </c>
      <c r="I25" s="9"/>
      <c r="J25" s="9"/>
      <c r="K25" s="9"/>
    </row>
    <row r="26" spans="3:11" ht="21" x14ac:dyDescent="0.35">
      <c r="C26" s="39"/>
      <c r="D26" s="97" t="s">
        <v>92</v>
      </c>
      <c r="E26" s="97"/>
      <c r="F26" s="98">
        <f>F25-G25</f>
        <v>5</v>
      </c>
      <c r="G26" s="98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61"/>
      <c r="G31" s="61"/>
      <c r="H31" s="61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3" ht="27" customHeight="1" x14ac:dyDescent="0.35">
      <c r="C33" s="40"/>
      <c r="D33" s="44"/>
      <c r="E33" s="44"/>
      <c r="F33" s="61"/>
      <c r="G33" s="61"/>
      <c r="H33" s="61"/>
      <c r="I33" s="9"/>
      <c r="J33" s="9"/>
      <c r="K33" s="9"/>
    </row>
    <row r="34" spans="2:13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3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4021.66</v>
      </c>
    </row>
    <row r="36" spans="2:13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3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4021.66</v>
      </c>
      <c r="L37" s="8"/>
      <c r="M37" s="57"/>
    </row>
    <row r="38" spans="2:13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3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3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3" s="8" customFormat="1" ht="21" x14ac:dyDescent="0.35">
      <c r="B41" s="3"/>
      <c r="C41" s="63" t="s">
        <v>82</v>
      </c>
      <c r="D41" s="63" t="s">
        <v>83</v>
      </c>
      <c r="E41" s="3"/>
      <c r="F41" s="3"/>
      <c r="G41" s="3"/>
      <c r="H41" s="3"/>
      <c r="I41" s="4"/>
      <c r="J41" s="4"/>
      <c r="K41" s="4"/>
      <c r="L41" s="3"/>
    </row>
    <row r="42" spans="2:13" s="8" customFormat="1" ht="21" x14ac:dyDescent="0.35">
      <c r="B42" s="3"/>
      <c r="C42" s="3"/>
      <c r="D42" s="63" t="s">
        <v>84</v>
      </c>
      <c r="E42" s="3"/>
      <c r="F42" s="3"/>
      <c r="G42" s="3"/>
      <c r="H42" s="3"/>
      <c r="I42" s="4"/>
      <c r="J42" s="4"/>
      <c r="K42" s="4"/>
      <c r="L42" s="3"/>
    </row>
    <row r="43" spans="2:13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3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3" ht="10.5" customHeight="1" x14ac:dyDescent="0.25">
      <c r="C45" s="90"/>
      <c r="D45" s="90"/>
      <c r="E45" s="90"/>
      <c r="F45" s="90"/>
      <c r="G45" s="90"/>
      <c r="H45" s="90"/>
      <c r="I45" s="90"/>
      <c r="J45" s="90"/>
      <c r="K45" s="90"/>
    </row>
    <row r="46" spans="2:13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3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3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2020-12-16T10:53:28Z</cp:lastPrinted>
  <dcterms:created xsi:type="dcterms:W3CDTF">2018-02-28T02:33:50Z</dcterms:created>
  <dcterms:modified xsi:type="dcterms:W3CDTF">2020-12-16T10:53:36Z</dcterms:modified>
</cp:coreProperties>
</file>