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9" activeTab="15"/>
  </bookViews>
  <sheets>
    <sheet name="AUGUST 2019" sheetId="2" r:id="rId1"/>
    <sheet name="SEPTEMBER 2019" sheetId="3" r:id="rId2"/>
    <sheet name="OCTOBER 2019" sheetId="4" r:id="rId3"/>
    <sheet name="NOVEMBER 2019" sheetId="5" r:id="rId4"/>
    <sheet name="DECEMBER 2019" sheetId="6" r:id="rId5"/>
    <sheet name="JAN 2020" sheetId="7" r:id="rId6"/>
    <sheet name="FEB 2020" sheetId="8" r:id="rId7"/>
    <sheet name="MAR 2020" sheetId="9" r:id="rId8"/>
    <sheet name="APR 2020" sheetId="10" r:id="rId9"/>
    <sheet name="MAY 2020" sheetId="11" r:id="rId10"/>
    <sheet name="JUN 2020" sheetId="12" r:id="rId11"/>
    <sheet name="JUL 2020" sheetId="13" r:id="rId12"/>
    <sheet name="AUG 2020" sheetId="14" r:id="rId13"/>
    <sheet name="SEPT 2020" sheetId="15" r:id="rId14"/>
    <sheet name="OCT 2020" sheetId="16" r:id="rId15"/>
    <sheet name="NOV 2020" sheetId="17" r:id="rId16"/>
  </sheets>
  <externalReferences>
    <externalReference r:id="rId17"/>
  </externalReferences>
  <calcPr calcId="152511"/>
</workbook>
</file>

<file path=xl/calcChain.xml><?xml version="1.0" encoding="utf-8"?>
<calcChain xmlns="http://schemas.openxmlformats.org/spreadsheetml/2006/main">
  <c r="H16" i="17" l="1"/>
  <c r="G16" i="17"/>
  <c r="K32" i="17" l="1"/>
  <c r="H29" i="17"/>
  <c r="K29" i="17" s="1"/>
  <c r="K31" i="17"/>
  <c r="F26" i="17"/>
  <c r="H25" i="17"/>
  <c r="K24" i="17" s="1"/>
  <c r="F22" i="17"/>
  <c r="H21" i="17"/>
  <c r="K20" i="17" s="1"/>
  <c r="I16" i="17" l="1"/>
  <c r="J16" i="17" l="1"/>
  <c r="K34" i="17"/>
  <c r="H25" i="16" l="1"/>
  <c r="H21" i="16" l="1"/>
  <c r="K34" i="16"/>
  <c r="K29" i="16"/>
  <c r="K27" i="16"/>
  <c r="F26" i="16"/>
  <c r="K24" i="16"/>
  <c r="F22" i="16"/>
  <c r="K20" i="16"/>
  <c r="K35" i="16" s="1"/>
  <c r="I16" i="16" s="1"/>
  <c r="K37" i="16" l="1"/>
  <c r="J16" i="16"/>
  <c r="H25" i="15"/>
  <c r="K24" i="15" s="1"/>
  <c r="H21" i="15"/>
  <c r="K20" i="15" s="1"/>
  <c r="K34" i="15"/>
  <c r="K29" i="15"/>
  <c r="K27" i="15"/>
  <c r="F26" i="15"/>
  <c r="F22" i="15"/>
  <c r="K35" i="15" l="1"/>
  <c r="I16" i="15" s="1"/>
  <c r="K37" i="15"/>
  <c r="J16" i="15"/>
  <c r="H25" i="14"/>
  <c r="H21" i="14"/>
  <c r="H21" i="13" l="1"/>
  <c r="K20" i="14"/>
  <c r="K34" i="14"/>
  <c r="K29" i="14"/>
  <c r="K27" i="14"/>
  <c r="F26" i="14"/>
  <c r="K24" i="14"/>
  <c r="F22" i="14"/>
  <c r="K35" i="14" l="1"/>
  <c r="I16" i="14" s="1"/>
  <c r="J16" i="14"/>
  <c r="K37" i="14"/>
  <c r="H25" i="13"/>
  <c r="K24" i="13" s="1"/>
  <c r="K34" i="13"/>
  <c r="K29" i="13"/>
  <c r="K27" i="13"/>
  <c r="F26" i="13"/>
  <c r="F22" i="13"/>
  <c r="K20" i="13"/>
  <c r="K34" i="12"/>
  <c r="K32" i="12"/>
  <c r="K35" i="13" l="1"/>
  <c r="I16" i="13" s="1"/>
  <c r="K37" i="13"/>
  <c r="J16" i="13"/>
  <c r="H21" i="12" l="1"/>
  <c r="K20" i="12" s="1"/>
  <c r="H25" i="12"/>
  <c r="K24" i="12" s="1"/>
  <c r="K29" i="12"/>
  <c r="F26" i="12"/>
  <c r="F22" i="12"/>
  <c r="K35" i="12" l="1"/>
  <c r="K27" i="12"/>
  <c r="K33" i="11"/>
  <c r="K35" i="11"/>
  <c r="I16" i="12" l="1"/>
  <c r="K37" i="12"/>
  <c r="J16" i="12"/>
  <c r="F26" i="9"/>
  <c r="F22" i="9"/>
  <c r="H21" i="11" l="1"/>
  <c r="K20" i="11" s="1"/>
  <c r="K30" i="11"/>
  <c r="F26" i="11"/>
  <c r="H25" i="11"/>
  <c r="K24" i="11" s="1"/>
  <c r="F22" i="11"/>
  <c r="K36" i="11" l="1"/>
  <c r="I28" i="11"/>
  <c r="K28" i="11" s="1"/>
  <c r="F26" i="10"/>
  <c r="F22" i="10"/>
  <c r="I16" i="11" l="1"/>
  <c r="K38" i="11" s="1"/>
  <c r="H25" i="10"/>
  <c r="K24" i="10" s="1"/>
  <c r="H21" i="10"/>
  <c r="I28" i="10" s="1"/>
  <c r="K35" i="10"/>
  <c r="K33" i="10"/>
  <c r="K30" i="10"/>
  <c r="J16" i="11" l="1"/>
  <c r="K20" i="10"/>
  <c r="K28" i="10"/>
  <c r="K36" i="10"/>
  <c r="I16" i="10" s="1"/>
  <c r="K38" i="10" s="1"/>
  <c r="K34" i="9"/>
  <c r="K32" i="9"/>
  <c r="K29" i="9"/>
  <c r="K27" i="9"/>
  <c r="H25" i="9"/>
  <c r="K24" i="9" s="1"/>
  <c r="H21" i="9"/>
  <c r="K20" i="9" s="1"/>
  <c r="J16" i="10" l="1"/>
  <c r="K35" i="9"/>
  <c r="I16" i="9" s="1"/>
  <c r="K37" i="9" s="1"/>
  <c r="H25" i="8"/>
  <c r="K24" i="8" s="1"/>
  <c r="H21" i="8"/>
  <c r="K20" i="8" s="1"/>
  <c r="K34" i="8"/>
  <c r="K32" i="8"/>
  <c r="K29" i="8"/>
  <c r="K27" i="8"/>
  <c r="J16" i="9" l="1"/>
  <c r="K35" i="8"/>
  <c r="I16" i="8" s="1"/>
  <c r="J16" i="8" s="1"/>
  <c r="H21" i="7"/>
  <c r="K37" i="8" l="1"/>
  <c r="H25" i="7"/>
  <c r="K24" i="7" s="1"/>
  <c r="K34" i="7"/>
  <c r="K32" i="7"/>
  <c r="K29" i="7"/>
  <c r="K27" i="7"/>
  <c r="K20" i="7"/>
  <c r="K35" i="7" l="1"/>
  <c r="I16" i="7" s="1"/>
  <c r="J16" i="7" s="1"/>
  <c r="H25" i="6"/>
  <c r="K37" i="7" l="1"/>
  <c r="H21" i="6"/>
  <c r="K34" i="6" l="1"/>
  <c r="K32" i="6"/>
  <c r="K29" i="6"/>
  <c r="K27" i="6"/>
  <c r="K24" i="6"/>
  <c r="K20" i="6"/>
  <c r="K35" i="6" l="1"/>
  <c r="I16" i="6" s="1"/>
  <c r="K37" i="6" s="1"/>
  <c r="J16" i="6"/>
  <c r="H25" i="5"/>
  <c r="K24" i="5" s="1"/>
  <c r="H21" i="5"/>
  <c r="K20" i="5" s="1"/>
  <c r="K34" i="5"/>
  <c r="K32" i="5"/>
  <c r="K29" i="5"/>
  <c r="K27" i="5"/>
  <c r="K35" i="5" l="1"/>
  <c r="I16" i="5" s="1"/>
  <c r="J16" i="5" s="1"/>
  <c r="H25" i="4"/>
  <c r="K37" i="5" l="1"/>
  <c r="H21" i="4"/>
  <c r="K20" i="4" s="1"/>
  <c r="K34" i="4"/>
  <c r="K32" i="4"/>
  <c r="K29" i="4"/>
  <c r="K27" i="4"/>
  <c r="K24" i="4"/>
  <c r="K35" i="4" l="1"/>
  <c r="I16" i="4" s="1"/>
  <c r="K37" i="4" s="1"/>
  <c r="H25" i="3"/>
  <c r="J16" i="4" l="1"/>
  <c r="K34" i="3"/>
  <c r="K32" i="3"/>
  <c r="K29" i="3"/>
  <c r="K27" i="3"/>
  <c r="K24" i="3"/>
  <c r="H21" i="3"/>
  <c r="K20" i="3" s="1"/>
  <c r="K35" i="3" l="1"/>
  <c r="I16" i="3" s="1"/>
  <c r="J16" i="3" s="1"/>
  <c r="H25" i="2"/>
  <c r="K24" i="2" s="1"/>
  <c r="H21" i="2"/>
  <c r="K20" i="2" s="1"/>
  <c r="K34" i="2"/>
  <c r="K32" i="2"/>
  <c r="K29" i="2"/>
  <c r="K27" i="2"/>
  <c r="K37" i="3" l="1"/>
  <c r="K35" i="2"/>
  <c r="I16" i="2" s="1"/>
  <c r="J16" i="2" s="1"/>
  <c r="K37" i="2" l="1"/>
</calcChain>
</file>

<file path=xl/sharedStrings.xml><?xml version="1.0" encoding="utf-8"?>
<sst xmlns="http://schemas.openxmlformats.org/spreadsheetml/2006/main" count="694" uniqueCount="134">
  <si>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</si>
  <si>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</si>
  <si>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</si>
  <si>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</si>
  <si>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</si>
  <si>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</si>
  <si>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</si>
  <si>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</si>
  <si>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</si>
  <si>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</si>
  <si>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</si>
  <si>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</si>
  <si>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</si>
  <si>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</si>
  <si>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</si>
  <si>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</si>
  <si>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</si>
  <si>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</si>
  <si>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</si>
  <si>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</si>
  <si>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</si>
  <si>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</si>
  <si>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</si>
  <si>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</si>
  <si>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</si>
  <si>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</si>
  <si>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</si>
  <si>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</si>
  <si>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</si>
  <si>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</si>
  <si>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</si>
  <si>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</si>
  <si>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</si>
  <si>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</si>
  <si>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AUGUST 2019</t>
  </si>
  <si>
    <t>SEPT 5 2019</t>
  </si>
  <si>
    <t>SEPT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</si>
  <si>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AURELIO VILLARICO</t>
    </r>
  </si>
  <si>
    <t>UNIT: 15A05</t>
  </si>
  <si>
    <t>PRES: AUG 25 2019 - PREV: AUG 20 2019 * 17.90</t>
  </si>
  <si>
    <t>PRES: AUG 25 2019 - PREV: AUG 20 2019 * 115.88</t>
  </si>
  <si>
    <t>BILLING MONTH: SEPTEMBER 2019</t>
  </si>
  <si>
    <t>OCT 5 2019</t>
  </si>
  <si>
    <t>OCT 15 2019</t>
  </si>
  <si>
    <t>PRES: SEPT 25 2019 - PREV: AUG 26 2019 * 16.32</t>
  </si>
  <si>
    <t>PRES: SEPT 25 2019 - PREV: AUG 26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</si>
  <si>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</si>
  <si>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</si>
  <si>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</si>
  <si>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</si>
  <si>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</si>
  <si>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</si>
  <si>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</si>
  <si>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</si>
  <si>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</si>
  <si>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</si>
  <si>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</si>
  <si>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</si>
  <si>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</si>
  <si>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</si>
  <si>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</si>
  <si>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</si>
  <si>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</si>
  <si>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</si>
  <si>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</si>
  <si>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</si>
  <si>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</si>
  <si>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</si>
  <si>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</si>
  <si>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</si>
  <si>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</si>
  <si>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</si>
  <si>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</si>
  <si>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</si>
  <si>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</si>
  <si>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</si>
  <si>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</si>
  <si>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</si>
  <si>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</si>
  <si>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</si>
  <si>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</si>
  <si>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</si>
  <si>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</si>
  <si>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</si>
  <si>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</si>
  <si>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</si>
  <si>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</si>
  <si>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</si>
  <si>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</si>
  <si>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</si>
  <si>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</si>
  <si>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</si>
  <si>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</si>
  <si>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</si>
  <si>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</si>
  <si>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</si>
  <si>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</si>
  <si>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
MAR 2020 - 12 kWh x 10.98 = 131.76 + 20% (AC) = 158.11 - 189.96 (billing Mar2020) = </t>
    </r>
    <r>
      <rPr>
        <b/>
        <u/>
        <sz val="14"/>
        <color rgb="FFFF0000"/>
        <rFont val="Calibri"/>
        <family val="2"/>
        <scheme val="minor"/>
      </rPr>
      <t>31.85</t>
    </r>
    <r>
      <rPr>
        <b/>
        <sz val="14"/>
        <color rgb="FFFF0000"/>
        <rFont val="Calibri"/>
        <family val="2"/>
        <scheme val="minor"/>
      </rPr>
      <t xml:space="preserve">
APR 2020 - 3 kWh x 9.79 = 29.37 + 20% (AC) = 35.24 - 39.53 (billing Apr2020) = </t>
    </r>
    <r>
      <rPr>
        <b/>
        <u/>
        <sz val="14"/>
        <color rgb="FFFF0000"/>
        <rFont val="Calibri"/>
        <family val="2"/>
        <scheme val="minor"/>
      </rPr>
      <t>4.28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</si>
  <si>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</si>
  <si>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</si>
  <si>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</si>
  <si>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</si>
  <si>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</si>
  <si>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</si>
  <si>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</si>
  <si>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</si>
  <si>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</si>
  <si>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</si>
  <si>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</si>
  <si>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</si>
  <si>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</si>
  <si>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</si>
  <si>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</si>
  <si>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</si>
  <si>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</si>
  <si>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</si>
  <si>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</si>
  <si>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</si>
  <si>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</si>
  <si>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</si>
  <si>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</si>
  <si>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</si>
  <si>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</si>
  <si>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</si>
  <si>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</si>
  <si>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</si>
  <si>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</si>
  <si>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</si>
  <si>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</si>
  <si>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</si>
  <si>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</si>
  <si>
    <t>ASU PASTDUES</t>
  </si>
  <si>
    <t>ASU PAST DUE</t>
  </si>
  <si>
    <t>JENIFFER JAMIG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</si>
</sst>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21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DMO%20LEDGER/VDMO%2015A05%20-%20VILLAR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U"/>
    </sheetNames>
    <sheetDataSet>
      <sheetData sheetId="0">
        <row r="22">
          <cell r="L22">
            <v>713.6</v>
          </cell>
        </row>
      </sheetData>
      <sheetData sheetId="1">
        <row r="13">
          <cell r="E13">
            <v>6930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13" zoomScale="70" zoomScaleNormal="55" zoomScaleSheetLayoutView="70" workbookViewId="0">
      <selection activeCell="H33" sqref="H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87" t="s">
        <v>32</v>
      </c>
      <c r="E20" s="87"/>
      <c r="F20" s="46" t="s">
        <v>39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56</v>
      </c>
      <c r="G21" s="46">
        <v>56</v>
      </c>
      <c r="H21" s="47">
        <f>(F21-G21)*17.9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(F25-G25)*115.88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9"/>
      <c r="G30" s="89"/>
      <c r="H30" s="89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28" zoomScale="85" zoomScaleNormal="85" workbookViewId="0">
      <selection activeCell="K34" sqref="K3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89</v>
      </c>
      <c r="E16" s="49" t="s">
        <v>90</v>
      </c>
      <c r="F16" s="18"/>
      <c r="G16" s="18"/>
      <c r="H16" s="18">
        <v>8266.07</v>
      </c>
      <c r="I16" s="18">
        <f>K36</f>
        <v>-36.130000000000003</v>
      </c>
      <c r="J16" s="18">
        <f>I16+H16+G16</f>
        <v>8229.94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7" t="s">
        <v>32</v>
      </c>
      <c r="E20" s="87"/>
      <c r="F20" s="46" t="s">
        <v>91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82</v>
      </c>
      <c r="G21" s="46">
        <v>82</v>
      </c>
      <c r="H21" s="47">
        <f>(F21-G21)*9.79</f>
        <v>0</v>
      </c>
      <c r="I21" s="9"/>
      <c r="J21" s="9"/>
      <c r="K21" s="9"/>
    </row>
    <row r="22" spans="3:11" ht="21" x14ac:dyDescent="0.35">
      <c r="C22" s="39"/>
      <c r="D22" s="93" t="s">
        <v>85</v>
      </c>
      <c r="E22" s="93"/>
      <c r="F22" s="92">
        <f>F21-G21</f>
        <v>0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67</v>
      </c>
      <c r="G25" s="46">
        <v>67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3" t="s">
        <v>86</v>
      </c>
      <c r="E26" s="93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 t="s">
        <v>84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4" t="s">
        <v>93</v>
      </c>
      <c r="D29" s="94"/>
      <c r="E29" s="94"/>
      <c r="F29" s="8"/>
      <c r="G29" s="8"/>
      <c r="H29" s="8"/>
      <c r="I29" s="9"/>
      <c r="J29" s="22"/>
      <c r="K29" s="9"/>
    </row>
    <row r="30" spans="3:11" ht="21" x14ac:dyDescent="0.35">
      <c r="C30" s="94"/>
      <c r="D30" s="94"/>
      <c r="E30" s="94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4"/>
      <c r="D31" s="94"/>
      <c r="E31" s="94"/>
      <c r="F31" s="89"/>
      <c r="G31" s="89"/>
      <c r="H31" s="89"/>
      <c r="I31" s="9"/>
      <c r="J31" s="9"/>
      <c r="K31" s="9"/>
    </row>
    <row r="32" spans="3:11" ht="2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96.95" customHeight="1" x14ac:dyDescent="0.35">
      <c r="C33" s="38"/>
      <c r="D33" s="96" t="s">
        <v>96</v>
      </c>
      <c r="E33" s="96"/>
      <c r="F33" s="97" t="s">
        <v>97</v>
      </c>
      <c r="G33" s="97"/>
      <c r="H33" s="97"/>
      <c r="I33" s="97"/>
      <c r="J33" s="69">
        <v>0</v>
      </c>
      <c r="K33" s="69">
        <f>(31.85+4.28)</f>
        <v>36.130000000000003</v>
      </c>
    </row>
    <row r="34" spans="2:12" ht="27" customHeight="1" x14ac:dyDescent="0.35">
      <c r="C34" s="40"/>
      <c r="D34" s="44"/>
      <c r="E34" s="44"/>
      <c r="F34" s="64"/>
      <c r="G34" s="64"/>
      <c r="H34" s="6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-36.130000000000003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8229.94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63"/>
      <c r="D42" s="63"/>
      <c r="E42" s="63"/>
      <c r="F42" s="63"/>
      <c r="G42" s="63"/>
      <c r="H42" s="63"/>
      <c r="I42" s="63"/>
      <c r="J42" s="63"/>
      <c r="K42" s="63"/>
      <c r="L42" s="3"/>
    </row>
    <row r="43" spans="2:12" s="8" customFormat="1" ht="23.25" x14ac:dyDescent="0.35">
      <c r="B43" s="3"/>
      <c r="C43" s="60" t="s">
        <v>76</v>
      </c>
      <c r="D43" s="61" t="s">
        <v>94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1" t="s">
        <v>95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1" t="s">
        <v>78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0"/>
      <c r="D48" s="90"/>
      <c r="E48" s="90"/>
      <c r="F48" s="90"/>
      <c r="G48" s="90"/>
      <c r="H48" s="90"/>
      <c r="I48" s="90"/>
      <c r="J48" s="90"/>
      <c r="K48" s="90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1" t="s">
        <v>33</v>
      </c>
      <c r="D57" s="91"/>
      <c r="E57" s="91"/>
      <c r="F57" s="8"/>
      <c r="G57" s="91" t="s">
        <v>31</v>
      </c>
      <c r="H57" s="91"/>
      <c r="I57" s="9"/>
      <c r="J57" s="9"/>
      <c r="K57" s="9"/>
    </row>
    <row r="58" spans="3:11" ht="21" x14ac:dyDescent="0.35">
      <c r="C58" s="81" t="s">
        <v>23</v>
      </c>
      <c r="D58" s="81"/>
      <c r="E58" s="81"/>
      <c r="F58" s="8"/>
      <c r="G58" s="81" t="s">
        <v>24</v>
      </c>
      <c r="H58" s="81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6" zoomScale="85" zoomScaleNormal="85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99</v>
      </c>
      <c r="E16" s="49" t="s">
        <v>100</v>
      </c>
      <c r="F16" s="18"/>
      <c r="G16" s="18"/>
      <c r="H16" s="18">
        <v>8229.94</v>
      </c>
      <c r="I16" s="18">
        <f>K35</f>
        <v>56.71</v>
      </c>
      <c r="J16" s="18">
        <f>I16+H16+G16</f>
        <v>8286.65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7" t="s">
        <v>32</v>
      </c>
      <c r="E20" s="87"/>
      <c r="F20" s="46" t="s">
        <v>101</v>
      </c>
      <c r="G20" s="46"/>
      <c r="H20" s="46"/>
      <c r="I20" s="9"/>
      <c r="J20" s="22">
        <v>0</v>
      </c>
      <c r="K20" s="9">
        <f>H21</f>
        <v>57.72</v>
      </c>
    </row>
    <row r="21" spans="3:11" ht="21" x14ac:dyDescent="0.35">
      <c r="C21" s="39"/>
      <c r="D21" s="8"/>
      <c r="E21" s="8"/>
      <c r="F21" s="46">
        <v>88</v>
      </c>
      <c r="G21" s="46">
        <v>82</v>
      </c>
      <c r="H21" s="47">
        <f>(F21-G21)*9.62</f>
        <v>57.72</v>
      </c>
      <c r="I21" s="9"/>
      <c r="J21" s="9"/>
      <c r="K21" s="9"/>
    </row>
    <row r="22" spans="3:11" ht="21" x14ac:dyDescent="0.35">
      <c r="C22" s="39"/>
      <c r="D22" s="93" t="s">
        <v>85</v>
      </c>
      <c r="E22" s="93"/>
      <c r="F22" s="92">
        <f>F21-G21</f>
        <v>6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67</v>
      </c>
      <c r="G25" s="46">
        <v>67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3" t="s">
        <v>86</v>
      </c>
      <c r="E26" s="93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9"/>
      <c r="G30" s="89"/>
      <c r="H30" s="89"/>
      <c r="I30" s="9"/>
      <c r="J30" s="9"/>
      <c r="K30" s="9"/>
    </row>
    <row r="31" spans="3:11" ht="21" x14ac:dyDescent="0.35">
      <c r="C31" s="40"/>
      <c r="D31" s="44"/>
      <c r="E31" s="44"/>
      <c r="F31" s="68"/>
      <c r="G31" s="68"/>
      <c r="H31" s="68"/>
      <c r="I31" s="9"/>
      <c r="J31" s="9"/>
      <c r="K31" s="9"/>
    </row>
    <row r="32" spans="3:11" ht="96.95" customHeight="1" x14ac:dyDescent="0.35">
      <c r="C32" s="38"/>
      <c r="D32" s="96" t="s">
        <v>96</v>
      </c>
      <c r="E32" s="96"/>
      <c r="F32" s="97" t="s">
        <v>103</v>
      </c>
      <c r="G32" s="97"/>
      <c r="H32" s="97"/>
      <c r="I32" s="97"/>
      <c r="J32" s="69">
        <v>0</v>
      </c>
      <c r="K32" s="69">
        <f>1.01</f>
        <v>1.01</v>
      </c>
    </row>
    <row r="33" spans="2:12" ht="27" customHeight="1" x14ac:dyDescent="0.35">
      <c r="C33" s="40"/>
      <c r="D33" s="44"/>
      <c r="E33" s="44"/>
      <c r="F33" s="68"/>
      <c r="G33" s="68"/>
      <c r="H33" s="6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56.71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8286.65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5" t="s">
        <v>17</v>
      </c>
      <c r="D40" s="95"/>
      <c r="E40" s="95"/>
      <c r="F40" s="95"/>
      <c r="G40" s="95"/>
      <c r="H40" s="95"/>
      <c r="I40" s="95"/>
      <c r="J40" s="95"/>
      <c r="K40" s="95"/>
      <c r="L40" s="3"/>
    </row>
    <row r="41" spans="2:12" s="8" customFormat="1" ht="21" x14ac:dyDescent="0.35">
      <c r="B41" s="3"/>
      <c r="C41" s="67"/>
      <c r="D41" s="67"/>
      <c r="E41" s="67"/>
      <c r="F41" s="67"/>
      <c r="G41" s="67"/>
      <c r="H41" s="67"/>
      <c r="I41" s="67"/>
      <c r="J41" s="67"/>
      <c r="K41" s="67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0"/>
      <c r="D44" s="90"/>
      <c r="E44" s="90"/>
      <c r="F44" s="90"/>
      <c r="G44" s="90"/>
      <c r="H44" s="90"/>
      <c r="I44" s="90"/>
      <c r="J44" s="90"/>
      <c r="K44" s="90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1" t="s">
        <v>33</v>
      </c>
      <c r="D53" s="91"/>
      <c r="E53" s="91"/>
      <c r="F53" s="8"/>
      <c r="G53" s="91" t="s">
        <v>31</v>
      </c>
      <c r="H53" s="91"/>
      <c r="I53" s="9"/>
      <c r="J53" s="9"/>
      <c r="K53" s="9"/>
    </row>
    <row r="54" spans="3:11" ht="21" x14ac:dyDescent="0.35">
      <c r="C54" s="81" t="s">
        <v>23</v>
      </c>
      <c r="D54" s="81"/>
      <c r="E54" s="81"/>
      <c r="F54" s="8"/>
      <c r="G54" s="81" t="s">
        <v>24</v>
      </c>
      <c r="H54" s="81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2:E32"/>
    <mergeCell ref="F32:I32"/>
    <mergeCell ref="C40:K40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10" zoomScale="85" zoomScaleNormal="85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105</v>
      </c>
      <c r="E16" s="49" t="s">
        <v>106</v>
      </c>
      <c r="F16" s="18"/>
      <c r="G16" s="18"/>
      <c r="H16" s="18">
        <v>8286.65</v>
      </c>
      <c r="I16" s="18">
        <f>K35</f>
        <v>44.95</v>
      </c>
      <c r="J16" s="18">
        <f>I16+H16+G16</f>
        <v>8331.6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7" t="s">
        <v>32</v>
      </c>
      <c r="E20" s="87"/>
      <c r="F20" s="46" t="s">
        <v>107</v>
      </c>
      <c r="G20" s="46"/>
      <c r="H20" s="46"/>
      <c r="I20" s="9"/>
      <c r="J20" s="22">
        <v>0</v>
      </c>
      <c r="K20" s="9">
        <f>H21</f>
        <v>44.95</v>
      </c>
    </row>
    <row r="21" spans="3:11" ht="21" x14ac:dyDescent="0.35">
      <c r="C21" s="39"/>
      <c r="D21" s="8"/>
      <c r="E21" s="8"/>
      <c r="F21" s="46">
        <v>93</v>
      </c>
      <c r="G21" s="46">
        <v>88</v>
      </c>
      <c r="H21" s="47">
        <f>(F21-G21)*8.99</f>
        <v>44.95</v>
      </c>
      <c r="I21" s="9"/>
      <c r="J21" s="9"/>
      <c r="K21" s="9"/>
    </row>
    <row r="22" spans="3:11" ht="21" x14ac:dyDescent="0.35">
      <c r="C22" s="39"/>
      <c r="D22" s="93" t="s">
        <v>85</v>
      </c>
      <c r="E22" s="93"/>
      <c r="F22" s="92">
        <f>F21-G21</f>
        <v>5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108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67</v>
      </c>
      <c r="G25" s="46">
        <v>67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3" t="s">
        <v>86</v>
      </c>
      <c r="E26" s="93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9"/>
      <c r="G30" s="89"/>
      <c r="H30" s="89"/>
      <c r="I30" s="9"/>
      <c r="J30" s="9"/>
      <c r="K30" s="9"/>
    </row>
    <row r="31" spans="3:11" ht="21" x14ac:dyDescent="0.35">
      <c r="C31" s="40"/>
      <c r="D31" s="44"/>
      <c r="E31" s="44"/>
      <c r="F31" s="68"/>
      <c r="G31" s="68"/>
      <c r="H31" s="68"/>
      <c r="I31" s="9"/>
      <c r="J31" s="9"/>
      <c r="K31" s="9"/>
    </row>
    <row r="32" spans="3:11" ht="21" customHeight="1" x14ac:dyDescent="0.35">
      <c r="C32" s="38"/>
      <c r="D32" s="96"/>
      <c r="E32" s="96"/>
      <c r="F32" s="97"/>
      <c r="G32" s="97"/>
      <c r="H32" s="97"/>
      <c r="I32" s="97"/>
      <c r="J32" s="69"/>
      <c r="K32" s="69"/>
    </row>
    <row r="33" spans="2:12" ht="27" customHeight="1" x14ac:dyDescent="0.35">
      <c r="C33" s="40"/>
      <c r="D33" s="44"/>
      <c r="E33" s="44"/>
      <c r="F33" s="68"/>
      <c r="G33" s="68"/>
      <c r="H33" s="6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44.95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8331.6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5" t="s">
        <v>17</v>
      </c>
      <c r="D40" s="95"/>
      <c r="E40" s="95"/>
      <c r="F40" s="95"/>
      <c r="G40" s="95"/>
      <c r="H40" s="95"/>
      <c r="I40" s="95"/>
      <c r="J40" s="95"/>
      <c r="K40" s="95"/>
      <c r="L40" s="3"/>
    </row>
    <row r="41" spans="2:12" s="8" customFormat="1" ht="21" x14ac:dyDescent="0.35">
      <c r="B41" s="3"/>
      <c r="C41" s="67"/>
      <c r="D41" s="67"/>
      <c r="E41" s="67"/>
      <c r="F41" s="67"/>
      <c r="G41" s="67"/>
      <c r="H41" s="67"/>
      <c r="I41" s="67"/>
      <c r="J41" s="67"/>
      <c r="K41" s="67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0"/>
      <c r="D44" s="90"/>
      <c r="E44" s="90"/>
      <c r="F44" s="90"/>
      <c r="G44" s="90"/>
      <c r="H44" s="90"/>
      <c r="I44" s="90"/>
      <c r="J44" s="90"/>
      <c r="K44" s="90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1" t="s">
        <v>33</v>
      </c>
      <c r="D53" s="91"/>
      <c r="E53" s="91"/>
      <c r="F53" s="8"/>
      <c r="G53" s="91" t="s">
        <v>31</v>
      </c>
      <c r="H53" s="91"/>
      <c r="I53" s="9"/>
      <c r="J53" s="9"/>
      <c r="K53" s="9"/>
    </row>
    <row r="54" spans="3:11" ht="21" x14ac:dyDescent="0.35">
      <c r="C54" s="81" t="s">
        <v>23</v>
      </c>
      <c r="D54" s="81"/>
      <c r="E54" s="81"/>
      <c r="F54" s="8"/>
      <c r="G54" s="81" t="s">
        <v>24</v>
      </c>
      <c r="H54" s="81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8" zoomScale="85" zoomScaleNormal="85" workbookViewId="0">
      <selection activeCell="O15" sqref="O1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110</v>
      </c>
      <c r="E16" s="49" t="s">
        <v>111</v>
      </c>
      <c r="F16" s="18"/>
      <c r="G16" s="18"/>
      <c r="H16" s="18">
        <v>8331.6</v>
      </c>
      <c r="I16" s="18">
        <f>K35</f>
        <v>27.18</v>
      </c>
      <c r="J16" s="18">
        <f>I16+H16+G16</f>
        <v>8358.7800000000007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7" t="s">
        <v>32</v>
      </c>
      <c r="E20" s="87"/>
      <c r="F20" s="46" t="s">
        <v>112</v>
      </c>
      <c r="G20" s="46"/>
      <c r="H20" s="46"/>
      <c r="I20" s="9"/>
      <c r="J20" s="22">
        <v>0</v>
      </c>
      <c r="K20" s="9">
        <f>H21</f>
        <v>27.18</v>
      </c>
    </row>
    <row r="21" spans="3:11" ht="21" x14ac:dyDescent="0.35">
      <c r="C21" s="39"/>
      <c r="D21" s="8"/>
      <c r="E21" s="8"/>
      <c r="F21" s="46">
        <v>96</v>
      </c>
      <c r="G21" s="46">
        <v>93</v>
      </c>
      <c r="H21" s="47">
        <f>(F21-G21)*9.06</f>
        <v>27.18</v>
      </c>
      <c r="I21" s="9"/>
      <c r="J21" s="9"/>
      <c r="K21" s="9"/>
    </row>
    <row r="22" spans="3:11" ht="21" x14ac:dyDescent="0.35">
      <c r="C22" s="39"/>
      <c r="D22" s="93" t="s">
        <v>85</v>
      </c>
      <c r="E22" s="93"/>
      <c r="F22" s="92">
        <f>F21-G21</f>
        <v>3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113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67</v>
      </c>
      <c r="G25" s="46">
        <v>67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3" t="s">
        <v>86</v>
      </c>
      <c r="E26" s="93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9"/>
      <c r="G30" s="89"/>
      <c r="H30" s="89"/>
      <c r="I30" s="9"/>
      <c r="J30" s="9"/>
      <c r="K30" s="9"/>
    </row>
    <row r="31" spans="3:11" ht="21" x14ac:dyDescent="0.35">
      <c r="C31" s="40"/>
      <c r="D31" s="44"/>
      <c r="E31" s="44"/>
      <c r="F31" s="71"/>
      <c r="G31" s="71"/>
      <c r="H31" s="71"/>
      <c r="I31" s="9"/>
      <c r="J31" s="9"/>
      <c r="K31" s="9"/>
    </row>
    <row r="32" spans="3:11" ht="21" customHeight="1" x14ac:dyDescent="0.35">
      <c r="C32" s="38"/>
      <c r="D32" s="96"/>
      <c r="E32" s="96"/>
      <c r="F32" s="97"/>
      <c r="G32" s="97"/>
      <c r="H32" s="97"/>
      <c r="I32" s="97"/>
      <c r="J32" s="69"/>
      <c r="K32" s="69"/>
    </row>
    <row r="33" spans="2:12" ht="27" customHeight="1" x14ac:dyDescent="0.35">
      <c r="C33" s="40"/>
      <c r="D33" s="44"/>
      <c r="E33" s="44"/>
      <c r="F33" s="71"/>
      <c r="G33" s="71"/>
      <c r="H33" s="7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27.18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8358.7800000000007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5" t="s">
        <v>17</v>
      </c>
      <c r="D40" s="95"/>
      <c r="E40" s="95"/>
      <c r="F40" s="95"/>
      <c r="G40" s="95"/>
      <c r="H40" s="95"/>
      <c r="I40" s="95"/>
      <c r="J40" s="95"/>
      <c r="K40" s="95"/>
      <c r="L40" s="3"/>
    </row>
    <row r="41" spans="2:12" s="8" customFormat="1" ht="21" x14ac:dyDescent="0.35">
      <c r="B41" s="3"/>
      <c r="C41" s="70"/>
      <c r="D41" s="70"/>
      <c r="E41" s="70"/>
      <c r="F41" s="70"/>
      <c r="G41" s="70"/>
      <c r="H41" s="70"/>
      <c r="I41" s="70"/>
      <c r="J41" s="70"/>
      <c r="K41" s="70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0"/>
      <c r="D44" s="90"/>
      <c r="E44" s="90"/>
      <c r="F44" s="90"/>
      <c r="G44" s="90"/>
      <c r="H44" s="90"/>
      <c r="I44" s="90"/>
      <c r="J44" s="90"/>
      <c r="K44" s="90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1" t="s">
        <v>33</v>
      </c>
      <c r="D53" s="91"/>
      <c r="E53" s="91"/>
      <c r="F53" s="8"/>
      <c r="G53" s="91" t="s">
        <v>31</v>
      </c>
      <c r="H53" s="91"/>
      <c r="I53" s="9"/>
      <c r="J53" s="9"/>
      <c r="K53" s="9"/>
    </row>
    <row r="54" spans="3:11" ht="21" x14ac:dyDescent="0.35">
      <c r="C54" s="81" t="s">
        <v>23</v>
      </c>
      <c r="D54" s="81"/>
      <c r="E54" s="81"/>
      <c r="F54" s="8"/>
      <c r="G54" s="81" t="s">
        <v>24</v>
      </c>
      <c r="H54" s="81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85" zoomScaleNormal="85" workbookViewId="0">
      <selection activeCell="O18" sqref="O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115</v>
      </c>
      <c r="E16" s="49" t="s">
        <v>116</v>
      </c>
      <c r="F16" s="18"/>
      <c r="G16" s="18"/>
      <c r="H16" s="18">
        <v>8358.7800000000007</v>
      </c>
      <c r="I16" s="18">
        <f>K35</f>
        <v>34.520000000000003</v>
      </c>
      <c r="J16" s="18">
        <f>I16+H16+G16</f>
        <v>8393.3000000000011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7" t="s">
        <v>32</v>
      </c>
      <c r="E20" s="87"/>
      <c r="F20" s="46" t="s">
        <v>117</v>
      </c>
      <c r="G20" s="46"/>
      <c r="H20" s="46"/>
      <c r="I20" s="9"/>
      <c r="J20" s="22">
        <v>0</v>
      </c>
      <c r="K20" s="9">
        <f>H21</f>
        <v>34.520000000000003</v>
      </c>
    </row>
    <row r="21" spans="3:11" ht="21" x14ac:dyDescent="0.35">
      <c r="C21" s="39"/>
      <c r="D21" s="8"/>
      <c r="E21" s="8"/>
      <c r="F21" s="46">
        <v>100</v>
      </c>
      <c r="G21" s="46">
        <v>96</v>
      </c>
      <c r="H21" s="47">
        <f>(F21-G21)*8.63</f>
        <v>34.520000000000003</v>
      </c>
      <c r="I21" s="9"/>
      <c r="J21" s="9"/>
      <c r="K21" s="9"/>
    </row>
    <row r="22" spans="3:11" ht="21" x14ac:dyDescent="0.35">
      <c r="C22" s="39"/>
      <c r="D22" s="93" t="s">
        <v>85</v>
      </c>
      <c r="E22" s="93"/>
      <c r="F22" s="92">
        <f>F21-G21</f>
        <v>4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118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67</v>
      </c>
      <c r="G25" s="46">
        <v>67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3" t="s">
        <v>86</v>
      </c>
      <c r="E26" s="93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9"/>
      <c r="G30" s="89"/>
      <c r="H30" s="89"/>
      <c r="I30" s="9"/>
      <c r="J30" s="9"/>
      <c r="K30" s="9"/>
    </row>
    <row r="31" spans="3:11" ht="21" x14ac:dyDescent="0.35">
      <c r="C31" s="40"/>
      <c r="D31" s="44"/>
      <c r="E31" s="44"/>
      <c r="F31" s="74"/>
      <c r="G31" s="74"/>
      <c r="H31" s="74"/>
      <c r="I31" s="9"/>
      <c r="J31" s="9"/>
      <c r="K31" s="9"/>
    </row>
    <row r="32" spans="3:11" ht="21" customHeight="1" x14ac:dyDescent="0.35">
      <c r="C32" s="38"/>
      <c r="D32" s="96"/>
      <c r="E32" s="96"/>
      <c r="F32" s="97"/>
      <c r="G32" s="97"/>
      <c r="H32" s="97"/>
      <c r="I32" s="97"/>
      <c r="J32" s="69"/>
      <c r="K32" s="69"/>
    </row>
    <row r="33" spans="2:12" ht="27" customHeight="1" x14ac:dyDescent="0.35">
      <c r="C33" s="40"/>
      <c r="D33" s="44"/>
      <c r="E33" s="44"/>
      <c r="F33" s="74"/>
      <c r="G33" s="74"/>
      <c r="H33" s="7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34.520000000000003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8393.3000000000011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5" t="s">
        <v>17</v>
      </c>
      <c r="D40" s="95"/>
      <c r="E40" s="95"/>
      <c r="F40" s="95"/>
      <c r="G40" s="95"/>
      <c r="H40" s="95"/>
      <c r="I40" s="95"/>
      <c r="J40" s="95"/>
      <c r="K40" s="95"/>
      <c r="L40" s="3"/>
    </row>
    <row r="41" spans="2:12" s="8" customFormat="1" ht="21" x14ac:dyDescent="0.35">
      <c r="B41" s="3"/>
      <c r="C41" s="73"/>
      <c r="D41" s="73"/>
      <c r="E41" s="73"/>
      <c r="F41" s="73"/>
      <c r="G41" s="73"/>
      <c r="H41" s="73"/>
      <c r="I41" s="73"/>
      <c r="J41" s="73"/>
      <c r="K41" s="73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0"/>
      <c r="D44" s="90"/>
      <c r="E44" s="90"/>
      <c r="F44" s="90"/>
      <c r="G44" s="90"/>
      <c r="H44" s="90"/>
      <c r="I44" s="90"/>
      <c r="J44" s="90"/>
      <c r="K44" s="90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1" t="s">
        <v>33</v>
      </c>
      <c r="D53" s="91"/>
      <c r="E53" s="91"/>
      <c r="F53" s="8"/>
      <c r="G53" s="91" t="s">
        <v>31</v>
      </c>
      <c r="H53" s="91"/>
      <c r="I53" s="9"/>
      <c r="J53" s="9"/>
      <c r="K53" s="9"/>
    </row>
    <row r="54" spans="3:11" ht="21" x14ac:dyDescent="0.35">
      <c r="C54" s="81" t="s">
        <v>23</v>
      </c>
      <c r="D54" s="81"/>
      <c r="E54" s="81"/>
      <c r="F54" s="8"/>
      <c r="G54" s="81" t="s">
        <v>24</v>
      </c>
      <c r="H54" s="81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9" zoomScale="85" zoomScaleNormal="85" workbookViewId="0">
      <selection activeCell="G16" sqref="G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131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120</v>
      </c>
      <c r="E16" s="49" t="s">
        <v>121</v>
      </c>
      <c r="F16" s="18"/>
      <c r="G16" s="18"/>
      <c r="H16" s="18">
        <v>8393.7999999999993</v>
      </c>
      <c r="I16" s="18">
        <f>K35</f>
        <v>21.96</v>
      </c>
      <c r="J16" s="18">
        <f>I16+H16+G16</f>
        <v>8415.7599999999984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87" t="s">
        <v>32</v>
      </c>
      <c r="E20" s="87"/>
      <c r="F20" s="46" t="s">
        <v>122</v>
      </c>
      <c r="G20" s="46"/>
      <c r="H20" s="46"/>
      <c r="I20" s="9"/>
      <c r="J20" s="22">
        <v>0</v>
      </c>
      <c r="K20" s="9">
        <f>H21</f>
        <v>21.96</v>
      </c>
    </row>
    <row r="21" spans="3:11" ht="21" x14ac:dyDescent="0.35">
      <c r="C21" s="39"/>
      <c r="D21" s="8"/>
      <c r="E21" s="8"/>
      <c r="F21" s="46">
        <v>103</v>
      </c>
      <c r="G21" s="46">
        <v>100</v>
      </c>
      <c r="H21" s="47">
        <f>(F21-G21)*7.32</f>
        <v>21.96</v>
      </c>
      <c r="I21" s="9"/>
      <c r="J21" s="9"/>
      <c r="K21" s="9"/>
    </row>
    <row r="22" spans="3:11" ht="21" x14ac:dyDescent="0.35">
      <c r="C22" s="39"/>
      <c r="D22" s="93" t="s">
        <v>85</v>
      </c>
      <c r="E22" s="93"/>
      <c r="F22" s="92">
        <f>F21-G21</f>
        <v>3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123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67</v>
      </c>
      <c r="G25" s="46">
        <v>67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3" t="s">
        <v>86</v>
      </c>
      <c r="E26" s="93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9"/>
      <c r="G30" s="89"/>
      <c r="H30" s="89"/>
      <c r="I30" s="9"/>
      <c r="J30" s="9"/>
      <c r="K30" s="9"/>
    </row>
    <row r="31" spans="3:11" ht="21" x14ac:dyDescent="0.35">
      <c r="C31" s="40"/>
      <c r="D31" s="44"/>
      <c r="E31" s="44"/>
      <c r="F31" s="76"/>
      <c r="G31" s="76"/>
      <c r="H31" s="76"/>
      <c r="I31" s="9"/>
      <c r="J31" s="9"/>
      <c r="K31" s="9"/>
    </row>
    <row r="32" spans="3:11" ht="21" customHeight="1" x14ac:dyDescent="0.35">
      <c r="C32" s="38"/>
      <c r="D32" s="96"/>
      <c r="E32" s="96"/>
      <c r="F32" s="97"/>
      <c r="G32" s="97"/>
      <c r="H32" s="97"/>
      <c r="I32" s="97"/>
      <c r="J32" s="69"/>
      <c r="K32" s="69"/>
    </row>
    <row r="33" spans="2:12" ht="27" customHeight="1" x14ac:dyDescent="0.35">
      <c r="C33" s="40"/>
      <c r="D33" s="44"/>
      <c r="E33" s="44"/>
      <c r="F33" s="76"/>
      <c r="G33" s="76"/>
      <c r="H33" s="7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(K20+K24+K27)-K32</f>
        <v>21.96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8415.7599999999984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5" t="s">
        <v>17</v>
      </c>
      <c r="D40" s="95"/>
      <c r="E40" s="95"/>
      <c r="F40" s="95"/>
      <c r="G40" s="95"/>
      <c r="H40" s="95"/>
      <c r="I40" s="95"/>
      <c r="J40" s="95"/>
      <c r="K40" s="95"/>
      <c r="L40" s="3"/>
    </row>
    <row r="41" spans="2:12" s="8" customFormat="1" ht="21" x14ac:dyDescent="0.35">
      <c r="B41" s="3"/>
      <c r="C41" s="75"/>
      <c r="D41" s="75"/>
      <c r="E41" s="75"/>
      <c r="F41" s="75"/>
      <c r="G41" s="75"/>
      <c r="H41" s="75"/>
      <c r="I41" s="75"/>
      <c r="J41" s="75"/>
      <c r="K41" s="75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0"/>
      <c r="D44" s="90"/>
      <c r="E44" s="90"/>
      <c r="F44" s="90"/>
      <c r="G44" s="90"/>
      <c r="H44" s="90"/>
      <c r="I44" s="90"/>
      <c r="J44" s="90"/>
      <c r="K44" s="90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1" t="s">
        <v>33</v>
      </c>
      <c r="D53" s="91"/>
      <c r="E53" s="91"/>
      <c r="F53" s="8"/>
      <c r="G53" s="91" t="s">
        <v>31</v>
      </c>
      <c r="H53" s="91"/>
      <c r="I53" s="9"/>
      <c r="J53" s="9"/>
      <c r="K53" s="9"/>
    </row>
    <row r="54" spans="3:11" ht="21" x14ac:dyDescent="0.35">
      <c r="C54" s="81" t="s">
        <v>23</v>
      </c>
      <c r="D54" s="81"/>
      <c r="E54" s="81"/>
      <c r="F54" s="8"/>
      <c r="G54" s="81" t="s">
        <v>24</v>
      </c>
      <c r="H54" s="81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abSelected="1" zoomScale="85" zoomScaleNormal="85" workbookViewId="0">
      <selection activeCell="H56" sqref="H5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132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125</v>
      </c>
      <c r="E16" s="49" t="s">
        <v>126</v>
      </c>
      <c r="F16" s="18"/>
      <c r="G16" s="18">
        <f>[1]ASU!$E$13</f>
        <v>6930</v>
      </c>
      <c r="H16" s="18">
        <f>'[1]WTR ELEC'!$L$22</f>
        <v>713.6</v>
      </c>
      <c r="I16" s="18">
        <f>K32</f>
        <v>1422.6</v>
      </c>
      <c r="J16" s="18">
        <f>I16+H16+G16</f>
        <v>9066.2000000000007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2:11" ht="21" x14ac:dyDescent="0.35">
      <c r="C20" s="38">
        <v>44170</v>
      </c>
      <c r="D20" s="87" t="s">
        <v>32</v>
      </c>
      <c r="E20" s="87"/>
      <c r="F20" s="46" t="s">
        <v>129</v>
      </c>
      <c r="G20" s="46"/>
      <c r="H20" s="46"/>
      <c r="I20" s="9"/>
      <c r="J20" s="22">
        <v>0</v>
      </c>
      <c r="K20" s="9">
        <f>H21</f>
        <v>36.6</v>
      </c>
    </row>
    <row r="21" spans="2:11" ht="21" x14ac:dyDescent="0.35">
      <c r="C21" s="39"/>
      <c r="D21" s="8"/>
      <c r="E21" s="8"/>
      <c r="F21" s="46">
        <v>108</v>
      </c>
      <c r="G21" s="46">
        <v>103</v>
      </c>
      <c r="H21" s="47">
        <f>(F21-G21)*7.32</f>
        <v>36.6</v>
      </c>
      <c r="I21" s="9"/>
      <c r="J21" s="9"/>
      <c r="K21" s="9"/>
    </row>
    <row r="22" spans="2:11" ht="21" x14ac:dyDescent="0.35">
      <c r="C22" s="39"/>
      <c r="D22" s="93" t="s">
        <v>85</v>
      </c>
      <c r="E22" s="93"/>
      <c r="F22" s="92">
        <f>F21-G21</f>
        <v>5</v>
      </c>
      <c r="G22" s="92"/>
      <c r="H22" s="47"/>
      <c r="I22" s="9"/>
      <c r="J22" s="9"/>
      <c r="K22" s="9"/>
    </row>
    <row r="23" spans="2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2:11" ht="21" x14ac:dyDescent="0.35">
      <c r="C24" s="38">
        <v>44170</v>
      </c>
      <c r="D24" s="8" t="s">
        <v>15</v>
      </c>
      <c r="E24" s="8"/>
      <c r="F24" s="46" t="s">
        <v>130</v>
      </c>
      <c r="G24" s="46"/>
      <c r="H24" s="46"/>
      <c r="I24" s="9"/>
      <c r="J24" s="22">
        <v>0</v>
      </c>
      <c r="K24" s="9">
        <f>H25</f>
        <v>0</v>
      </c>
    </row>
    <row r="25" spans="2:11" ht="21" x14ac:dyDescent="0.35">
      <c r="C25" s="39"/>
      <c r="D25" s="8"/>
      <c r="E25" s="8"/>
      <c r="F25" s="46">
        <v>67</v>
      </c>
      <c r="G25" s="46">
        <v>67</v>
      </c>
      <c r="H25" s="47">
        <f>(F25-G25)*98.56</f>
        <v>0</v>
      </c>
      <c r="I25" s="9"/>
      <c r="J25" s="9"/>
      <c r="K25" s="9"/>
    </row>
    <row r="26" spans="2:11" ht="21" x14ac:dyDescent="0.35">
      <c r="C26" s="39"/>
      <c r="D26" s="93" t="s">
        <v>86</v>
      </c>
      <c r="E26" s="93"/>
      <c r="F26" s="92">
        <f>F25-G25</f>
        <v>0</v>
      </c>
      <c r="G26" s="92"/>
      <c r="H26" s="45"/>
      <c r="I26" s="9"/>
      <c r="J26" s="9"/>
      <c r="K26" s="9"/>
    </row>
    <row r="27" spans="2:11" ht="21" x14ac:dyDescent="0.35">
      <c r="C27" s="39"/>
      <c r="D27" s="80"/>
      <c r="E27" s="80"/>
      <c r="F27" s="79"/>
      <c r="G27" s="79"/>
      <c r="H27" s="45"/>
      <c r="I27" s="9"/>
      <c r="J27" s="9"/>
      <c r="K27" s="9"/>
    </row>
    <row r="28" spans="2:11" ht="21" customHeight="1" x14ac:dyDescent="0.35">
      <c r="C28" s="38">
        <v>44170</v>
      </c>
      <c r="D28" s="98" t="s">
        <v>127</v>
      </c>
      <c r="E28" s="98"/>
      <c r="F28" s="46" t="s">
        <v>128</v>
      </c>
      <c r="G28" s="46"/>
      <c r="H28" s="46"/>
      <c r="I28" s="9"/>
      <c r="J28" s="22"/>
      <c r="K28" s="9"/>
    </row>
    <row r="29" spans="2:11" ht="21" x14ac:dyDescent="0.35">
      <c r="C29" s="39"/>
      <c r="D29" s="8"/>
      <c r="E29" s="8"/>
      <c r="F29" s="46">
        <v>23.1</v>
      </c>
      <c r="G29" s="46">
        <v>60</v>
      </c>
      <c r="H29" s="47">
        <f>F29*G29</f>
        <v>1386</v>
      </c>
      <c r="I29" s="9"/>
      <c r="J29" s="22">
        <v>0</v>
      </c>
      <c r="K29" s="9">
        <f>H29</f>
        <v>1386</v>
      </c>
    </row>
    <row r="30" spans="2:11" ht="27" customHeight="1" x14ac:dyDescent="0.35">
      <c r="C30" s="40"/>
      <c r="D30" s="44"/>
      <c r="E30" s="44"/>
      <c r="F30" s="78"/>
      <c r="G30" s="78"/>
      <c r="H30" s="78"/>
      <c r="I30" s="9"/>
      <c r="J30" s="9"/>
      <c r="K30" s="9"/>
    </row>
    <row r="31" spans="2:11" ht="21" x14ac:dyDescent="0.35">
      <c r="C31" s="41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2">
        <f>I31+J31</f>
        <v>0</v>
      </c>
    </row>
    <row r="32" spans="2:11" ht="21" x14ac:dyDescent="0.35">
      <c r="B32" s="8"/>
      <c r="C32" s="40"/>
      <c r="D32" s="8"/>
      <c r="E32" s="8"/>
      <c r="F32" s="8"/>
      <c r="G32" s="8"/>
      <c r="H32" s="8"/>
      <c r="I32" s="9"/>
      <c r="J32" s="22"/>
      <c r="K32" s="9">
        <f>K31+K29+K24+K20</f>
        <v>1422.6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3"/>
      <c r="H34" s="34" t="s">
        <v>16</v>
      </c>
      <c r="I34" s="35"/>
      <c r="J34" s="35"/>
      <c r="K34" s="36">
        <f>I16+H16+G16</f>
        <v>9066.2000000000007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95" t="s">
        <v>17</v>
      </c>
      <c r="D37" s="95"/>
      <c r="E37" s="95"/>
      <c r="F37" s="95"/>
      <c r="G37" s="95"/>
      <c r="H37" s="95"/>
      <c r="I37" s="95"/>
      <c r="J37" s="95"/>
      <c r="K37" s="95"/>
      <c r="L37" s="3"/>
    </row>
    <row r="38" spans="2:12" s="8" customFormat="1" ht="21" x14ac:dyDescent="0.35">
      <c r="B38" s="3"/>
      <c r="C38" s="77"/>
      <c r="D38" s="77"/>
      <c r="E38" s="77"/>
      <c r="F38" s="77"/>
      <c r="G38" s="77"/>
      <c r="H38" s="77"/>
      <c r="I38" s="77"/>
      <c r="J38" s="77"/>
      <c r="K38" s="77"/>
      <c r="L38" s="3"/>
    </row>
    <row r="39" spans="2:12" s="8" customFormat="1" ht="28.5" x14ac:dyDescent="0.45">
      <c r="B39" s="3"/>
      <c r="C39" s="10" t="s">
        <v>18</v>
      </c>
      <c r="D39" s="25"/>
      <c r="E39" s="25"/>
      <c r="F39" s="25"/>
      <c r="G39" s="25"/>
      <c r="H39" s="25"/>
      <c r="I39" s="26"/>
      <c r="J39" s="26"/>
      <c r="K39" s="26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90"/>
      <c r="D41" s="90"/>
      <c r="E41" s="90"/>
      <c r="F41" s="90"/>
      <c r="G41" s="90"/>
      <c r="H41" s="90"/>
      <c r="I41" s="90"/>
      <c r="J41" s="90"/>
      <c r="K41" s="90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2"/>
      <c r="J42" s="42"/>
      <c r="K42" s="42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4" spans="2:12" ht="21" x14ac:dyDescent="0.35">
      <c r="C44" s="8"/>
      <c r="D44" s="8"/>
      <c r="E44" s="8"/>
      <c r="F44" s="8"/>
      <c r="G44" s="8"/>
      <c r="H44" s="8"/>
      <c r="I44" s="9"/>
      <c r="J44" s="9"/>
      <c r="K44" s="9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91" t="s">
        <v>133</v>
      </c>
      <c r="D50" s="91"/>
      <c r="E50" s="91"/>
      <c r="F50" s="8"/>
      <c r="G50" s="91" t="s">
        <v>31</v>
      </c>
      <c r="H50" s="91"/>
      <c r="I50" s="9"/>
      <c r="J50" s="9"/>
      <c r="K50" s="9"/>
    </row>
    <row r="51" spans="3:11" ht="21" x14ac:dyDescent="0.35">
      <c r="C51" s="81" t="s">
        <v>23</v>
      </c>
      <c r="D51" s="81"/>
      <c r="E51" s="81"/>
      <c r="F51" s="8"/>
      <c r="G51" s="81" t="s">
        <v>24</v>
      </c>
      <c r="H51" s="81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J53" s="43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6">
    <mergeCell ref="C37:K37"/>
    <mergeCell ref="I3:K4"/>
    <mergeCell ref="C14:K14"/>
    <mergeCell ref="D19:E19"/>
    <mergeCell ref="F19:H19"/>
    <mergeCell ref="D20:E20"/>
    <mergeCell ref="D22:E22"/>
    <mergeCell ref="F22:G22"/>
    <mergeCell ref="D28:E28"/>
    <mergeCell ref="D26:E26"/>
    <mergeCell ref="F26:G26"/>
    <mergeCell ref="C41:K41"/>
    <mergeCell ref="C50:E50"/>
    <mergeCell ref="G50:H50"/>
    <mergeCell ref="C51:E51"/>
    <mergeCell ref="G51:H51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H33" sqref="H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116.18</v>
      </c>
      <c r="J16" s="18">
        <f>I16+H16+G16</f>
        <v>116.18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87" t="s">
        <v>32</v>
      </c>
      <c r="E20" s="87"/>
      <c r="F20" s="46" t="s">
        <v>44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56</v>
      </c>
      <c r="G21" s="46">
        <v>56</v>
      </c>
      <c r="H21" s="47">
        <f>(F21-G21)*16.32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116.18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(F25-G25)*116.18</f>
        <v>116.18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9"/>
      <c r="G30" s="89"/>
      <c r="H30" s="89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116.18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116.18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I8" sqref="I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116.18</v>
      </c>
      <c r="I16" s="18">
        <f>K35</f>
        <v>248.51999999999998</v>
      </c>
      <c r="J16" s="18">
        <f>I16+H16+G16</f>
        <v>364.7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7" t="s">
        <v>32</v>
      </c>
      <c r="E20" s="87"/>
      <c r="F20" s="46" t="s">
        <v>49</v>
      </c>
      <c r="G20" s="46"/>
      <c r="H20" s="46"/>
      <c r="I20" s="9"/>
      <c r="J20" s="22">
        <v>0</v>
      </c>
      <c r="K20" s="9">
        <f>H21</f>
        <v>16.420000000000002</v>
      </c>
    </row>
    <row r="21" spans="3:11" ht="21" x14ac:dyDescent="0.35">
      <c r="C21" s="39"/>
      <c r="D21" s="8"/>
      <c r="E21" s="8"/>
      <c r="F21" s="46">
        <v>57</v>
      </c>
      <c r="G21" s="46">
        <v>56</v>
      </c>
      <c r="H21" s="47">
        <f>(F21-G21)*16.42</f>
        <v>16.420000000000002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232.1</v>
      </c>
    </row>
    <row r="25" spans="3:11" ht="21" x14ac:dyDescent="0.35">
      <c r="C25" s="39"/>
      <c r="D25" s="8"/>
      <c r="E25" s="8"/>
      <c r="F25" s="46">
        <v>3</v>
      </c>
      <c r="G25" s="46">
        <v>1</v>
      </c>
      <c r="H25" s="47">
        <f>(F25-G25)*116.05</f>
        <v>232.1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9"/>
      <c r="G30" s="89"/>
      <c r="H30" s="89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248.51999999999998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364.7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H41" sqref="H4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364.7</v>
      </c>
      <c r="I16" s="18">
        <f>K35</f>
        <v>52.14</v>
      </c>
      <c r="J16" s="18">
        <f>I16+H16+G16</f>
        <v>416.84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7" t="s">
        <v>32</v>
      </c>
      <c r="E20" s="87"/>
      <c r="F20" s="46" t="s">
        <v>54</v>
      </c>
      <c r="G20" s="46"/>
      <c r="H20" s="46"/>
      <c r="I20" s="9"/>
      <c r="J20" s="22">
        <v>0</v>
      </c>
      <c r="K20" s="9">
        <f>H21</f>
        <v>52.14</v>
      </c>
    </row>
    <row r="21" spans="3:11" ht="21" x14ac:dyDescent="0.35">
      <c r="C21" s="39"/>
      <c r="D21" s="8"/>
      <c r="E21" s="8"/>
      <c r="F21" s="46">
        <v>60</v>
      </c>
      <c r="G21" s="46">
        <v>57</v>
      </c>
      <c r="H21" s="47">
        <f>(F21-G21)*17.38</f>
        <v>52.14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9"/>
      <c r="G30" s="89"/>
      <c r="H30" s="89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52.14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416.84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I7" sqref="I6:I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416.84</v>
      </c>
      <c r="I16" s="18">
        <f>K35</f>
        <v>18.059999999999999</v>
      </c>
      <c r="J16" s="18">
        <f>I16+H16+G16</f>
        <v>434.9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7" t="s">
        <v>32</v>
      </c>
      <c r="E20" s="87"/>
      <c r="F20" s="46" t="s">
        <v>59</v>
      </c>
      <c r="G20" s="46"/>
      <c r="H20" s="46"/>
      <c r="I20" s="9"/>
      <c r="J20" s="22">
        <v>0</v>
      </c>
      <c r="K20" s="9">
        <f>H21</f>
        <v>18.059999999999999</v>
      </c>
    </row>
    <row r="21" spans="3:11" ht="21" x14ac:dyDescent="0.35">
      <c r="C21" s="39"/>
      <c r="D21" s="8"/>
      <c r="E21" s="8"/>
      <c r="F21" s="46">
        <v>61</v>
      </c>
      <c r="G21" s="46">
        <v>60</v>
      </c>
      <c r="H21" s="47">
        <f>(F21-G21)*18.06</f>
        <v>18.059999999999999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9"/>
      <c r="G30" s="89"/>
      <c r="H30" s="89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18.059999999999999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434.9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>
        <v>434.9</v>
      </c>
      <c r="I16" s="18">
        <f>K35</f>
        <v>116.17</v>
      </c>
      <c r="J16" s="18">
        <f>I16+H16+G16</f>
        <v>551.06999999999994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7" t="s">
        <v>32</v>
      </c>
      <c r="E20" s="87"/>
      <c r="F20" s="46" t="s">
        <v>65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61</v>
      </c>
      <c r="G21" s="46">
        <v>61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64</v>
      </c>
      <c r="G24" s="46"/>
      <c r="H24" s="46"/>
      <c r="I24" s="9"/>
      <c r="J24" s="22">
        <v>0</v>
      </c>
      <c r="K24" s="9">
        <f>H25</f>
        <v>116.17</v>
      </c>
    </row>
    <row r="25" spans="3:11" ht="21" x14ac:dyDescent="0.35">
      <c r="C25" s="39"/>
      <c r="D25" s="8"/>
      <c r="E25" s="8"/>
      <c r="F25" s="46">
        <v>4</v>
      </c>
      <c r="G25" s="46">
        <v>3</v>
      </c>
      <c r="H25" s="47">
        <f>(F25-G25)*116.17</f>
        <v>116.17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9"/>
      <c r="G30" s="89"/>
      <c r="H30" s="89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116.17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551.06999999999994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workbookViewId="0">
      <selection activeCell="F26" sqref="F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67</v>
      </c>
      <c r="E16" s="49" t="s">
        <v>68</v>
      </c>
      <c r="F16" s="18"/>
      <c r="G16" s="18"/>
      <c r="H16" s="18">
        <v>551.07000000000005</v>
      </c>
      <c r="I16" s="18">
        <f>K35</f>
        <v>7368.2</v>
      </c>
      <c r="J16" s="18">
        <f>I16+H16+G16</f>
        <v>7919.2699999999995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7" t="s">
        <v>32</v>
      </c>
      <c r="E20" s="87"/>
      <c r="F20" s="46" t="s">
        <v>69</v>
      </c>
      <c r="G20" s="46"/>
      <c r="H20" s="46"/>
      <c r="I20" s="9"/>
      <c r="J20" s="22">
        <v>0</v>
      </c>
      <c r="K20" s="9">
        <f>H21</f>
        <v>94.98</v>
      </c>
    </row>
    <row r="21" spans="3:11" ht="21" x14ac:dyDescent="0.35">
      <c r="C21" s="39"/>
      <c r="D21" s="8"/>
      <c r="E21" s="8"/>
      <c r="F21" s="46">
        <v>67</v>
      </c>
      <c r="G21" s="46">
        <v>61</v>
      </c>
      <c r="H21" s="47">
        <f>(F21-G21)*15.83</f>
        <v>94.98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7273.22</v>
      </c>
    </row>
    <row r="25" spans="3:11" ht="21" x14ac:dyDescent="0.35">
      <c r="C25" s="39"/>
      <c r="D25" s="8"/>
      <c r="E25" s="8"/>
      <c r="F25" s="46">
        <v>66</v>
      </c>
      <c r="G25" s="46">
        <v>4</v>
      </c>
      <c r="H25" s="47">
        <f>(F25-G25)*117.31</f>
        <v>7273.22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9"/>
      <c r="G30" s="89"/>
      <c r="H30" s="89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7368.2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7919.2699999999995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72</v>
      </c>
      <c r="E16" s="49" t="s">
        <v>73</v>
      </c>
      <c r="F16" s="18"/>
      <c r="G16" s="18"/>
      <c r="H16" s="18">
        <v>7919.27</v>
      </c>
      <c r="I16" s="18">
        <f>K35</f>
        <v>307.27</v>
      </c>
      <c r="J16" s="18">
        <f>I16+H16+G16</f>
        <v>8226.5400000000009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7" t="s">
        <v>32</v>
      </c>
      <c r="E20" s="87"/>
      <c r="F20" s="46" t="s">
        <v>74</v>
      </c>
      <c r="G20" s="46"/>
      <c r="H20" s="46"/>
      <c r="I20" s="9"/>
      <c r="J20" s="22">
        <v>0</v>
      </c>
      <c r="K20" s="9">
        <f>H21</f>
        <v>189.96</v>
      </c>
    </row>
    <row r="21" spans="3:11" ht="21" x14ac:dyDescent="0.35">
      <c r="C21" s="39"/>
      <c r="D21" s="8"/>
      <c r="E21" s="8"/>
      <c r="F21" s="46">
        <v>79</v>
      </c>
      <c r="G21" s="46">
        <v>67</v>
      </c>
      <c r="H21" s="47">
        <f>(F21-G21)*15.83</f>
        <v>189.96</v>
      </c>
      <c r="I21" s="9"/>
      <c r="J21" s="9"/>
      <c r="K21" s="9"/>
    </row>
    <row r="22" spans="3:11" ht="21" x14ac:dyDescent="0.35">
      <c r="C22" s="39"/>
      <c r="D22" s="93" t="s">
        <v>85</v>
      </c>
      <c r="E22" s="93"/>
      <c r="F22" s="92">
        <f>F21-G21</f>
        <v>12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75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67</v>
      </c>
      <c r="G25" s="46">
        <v>66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93" t="s">
        <v>86</v>
      </c>
      <c r="E26" s="93"/>
      <c r="F26" s="92">
        <f>F25-G25</f>
        <v>1</v>
      </c>
      <c r="G26" s="92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9"/>
      <c r="G30" s="89"/>
      <c r="H30" s="89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307.27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8226.5400000000009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59" t="s">
        <v>76</v>
      </c>
      <c r="D41" s="59" t="s">
        <v>77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9" t="s">
        <v>78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6" zoomScale="70" zoomScaleNormal="70" workbookViewId="0">
      <selection activeCell="S27" sqref="S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80</v>
      </c>
      <c r="E16" s="49" t="s">
        <v>81</v>
      </c>
      <c r="F16" s="18"/>
      <c r="G16" s="18"/>
      <c r="H16" s="18">
        <v>8226.5400000000009</v>
      </c>
      <c r="I16" s="18">
        <f>K36</f>
        <v>39.527999999999999</v>
      </c>
      <c r="J16" s="18">
        <f>I16+H16+G16</f>
        <v>8266.0680000000011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7" t="s">
        <v>32</v>
      </c>
      <c r="E20" s="87"/>
      <c r="F20" s="46" t="s">
        <v>82</v>
      </c>
      <c r="G20" s="46"/>
      <c r="H20" s="46"/>
      <c r="I20" s="9"/>
      <c r="J20" s="22">
        <v>0</v>
      </c>
      <c r="K20" s="9">
        <f>H21</f>
        <v>32.94</v>
      </c>
    </row>
    <row r="21" spans="3:11" ht="21" x14ac:dyDescent="0.35">
      <c r="C21" s="39"/>
      <c r="D21" s="8"/>
      <c r="E21" s="8"/>
      <c r="F21" s="46">
        <v>82</v>
      </c>
      <c r="G21" s="46">
        <v>79</v>
      </c>
      <c r="H21" s="47">
        <f>(F21-G21)*10.98</f>
        <v>32.94</v>
      </c>
      <c r="I21" s="9"/>
      <c r="J21" s="9"/>
      <c r="K21" s="9"/>
    </row>
    <row r="22" spans="3:11" ht="21" x14ac:dyDescent="0.35">
      <c r="C22" s="39"/>
      <c r="D22" s="93" t="s">
        <v>85</v>
      </c>
      <c r="E22" s="93"/>
      <c r="F22" s="92">
        <f>F21-G21</f>
        <v>3</v>
      </c>
      <c r="G22" s="92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83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67</v>
      </c>
      <c r="G25" s="46">
        <v>67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3" t="s">
        <v>86</v>
      </c>
      <c r="E26" s="93"/>
      <c r="F26" s="92">
        <f>F25-G25</f>
        <v>0</v>
      </c>
      <c r="G26" s="92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 t="s">
        <v>84</v>
      </c>
      <c r="E28" s="8"/>
      <c r="F28" s="8"/>
      <c r="G28" s="8"/>
      <c r="H28" s="8"/>
      <c r="I28" s="9">
        <f>(H21+H25)*20%</f>
        <v>6.5880000000000001</v>
      </c>
      <c r="J28" s="22">
        <v>0</v>
      </c>
      <c r="K28" s="9">
        <f>I28</f>
        <v>6.5880000000000001</v>
      </c>
    </row>
    <row r="29" spans="3:11" ht="21" x14ac:dyDescent="0.35">
      <c r="C29" s="94" t="s">
        <v>87</v>
      </c>
      <c r="D29" s="94"/>
      <c r="E29" s="94"/>
      <c r="F29" s="8"/>
      <c r="G29" s="8"/>
      <c r="H29" s="8"/>
      <c r="I29" s="9"/>
      <c r="J29" s="22"/>
      <c r="K29" s="9"/>
    </row>
    <row r="30" spans="3:11" ht="21" x14ac:dyDescent="0.35">
      <c r="C30" s="94"/>
      <c r="D30" s="94"/>
      <c r="E30" s="94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21" x14ac:dyDescent="0.35">
      <c r="C31" s="94"/>
      <c r="D31" s="94"/>
      <c r="E31" s="94"/>
      <c r="F31" s="89"/>
      <c r="G31" s="89"/>
      <c r="H31" s="89"/>
      <c r="I31" s="9"/>
      <c r="J31" s="9"/>
      <c r="K31" s="9"/>
    </row>
    <row r="32" spans="3:11" ht="21" x14ac:dyDescent="0.35">
      <c r="C32" s="40"/>
      <c r="D32" s="44"/>
      <c r="E32" s="44"/>
      <c r="F32" s="58"/>
      <c r="G32" s="58"/>
      <c r="H32" s="58"/>
      <c r="I32" s="9"/>
      <c r="J32" s="9"/>
      <c r="K32" s="9"/>
    </row>
    <row r="33" spans="2:12" ht="21" x14ac:dyDescent="0.35">
      <c r="C33" s="38"/>
      <c r="D33" s="44"/>
      <c r="E33" s="44"/>
      <c r="F33" s="88"/>
      <c r="G33" s="89"/>
      <c r="H33" s="89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8"/>
      <c r="G34" s="58"/>
      <c r="H34" s="58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39.527999999999999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8266.0680000000011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1" t="s">
        <v>17</v>
      </c>
      <c r="D41" s="81"/>
      <c r="E41" s="81"/>
      <c r="F41" s="81"/>
      <c r="G41" s="81"/>
      <c r="H41" s="81"/>
      <c r="I41" s="81"/>
      <c r="J41" s="81"/>
      <c r="K41" s="81"/>
      <c r="L41" s="3"/>
    </row>
    <row r="42" spans="2:12" s="8" customFormat="1" ht="23.25" x14ac:dyDescent="0.35">
      <c r="B42" s="3"/>
      <c r="C42" s="60" t="s">
        <v>76</v>
      </c>
      <c r="D42" s="61" t="s">
        <v>77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2"/>
      <c r="D43" s="61" t="s">
        <v>78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9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0"/>
      <c r="D47" s="90"/>
      <c r="E47" s="90"/>
      <c r="F47" s="90"/>
      <c r="G47" s="90"/>
      <c r="H47" s="90"/>
      <c r="I47" s="90"/>
      <c r="J47" s="90"/>
      <c r="K47" s="90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1" t="s">
        <v>33</v>
      </c>
      <c r="D56" s="91"/>
      <c r="E56" s="91"/>
      <c r="F56" s="8"/>
      <c r="G56" s="91" t="s">
        <v>31</v>
      </c>
      <c r="H56" s="91"/>
      <c r="I56" s="9"/>
      <c r="J56" s="9"/>
      <c r="K56" s="9"/>
    </row>
    <row r="57" spans="3:11" ht="21" x14ac:dyDescent="0.35">
      <c r="C57" s="81" t="s">
        <v>23</v>
      </c>
      <c r="D57" s="81"/>
      <c r="E57" s="81"/>
      <c r="F57" s="8"/>
      <c r="G57" s="81" t="s">
        <v>24</v>
      </c>
      <c r="H57" s="81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2020-02-05T01:09:58Z</cp:lastPrinted>
  <dcterms:created xsi:type="dcterms:W3CDTF">2018-02-28T02:33:50Z</dcterms:created>
  <dcterms:modified xsi:type="dcterms:W3CDTF">2020-11-30T06:11:41Z</dcterms:modified>
</cp:coreProperties>
</file>