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9" activeTab="15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APR 2020 (2)" sheetId="10" r:id="rId9"/>
    <sheet name="MAY 2020" sheetId="11" r:id="rId10"/>
    <sheet name="JUN 2020" sheetId="12" r:id="rId11"/>
    <sheet name="JUL 2020" sheetId="13" r:id="rId12"/>
    <sheet name="AUG 2020" sheetId="14" r:id="rId13"/>
    <sheet name="SEPT 2020" sheetId="15" r:id="rId14"/>
    <sheet name="OCT 2020" sheetId="16" r:id="rId15"/>
    <sheet name="NOV 2020" sheetId="17" r:id="rId16"/>
  </sheets>
  <externalReferences>
    <externalReference r:id="rId17"/>
    <externalReference r:id="rId18"/>
  </externalReferences>
  <definedNames>
    <definedName name="_xlnm.Print_Area" localSheetId="7">'APR 2020'!$A$1:$K$59</definedName>
    <definedName name="_xlnm.Print_Area" localSheetId="8">'APR 2020 (2)'!$A$1:$K$59</definedName>
    <definedName name="_xlnm.Print_Area" localSheetId="12">'AUG 2020'!$A$1:$K$54</definedName>
    <definedName name="_xlnm.Print_Area" localSheetId="5">'FEB 2020'!$A$1:$K$57</definedName>
    <definedName name="_xlnm.Print_Area" localSheetId="11">'JUL 2020'!$A$1:$K$54</definedName>
    <definedName name="_xlnm.Print_Area" localSheetId="10">'JUN 2020'!$A$1:$K$54</definedName>
    <definedName name="_xlnm.Print_Area" localSheetId="6">'MAR 2020'!$A$1:$K$57</definedName>
    <definedName name="_xlnm.Print_Area" localSheetId="9">'MAY 2020'!$A$1:$K$59</definedName>
    <definedName name="_xlnm.Print_Area" localSheetId="15">'NOV 2020'!$A$1:$K$54</definedName>
    <definedName name="_xlnm.Print_Area" localSheetId="14">'OCT 2020'!$A$1:$K$54</definedName>
    <definedName name="_xlnm.Print_Area" localSheetId="13">'SEPT 2020'!$A$1:$K$54</definedName>
  </definedNames>
  <calcPr calcId="152511"/>
</workbook>
</file>

<file path=xl/calcChain.xml><?xml version="1.0" encoding="utf-8"?>
<calcChain xmlns="http://schemas.openxmlformats.org/spreadsheetml/2006/main">
  <c r="K34" i="17" l="1"/>
  <c r="H25" i="17" l="1"/>
  <c r="H21" i="17"/>
  <c r="H16" i="17" l="1"/>
  <c r="G16" i="17"/>
  <c r="K33" i="17" l="1"/>
  <c r="H29" i="17"/>
  <c r="K29" i="17" s="1"/>
  <c r="F26" i="17"/>
  <c r="K24" i="17"/>
  <c r="F22" i="17"/>
  <c r="K20" i="17"/>
  <c r="I16" i="17" l="1"/>
  <c r="K36" i="17" s="1"/>
  <c r="J16" i="17" l="1"/>
  <c r="H29" i="16"/>
  <c r="K29" i="16" s="1"/>
  <c r="H25" i="16" l="1"/>
  <c r="H21" i="16" l="1"/>
  <c r="K33" i="16" l="1"/>
  <c r="F26" i="16"/>
  <c r="K24" i="16"/>
  <c r="F22" i="16"/>
  <c r="K20" i="16"/>
  <c r="K34" i="16" l="1"/>
  <c r="I16" i="16"/>
  <c r="K36" i="16" s="1"/>
  <c r="J16" i="16"/>
  <c r="H25" i="15"/>
  <c r="K24" i="15" s="1"/>
  <c r="H21" i="15"/>
  <c r="K20" i="15" s="1"/>
  <c r="K33" i="15"/>
  <c r="K29" i="15"/>
  <c r="K27" i="15"/>
  <c r="F26" i="15"/>
  <c r="F22" i="15"/>
  <c r="K34" i="15" l="1"/>
  <c r="I16" i="15" s="1"/>
  <c r="K36" i="15" s="1"/>
  <c r="J1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K36" i="14" s="1"/>
  <c r="H25" i="13"/>
  <c r="K24" i="13" s="1"/>
  <c r="H21" i="13"/>
  <c r="K20" i="13" s="1"/>
  <c r="K33" i="13"/>
  <c r="K29" i="13"/>
  <c r="K27" i="13"/>
  <c r="F26" i="13"/>
  <c r="F22" i="13"/>
  <c r="J16" i="14" l="1"/>
  <c r="K34" i="13"/>
  <c r="I16" i="13" s="1"/>
  <c r="K36" i="13" l="1"/>
  <c r="J16" i="13"/>
  <c r="K31" i="12" l="1"/>
  <c r="F26" i="8"/>
  <c r="K33" i="12"/>
  <c r="H25" i="12"/>
  <c r="K24" i="12" s="1"/>
  <c r="H21" i="12"/>
  <c r="K20" i="12" s="1"/>
  <c r="K29" i="12"/>
  <c r="F26" i="12"/>
  <c r="F22" i="12"/>
  <c r="K27" i="12" l="1"/>
  <c r="K34" i="12" s="1"/>
  <c r="K33" i="11"/>
  <c r="K35" i="11"/>
  <c r="I16" i="12" l="1"/>
  <c r="K36" i="12" s="1"/>
  <c r="H21" i="11"/>
  <c r="H16" i="10"/>
  <c r="J16" i="12" l="1"/>
  <c r="K30" i="11"/>
  <c r="F26" i="11"/>
  <c r="H25" i="11"/>
  <c r="K24" i="11" s="1"/>
  <c r="F22" i="11"/>
  <c r="K20" i="11"/>
  <c r="I28" i="11" l="1"/>
  <c r="K28" i="11" s="1"/>
  <c r="K36" i="11" s="1"/>
  <c r="I16" i="11" s="1"/>
  <c r="K38" i="11" s="1"/>
  <c r="J16" i="11" l="1"/>
  <c r="K35" i="10" l="1"/>
  <c r="K33" i="10"/>
  <c r="K30" i="10"/>
  <c r="F26" i="10"/>
  <c r="H25" i="10"/>
  <c r="K24" i="10"/>
  <c r="F22" i="10"/>
  <c r="H21" i="10"/>
  <c r="K20" i="10" s="1"/>
  <c r="I28" i="10" l="1"/>
  <c r="K28" i="10" s="1"/>
  <c r="K36" i="10" s="1"/>
  <c r="I16" i="10" s="1"/>
  <c r="F26" i="9"/>
  <c r="F22" i="9"/>
  <c r="K38" i="10" l="1"/>
  <c r="J16" i="10"/>
  <c r="H25" i="9"/>
  <c r="H21" i="9"/>
  <c r="I28" i="9" s="1"/>
  <c r="K35" i="9" l="1"/>
  <c r="K33" i="9"/>
  <c r="K30" i="9"/>
  <c r="K28" i="9"/>
  <c r="K24" i="9"/>
  <c r="K20" i="9"/>
  <c r="K36" i="9" l="1"/>
  <c r="I16" i="9" s="1"/>
  <c r="J16" i="9" s="1"/>
  <c r="K38" i="9"/>
  <c r="K34" i="8"/>
  <c r="K32" i="8"/>
  <c r="K29" i="8"/>
  <c r="K27" i="8"/>
  <c r="H25" i="8"/>
  <c r="K24" i="8"/>
  <c r="H21" i="8"/>
  <c r="K20" i="8" s="1"/>
  <c r="K35" i="8" l="1"/>
  <c r="I16" i="8" s="1"/>
  <c r="J16" i="8" s="1"/>
  <c r="H25" i="7"/>
  <c r="K24" i="7" s="1"/>
  <c r="H21" i="7"/>
  <c r="K20" i="7" s="1"/>
  <c r="K34" i="7"/>
  <c r="K32" i="7"/>
  <c r="K29" i="7"/>
  <c r="K27" i="7"/>
  <c r="K37" i="8" l="1"/>
  <c r="K35" i="7"/>
  <c r="I16" i="7" s="1"/>
  <c r="K37" i="7" s="1"/>
  <c r="H25" i="6"/>
  <c r="H21" i="6"/>
  <c r="J16" i="7" l="1"/>
  <c r="K34" i="6"/>
  <c r="K32" i="6"/>
  <c r="K29" i="6"/>
  <c r="K27" i="6"/>
  <c r="K24" i="6"/>
  <c r="K20" i="6"/>
  <c r="K35" i="6" l="1"/>
  <c r="I16" i="6" s="1"/>
  <c r="J16" i="6" s="1"/>
  <c r="H25" i="5"/>
  <c r="K37" i="6" l="1"/>
  <c r="H21" i="5"/>
  <c r="K34" i="5" l="1"/>
  <c r="K32" i="5"/>
  <c r="K29" i="5"/>
  <c r="K27" i="5"/>
  <c r="K24" i="5"/>
  <c r="K20" i="5"/>
  <c r="K35" i="5" l="1"/>
  <c r="I16" i="5" s="1"/>
  <c r="K37" i="5" s="1"/>
  <c r="H25" i="4"/>
  <c r="H21" i="4"/>
  <c r="K20" i="4" s="1"/>
  <c r="K34" i="4"/>
  <c r="K32" i="4"/>
  <c r="K29" i="4"/>
  <c r="K27" i="4"/>
  <c r="K24" i="4"/>
  <c r="J16" i="5" l="1"/>
  <c r="K35" i="4"/>
  <c r="I16" i="4" s="1"/>
  <c r="K37" i="4" s="1"/>
  <c r="H25" i="3"/>
  <c r="J16" i="4" l="1"/>
  <c r="H21" i="3"/>
  <c r="K20" i="3" s="1"/>
  <c r="K34" i="3"/>
  <c r="K32" i="3"/>
  <c r="K29" i="3"/>
  <c r="K27" i="3"/>
  <c r="K24" i="3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<sst xmlns="http://schemas.openxmlformats.org/spreadsheetml/2006/main" count="701" uniqueCount="132">
  <si>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</si>
  <si>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</si>
  <si>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</si>
  <si>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</si>
  <si>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</si>
  <si>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</si>
  <si>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</si>
  <si>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</si>
  <si>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</si>
  <si>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</si>
  <si>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</si>
  <si>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</si>
  <si>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</si>
  <si>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</si>
  <si>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</si>
  <si>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</si>
  <si>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</si>
  <si>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</si>
  <si>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</si>
  <si>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</si>
  <si>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</si>
  <si>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</si>
  <si>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</si>
  <si>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</si>
  <si>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</si>
  <si>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</si>
  <si>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</si>
  <si>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</si>
  <si>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</si>
  <si>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</si>
  <si>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</si>
  <si>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</si>
  <si>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</si>
  <si>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</si>
  <si>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</si>
  <si>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</si>
  <si>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</si>
  <si>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JULIE HILARIO</t>
    </r>
  </si>
  <si>
    <t>UNIT: 20B19</t>
  </si>
  <si>
    <t>PRES: SEPT 25 2019 - PREV: SEPT 12 2019 * 16.32</t>
  </si>
  <si>
    <t>PRES: SEPT 25 2019 - PREV: SEPT 12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</si>
  <si>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</si>
  <si>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</si>
  <si>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</si>
  <si>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</si>
  <si>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</si>
  <si>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</si>
  <si>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</si>
  <si>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</si>
  <si>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</si>
  <si>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</si>
  <si>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</si>
  <si>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</si>
  <si>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</si>
  <si>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</si>
  <si>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</si>
  <si>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</si>
  <si>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</si>
  <si>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</si>
  <si>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</si>
  <si>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</si>
  <si>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</si>
  <si>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</si>
  <si>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</si>
  <si>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</si>
  <si>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</si>
  <si>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</si>
  <si>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</si>
  <si>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</si>
  <si>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</si>
  <si>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</si>
  <si>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</si>
  <si>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</si>
  <si>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</si>
  <si>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</si>
  <si>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</si>
  <si>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</si>
  <si>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</si>
  <si>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</si>
  <si>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</si>
  <si>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</si>
  <si>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</si>
  <si>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</si>
  <si>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</si>
  <si>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</si>
  <si>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</si>
  <si>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</si>
  <si>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</si>
  <si>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</si>
  <si>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</si>
  <si>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</si>
  <si>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</si>
  <si>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2020 - 279 kWh x 10.98 = 3,063.42 + 20% (AC) = 3,676.10 - 4,416.57 (billing Mar2020) = </t>
    </r>
    <r>
      <rPr>
        <b/>
        <u/>
        <sz val="14"/>
        <color rgb="FFFF0000"/>
        <rFont val="Calibri"/>
        <family val="2"/>
        <scheme val="minor"/>
      </rPr>
      <t>740.47</t>
    </r>
    <r>
      <rPr>
        <b/>
        <sz val="14"/>
        <color rgb="FFFF0000"/>
        <rFont val="Calibri"/>
        <family val="2"/>
        <scheme val="minor"/>
      </rPr>
      <t xml:space="preserve">
APR 2020 - 360 kWh x 9.79 = 3,524.40 + 20% (AC) = 4,229.28 - 4,743.36 (billing Apr2020) = </t>
    </r>
    <r>
      <rPr>
        <b/>
        <u/>
        <sz val="14"/>
        <color rgb="FFFF0000"/>
        <rFont val="Calibri"/>
        <family val="2"/>
        <scheme val="minor"/>
      </rPr>
      <t>514.08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</si>
  <si>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</si>
  <si>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</si>
  <si>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</si>
  <si>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</si>
  <si>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</si>
  <si>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2020 - 8 cubic x 96.92 = 775.36 + 20% (AC) = 930.43 - 938.48 (billing Mar2020) = </t>
    </r>
    <r>
      <rPr>
        <b/>
        <u/>
        <sz val="14"/>
        <color rgb="FFFF0000"/>
        <rFont val="Calibri"/>
        <family val="2"/>
        <scheme val="minor"/>
      </rPr>
      <t>8.05</t>
    </r>
    <r>
      <rPr>
        <b/>
        <sz val="14"/>
        <color rgb="FFFF0000"/>
        <rFont val="Calibri"/>
        <family val="2"/>
        <scheme val="minor"/>
      </rPr>
      <t xml:space="preserve">
APR 2020 - 9 cubic x 96.21 = 865.89 + 20% (AC) = 1,039.07 - 1,055.81 (billing Apr2020) = </t>
    </r>
    <r>
      <rPr>
        <b/>
        <u/>
        <sz val="14"/>
        <color rgb="FFFF0000"/>
        <rFont val="Calibri"/>
        <family val="2"/>
        <scheme val="minor"/>
      </rPr>
      <t xml:space="preserve">16.74
</t>
    </r>
    <r>
      <rPr>
        <b/>
        <sz val="14"/>
        <color rgb="FFFF0000"/>
        <rFont val="Calibri"/>
        <family val="2"/>
        <scheme val="minor"/>
      </rPr>
      <t xml:space="preserve">MAY 2020 - 9 cubic x 95.58 = 860.22 + 20% (AC) = 1,032.26 - 1,055.81 (billing May2020) = </t>
    </r>
    <r>
      <rPr>
        <b/>
        <u/>
        <sz val="14"/>
        <color rgb="FFFF0000"/>
        <rFont val="Calibri"/>
        <family val="2"/>
        <scheme val="minor"/>
      </rPr>
      <t>23.55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</si>
  <si>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</si>
  <si>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</si>
  <si>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</si>
  <si>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</si>
  <si>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</si>
  <si>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</si>
  <si>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</si>
  <si>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</si>
  <si>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</si>
  <si>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</si>
  <si>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</si>
  <si>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</si>
  <si>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</si>
  <si>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</si>
  <si>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</si>
  <si>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</si>
  <si>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</si>
  <si>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</si>
  <si>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</si>
  <si>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</si>
  <si>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ELECTRICITY - OCT 2020</t>
  </si>
  <si>
    <t>WATER - OCT 2020</t>
  </si>
  <si>
    <t>ASSOCIATION DUES</t>
  </si>
  <si>
    <t>FOR THE MONTH OF NOV 2020</t>
  </si>
  <si>
    <t>ASU PAST DUE</t>
  </si>
  <si>
    <t>UTILITY PAST DUE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</si>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</sst>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164" fontId="18" fillId="0" borderId="0" xfId="1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7" fontId="0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8248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2805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144500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OVALUE\Documents\VICTORIA%20DE%20MORATO\COLLECTION%20REPORT\VDMO%20LEDGER\VDMO%2020B19%20-%20HILAR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0B19%20-%20HIL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3">
          <cell r="C13">
            <v>2228.89</v>
          </cell>
          <cell r="J13">
            <v>3245.15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2">
          <cell r="E22">
            <v>2554.7199999999998</v>
          </cell>
          <cell r="L22">
            <v>4996.59</v>
          </cell>
        </row>
      </sheetData>
      <sheetData sheetId="1">
        <row r="12">
          <cell r="C12">
            <v>1349.3999999999999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="70" zoomScaleNormal="55" zoomScaleSheetLayoutView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2" t="s">
        <v>32</v>
      </c>
      <c r="E20" s="92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1052</v>
      </c>
      <c r="G21" s="46">
        <v>1052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4" zoomScale="85" zoomScaleNormal="85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64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5799.17</v>
      </c>
      <c r="I16" s="18">
        <f>K36</f>
        <v>4124.521999999999</v>
      </c>
      <c r="J16" s="18">
        <f>I16+H16+G16</f>
        <v>9923.6919999999991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2" t="s">
        <v>32</v>
      </c>
      <c r="E20" s="92"/>
      <c r="F20" s="46" t="s">
        <v>86</v>
      </c>
      <c r="G20" s="46"/>
      <c r="H20" s="46"/>
      <c r="I20" s="9"/>
      <c r="J20" s="22">
        <v>0</v>
      </c>
      <c r="K20" s="9">
        <f>H21</f>
        <v>3602.72</v>
      </c>
    </row>
    <row r="21" spans="3:11" ht="21" x14ac:dyDescent="0.35">
      <c r="C21" s="39"/>
      <c r="D21" s="8"/>
      <c r="E21" s="8"/>
      <c r="F21" s="46">
        <v>2596</v>
      </c>
      <c r="G21" s="46">
        <v>2228</v>
      </c>
      <c r="H21" s="47">
        <f>(F21-G21)*9.79</f>
        <v>3602.72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368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879.84</v>
      </c>
    </row>
    <row r="25" spans="3:11" ht="21" x14ac:dyDescent="0.35">
      <c r="C25" s="39"/>
      <c r="D25" s="8"/>
      <c r="E25" s="8"/>
      <c r="F25" s="46">
        <v>72</v>
      </c>
      <c r="G25" s="46">
        <v>63</v>
      </c>
      <c r="H25" s="47">
        <f>(F25-G25)*97.76</f>
        <v>879.84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9</v>
      </c>
      <c r="G26" s="98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896.51199999999994</v>
      </c>
      <c r="J28" s="22">
        <v>0</v>
      </c>
      <c r="K28" s="9">
        <f>I28</f>
        <v>896.51199999999994</v>
      </c>
    </row>
    <row r="29" spans="3:11" ht="21" customHeight="1" x14ac:dyDescent="0.35">
      <c r="C29" s="99" t="s">
        <v>88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96.95" customHeight="1" x14ac:dyDescent="0.35">
      <c r="C33" s="38"/>
      <c r="D33" s="101" t="s">
        <v>89</v>
      </c>
      <c r="E33" s="101"/>
      <c r="F33" s="102" t="s">
        <v>92</v>
      </c>
      <c r="G33" s="102"/>
      <c r="H33" s="102"/>
      <c r="I33" s="102"/>
      <c r="J33" s="72">
        <v>0</v>
      </c>
      <c r="K33" s="72">
        <f>(740.47+514.08)</f>
        <v>1254.5500000000002</v>
      </c>
    </row>
    <row r="34" spans="2:12" ht="27" customHeight="1" x14ac:dyDescent="0.35">
      <c r="C34" s="40"/>
      <c r="D34" s="44"/>
      <c r="E34" s="44"/>
      <c r="F34" s="69"/>
      <c r="G34" s="69"/>
      <c r="H34" s="6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4124.521999999999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9923.6919999999991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3.25" x14ac:dyDescent="0.35">
      <c r="B43" s="3"/>
      <c r="C43" s="63" t="s">
        <v>71</v>
      </c>
      <c r="D43" s="59" t="s">
        <v>90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91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6" t="s">
        <v>33</v>
      </c>
      <c r="D56" s="96"/>
      <c r="E56" s="96"/>
      <c r="F56" s="8"/>
      <c r="G56" s="96" t="s">
        <v>31</v>
      </c>
      <c r="H56" s="96"/>
      <c r="I56" s="9"/>
      <c r="J56" s="9"/>
      <c r="K56" s="9"/>
    </row>
    <row r="57" spans="3:11" ht="21" x14ac:dyDescent="0.35">
      <c r="C57" s="86" t="s">
        <v>23</v>
      </c>
      <c r="D57" s="86"/>
      <c r="E57" s="86"/>
      <c r="F57" s="8"/>
      <c r="G57" s="86" t="s">
        <v>24</v>
      </c>
      <c r="H57" s="8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K20" sqref="K20:K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64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4124.5200000000004</v>
      </c>
      <c r="I16" s="18">
        <f>K34</f>
        <v>4251.9799999999996</v>
      </c>
      <c r="J16" s="18">
        <f>I16+H16+G16</f>
        <v>8376.5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2" t="s">
        <v>32</v>
      </c>
      <c r="E20" s="92"/>
      <c r="F20" s="46" t="s">
        <v>96</v>
      </c>
      <c r="G20" s="46"/>
      <c r="H20" s="46"/>
      <c r="I20" s="9"/>
      <c r="J20" s="22">
        <v>0</v>
      </c>
      <c r="K20" s="9">
        <f>H21</f>
        <v>3434.3399999999997</v>
      </c>
    </row>
    <row r="21" spans="3:11" ht="21" x14ac:dyDescent="0.35">
      <c r="C21" s="39"/>
      <c r="D21" s="8"/>
      <c r="E21" s="8"/>
      <c r="F21" s="46">
        <v>2953</v>
      </c>
      <c r="G21" s="46">
        <v>2596</v>
      </c>
      <c r="H21" s="47">
        <f>(F21-G21)*9.62</f>
        <v>3434.3399999999997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357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865.98</v>
      </c>
    </row>
    <row r="25" spans="3:11" ht="21" x14ac:dyDescent="0.35">
      <c r="C25" s="39"/>
      <c r="D25" s="8"/>
      <c r="E25" s="8"/>
      <c r="F25" s="46">
        <v>81</v>
      </c>
      <c r="G25" s="46">
        <v>72</v>
      </c>
      <c r="H25" s="47">
        <f>(F25-G25)*96.22</f>
        <v>865.98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9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4"/>
      <c r="G30" s="94"/>
      <c r="H30" s="94"/>
      <c r="I30" s="9"/>
      <c r="J30" s="9"/>
      <c r="K30" s="9"/>
    </row>
    <row r="31" spans="3:11" ht="135" customHeight="1" x14ac:dyDescent="0.35">
      <c r="C31" s="38"/>
      <c r="D31" s="101" t="s">
        <v>89</v>
      </c>
      <c r="E31" s="101"/>
      <c r="F31" s="102" t="s">
        <v>98</v>
      </c>
      <c r="G31" s="102"/>
      <c r="H31" s="102"/>
      <c r="I31" s="102"/>
      <c r="J31" s="72">
        <v>0</v>
      </c>
      <c r="K31" s="72">
        <f>8.05+16.74+23.55</f>
        <v>48.34</v>
      </c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4251.9799999999996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8376.5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6" t="s">
        <v>33</v>
      </c>
      <c r="D51" s="96"/>
      <c r="E51" s="96"/>
      <c r="F51" s="8"/>
      <c r="G51" s="96" t="s">
        <v>31</v>
      </c>
      <c r="H51" s="96"/>
      <c r="I51" s="9"/>
      <c r="J51" s="9"/>
      <c r="K51" s="9"/>
    </row>
    <row r="52" spans="3:11" ht="21" x14ac:dyDescent="0.35">
      <c r="C52" s="86" t="s">
        <v>23</v>
      </c>
      <c r="D52" s="86"/>
      <c r="E52" s="86"/>
      <c r="F52" s="8"/>
      <c r="G52" s="86" t="s">
        <v>24</v>
      </c>
      <c r="H52" s="8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4" zoomScale="70" zoomScaleNormal="70" workbookViewId="0">
      <selection activeCell="P23" sqref="P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64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4251.9799999999996</v>
      </c>
      <c r="I16" s="18">
        <f>K34</f>
        <v>4477.95</v>
      </c>
      <c r="J16" s="18">
        <f>I16+H16+G16</f>
        <v>8729.93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2" t="s">
        <v>32</v>
      </c>
      <c r="E20" s="92"/>
      <c r="F20" s="46" t="s">
        <v>102</v>
      </c>
      <c r="G20" s="46"/>
      <c r="H20" s="46"/>
      <c r="I20" s="9"/>
      <c r="J20" s="22">
        <v>0</v>
      </c>
      <c r="K20" s="9">
        <f>H21</f>
        <v>3317.31</v>
      </c>
    </row>
    <row r="21" spans="3:11" ht="21" x14ac:dyDescent="0.35">
      <c r="C21" s="39"/>
      <c r="D21" s="8"/>
      <c r="E21" s="8"/>
      <c r="F21" s="46">
        <v>3322</v>
      </c>
      <c r="G21" s="46">
        <v>2953</v>
      </c>
      <c r="H21" s="47">
        <f>(F21-G21)*8.99</f>
        <v>3317.31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369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1160.6399999999999</v>
      </c>
    </row>
    <row r="25" spans="3:11" ht="21" x14ac:dyDescent="0.35">
      <c r="C25" s="39"/>
      <c r="D25" s="8"/>
      <c r="E25" s="8"/>
      <c r="F25" s="46">
        <v>93</v>
      </c>
      <c r="G25" s="46">
        <v>81</v>
      </c>
      <c r="H25" s="47">
        <f>(F25-G25)*96.72</f>
        <v>1160.6399999999999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12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4"/>
      <c r="G30" s="94"/>
      <c r="H30" s="94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4477.95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8729.93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6" t="s">
        <v>33</v>
      </c>
      <c r="D51" s="96"/>
      <c r="E51" s="96"/>
      <c r="F51" s="8"/>
      <c r="G51" s="96" t="s">
        <v>31</v>
      </c>
      <c r="H51" s="96"/>
      <c r="I51" s="9"/>
      <c r="J51" s="9"/>
      <c r="K51" s="9"/>
    </row>
    <row r="52" spans="3:11" ht="21" x14ac:dyDescent="0.35">
      <c r="C52" s="86" t="s">
        <v>23</v>
      </c>
      <c r="D52" s="86"/>
      <c r="E52" s="86"/>
      <c r="F52" s="8"/>
      <c r="G52" s="86" t="s">
        <v>24</v>
      </c>
      <c r="H52" s="8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P9" sqref="P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64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4477.95</v>
      </c>
      <c r="I16" s="18">
        <f>K34</f>
        <v>3852.36</v>
      </c>
      <c r="J16" s="18">
        <f>I16+H16+G16</f>
        <v>8330.31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2" t="s">
        <v>32</v>
      </c>
      <c r="E20" s="92"/>
      <c r="F20" s="46" t="s">
        <v>108</v>
      </c>
      <c r="G20" s="46"/>
      <c r="H20" s="46"/>
      <c r="I20" s="9"/>
      <c r="J20" s="22">
        <v>0</v>
      </c>
      <c r="K20" s="9">
        <f>H21</f>
        <v>2681.76</v>
      </c>
    </row>
    <row r="21" spans="3:11" ht="21" x14ac:dyDescent="0.35">
      <c r="C21" s="39"/>
      <c r="D21" s="8"/>
      <c r="E21" s="8"/>
      <c r="F21" s="46">
        <v>3618</v>
      </c>
      <c r="G21" s="46">
        <v>3322</v>
      </c>
      <c r="H21" s="47">
        <f>(F21-G21)*9.06</f>
        <v>2681.76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296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1170.5999999999999</v>
      </c>
    </row>
    <row r="25" spans="3:11" ht="21" x14ac:dyDescent="0.35">
      <c r="C25" s="39"/>
      <c r="D25" s="8"/>
      <c r="E25" s="8"/>
      <c r="F25" s="46">
        <v>105</v>
      </c>
      <c r="G25" s="46">
        <v>93</v>
      </c>
      <c r="H25" s="47">
        <f>(F25-G25)*97.55</f>
        <v>1170.5999999999999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12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4"/>
      <c r="G30" s="94"/>
      <c r="H30" s="94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3852.36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8330.31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6" t="s">
        <v>33</v>
      </c>
      <c r="D51" s="96"/>
      <c r="E51" s="96"/>
      <c r="F51" s="8"/>
      <c r="G51" s="96" t="s">
        <v>31</v>
      </c>
      <c r="H51" s="96"/>
      <c r="I51" s="9"/>
      <c r="J51" s="9"/>
      <c r="K51" s="9"/>
    </row>
    <row r="52" spans="3:11" ht="21" x14ac:dyDescent="0.35">
      <c r="C52" s="86" t="s">
        <v>23</v>
      </c>
      <c r="D52" s="86"/>
      <c r="E52" s="86"/>
      <c r="F52" s="8"/>
      <c r="G52" s="86" t="s">
        <v>24</v>
      </c>
      <c r="H52" s="8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S18" sqref="S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64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>
        <v>3852.36</v>
      </c>
      <c r="I16" s="18">
        <f>K34</f>
        <v>4442.91</v>
      </c>
      <c r="J16" s="18">
        <f>I16+H16+G16</f>
        <v>8295.27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2" t="s">
        <v>32</v>
      </c>
      <c r="E20" s="92"/>
      <c r="F20" s="46" t="s">
        <v>112</v>
      </c>
      <c r="G20" s="46"/>
      <c r="H20" s="46"/>
      <c r="I20" s="9"/>
      <c r="J20" s="22">
        <v>0</v>
      </c>
      <c r="K20" s="9">
        <f>H21</f>
        <v>2873.7900000000004</v>
      </c>
    </row>
    <row r="21" spans="3:11" ht="21" x14ac:dyDescent="0.35">
      <c r="C21" s="39"/>
      <c r="D21" s="8"/>
      <c r="E21" s="8"/>
      <c r="F21" s="46">
        <v>3951</v>
      </c>
      <c r="G21" s="46">
        <v>3618</v>
      </c>
      <c r="H21" s="47">
        <f>(F21-G21)*8.63</f>
        <v>2873.7900000000004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333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1569.12</v>
      </c>
    </row>
    <row r="25" spans="3:11" ht="21" x14ac:dyDescent="0.35">
      <c r="C25" s="39"/>
      <c r="D25" s="8"/>
      <c r="E25" s="8"/>
      <c r="F25" s="46">
        <v>121</v>
      </c>
      <c r="G25" s="46">
        <v>105</v>
      </c>
      <c r="H25" s="47">
        <f>(F25-G25)*98.07</f>
        <v>1569.12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16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4"/>
      <c r="G30" s="94"/>
      <c r="H30" s="94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4442.91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8295.27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6" t="s">
        <v>33</v>
      </c>
      <c r="D51" s="96"/>
      <c r="E51" s="96"/>
      <c r="F51" s="8"/>
      <c r="G51" s="96" t="s">
        <v>31</v>
      </c>
      <c r="H51" s="96"/>
      <c r="I51" s="9"/>
      <c r="J51" s="9"/>
      <c r="K51" s="9"/>
    </row>
    <row r="52" spans="3:11" ht="21" x14ac:dyDescent="0.35">
      <c r="C52" s="86" t="s">
        <v>23</v>
      </c>
      <c r="D52" s="86"/>
      <c r="E52" s="86"/>
      <c r="F52" s="8"/>
      <c r="G52" s="86" t="s">
        <v>24</v>
      </c>
      <c r="H52" s="8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7"/>
  <sheetViews>
    <sheetView topLeftCell="A13" zoomScale="70" zoomScaleNormal="70" workbookViewId="0">
      <selection activeCell="H18" sqref="H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64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123</v>
      </c>
      <c r="H15" s="13" t="s">
        <v>124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/>
      <c r="I16" s="18">
        <f>K34</f>
        <v>4457.8</v>
      </c>
      <c r="J16" s="18">
        <f>I16+H16+G16</f>
        <v>4457.8</v>
      </c>
      <c r="K16" s="19"/>
    </row>
    <row r="17" spans="3:19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9" ht="21.75" thickBot="1" x14ac:dyDescent="0.4">
      <c r="C18" s="8"/>
      <c r="D18" s="8"/>
      <c r="E18" s="8"/>
      <c r="F18" s="8"/>
      <c r="G18" s="8"/>
      <c r="H18" s="8"/>
      <c r="I18" s="9"/>
      <c r="J18" s="9"/>
      <c r="K18" s="9"/>
      <c r="S18" s="82"/>
    </row>
    <row r="19" spans="3:19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9" ht="21" x14ac:dyDescent="0.35">
      <c r="C20" s="38">
        <v>43962</v>
      </c>
      <c r="D20" s="103" t="s">
        <v>119</v>
      </c>
      <c r="E20" s="103"/>
      <c r="F20" s="46" t="s">
        <v>116</v>
      </c>
      <c r="G20" s="46"/>
      <c r="H20" s="46"/>
      <c r="I20" s="9"/>
      <c r="J20" s="22">
        <v>0</v>
      </c>
      <c r="K20" s="9">
        <f>H21</f>
        <v>2122.8000000000002</v>
      </c>
    </row>
    <row r="21" spans="3:19" ht="21" x14ac:dyDescent="0.35">
      <c r="C21" s="39"/>
      <c r="D21" s="8"/>
      <c r="E21" s="8"/>
      <c r="F21" s="46">
        <v>4241</v>
      </c>
      <c r="G21" s="46">
        <v>3951</v>
      </c>
      <c r="H21" s="47">
        <f>(F21-G21)*7.32</f>
        <v>2122.8000000000002</v>
      </c>
      <c r="I21" s="9"/>
      <c r="J21" s="9"/>
      <c r="K21" s="9"/>
    </row>
    <row r="22" spans="3:19" ht="21" x14ac:dyDescent="0.35">
      <c r="C22" s="39"/>
      <c r="D22" s="97" t="s">
        <v>80</v>
      </c>
      <c r="E22" s="97"/>
      <c r="F22" s="98">
        <f>F21-G21</f>
        <v>290</v>
      </c>
      <c r="G22" s="98"/>
      <c r="H22" s="47"/>
      <c r="I22" s="9"/>
      <c r="J22" s="9"/>
      <c r="K22" s="9"/>
    </row>
    <row r="23" spans="3:19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9" ht="21" x14ac:dyDescent="0.35">
      <c r="C24" s="38">
        <v>43962</v>
      </c>
      <c r="D24" s="7" t="s">
        <v>120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985.6</v>
      </c>
    </row>
    <row r="25" spans="3:19" ht="21" x14ac:dyDescent="0.35">
      <c r="C25" s="39"/>
      <c r="D25" s="8"/>
      <c r="E25" s="8"/>
      <c r="F25" s="46">
        <v>131</v>
      </c>
      <c r="G25" s="46">
        <v>121</v>
      </c>
      <c r="H25" s="47">
        <f>(F25-G25)*98.56</f>
        <v>985.6</v>
      </c>
      <c r="I25" s="9"/>
      <c r="J25" s="9"/>
      <c r="K25" s="9"/>
    </row>
    <row r="26" spans="3:19" ht="21" x14ac:dyDescent="0.35">
      <c r="C26" s="39"/>
      <c r="D26" s="97" t="s">
        <v>81</v>
      </c>
      <c r="E26" s="97"/>
      <c r="F26" s="98">
        <f>F25-G25</f>
        <v>10</v>
      </c>
      <c r="G26" s="98"/>
      <c r="H26" s="45"/>
      <c r="I26" s="9"/>
      <c r="J26" s="9"/>
      <c r="K26" s="9"/>
    </row>
    <row r="27" spans="3:19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9" ht="21" customHeight="1" x14ac:dyDescent="0.35">
      <c r="C28" s="38">
        <v>43962</v>
      </c>
      <c r="D28" s="103" t="s">
        <v>121</v>
      </c>
      <c r="E28" s="103"/>
      <c r="F28" s="46" t="s">
        <v>122</v>
      </c>
      <c r="G28" s="46"/>
      <c r="H28" s="46"/>
      <c r="I28" s="9"/>
      <c r="J28" s="22"/>
      <c r="K28" s="9"/>
    </row>
    <row r="29" spans="3:19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9" ht="35.1" customHeight="1" x14ac:dyDescent="0.35">
      <c r="C30" s="73"/>
      <c r="D30" s="73"/>
      <c r="E30" s="73"/>
      <c r="F30" s="85"/>
      <c r="G30" s="85"/>
      <c r="H30" s="85"/>
      <c r="I30" s="9"/>
      <c r="J30" s="9"/>
      <c r="K30" s="9"/>
    </row>
    <row r="31" spans="3:19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9" ht="27" customHeight="1" x14ac:dyDescent="0.35">
      <c r="C32" s="40"/>
      <c r="D32" s="44"/>
      <c r="E32" s="44"/>
      <c r="F32" s="81"/>
      <c r="G32" s="81"/>
      <c r="H32" s="8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4457.8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4457.8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80"/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6" t="s">
        <v>33</v>
      </c>
      <c r="D51" s="96"/>
      <c r="E51" s="96"/>
      <c r="F51" s="8"/>
      <c r="G51" s="96" t="s">
        <v>31</v>
      </c>
      <c r="H51" s="96"/>
      <c r="I51" s="9"/>
      <c r="J51" s="9"/>
      <c r="K51" s="9"/>
    </row>
    <row r="52" spans="3:11" ht="21" x14ac:dyDescent="0.35">
      <c r="C52" s="86" t="s">
        <v>23</v>
      </c>
      <c r="D52" s="86"/>
      <c r="E52" s="86"/>
      <c r="F52" s="8"/>
      <c r="G52" s="86" t="s">
        <v>24</v>
      </c>
      <c r="H52" s="8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7"/>
  <sheetViews>
    <sheetView tabSelected="1" topLeftCell="A19" zoomScale="70" zoomScaleNormal="70" workbookViewId="0">
      <selection activeCell="P33" sqref="P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125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64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123</v>
      </c>
      <c r="H15" s="13" t="s">
        <v>124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126</v>
      </c>
      <c r="E16" s="49" t="s">
        <v>127</v>
      </c>
      <c r="F16" s="18"/>
      <c r="G16" s="18">
        <f>[2]ASU!$C$12</f>
        <v>1349.3999999999999</v>
      </c>
      <c r="H16" s="18">
        <f>[2]Sheet1!$E$22+[2]Sheet1!$L$22</f>
        <v>7551.3099999999995</v>
      </c>
      <c r="I16" s="18">
        <f>K34</f>
        <v>4649.2699999999995</v>
      </c>
      <c r="J16" s="18">
        <f>I16+H16+G16</f>
        <v>13549.979999999998</v>
      </c>
      <c r="K16" s="19"/>
    </row>
    <row r="17" spans="3:19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9" ht="21.75" thickBot="1" x14ac:dyDescent="0.4">
      <c r="C18" s="8"/>
      <c r="D18" s="8"/>
      <c r="E18" s="8"/>
      <c r="F18" s="8"/>
      <c r="G18" s="8"/>
      <c r="H18" s="8"/>
      <c r="I18" s="9"/>
      <c r="J18" s="9"/>
      <c r="K18" s="9"/>
      <c r="S18" s="82"/>
    </row>
    <row r="19" spans="3:19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9" ht="21" x14ac:dyDescent="0.35">
      <c r="C20" s="38">
        <v>44170</v>
      </c>
      <c r="D20" s="103" t="s">
        <v>32</v>
      </c>
      <c r="E20" s="103"/>
      <c r="F20" s="46" t="s">
        <v>130</v>
      </c>
      <c r="G20" s="46"/>
      <c r="H20" s="46"/>
      <c r="I20" s="9"/>
      <c r="J20" s="22">
        <v>0</v>
      </c>
      <c r="K20" s="9">
        <f>H21</f>
        <v>2221.54</v>
      </c>
    </row>
    <row r="21" spans="3:19" ht="21" x14ac:dyDescent="0.35">
      <c r="C21" s="39"/>
      <c r="D21" s="8"/>
      <c r="E21" s="8"/>
      <c r="F21" s="46">
        <v>4518</v>
      </c>
      <c r="G21" s="46">
        <v>4241</v>
      </c>
      <c r="H21" s="47">
        <f>(F21-G21)*8.02</f>
        <v>2221.54</v>
      </c>
      <c r="I21" s="9"/>
      <c r="J21" s="9"/>
      <c r="K21" s="9"/>
    </row>
    <row r="22" spans="3:19" ht="21" x14ac:dyDescent="0.35">
      <c r="C22" s="39"/>
      <c r="D22" s="97" t="s">
        <v>80</v>
      </c>
      <c r="E22" s="97"/>
      <c r="F22" s="98">
        <f>F21-G21</f>
        <v>277</v>
      </c>
      <c r="G22" s="98"/>
      <c r="H22" s="47"/>
      <c r="I22" s="9"/>
      <c r="J22" s="9"/>
      <c r="K22" s="9"/>
    </row>
    <row r="23" spans="3:19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9" ht="21" x14ac:dyDescent="0.35">
      <c r="C24" s="38">
        <v>44170</v>
      </c>
      <c r="D24" s="7" t="s">
        <v>15</v>
      </c>
      <c r="E24" s="8"/>
      <c r="F24" s="46" t="s">
        <v>131</v>
      </c>
      <c r="G24" s="46"/>
      <c r="H24" s="46"/>
      <c r="I24" s="9"/>
      <c r="J24" s="22">
        <v>0</v>
      </c>
      <c r="K24" s="9">
        <f>H25</f>
        <v>1078.33</v>
      </c>
    </row>
    <row r="25" spans="3:19" ht="21" x14ac:dyDescent="0.35">
      <c r="C25" s="39"/>
      <c r="D25" s="8"/>
      <c r="E25" s="8"/>
      <c r="F25" s="46">
        <v>142</v>
      </c>
      <c r="G25" s="46">
        <v>131</v>
      </c>
      <c r="H25" s="47">
        <f>(F25-G25)*98.03</f>
        <v>1078.33</v>
      </c>
      <c r="I25" s="9"/>
      <c r="J25" s="9"/>
      <c r="K25" s="9"/>
    </row>
    <row r="26" spans="3:19" ht="21" x14ac:dyDescent="0.35">
      <c r="C26" s="39"/>
      <c r="D26" s="97" t="s">
        <v>81</v>
      </c>
      <c r="E26" s="97"/>
      <c r="F26" s="98">
        <f>F25-G25</f>
        <v>11</v>
      </c>
      <c r="G26" s="98"/>
      <c r="H26" s="45"/>
      <c r="I26" s="9"/>
      <c r="J26" s="9"/>
      <c r="K26" s="9"/>
    </row>
    <row r="27" spans="3:19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9" ht="21" customHeight="1" x14ac:dyDescent="0.35">
      <c r="C28" s="38">
        <v>44170</v>
      </c>
      <c r="D28" s="103" t="s">
        <v>121</v>
      </c>
      <c r="E28" s="103"/>
      <c r="F28" s="46" t="s">
        <v>128</v>
      </c>
      <c r="G28" s="46"/>
      <c r="H28" s="46"/>
      <c r="I28" s="9"/>
      <c r="J28" s="22"/>
      <c r="K28" s="9"/>
    </row>
    <row r="29" spans="3:19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9" ht="35.1" customHeight="1" x14ac:dyDescent="0.35">
      <c r="C30" s="73"/>
      <c r="D30" s="73"/>
      <c r="E30" s="73"/>
      <c r="F30" s="85"/>
      <c r="G30" s="85"/>
      <c r="H30" s="85"/>
      <c r="I30" s="9"/>
      <c r="J30" s="9"/>
      <c r="K30" s="9"/>
    </row>
    <row r="31" spans="3:19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9" ht="27" customHeight="1" x14ac:dyDescent="0.35">
      <c r="C32" s="40"/>
      <c r="D32" s="44"/>
      <c r="E32" s="44"/>
      <c r="F32" s="84"/>
      <c r="G32" s="84"/>
      <c r="H32" s="8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4649.2699999999995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13549.979999999998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83"/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6" t="s">
        <v>129</v>
      </c>
      <c r="D51" s="96"/>
      <c r="E51" s="96"/>
      <c r="F51" s="8"/>
      <c r="G51" s="96" t="s">
        <v>31</v>
      </c>
      <c r="H51" s="96"/>
      <c r="I51" s="9"/>
      <c r="J51" s="9"/>
      <c r="K51" s="9"/>
    </row>
    <row r="52" spans="3:11" ht="21" x14ac:dyDescent="0.35">
      <c r="C52" s="86" t="s">
        <v>23</v>
      </c>
      <c r="D52" s="86"/>
      <c r="E52" s="86"/>
      <c r="F52" s="8"/>
      <c r="G52" s="86" t="s">
        <v>24</v>
      </c>
      <c r="H52" s="8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6" sqref="H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132.47</v>
      </c>
      <c r="J16" s="18">
        <f>I16+H16+G16</f>
        <v>132.47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2" t="s">
        <v>32</v>
      </c>
      <c r="E20" s="92"/>
      <c r="F20" s="46" t="s">
        <v>44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1053</v>
      </c>
      <c r="G21" s="46">
        <v>1052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132.47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132.47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132.47</v>
      </c>
      <c r="I16" s="18">
        <f>K35</f>
        <v>167.92000000000002</v>
      </c>
      <c r="J16" s="18">
        <f>I16+H16+G16</f>
        <v>300.39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2" t="s">
        <v>32</v>
      </c>
      <c r="E20" s="92"/>
      <c r="F20" s="46" t="s">
        <v>49</v>
      </c>
      <c r="G20" s="46"/>
      <c r="H20" s="46"/>
      <c r="I20" s="9"/>
      <c r="J20" s="22">
        <v>0</v>
      </c>
      <c r="K20" s="9">
        <f>H21</f>
        <v>52.14</v>
      </c>
    </row>
    <row r="21" spans="3:11" ht="21" x14ac:dyDescent="0.35">
      <c r="C21" s="39"/>
      <c r="D21" s="8"/>
      <c r="E21" s="8"/>
      <c r="F21" s="46">
        <v>1056</v>
      </c>
      <c r="G21" s="46">
        <v>1053</v>
      </c>
      <c r="H21" s="47">
        <f>(F21-G21)*17.38</f>
        <v>52.14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167.92000000000002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300.39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300.39</v>
      </c>
      <c r="I16" s="18">
        <f>K35</f>
        <v>1920.74</v>
      </c>
      <c r="J16" s="18">
        <f>I16+H16+G16</f>
        <v>2221.13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2" t="s">
        <v>32</v>
      </c>
      <c r="E20" s="92"/>
      <c r="F20" s="46" t="s">
        <v>54</v>
      </c>
      <c r="G20" s="46"/>
      <c r="H20" s="46"/>
      <c r="I20" s="9"/>
      <c r="J20" s="22">
        <v>0</v>
      </c>
      <c r="K20" s="9">
        <f>H21</f>
        <v>993.3</v>
      </c>
    </row>
    <row r="21" spans="3:11" ht="21" x14ac:dyDescent="0.35">
      <c r="C21" s="39"/>
      <c r="D21" s="8"/>
      <c r="E21" s="8"/>
      <c r="F21" s="46">
        <v>1111</v>
      </c>
      <c r="G21" s="46">
        <v>1056</v>
      </c>
      <c r="H21" s="47">
        <f>(F21-G21)*18.06</f>
        <v>993.3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927.44</v>
      </c>
    </row>
    <row r="25" spans="3:11" ht="21" x14ac:dyDescent="0.35">
      <c r="C25" s="39"/>
      <c r="D25" s="8"/>
      <c r="E25" s="8"/>
      <c r="F25" s="46">
        <v>10</v>
      </c>
      <c r="G25" s="46">
        <v>2</v>
      </c>
      <c r="H25" s="47">
        <f>(F25-G25)*115.93</f>
        <v>927.44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1920.74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2221.13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S7" sqref="S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6725.09</v>
      </c>
      <c r="J16" s="18">
        <f>I16+H16+G16</f>
        <v>6725.09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2" t="s">
        <v>32</v>
      </c>
      <c r="E20" s="92"/>
      <c r="F20" s="46" t="s">
        <v>59</v>
      </c>
      <c r="G20" s="46"/>
      <c r="H20" s="46"/>
      <c r="I20" s="9"/>
      <c r="J20" s="22">
        <v>0</v>
      </c>
      <c r="K20" s="9">
        <f>H21</f>
        <v>4750.2</v>
      </c>
    </row>
    <row r="21" spans="3:11" ht="21" x14ac:dyDescent="0.35">
      <c r="C21" s="39"/>
      <c r="D21" s="8"/>
      <c r="E21" s="8"/>
      <c r="F21" s="46">
        <v>1384</v>
      </c>
      <c r="G21" s="46">
        <v>1111</v>
      </c>
      <c r="H21" s="47">
        <f>(F21-G21)*17.4</f>
        <v>4750.2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1974.89</v>
      </c>
    </row>
    <row r="25" spans="3:11" ht="21" x14ac:dyDescent="0.35">
      <c r="C25" s="39"/>
      <c r="D25" s="8"/>
      <c r="E25" s="8"/>
      <c r="F25" s="46">
        <v>27</v>
      </c>
      <c r="G25" s="46">
        <v>10</v>
      </c>
      <c r="H25" s="47">
        <f>(F25-G25)*116.17</f>
        <v>1974.89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6725.09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6725.09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P24" sqref="P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/>
      <c r="I16" s="18">
        <f>K35</f>
        <v>5474.04</v>
      </c>
      <c r="J16" s="18">
        <f>I16+H16+G16</f>
        <v>5474.04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2" t="s">
        <v>32</v>
      </c>
      <c r="E20" s="92"/>
      <c r="F20" s="46" t="s">
        <v>64</v>
      </c>
      <c r="G20" s="46"/>
      <c r="H20" s="46"/>
      <c r="I20" s="9"/>
      <c r="J20" s="22">
        <v>0</v>
      </c>
      <c r="K20" s="9">
        <f>H21</f>
        <v>3245.15</v>
      </c>
    </row>
    <row r="21" spans="3:11" ht="21" x14ac:dyDescent="0.35">
      <c r="C21" s="39"/>
      <c r="D21" s="8"/>
      <c r="E21" s="8"/>
      <c r="F21" s="46">
        <v>1589</v>
      </c>
      <c r="G21" s="46">
        <v>1384</v>
      </c>
      <c r="H21" s="47">
        <f>(F21-G21)*15.83</f>
        <v>3245.15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2228.89</v>
      </c>
    </row>
    <row r="25" spans="3:11" ht="21" x14ac:dyDescent="0.35">
      <c r="C25" s="39"/>
      <c r="D25" s="8"/>
      <c r="E25" s="8"/>
      <c r="F25" s="46">
        <v>46</v>
      </c>
      <c r="G25" s="46">
        <v>27</v>
      </c>
      <c r="H25" s="47">
        <f>(F25-G25)*117.31</f>
        <v>2228.89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5474.04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5474.04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5474.04</v>
      </c>
      <c r="I16" s="18">
        <f>K35</f>
        <v>5355.0499999999993</v>
      </c>
      <c r="J16" s="18">
        <f>I16+H16+G16</f>
        <v>10829.09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2" t="s">
        <v>32</v>
      </c>
      <c r="E20" s="92"/>
      <c r="F20" s="46" t="s">
        <v>69</v>
      </c>
      <c r="G20" s="46"/>
      <c r="H20" s="46"/>
      <c r="I20" s="9"/>
      <c r="J20" s="22">
        <v>0</v>
      </c>
      <c r="K20" s="9">
        <f>H21</f>
        <v>4416.57</v>
      </c>
    </row>
    <row r="21" spans="3:11" ht="21" x14ac:dyDescent="0.35">
      <c r="C21" s="39"/>
      <c r="D21" s="8"/>
      <c r="E21" s="8"/>
      <c r="F21" s="46">
        <v>1868</v>
      </c>
      <c r="G21" s="46">
        <v>1589</v>
      </c>
      <c r="H21" s="47">
        <f>(F21-G21)*15.83</f>
        <v>4416.57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938.48</v>
      </c>
    </row>
    <row r="25" spans="3:11" ht="21" x14ac:dyDescent="0.35">
      <c r="C25" s="39"/>
      <c r="D25" s="8"/>
      <c r="E25" s="8"/>
      <c r="F25" s="46">
        <v>54</v>
      </c>
      <c r="G25" s="46">
        <v>46</v>
      </c>
      <c r="H25" s="47">
        <f>(F25-G25)*117.31</f>
        <v>938.48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8</v>
      </c>
      <c r="G26" s="9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5355.0499999999993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10829.09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57" t="s">
        <v>71</v>
      </c>
      <c r="D41" s="57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10829.09</v>
      </c>
      <c r="I16" s="18">
        <f>K36</f>
        <v>5799.1680000000006</v>
      </c>
      <c r="J16" s="18">
        <f>I16+H16+G16</f>
        <v>16628.258000000002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2" t="s">
        <v>32</v>
      </c>
      <c r="E20" s="92"/>
      <c r="F20" s="46" t="s">
        <v>77</v>
      </c>
      <c r="G20" s="46"/>
      <c r="H20" s="46"/>
      <c r="I20" s="9"/>
      <c r="J20" s="22">
        <v>0</v>
      </c>
      <c r="K20" s="9">
        <f>H21</f>
        <v>3952.8</v>
      </c>
    </row>
    <row r="21" spans="3:11" ht="21" x14ac:dyDescent="0.35">
      <c r="C21" s="39"/>
      <c r="D21" s="8"/>
      <c r="E21" s="8"/>
      <c r="F21" s="46">
        <v>2228</v>
      </c>
      <c r="G21" s="46">
        <v>1868</v>
      </c>
      <c r="H21" s="47">
        <f>(F21-G21)*10.98</f>
        <v>3952.8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360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879.84</v>
      </c>
    </row>
    <row r="25" spans="3:11" ht="21" x14ac:dyDescent="0.35">
      <c r="C25" s="39"/>
      <c r="D25" s="8"/>
      <c r="E25" s="8"/>
      <c r="F25" s="46">
        <v>63</v>
      </c>
      <c r="G25" s="46">
        <v>54</v>
      </c>
      <c r="H25" s="47">
        <f>(F25-G25)*97.76</f>
        <v>879.84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9</v>
      </c>
      <c r="G26" s="98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966.52800000000013</v>
      </c>
      <c r="J28" s="22">
        <v>0</v>
      </c>
      <c r="K28" s="9">
        <f>I28</f>
        <v>966.52800000000013</v>
      </c>
    </row>
    <row r="29" spans="3:11" ht="21" x14ac:dyDescent="0.35">
      <c r="C29" s="99" t="s">
        <v>82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2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5799.1680000000006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16628.258000000002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6" t="s">
        <v>17</v>
      </c>
      <c r="D41" s="86"/>
      <c r="E41" s="86"/>
      <c r="F41" s="86"/>
      <c r="G41" s="86"/>
      <c r="H41" s="86"/>
      <c r="I41" s="86"/>
      <c r="J41" s="86"/>
      <c r="K41" s="86"/>
      <c r="L41" s="3"/>
    </row>
    <row r="42" spans="2:12" s="8" customFormat="1" ht="23.25" x14ac:dyDescent="0.35">
      <c r="B42" s="3"/>
      <c r="C42" s="63" t="s">
        <v>71</v>
      </c>
      <c r="D42" s="59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9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6" t="s">
        <v>33</v>
      </c>
      <c r="D56" s="96"/>
      <c r="E56" s="96"/>
      <c r="F56" s="8"/>
      <c r="G56" s="96" t="s">
        <v>31</v>
      </c>
      <c r="H56" s="96"/>
      <c r="I56" s="9"/>
      <c r="J56" s="9"/>
      <c r="K56" s="9"/>
    </row>
    <row r="57" spans="3:11" ht="21" x14ac:dyDescent="0.35">
      <c r="C57" s="86" t="s">
        <v>23</v>
      </c>
      <c r="D57" s="86"/>
      <c r="E57" s="86"/>
      <c r="F57" s="8"/>
      <c r="G57" s="86" t="s">
        <v>24</v>
      </c>
      <c r="H57" s="8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64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f>[1]Sheet1!$C$13+[1]Sheet1!$J$13</f>
        <v>5474.04</v>
      </c>
      <c r="I16" s="18">
        <f>K36</f>
        <v>5799.1680000000006</v>
      </c>
      <c r="J16" s="18">
        <f>I16+H16+G16</f>
        <v>11273.208000000001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2" t="s">
        <v>32</v>
      </c>
      <c r="E20" s="92"/>
      <c r="F20" s="46" t="s">
        <v>77</v>
      </c>
      <c r="G20" s="46"/>
      <c r="H20" s="46"/>
      <c r="I20" s="9"/>
      <c r="J20" s="22">
        <v>0</v>
      </c>
      <c r="K20" s="9">
        <f>H21</f>
        <v>3952.8</v>
      </c>
    </row>
    <row r="21" spans="3:11" ht="21" x14ac:dyDescent="0.35">
      <c r="C21" s="39"/>
      <c r="D21" s="8"/>
      <c r="E21" s="8"/>
      <c r="F21" s="46">
        <v>2228</v>
      </c>
      <c r="G21" s="46">
        <v>1868</v>
      </c>
      <c r="H21" s="47">
        <f>(F21-G21)*10.98</f>
        <v>3952.8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360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879.84</v>
      </c>
    </row>
    <row r="25" spans="3:11" ht="21" x14ac:dyDescent="0.35">
      <c r="C25" s="39"/>
      <c r="D25" s="8"/>
      <c r="E25" s="8"/>
      <c r="F25" s="46">
        <v>63</v>
      </c>
      <c r="G25" s="46">
        <v>54</v>
      </c>
      <c r="H25" s="47">
        <f>(F25-G25)*97.76</f>
        <v>879.84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9</v>
      </c>
      <c r="G26" s="98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966.52800000000013</v>
      </c>
      <c r="J28" s="22">
        <v>0</v>
      </c>
      <c r="K28" s="9">
        <f>I28</f>
        <v>966.52800000000013</v>
      </c>
    </row>
    <row r="29" spans="3:11" ht="21" x14ac:dyDescent="0.35">
      <c r="C29" s="99" t="s">
        <v>82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2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5799.1680000000006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11273.208000000001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6" t="s">
        <v>17</v>
      </c>
      <c r="D41" s="86"/>
      <c r="E41" s="86"/>
      <c r="F41" s="86"/>
      <c r="G41" s="86"/>
      <c r="H41" s="86"/>
      <c r="I41" s="86"/>
      <c r="J41" s="86"/>
      <c r="K41" s="86"/>
      <c r="L41" s="3"/>
    </row>
    <row r="42" spans="2:12" s="8" customFormat="1" ht="23.25" x14ac:dyDescent="0.35">
      <c r="B42" s="3"/>
      <c r="C42" s="63" t="s">
        <v>71</v>
      </c>
      <c r="D42" s="59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9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6" t="s">
        <v>33</v>
      </c>
      <c r="D56" s="96"/>
      <c r="E56" s="96"/>
      <c r="F56" s="8"/>
      <c r="G56" s="96" t="s">
        <v>31</v>
      </c>
      <c r="H56" s="96"/>
      <c r="I56" s="9"/>
      <c r="J56" s="9"/>
      <c r="K56" s="9"/>
    </row>
    <row r="57" spans="3:11" ht="21" x14ac:dyDescent="0.35">
      <c r="C57" s="86" t="s">
        <v>23</v>
      </c>
      <c r="D57" s="86"/>
      <c r="E57" s="86"/>
      <c r="F57" s="8"/>
      <c r="G57" s="86" t="s">
        <v>24</v>
      </c>
      <c r="H57" s="8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APR 2020 (2)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'APR 2020 (2)'!Print_Area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2020-12-17T06:16:45Z</cp:lastPrinted>
  <dcterms:created xsi:type="dcterms:W3CDTF">2018-02-28T02:33:50Z</dcterms:created>
  <dcterms:modified xsi:type="dcterms:W3CDTF">2020-12-17T06:18:18Z</dcterms:modified>
</cp:coreProperties>
</file>