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2020'!$A$1:$K$54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2020'!$A$1:$K$54</definedName>
    <definedName name="_xlnm.Print_Area" localSheetId="7">'JUN 2020'!$A$1:$K$54</definedName>
    <definedName name="_xlnm.Print_Area" localSheetId="4">'MAR 2020'!$A$1:$K$57</definedName>
    <definedName name="_xlnm.Print_Area" localSheetId="6">'MAY 2020'!$A$1:$K$60</definedName>
    <definedName name="_xlnm.Print_Area" localSheetId="12">'NOV 2020'!$A$1:$K$54</definedName>
    <definedName name="_xlnm.Print_Area" localSheetId="0">'NOVEMBER 2019'!$A$1:$L$57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G16" i="15" l="1"/>
  <c r="K33" i="15" l="1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5" i="14" l="1"/>
  <c r="H21" i="14" l="1"/>
  <c r="K33" i="14" l="1"/>
  <c r="F26" i="14"/>
  <c r="K24" i="14"/>
  <c r="F22" i="14"/>
  <c r="K20" i="14"/>
  <c r="K34" i="14" s="1"/>
  <c r="I16" i="14" l="1"/>
  <c r="J16" i="14" s="1"/>
  <c r="H21" i="13"/>
  <c r="H25" i="13"/>
  <c r="K33" i="13"/>
  <c r="K29" i="13"/>
  <c r="K27" i="13"/>
  <c r="F26" i="13"/>
  <c r="K24" i="13"/>
  <c r="F22" i="13"/>
  <c r="K20" i="13"/>
  <c r="K36" i="14" l="1"/>
  <c r="K34" i="13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K36" i="12" s="1"/>
  <c r="J16" i="12"/>
  <c r="H21" i="11"/>
  <c r="K20" i="11" s="1"/>
  <c r="H25" i="11"/>
  <c r="K24" i="11" s="1"/>
  <c r="K33" i="11"/>
  <c r="K29" i="11"/>
  <c r="K27" i="11"/>
  <c r="F26" i="11"/>
  <c r="F22" i="11"/>
  <c r="K34" i="11" l="1"/>
  <c r="I16" i="11" s="1"/>
  <c r="K36" i="11" s="1"/>
  <c r="K31" i="10"/>
  <c r="J16" i="11" l="1"/>
  <c r="K33" i="10"/>
  <c r="H21" i="10"/>
  <c r="K20" i="10" s="1"/>
  <c r="H25" i="10"/>
  <c r="K24" i="10" s="1"/>
  <c r="K29" i="10"/>
  <c r="F26" i="10"/>
  <c r="F22" i="10"/>
  <c r="K27" i="10" l="1"/>
  <c r="K33" i="9"/>
  <c r="F26" i="7"/>
  <c r="F22" i="7"/>
  <c r="K35" i="9"/>
  <c r="K34" i="10" l="1"/>
  <c r="I16" i="10" s="1"/>
  <c r="H21" i="9"/>
  <c r="K36" i="10" l="1"/>
  <c r="J16" i="10"/>
  <c r="K30" i="9"/>
  <c r="F26" i="9"/>
  <c r="H25" i="9"/>
  <c r="I28" i="9" s="1"/>
  <c r="K28" i="9" s="1"/>
  <c r="K24" i="9"/>
  <c r="F22" i="9"/>
  <c r="K20" i="9"/>
  <c r="K36" i="9" l="1"/>
  <c r="I16" i="9"/>
  <c r="F26" i="8"/>
  <c r="F22" i="8"/>
  <c r="K38" i="9" l="1"/>
  <c r="J16" i="9"/>
  <c r="H25" i="8"/>
  <c r="H21" i="8"/>
  <c r="I28" i="8" s="1"/>
  <c r="K35" i="8" l="1"/>
  <c r="K33" i="8"/>
  <c r="K30" i="8"/>
  <c r="K28" i="8"/>
  <c r="K24" i="8"/>
  <c r="K20" i="8"/>
  <c r="K36" i="8" l="1"/>
  <c r="I16" i="8" s="1"/>
  <c r="J16" i="8" s="1"/>
  <c r="K34" i="7"/>
  <c r="K32" i="7"/>
  <c r="K29" i="7"/>
  <c r="K27" i="7"/>
  <c r="H25" i="7"/>
  <c r="K24" i="7" s="1"/>
  <c r="H21" i="7"/>
  <c r="K20" i="7" s="1"/>
  <c r="K38" i="8" l="1"/>
  <c r="K35" i="7"/>
  <c r="I16" i="7" s="1"/>
  <c r="K37" i="7" s="1"/>
  <c r="J16" i="7"/>
  <c r="H25" i="6"/>
  <c r="H21" i="6"/>
  <c r="K34" i="6" l="1"/>
  <c r="K32" i="6"/>
  <c r="K29" i="6"/>
  <c r="K27" i="6"/>
  <c r="K24" i="6"/>
  <c r="K20" i="6"/>
  <c r="K35" i="6" l="1"/>
  <c r="I16" i="6" s="1"/>
  <c r="K37" i="6" s="1"/>
  <c r="H25" i="5"/>
  <c r="H21" i="5"/>
  <c r="J16" i="6" l="1"/>
  <c r="K34" i="5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J16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<sst xmlns="http://schemas.openxmlformats.org/spreadsheetml/2006/main" count="586" uniqueCount="123">
  <si>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</si>
  <si>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</si>
  <si>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</si>
  <si>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</si>
  <si>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</si>
  <si>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</si>
  <si>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</si>
  <si>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</si>
  <si>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</si>
  <si>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</si>
  <si>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</si>
  <si>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</si>
  <si>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</si>
  <si>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</si>
  <si>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</si>
  <si>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</si>
  <si>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</si>
  <si>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</si>
  <si>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</si>
  <si>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</si>
  <si>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</si>
  <si>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</si>
  <si>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</si>
  <si>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</si>
  <si>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</si>
  <si>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</si>
  <si>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</si>
  <si>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</si>
  <si>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</si>
  <si>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</si>
  <si>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</si>
  <si>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</si>
  <si>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</si>
  <si>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</si>
  <si>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</si>
  <si>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</si>
  <si>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</si>
  <si>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</si>
  <si>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ROMMEL BAILON</t>
  </si>
  <si>
    <t>UNIT: 24A09</t>
  </si>
  <si>
    <t xml:space="preserve">PRES: NOV 25 2019 - PREV: NOV 19 2019 * </t>
  </si>
  <si>
    <t>JAN 5 2020</t>
  </si>
  <si>
    <t>JAN 15 2020</t>
  </si>
  <si>
    <t>BILLING MONTH: DECEMBER 2019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</si>
  <si>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</si>
  <si>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</si>
  <si>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</si>
  <si>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</si>
  <si>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</si>
  <si>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</si>
  <si>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</si>
  <si>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</si>
  <si>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</si>
  <si>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</si>
  <si>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</si>
  <si>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</si>
  <si>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</si>
  <si>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</si>
  <si>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</si>
  <si>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</si>
  <si>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</si>
  <si>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</si>
  <si>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</si>
  <si>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</si>
  <si>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</si>
  <si>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</si>
  <si>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</si>
  <si>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</si>
  <si>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</si>
  <si>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</si>
  <si>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</si>
  <si>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</si>
  <si>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</si>
  <si>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</si>
  <si>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</si>
  <si>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</si>
  <si>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</si>
  <si>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</si>
  <si>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</si>
  <si>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</si>
  <si>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</si>
  <si>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</si>
  <si>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2020 - 191 kWh x 10.98 = 2,097.18 + 20% (AC) = 2,516.62 - 3,023.53 (billing Mar2020) = </t>
    </r>
    <r>
      <rPr>
        <b/>
        <u/>
        <sz val="14"/>
        <color rgb="FFFF0000"/>
        <rFont val="Calibri"/>
        <family val="2"/>
        <scheme val="minor"/>
      </rPr>
      <t>506.91</t>
    </r>
    <r>
      <rPr>
        <b/>
        <sz val="14"/>
        <color rgb="FFFF0000"/>
        <rFont val="Calibri"/>
        <family val="2"/>
        <scheme val="minor"/>
      </rPr>
      <t xml:space="preserve">
APR 2020 - 257 kWh x 9.79 = 2,516.03 + 20% (AC) = 3,019.24 - 3,386.23 (billing Apr2020) = </t>
    </r>
    <r>
      <rPr>
        <b/>
        <u/>
        <sz val="14"/>
        <color rgb="FFFF0000"/>
        <rFont val="Calibri"/>
        <family val="2"/>
        <scheme val="minor"/>
      </rPr>
      <t>366.99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</si>
  <si>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</si>
  <si>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</si>
  <si>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</si>
  <si>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</si>
  <si>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</si>
  <si>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2020 - 10 cubic x 96.92 = 969.20 + 20% (AC) = 1,163.04 - 1,173.10 (billing Mar2020) = </t>
    </r>
    <r>
      <rPr>
        <b/>
        <u/>
        <sz val="14"/>
        <color rgb="FFFF0000"/>
        <rFont val="Calibri"/>
        <family val="2"/>
        <scheme val="minor"/>
      </rPr>
      <t>10.06</t>
    </r>
    <r>
      <rPr>
        <b/>
        <sz val="14"/>
        <color rgb="FFFF0000"/>
        <rFont val="Calibri"/>
        <family val="2"/>
        <scheme val="minor"/>
      </rPr>
      <t xml:space="preserve">
APR 2020 - 11 cubic x 96.21 = 1,058.31 + 20% (AC) = 1,269.97 - 1,290.43 (billing Apr2020) = </t>
    </r>
    <r>
      <rPr>
        <b/>
        <u/>
        <sz val="14"/>
        <color rgb="FFFF0000"/>
        <rFont val="Calibri"/>
        <family val="2"/>
        <scheme val="minor"/>
      </rPr>
      <t xml:space="preserve">20.46
</t>
    </r>
    <r>
      <rPr>
        <b/>
        <sz val="14"/>
        <color rgb="FFFF0000"/>
        <rFont val="Calibri"/>
        <family val="2"/>
        <scheme val="minor"/>
      </rPr>
      <t xml:space="preserve">MAY 2020 - 11 cubic x 95.58 = 1,051.38 + 20% (AC) = 1,261.66 - 1,290.43 (billing May2020) = </t>
    </r>
    <r>
      <rPr>
        <b/>
        <u/>
        <sz val="14"/>
        <color rgb="FFFF0000"/>
        <rFont val="Calibri"/>
        <family val="2"/>
        <scheme val="minor"/>
      </rPr>
      <t>28.77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</si>
  <si>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</si>
  <si>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</si>
  <si>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</si>
  <si>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</si>
  <si>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</si>
  <si>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</si>
  <si>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</si>
  <si>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</si>
  <si>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</si>
  <si>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</si>
  <si>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</si>
  <si>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</si>
  <si>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</si>
  <si>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</si>
  <si>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</si>
  <si>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</si>
  <si>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</si>
  <si>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</si>
  <si>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</si>
  <si>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</si>
  <si>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ELECTRICITY - OCT 2020</t>
  </si>
  <si>
    <t>WATER - OCT 2020</t>
  </si>
  <si>
    <t>ASSOCIATION DUES</t>
  </si>
  <si>
    <t>ASU PAST DUE</t>
  </si>
  <si>
    <t>UTILITY PAST DUE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</si>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</sst>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4A09%20-%20BAI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1250</v>
      </c>
      <c r="G21" s="46">
        <v>1250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K9" sqref="K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3510.1900000000005</v>
      </c>
      <c r="J16" s="18">
        <f>I16+H16+G16</f>
        <v>3510.1900000000005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97</v>
      </c>
      <c r="G20" s="46"/>
      <c r="H20" s="46"/>
      <c r="I20" s="9"/>
      <c r="J20" s="22">
        <v>0</v>
      </c>
      <c r="K20" s="9">
        <f>H21</f>
        <v>2437.1400000000003</v>
      </c>
    </row>
    <row r="21" spans="3:11" ht="21" x14ac:dyDescent="0.35">
      <c r="C21" s="39"/>
      <c r="D21" s="8"/>
      <c r="E21" s="8"/>
      <c r="F21" s="46">
        <v>3100</v>
      </c>
      <c r="G21" s="46">
        <v>2831</v>
      </c>
      <c r="H21" s="47">
        <f>(F21-G21)*9.06</f>
        <v>2437.1400000000003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269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1073.05</v>
      </c>
    </row>
    <row r="25" spans="3:11" ht="21" x14ac:dyDescent="0.35">
      <c r="C25" s="39"/>
      <c r="D25" s="8"/>
      <c r="E25" s="8"/>
      <c r="F25" s="46">
        <v>79</v>
      </c>
      <c r="G25" s="46">
        <v>68</v>
      </c>
      <c r="H25" s="47">
        <f>(F25-G25)*97.55</f>
        <v>1073.05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3510.1900000000005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3510.1900000000005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7" zoomScale="70" zoomScaleNormal="70" workbookViewId="0">
      <selection activeCell="O25" sqref="O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K34</f>
        <v>4197.34</v>
      </c>
      <c r="J16" s="18">
        <f>I16+H16+G16</f>
        <v>4197.34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102</v>
      </c>
      <c r="G20" s="46"/>
      <c r="H20" s="46"/>
      <c r="I20" s="9"/>
      <c r="J20" s="22">
        <v>0</v>
      </c>
      <c r="K20" s="9">
        <f>H21</f>
        <v>3020.5000000000005</v>
      </c>
    </row>
    <row r="21" spans="3:11" ht="21" x14ac:dyDescent="0.35">
      <c r="C21" s="39"/>
      <c r="D21" s="8"/>
      <c r="E21" s="8"/>
      <c r="F21" s="46">
        <v>3450</v>
      </c>
      <c r="G21" s="46">
        <v>3100</v>
      </c>
      <c r="H21" s="47">
        <f>(F21-G21)*8.63</f>
        <v>3020.5000000000005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350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1176.8399999999999</v>
      </c>
    </row>
    <row r="25" spans="3:11" ht="21" x14ac:dyDescent="0.35">
      <c r="C25" s="39"/>
      <c r="D25" s="8"/>
      <c r="E25" s="8"/>
      <c r="F25" s="46">
        <v>91</v>
      </c>
      <c r="G25" s="46">
        <v>79</v>
      </c>
      <c r="H25" s="47">
        <f>(F25-G25)*98.07</f>
        <v>1176.8399999999999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12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4197.34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4197.34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112</v>
      </c>
      <c r="H15" s="13" t="s">
        <v>113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5479.2</v>
      </c>
      <c r="H16" s="18"/>
      <c r="I16" s="18">
        <f>K34</f>
        <v>5008.12</v>
      </c>
      <c r="J16" s="18">
        <f>I16+H16+G16</f>
        <v>10487.32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109</v>
      </c>
      <c r="E20" s="95"/>
      <c r="F20" s="46" t="s">
        <v>106</v>
      </c>
      <c r="G20" s="46"/>
      <c r="H20" s="46"/>
      <c r="I20" s="9"/>
      <c r="J20" s="22">
        <v>0</v>
      </c>
      <c r="K20" s="9">
        <f>H21</f>
        <v>2357.04</v>
      </c>
    </row>
    <row r="21" spans="3:11" ht="21" x14ac:dyDescent="0.35">
      <c r="C21" s="39"/>
      <c r="D21" s="8"/>
      <c r="E21" s="8"/>
      <c r="F21" s="46">
        <v>3772</v>
      </c>
      <c r="G21" s="46">
        <v>3450</v>
      </c>
      <c r="H21" s="47">
        <f>(F21-G21)*7.32</f>
        <v>2357.04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322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110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1281.28</v>
      </c>
    </row>
    <row r="25" spans="3:11" ht="21" x14ac:dyDescent="0.35">
      <c r="C25" s="39"/>
      <c r="D25" s="8"/>
      <c r="E25" s="8"/>
      <c r="F25" s="46">
        <v>104</v>
      </c>
      <c r="G25" s="46">
        <v>91</v>
      </c>
      <c r="H25" s="47">
        <f>(F25-G25)*98.56</f>
        <v>1281.28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13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5" t="s">
        <v>111</v>
      </c>
      <c r="E28" s="95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5008.12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10487.32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4" zoomScale="70" zoomScaleNormal="70" workbookViewId="0">
      <selection activeCell="K24" sqref="K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112</v>
      </c>
      <c r="H15" s="13" t="s">
        <v>113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[1]ASU!$E$12</f>
        <v>6849</v>
      </c>
      <c r="H16" s="18"/>
      <c r="I16" s="18">
        <f>K34</f>
        <v>5078.6899999999996</v>
      </c>
      <c r="J16" s="18">
        <f>I16+H16+G16</f>
        <v>11927.689999999999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121</v>
      </c>
      <c r="G20" s="46"/>
      <c r="H20" s="46"/>
      <c r="I20" s="9"/>
      <c r="J20" s="22">
        <v>0</v>
      </c>
      <c r="K20" s="9">
        <f>H21</f>
        <v>2630.56</v>
      </c>
    </row>
    <row r="21" spans="3:11" ht="21" x14ac:dyDescent="0.35">
      <c r="C21" s="39"/>
      <c r="D21" s="8"/>
      <c r="E21" s="8"/>
      <c r="F21" s="46">
        <v>4100</v>
      </c>
      <c r="G21" s="46">
        <v>3772</v>
      </c>
      <c r="H21" s="47">
        <f>(F21-G21)*8.02</f>
        <v>2630.56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328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119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1078.33</v>
      </c>
    </row>
    <row r="25" spans="3:11" ht="21" x14ac:dyDescent="0.35">
      <c r="C25" s="39"/>
      <c r="D25" s="8"/>
      <c r="E25" s="8"/>
      <c r="F25" s="46">
        <v>115</v>
      </c>
      <c r="G25" s="46">
        <v>104</v>
      </c>
      <c r="H25" s="47">
        <f>(F25-G25)*98.03</f>
        <v>1078.33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5" t="s">
        <v>111</v>
      </c>
      <c r="E28" s="95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8"/>
      <c r="D30" s="68"/>
      <c r="E30" s="68"/>
      <c r="F30" s="77"/>
      <c r="G30" s="77"/>
      <c r="H30" s="77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5078.6899999999996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11927.689999999999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120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41</v>
      </c>
      <c r="E16" s="49" t="s">
        <v>42</v>
      </c>
      <c r="F16" s="18"/>
      <c r="G16" s="18"/>
      <c r="H16" s="18"/>
      <c r="I16" s="18">
        <f>K35</f>
        <v>296.52999999999997</v>
      </c>
      <c r="J16" s="18">
        <f>I16+H16+G16</f>
        <v>296.52999999999997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44</v>
      </c>
      <c r="G20" s="46"/>
      <c r="H20" s="46"/>
      <c r="I20" s="9"/>
      <c r="J20" s="22">
        <v>0</v>
      </c>
      <c r="K20" s="9">
        <f>H21</f>
        <v>180.6</v>
      </c>
    </row>
    <row r="21" spans="3:11" ht="21" x14ac:dyDescent="0.35">
      <c r="C21" s="39"/>
      <c r="D21" s="8"/>
      <c r="E21" s="8"/>
      <c r="F21" s="46">
        <v>1260</v>
      </c>
      <c r="G21" s="46">
        <v>1250</v>
      </c>
      <c r="H21" s="47">
        <f>(F21-G21)*18.06</f>
        <v>180.6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296.52999999999997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296.52999999999997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1833.1399999999999</v>
      </c>
      <c r="J16" s="18">
        <f>I16+H16+G16</f>
        <v>1833.1399999999999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49</v>
      </c>
      <c r="G20" s="46"/>
      <c r="H20" s="46"/>
      <c r="I20" s="9"/>
      <c r="J20" s="22">
        <v>0</v>
      </c>
      <c r="K20" s="9">
        <f>H21</f>
        <v>1600.8</v>
      </c>
    </row>
    <row r="21" spans="3:11" ht="21" x14ac:dyDescent="0.35">
      <c r="C21" s="39"/>
      <c r="D21" s="8"/>
      <c r="E21" s="8"/>
      <c r="F21" s="46">
        <v>1352</v>
      </c>
      <c r="G21" s="46">
        <v>1260</v>
      </c>
      <c r="H21" s="47">
        <f>(F21-G21)*17.4</f>
        <v>1600.8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1833.1399999999999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1833.1399999999999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2711.44</v>
      </c>
      <c r="J16" s="18">
        <f>I16+H16+G16</f>
        <v>2711.44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54</v>
      </c>
      <c r="G20" s="46"/>
      <c r="H20" s="46"/>
      <c r="I20" s="9"/>
      <c r="J20" s="22">
        <v>0</v>
      </c>
      <c r="K20" s="9">
        <f>H21</f>
        <v>1772.96</v>
      </c>
    </row>
    <row r="21" spans="3:11" ht="21" x14ac:dyDescent="0.35">
      <c r="C21" s="39"/>
      <c r="D21" s="8"/>
      <c r="E21" s="8"/>
      <c r="F21" s="46">
        <v>1464</v>
      </c>
      <c r="G21" s="46">
        <v>1352</v>
      </c>
      <c r="H21" s="47">
        <f>(F21-G21)*15.83</f>
        <v>1772.96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938.48</v>
      </c>
    </row>
    <row r="25" spans="3:11" ht="21" x14ac:dyDescent="0.35">
      <c r="C25" s="39"/>
      <c r="D25" s="8"/>
      <c r="E25" s="8"/>
      <c r="F25" s="46">
        <v>11</v>
      </c>
      <c r="G25" s="46">
        <v>3</v>
      </c>
      <c r="H25" s="47">
        <f>(F25-G25)*117.31</f>
        <v>938.48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2711.44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2711.44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4196.63</v>
      </c>
      <c r="J16" s="18">
        <f>I16+H16+G16</f>
        <v>4196.63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59</v>
      </c>
      <c r="G20" s="46"/>
      <c r="H20" s="46"/>
      <c r="I20" s="9"/>
      <c r="J20" s="22">
        <v>0</v>
      </c>
      <c r="K20" s="9">
        <f>H21</f>
        <v>3023.53</v>
      </c>
    </row>
    <row r="21" spans="3:11" ht="21" x14ac:dyDescent="0.35">
      <c r="C21" s="39"/>
      <c r="D21" s="8"/>
      <c r="E21" s="8"/>
      <c r="F21" s="46">
        <v>1655</v>
      </c>
      <c r="G21" s="46">
        <v>1464</v>
      </c>
      <c r="H21" s="47">
        <f>(F21-G21)*15.83</f>
        <v>3023.53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191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1173.0999999999999</v>
      </c>
    </row>
    <row r="25" spans="3:11" ht="21" x14ac:dyDescent="0.35">
      <c r="C25" s="39"/>
      <c r="D25" s="8"/>
      <c r="E25" s="8"/>
      <c r="F25" s="46">
        <v>21</v>
      </c>
      <c r="G25" s="46">
        <v>11</v>
      </c>
      <c r="H25" s="47">
        <f>(F25-G25)*117.31</f>
        <v>1173.0999999999999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10</v>
      </c>
      <c r="G26" s="8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4196.63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4196.63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6" t="s">
        <v>61</v>
      </c>
      <c r="D41" s="56" t="s">
        <v>62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P19" sqref="P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65</v>
      </c>
      <c r="E16" s="49" t="s">
        <v>66</v>
      </c>
      <c r="F16" s="18"/>
      <c r="G16" s="18"/>
      <c r="H16" s="18"/>
      <c r="I16" s="18">
        <f>K36</f>
        <v>4676.6640000000007</v>
      </c>
      <c r="J16" s="18">
        <f>I16+H16+G16</f>
        <v>4676.6640000000007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67</v>
      </c>
      <c r="G20" s="46"/>
      <c r="H20" s="46"/>
      <c r="I20" s="9"/>
      <c r="J20" s="22">
        <v>0</v>
      </c>
      <c r="K20" s="9">
        <f>H21</f>
        <v>2821.86</v>
      </c>
    </row>
    <row r="21" spans="3:11" ht="21" x14ac:dyDescent="0.35">
      <c r="C21" s="39"/>
      <c r="D21" s="8"/>
      <c r="E21" s="8"/>
      <c r="F21" s="46">
        <v>1912</v>
      </c>
      <c r="G21" s="46">
        <v>1655</v>
      </c>
      <c r="H21" s="47">
        <f>(F21-G21)*10.98</f>
        <v>2821.86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257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68</v>
      </c>
      <c r="G24" s="46"/>
      <c r="H24" s="46"/>
      <c r="I24" s="9"/>
      <c r="J24" s="22">
        <v>0</v>
      </c>
      <c r="K24" s="9">
        <f>H25</f>
        <v>1075.3600000000001</v>
      </c>
    </row>
    <row r="25" spans="3:11" ht="21" x14ac:dyDescent="0.35">
      <c r="C25" s="39"/>
      <c r="D25" s="8"/>
      <c r="E25" s="8"/>
      <c r="F25" s="46">
        <v>32</v>
      </c>
      <c r="G25" s="46">
        <v>21</v>
      </c>
      <c r="H25" s="47">
        <f>(F25-G25)*97.76</f>
        <v>1075.3600000000001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11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69</v>
      </c>
      <c r="E28" s="8"/>
      <c r="F28" s="8"/>
      <c r="G28" s="8"/>
      <c r="H28" s="8"/>
      <c r="I28" s="9">
        <f>(H21+H25)*20%</f>
        <v>779.44400000000007</v>
      </c>
      <c r="J28" s="22">
        <v>0</v>
      </c>
      <c r="K28" s="9">
        <f>I28</f>
        <v>779.44400000000007</v>
      </c>
    </row>
    <row r="29" spans="3:11" ht="21" x14ac:dyDescent="0.35">
      <c r="C29" s="91" t="s">
        <v>72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4676.6640000000007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4676.6640000000007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7" t="s">
        <v>61</v>
      </c>
      <c r="D42" s="58" t="s">
        <v>62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8" t="s">
        <v>63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6" workbookViewId="0">
      <selection activeCell="N45" sqref="N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74</v>
      </c>
      <c r="E16" s="49" t="s">
        <v>75</v>
      </c>
      <c r="F16" s="18"/>
      <c r="G16" s="18"/>
      <c r="H16" s="18"/>
      <c r="I16" s="18">
        <f>K36</f>
        <v>3823.4519999999998</v>
      </c>
      <c r="J16" s="18">
        <f>I16+H16+G16</f>
        <v>3823.4519999999998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76</v>
      </c>
      <c r="G20" s="46"/>
      <c r="H20" s="46"/>
      <c r="I20" s="9"/>
      <c r="J20" s="22">
        <v>0</v>
      </c>
      <c r="K20" s="9">
        <f>H21</f>
        <v>2839.1</v>
      </c>
    </row>
    <row r="21" spans="3:11" ht="21" x14ac:dyDescent="0.35">
      <c r="C21" s="39"/>
      <c r="D21" s="8"/>
      <c r="E21" s="8"/>
      <c r="F21" s="46">
        <v>2202</v>
      </c>
      <c r="G21" s="46">
        <v>1912</v>
      </c>
      <c r="H21" s="47">
        <f>(F21-G21)*9.79</f>
        <v>2839.1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290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1075.3600000000001</v>
      </c>
    </row>
    <row r="25" spans="3:11" ht="21" x14ac:dyDescent="0.35">
      <c r="C25" s="39"/>
      <c r="D25" s="8"/>
      <c r="E25" s="8"/>
      <c r="F25" s="46">
        <v>43</v>
      </c>
      <c r="G25" s="46">
        <v>32</v>
      </c>
      <c r="H25" s="47">
        <f>(F25-G25)*97.76</f>
        <v>1075.3600000000001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11</v>
      </c>
      <c r="G26" s="8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69</v>
      </c>
      <c r="E28" s="8"/>
      <c r="F28" s="8"/>
      <c r="G28" s="8"/>
      <c r="H28" s="8"/>
      <c r="I28" s="9">
        <f>(H21+H25)*20%</f>
        <v>782.89200000000005</v>
      </c>
      <c r="J28" s="22">
        <v>0</v>
      </c>
      <c r="K28" s="9">
        <f>I28</f>
        <v>782.89200000000005</v>
      </c>
    </row>
    <row r="29" spans="3:11" ht="21" customHeight="1" x14ac:dyDescent="0.35">
      <c r="C29" s="91" t="s">
        <v>78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3" t="s">
        <v>79</v>
      </c>
      <c r="E33" s="93"/>
      <c r="F33" s="94" t="s">
        <v>82</v>
      </c>
      <c r="G33" s="94"/>
      <c r="H33" s="94"/>
      <c r="I33" s="94"/>
      <c r="J33" s="63">
        <v>0</v>
      </c>
      <c r="K33" s="63">
        <f>(506.91+366.99)</f>
        <v>873.90000000000009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3823.4519999999998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3823.4519999999998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2" t="s">
        <v>17</v>
      </c>
      <c r="D41" s="92"/>
      <c r="E41" s="92"/>
      <c r="F41" s="92"/>
      <c r="G41" s="92"/>
      <c r="H41" s="92"/>
      <c r="I41" s="92"/>
      <c r="J41" s="92"/>
      <c r="K41" s="92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7" t="s">
        <v>61</v>
      </c>
      <c r="D43" s="58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 x14ac:dyDescent="0.35">
      <c r="C58" s="78" t="s">
        <v>23</v>
      </c>
      <c r="D58" s="78"/>
      <c r="E58" s="78"/>
      <c r="F58" s="8"/>
      <c r="G58" s="78" t="s">
        <v>24</v>
      </c>
      <c r="H58" s="7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Q7" sqref="Q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/>
      <c r="I16" s="18">
        <f>K34</f>
        <v>3558.0499999999997</v>
      </c>
      <c r="J16" s="18">
        <f>I16+H16+G16</f>
        <v>3558.0499999999997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86</v>
      </c>
      <c r="G20" s="46"/>
      <c r="H20" s="46"/>
      <c r="I20" s="9"/>
      <c r="J20" s="22">
        <v>0</v>
      </c>
      <c r="K20" s="9">
        <f>H21</f>
        <v>2558.9199999999996</v>
      </c>
    </row>
    <row r="21" spans="3:11" ht="21" x14ac:dyDescent="0.35">
      <c r="C21" s="39"/>
      <c r="D21" s="8"/>
      <c r="E21" s="8"/>
      <c r="F21" s="46">
        <v>2468</v>
      </c>
      <c r="G21" s="46">
        <v>2202</v>
      </c>
      <c r="H21" s="47">
        <f>(F21-G21)*9.62</f>
        <v>2558.9199999999996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266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1058.42</v>
      </c>
    </row>
    <row r="25" spans="3:11" ht="21" x14ac:dyDescent="0.35">
      <c r="C25" s="39"/>
      <c r="D25" s="8"/>
      <c r="E25" s="8"/>
      <c r="F25" s="46">
        <v>54</v>
      </c>
      <c r="G25" s="46">
        <v>43</v>
      </c>
      <c r="H25" s="47">
        <f>(F25-G25)*96.22</f>
        <v>1058.42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11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135" customHeight="1" x14ac:dyDescent="0.35">
      <c r="C31" s="38"/>
      <c r="D31" s="93" t="s">
        <v>79</v>
      </c>
      <c r="E31" s="93"/>
      <c r="F31" s="94" t="s">
        <v>88</v>
      </c>
      <c r="G31" s="94"/>
      <c r="H31" s="94"/>
      <c r="I31" s="94"/>
      <c r="J31" s="63">
        <v>0</v>
      </c>
      <c r="K31" s="63">
        <f>10.06+20.46+28.77</f>
        <v>59.290000000000006</v>
      </c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3558.0499999999997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3558.0499999999997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/>
      <c r="I16" s="18">
        <f>K34</f>
        <v>4617.45</v>
      </c>
      <c r="J16" s="18">
        <f>I16+H16+G16</f>
        <v>4617.45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92</v>
      </c>
      <c r="G20" s="46"/>
      <c r="H20" s="46"/>
      <c r="I20" s="9"/>
      <c r="J20" s="22">
        <v>0</v>
      </c>
      <c r="K20" s="9">
        <f>H21</f>
        <v>3263.37</v>
      </c>
    </row>
    <row r="21" spans="3:11" ht="21" x14ac:dyDescent="0.35">
      <c r="C21" s="39"/>
      <c r="D21" s="8"/>
      <c r="E21" s="8"/>
      <c r="F21" s="46">
        <v>2831</v>
      </c>
      <c r="G21" s="46">
        <v>2468</v>
      </c>
      <c r="H21" s="47">
        <f>(F21-G21)*8.99</f>
        <v>3263.37</v>
      </c>
      <c r="I21" s="9"/>
      <c r="J21" s="9"/>
      <c r="K21" s="9"/>
    </row>
    <row r="22" spans="3:11" ht="21" x14ac:dyDescent="0.35">
      <c r="C22" s="39"/>
      <c r="D22" s="90" t="s">
        <v>70</v>
      </c>
      <c r="E22" s="90"/>
      <c r="F22" s="89">
        <f>F21-G21</f>
        <v>363</v>
      </c>
      <c r="G22" s="8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1354.08</v>
      </c>
    </row>
    <row r="25" spans="3:11" ht="21" x14ac:dyDescent="0.35">
      <c r="C25" s="39"/>
      <c r="D25" s="8"/>
      <c r="E25" s="8"/>
      <c r="F25" s="46">
        <v>68</v>
      </c>
      <c r="G25" s="46">
        <v>54</v>
      </c>
      <c r="H25" s="47">
        <f>(F25-G25)*96.72</f>
        <v>1354.08</v>
      </c>
      <c r="I25" s="9"/>
      <c r="J25" s="9"/>
      <c r="K25" s="9"/>
    </row>
    <row r="26" spans="3:11" ht="21" x14ac:dyDescent="0.35">
      <c r="C26" s="39"/>
      <c r="D26" s="90" t="s">
        <v>71</v>
      </c>
      <c r="E26" s="90"/>
      <c r="F26" s="89">
        <f>F25-G25</f>
        <v>14</v>
      </c>
      <c r="G26" s="8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4617.45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4617.45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2" t="s">
        <v>17</v>
      </c>
      <c r="D39" s="92"/>
      <c r="E39" s="92"/>
      <c r="F39" s="92"/>
      <c r="G39" s="92"/>
      <c r="H39" s="92"/>
      <c r="I39" s="92"/>
      <c r="J39" s="92"/>
      <c r="K39" s="92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7"/>
      <c r="D43" s="87"/>
      <c r="E43" s="87"/>
      <c r="F43" s="87"/>
      <c r="G43" s="87"/>
      <c r="H43" s="87"/>
      <c r="I43" s="87"/>
      <c r="J43" s="87"/>
      <c r="K43" s="87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33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2020-11-05T08:02:35Z</cp:lastPrinted>
  <dcterms:created xsi:type="dcterms:W3CDTF">2018-02-28T02:33:50Z</dcterms:created>
  <dcterms:modified xsi:type="dcterms:W3CDTF">2020-12-18T02:26:42Z</dcterms:modified>
</cp:coreProperties>
</file>