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7" activeTab="13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NOV 2020" sheetId="15" r:id="rId14"/>
  </sheets>
  <externalReferences>
    <externalReference r:id="rId15"/>
  </externalReferences>
  <definedNames>
    <definedName name="_xlnm.Print_Area" localSheetId="6">'APR 2020'!$A$1:$K$59</definedName>
    <definedName name="_xlnm.Print_Area" localSheetId="10">'AUG 2020'!$A$1:$K$54</definedName>
    <definedName name="_xlnm.Print_Area" localSheetId="4">'FEB 2020'!$A$1:$K$57</definedName>
    <definedName name="_xlnm.Print_Area" localSheetId="9">'JUL 2020'!$A$1:$K$54</definedName>
    <definedName name="_xlnm.Print_Area" localSheetId="8">'JUN 2020'!$A$1:$K$54</definedName>
    <definedName name="_xlnm.Print_Area" localSheetId="5">'MAR 2020'!$A$1:$K$57</definedName>
    <definedName name="_xlnm.Print_Area" localSheetId="7">'MAY 2020'!$A$1:$K$59</definedName>
    <definedName name="_xlnm.Print_Area" localSheetId="13">'NOV 2020'!$A$1:$K$54</definedName>
    <definedName name="_xlnm.Print_Area" localSheetId="12">'OCT 2020'!$A$1:$K$54</definedName>
    <definedName name="_xlnm.Print_Area" localSheetId="11">'SEPT 2020'!$A$1:$K$54</definedName>
  </definedNames>
  <calcPr calcId="152511"/>
</workbook>
</file>

<file path=xl/calcChain.xml><?xml version="1.0" encoding="utf-8"?>
<calcChain xmlns="http://schemas.openxmlformats.org/spreadsheetml/2006/main">
  <c r="H25" i="15" l="1"/>
  <c r="H21" i="15"/>
  <c r="H16" i="15" l="1"/>
  <c r="G16" i="15" l="1"/>
  <c r="K33" i="15" l="1"/>
  <c r="H29" i="15"/>
  <c r="K29" i="15" s="1"/>
  <c r="F26" i="15"/>
  <c r="K24" i="15"/>
  <c r="F22" i="15"/>
  <c r="K20" i="15"/>
  <c r="K34" i="15" l="1"/>
  <c r="I16" i="15" s="1"/>
  <c r="J16" i="15" s="1"/>
  <c r="K36" i="15" l="1"/>
  <c r="H29" i="14"/>
  <c r="K29" i="14" s="1"/>
  <c r="H25" i="14" l="1"/>
  <c r="H21" i="14" l="1"/>
  <c r="K33" i="14" l="1"/>
  <c r="F26" i="14"/>
  <c r="K24" i="14"/>
  <c r="F22" i="14"/>
  <c r="K20" i="14"/>
  <c r="K34" i="14" l="1"/>
  <c r="I16" i="14"/>
  <c r="K36" i="14" s="1"/>
  <c r="H21" i="13"/>
  <c r="K20" i="13" s="1"/>
  <c r="H25" i="13"/>
  <c r="K24" i="13" s="1"/>
  <c r="K33" i="13"/>
  <c r="K29" i="13"/>
  <c r="K27" i="13"/>
  <c r="F26" i="13"/>
  <c r="F22" i="13"/>
  <c r="J16" i="14" l="1"/>
  <c r="K34" i="13"/>
  <c r="I16" i="13" s="1"/>
  <c r="K36" i="13" s="1"/>
  <c r="H25" i="12"/>
  <c r="H21" i="12"/>
  <c r="J16" i="13" l="1"/>
  <c r="K33" i="12"/>
  <c r="K29" i="12"/>
  <c r="K27" i="12"/>
  <c r="F26" i="12"/>
  <c r="K24" i="12"/>
  <c r="F22" i="12"/>
  <c r="K20" i="12"/>
  <c r="K34" i="12" l="1"/>
  <c r="I16" i="12" s="1"/>
  <c r="J16" i="12" s="1"/>
  <c r="H25" i="11"/>
  <c r="K24" i="11" s="1"/>
  <c r="H21" i="11"/>
  <c r="K20" i="11" s="1"/>
  <c r="K33" i="11"/>
  <c r="K29" i="11"/>
  <c r="K27" i="11"/>
  <c r="F26" i="11"/>
  <c r="F22" i="11"/>
  <c r="K36" i="12" l="1"/>
  <c r="K34" i="11"/>
  <c r="I16" i="11" s="1"/>
  <c r="K36" i="11" s="1"/>
  <c r="K31" i="10"/>
  <c r="K33" i="10"/>
  <c r="H25" i="10"/>
  <c r="K24" i="10" s="1"/>
  <c r="H21" i="10"/>
  <c r="K20" i="10" s="1"/>
  <c r="K29" i="10"/>
  <c r="F26" i="10"/>
  <c r="F22" i="10"/>
  <c r="J16" i="11" l="1"/>
  <c r="K27" i="10"/>
  <c r="K34" i="10" s="1"/>
  <c r="K33" i="9"/>
  <c r="I16" i="10" l="1"/>
  <c r="K36" i="10" s="1"/>
  <c r="F26" i="7"/>
  <c r="F22" i="7"/>
  <c r="K35" i="9"/>
  <c r="J16" i="10" l="1"/>
  <c r="H21" i="9"/>
  <c r="K30" i="9" l="1"/>
  <c r="F26" i="9"/>
  <c r="H25" i="9"/>
  <c r="K24" i="9" s="1"/>
  <c r="F22" i="9"/>
  <c r="K20" i="9"/>
  <c r="I28" i="9" l="1"/>
  <c r="K28" i="9" s="1"/>
  <c r="K36" i="9" s="1"/>
  <c r="F26" i="8"/>
  <c r="F22" i="8"/>
  <c r="I16" i="9" l="1"/>
  <c r="K38" i="9"/>
  <c r="J16" i="9"/>
  <c r="H25" i="8"/>
  <c r="H21" i="8"/>
  <c r="I28" i="8" l="1"/>
  <c r="K35" i="8"/>
  <c r="K33" i="8"/>
  <c r="K30" i="8"/>
  <c r="K28" i="8"/>
  <c r="K24" i="8"/>
  <c r="K20" i="8"/>
  <c r="K36" i="8" l="1"/>
  <c r="I16" i="8" s="1"/>
  <c r="K38" i="8" s="1"/>
  <c r="K34" i="7"/>
  <c r="K32" i="7"/>
  <c r="K29" i="7"/>
  <c r="K27" i="7"/>
  <c r="H25" i="7"/>
  <c r="K24" i="7" s="1"/>
  <c r="H21" i="7"/>
  <c r="K20" i="7" s="1"/>
  <c r="J16" i="8" l="1"/>
  <c r="K35" i="7"/>
  <c r="I16" i="7" s="1"/>
  <c r="J16" i="7" s="1"/>
  <c r="K37" i="7"/>
  <c r="H25" i="6"/>
  <c r="H21" i="6"/>
  <c r="K34" i="6" l="1"/>
  <c r="K32" i="6"/>
  <c r="K29" i="6"/>
  <c r="K27" i="6"/>
  <c r="K24" i="6"/>
  <c r="K20" i="6"/>
  <c r="K35" i="6" l="1"/>
  <c r="I16" i="6" s="1"/>
  <c r="J16" i="6"/>
  <c r="K37" i="6"/>
  <c r="H25" i="5"/>
  <c r="H21" i="5"/>
  <c r="K34" i="5" l="1"/>
  <c r="K32" i="5"/>
  <c r="K29" i="5"/>
  <c r="K27" i="5"/>
  <c r="K24" i="5"/>
  <c r="K20" i="5"/>
  <c r="K35" i="5" l="1"/>
  <c r="I16" i="5" s="1"/>
  <c r="J16" i="5" s="1"/>
  <c r="K37" i="5"/>
  <c r="H25" i="4"/>
  <c r="H21" i="4" l="1"/>
  <c r="K20" i="4" s="1"/>
  <c r="K34" i="4"/>
  <c r="K32" i="4"/>
  <c r="K29" i="4"/>
  <c r="K27" i="4"/>
  <c r="K24" i="4"/>
  <c r="K35" i="4" l="1"/>
  <c r="I16" i="4" s="1"/>
  <c r="J16" i="4" s="1"/>
  <c r="H25" i="3"/>
  <c r="K24" i="3" s="1"/>
  <c r="H21" i="3"/>
  <c r="K20" i="3" s="1"/>
  <c r="K34" i="3"/>
  <c r="K32" i="3"/>
  <c r="K29" i="3"/>
  <c r="K27" i="3"/>
  <c r="K37" i="4" l="1"/>
  <c r="K35" i="3"/>
  <c r="I16" i="3" s="1"/>
  <c r="K37" i="3" s="1"/>
  <c r="H25" i="2"/>
  <c r="J16" i="3" l="1"/>
  <c r="H21" i="2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<sst xmlns="http://schemas.openxmlformats.org/spreadsheetml/2006/main" count="624" uniqueCount="129">
  <si>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</si>
  <si>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</si>
  <si>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</si>
  <si>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</si>
  <si>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</si>
  <si>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</si>
  <si>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</si>
  <si>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</si>
  <si>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</si>
  <si>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</si>
  <si>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</si>
  <si>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</si>
  <si>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</si>
  <si>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</si>
  <si>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</si>
  <si>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</si>
  <si>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</si>
  <si>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</si>
  <si>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</si>
  <si>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</si>
  <si>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</si>
  <si>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</si>
  <si>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</si>
  <si>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</si>
  <si>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</si>
  <si>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</si>
  <si>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</si>
  <si>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</si>
  <si>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</si>
  <si>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</si>
  <si>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</si>
  <si>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</si>
  <si>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</si>
  <si>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</si>
  <si>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</si>
  <si>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</si>
  <si>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</si>
  <si>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t>UNIT: 27B08</t>
  </si>
  <si>
    <t>PRES: OCT 25 2019 - PREV: OCT 21 2019 * 16.42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</si>
  <si>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JEANETH CABRALES</t>
    </r>
  </si>
  <si>
    <t>PRES: OCT 25 2019 - PREV: OCT 21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</si>
  <si>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</si>
  <si>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</si>
  <si>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</si>
  <si>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</si>
  <si>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</si>
  <si>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</si>
  <si>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</si>
  <si>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</si>
  <si>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</si>
  <si>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</si>
  <si>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</si>
  <si>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</si>
  <si>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</si>
  <si>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</si>
  <si>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</si>
  <si>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</si>
  <si>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</si>
  <si>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</si>
  <si>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</si>
  <si>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</si>
  <si>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</si>
  <si>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</si>
  <si>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</si>
  <si>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 xml:space="preserve">  </t>
  </si>
  <si>
    <t>PRES: MAR 25 2020 - PREV: FEB 26 2020 * 15.83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</si>
  <si>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</si>
  <si>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</si>
  <si>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</si>
  <si>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PRES: MAR 25 2020 - PREV: FEB 26 2020 * 117.31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</si>
  <si>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</si>
  <si>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</si>
  <si>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</si>
  <si>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</si>
  <si>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</si>
  <si>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</si>
  <si>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</si>
  <si>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</si>
  <si>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</si>
  <si>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</si>
  <si>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</si>
  <si>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</si>
  <si>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</si>
  <si>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</si>
  <si>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</si>
  <si>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</si>
  <si>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</si>
  <si>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</si>
  <si>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2020 - 287 kWh x 10.98 = 3,151.26 + 20% (AC) = 3,781.51 - 4,543.21 (billing Mar2020) = </t>
    </r>
    <r>
      <rPr>
        <b/>
        <u/>
        <sz val="14"/>
        <color rgb="FFFF0000"/>
        <rFont val="Calibri"/>
        <family val="2"/>
        <scheme val="minor"/>
      </rPr>
      <t>761.70</t>
    </r>
    <r>
      <rPr>
        <b/>
        <sz val="14"/>
        <color rgb="FFFF0000"/>
        <rFont val="Calibri"/>
        <family val="2"/>
        <scheme val="minor"/>
      </rPr>
      <t xml:space="preserve">
APR 2020 - 377 kWh x 9.79 = 3,690.83 + 20% (AC) = 4,429.00 - 4,967.35 (billing Apr2020) = </t>
    </r>
    <r>
      <rPr>
        <b/>
        <u/>
        <sz val="14"/>
        <color rgb="FFFF0000"/>
        <rFont val="Calibri"/>
        <family val="2"/>
        <scheme val="minor"/>
      </rPr>
      <t>538.35</t>
    </r>
  </si>
  <si>
    <t>JUL 5 2020</t>
  </si>
  <si>
    <t>JUL 15 2020</t>
  </si>
  <si>
    <t>BILLING MONTH: JUNE 2020</t>
  </si>
  <si>
    <t>PRES: JUN 25 2020 - PREV: MAY 26 2020 * 9.62</t>
  </si>
  <si>
    <t>PRES: JUN 25 2020 - PREV: MAY 26 2020 * 96.22</t>
  </si>
  <si>
    <r>
      <t xml:space="preserve">WATER:
MAR 2020 - 21 cubic x 96.92 = 2,035.32 + 20% (AC) = 2,442.38 - 2,463.51 (billing Mar2020) = </t>
    </r>
    <r>
      <rPr>
        <b/>
        <u/>
        <sz val="14"/>
        <color rgb="FFFF0000"/>
        <rFont val="Calibri"/>
        <family val="2"/>
        <scheme val="minor"/>
      </rPr>
      <t>21.13</t>
    </r>
    <r>
      <rPr>
        <b/>
        <sz val="14"/>
        <color rgb="FFFF0000"/>
        <rFont val="Calibri"/>
        <family val="2"/>
        <scheme val="minor"/>
      </rPr>
      <t xml:space="preserve">
APR 2020 - 29 cubic x 96.21 = 2,790.09 + 20% (AC) = 3,348.11 - 3,402.05 (billing Apr2020) = </t>
    </r>
    <r>
      <rPr>
        <b/>
        <u/>
        <sz val="14"/>
        <color rgb="FFFF0000"/>
        <rFont val="Calibri"/>
        <family val="2"/>
        <scheme val="minor"/>
      </rPr>
      <t xml:space="preserve">53.94
</t>
    </r>
    <r>
      <rPr>
        <b/>
        <sz val="14"/>
        <color rgb="FFFF0000"/>
        <rFont val="Calibri"/>
        <family val="2"/>
        <scheme val="minor"/>
      </rPr>
      <t xml:space="preserve">MAY 2020 - 22 cubic x 95.58 = 2,102.76 + 20% (AC) = 2,523.31 - 2,580.86 (billing May2020) = </t>
    </r>
    <r>
      <rPr>
        <b/>
        <u/>
        <sz val="14"/>
        <color rgb="FFFF0000"/>
        <rFont val="Calibri"/>
        <family val="2"/>
        <scheme val="minor"/>
      </rPr>
      <t>57.55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</si>
  <si>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</si>
  <si>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</si>
  <si>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</si>
  <si>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</si>
  <si>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</si>
  <si>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</si>
  <si>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</si>
  <si>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</si>
  <si>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</si>
  <si>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</si>
  <si>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</si>
  <si>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</si>
  <si>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</si>
  <si>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</si>
  <si>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</si>
  <si>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</si>
  <si>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</si>
  <si>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SUBJECT FOR DISCONNECTION OF UTILITIES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</si>
  <si>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</si>
  <si>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</si>
  <si>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</si>
  <si>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</si>
  <si>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</si>
  <si>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</si>
  <si>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</si>
  <si>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</si>
  <si>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</si>
  <si>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</si>
  <si>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</si>
  <si>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</si>
  <si>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</si>
  <si>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JENNIFER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</si>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</sst>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22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1265464</xdr:colOff>
      <xdr:row>46</xdr:row>
      <xdr:rowOff>54429</xdr:rowOff>
    </xdr:from>
    <xdr:to>
      <xdr:col>7</xdr:col>
      <xdr:colOff>691242</xdr:colOff>
      <xdr:row>51</xdr:row>
      <xdr:rowOff>16822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2535" y="13335000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1265464</xdr:colOff>
      <xdr:row>46</xdr:row>
      <xdr:rowOff>54429</xdr:rowOff>
    </xdr:from>
    <xdr:to>
      <xdr:col>7</xdr:col>
      <xdr:colOff>691242</xdr:colOff>
      <xdr:row>51</xdr:row>
      <xdr:rowOff>16822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339" y="13198929"/>
          <a:ext cx="740228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27B08%20-%20CAB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0">
          <cell r="E20">
            <v>6273.32</v>
          </cell>
          <cell r="L20">
            <v>4431.08</v>
          </cell>
        </row>
      </sheetData>
      <sheetData sheetId="1">
        <row r="12">
          <cell r="E12">
            <v>6699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3" zoomScaleNormal="55" zoomScaleSheetLayoutView="100" workbookViewId="0">
      <selection activeCell="H12" sqref="H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148.88999999999999</v>
      </c>
      <c r="J16" s="18">
        <f>I16+H16+G16</f>
        <v>148.88999999999999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6" t="s">
        <v>32</v>
      </c>
      <c r="E20" s="86"/>
      <c r="F20" s="46" t="s">
        <v>38</v>
      </c>
      <c r="G20" s="46"/>
      <c r="H20" s="46"/>
      <c r="I20" s="9"/>
      <c r="J20" s="22">
        <v>0</v>
      </c>
      <c r="K20" s="9">
        <f>H21</f>
        <v>32.840000000000003</v>
      </c>
    </row>
    <row r="21" spans="3:11" ht="21" x14ac:dyDescent="0.35">
      <c r="C21" s="39"/>
      <c r="D21" s="8"/>
      <c r="E21" s="8"/>
      <c r="F21" s="46">
        <v>2</v>
      </c>
      <c r="G21" s="46">
        <v>0</v>
      </c>
      <c r="H21" s="47">
        <f>(F21-G21)*16.42</f>
        <v>32.840000000000003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116.05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(F25-G25)*116.05</f>
        <v>116.05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148.88999999999999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148.88999999999999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97</v>
      </c>
      <c r="F16" s="18"/>
      <c r="G16" s="18"/>
      <c r="H16" s="18">
        <v>3917.82</v>
      </c>
      <c r="I16" s="18">
        <f>K34</f>
        <v>3631.34</v>
      </c>
      <c r="J16" s="18">
        <f>I16+H16+G16</f>
        <v>7549.16</v>
      </c>
      <c r="K16" s="19"/>
    </row>
    <row r="17" spans="3:11" ht="21" x14ac:dyDescent="0.35">
      <c r="C17" s="8"/>
      <c r="D17" s="8"/>
      <c r="E17" s="8" t="s">
        <v>64</v>
      </c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6" t="s">
        <v>32</v>
      </c>
      <c r="E20" s="86"/>
      <c r="F20" s="46" t="s">
        <v>98</v>
      </c>
      <c r="G20" s="46"/>
      <c r="H20" s="46"/>
      <c r="I20" s="9"/>
      <c r="J20" s="22">
        <v>0</v>
      </c>
      <c r="K20" s="9">
        <f>H21</f>
        <v>1600.22</v>
      </c>
    </row>
    <row r="21" spans="3:11" ht="21" x14ac:dyDescent="0.35">
      <c r="C21" s="39"/>
      <c r="D21" s="8"/>
      <c r="E21" s="8"/>
      <c r="F21" s="46">
        <v>2462</v>
      </c>
      <c r="G21" s="46">
        <v>2284</v>
      </c>
      <c r="H21" s="47">
        <f>(F21-G21)*8.99</f>
        <v>1600.22</v>
      </c>
      <c r="I21" s="9"/>
      <c r="J21" s="9"/>
      <c r="K21" s="9"/>
    </row>
    <row r="22" spans="3:11" ht="21" x14ac:dyDescent="0.35">
      <c r="C22" s="39"/>
      <c r="D22" s="92" t="s">
        <v>76</v>
      </c>
      <c r="E22" s="92"/>
      <c r="F22" s="91">
        <f>F21-G21</f>
        <v>178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2031.12</v>
      </c>
    </row>
    <row r="25" spans="3:11" ht="21" x14ac:dyDescent="0.35">
      <c r="C25" s="39"/>
      <c r="D25" s="8"/>
      <c r="E25" s="8"/>
      <c r="F25" s="46">
        <v>181</v>
      </c>
      <c r="G25" s="46">
        <v>160</v>
      </c>
      <c r="H25" s="47">
        <f>(F25-G25)*96.72</f>
        <v>2031.12</v>
      </c>
      <c r="I25" s="9"/>
      <c r="J25" s="9"/>
      <c r="K25" s="9"/>
    </row>
    <row r="26" spans="3:11" ht="21" x14ac:dyDescent="0.35">
      <c r="C26" s="39"/>
      <c r="D26" s="92" t="s">
        <v>77</v>
      </c>
      <c r="E26" s="92"/>
      <c r="F26" s="91">
        <f>F25-G25</f>
        <v>21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6"/>
      <c r="K31" s="66"/>
    </row>
    <row r="32" spans="3:11" ht="27" customHeight="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3631.34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7549.16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67"/>
      <c r="D40" s="67"/>
      <c r="E40" s="67"/>
      <c r="F40" s="67"/>
      <c r="G40" s="67"/>
      <c r="H40" s="67"/>
      <c r="I40" s="67"/>
      <c r="J40" s="67"/>
      <c r="K40" s="67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0" t="s">
        <v>33</v>
      </c>
      <c r="D51" s="90"/>
      <c r="E51" s="90"/>
      <c r="F51" s="8"/>
      <c r="G51" s="90" t="s">
        <v>31</v>
      </c>
      <c r="H51" s="90"/>
      <c r="I51" s="9"/>
      <c r="J51" s="9"/>
      <c r="K51" s="9"/>
    </row>
    <row r="52" spans="3:11" ht="21" x14ac:dyDescent="0.35">
      <c r="C52" s="80" t="s">
        <v>23</v>
      </c>
      <c r="D52" s="80"/>
      <c r="E52" s="80"/>
      <c r="F52" s="8"/>
      <c r="G52" s="80" t="s">
        <v>24</v>
      </c>
      <c r="H52" s="80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101</v>
      </c>
      <c r="E16" s="49" t="s">
        <v>102</v>
      </c>
      <c r="F16" s="18"/>
      <c r="G16" s="18"/>
      <c r="H16" s="18"/>
      <c r="I16" s="18">
        <f>K34</f>
        <v>3686.3</v>
      </c>
      <c r="J16" s="18">
        <f>I16+H16+G16</f>
        <v>3686.3</v>
      </c>
      <c r="K16" s="19"/>
    </row>
    <row r="17" spans="3:11" ht="21" x14ac:dyDescent="0.35">
      <c r="C17" s="8"/>
      <c r="D17" s="8"/>
      <c r="E17" s="8" t="s">
        <v>64</v>
      </c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6" t="s">
        <v>32</v>
      </c>
      <c r="E20" s="86"/>
      <c r="F20" s="46" t="s">
        <v>103</v>
      </c>
      <c r="G20" s="46"/>
      <c r="H20" s="46"/>
      <c r="I20" s="9"/>
      <c r="J20" s="22">
        <v>0</v>
      </c>
      <c r="K20" s="9">
        <f>H21</f>
        <v>1540.2</v>
      </c>
    </row>
    <row r="21" spans="3:11" ht="21" x14ac:dyDescent="0.35">
      <c r="C21" s="39"/>
      <c r="D21" s="8"/>
      <c r="E21" s="8"/>
      <c r="F21" s="46">
        <v>2632</v>
      </c>
      <c r="G21" s="46">
        <v>2462</v>
      </c>
      <c r="H21" s="47">
        <f>(F21-G21)*9.06</f>
        <v>1540.2</v>
      </c>
      <c r="I21" s="9"/>
      <c r="J21" s="9"/>
      <c r="K21" s="9"/>
    </row>
    <row r="22" spans="3:11" ht="21" x14ac:dyDescent="0.35">
      <c r="C22" s="39"/>
      <c r="D22" s="92" t="s">
        <v>76</v>
      </c>
      <c r="E22" s="92"/>
      <c r="F22" s="91">
        <f>F21-G21</f>
        <v>170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2146.1</v>
      </c>
    </row>
    <row r="25" spans="3:11" ht="21" x14ac:dyDescent="0.35">
      <c r="C25" s="39"/>
      <c r="D25" s="8"/>
      <c r="E25" s="8"/>
      <c r="F25" s="46">
        <v>203</v>
      </c>
      <c r="G25" s="46">
        <v>181</v>
      </c>
      <c r="H25" s="47">
        <f>(F25-G25)*97.55</f>
        <v>2146.1</v>
      </c>
      <c r="I25" s="9"/>
      <c r="J25" s="9"/>
      <c r="K25" s="9"/>
    </row>
    <row r="26" spans="3:11" ht="21" x14ac:dyDescent="0.35">
      <c r="C26" s="39"/>
      <c r="D26" s="92" t="s">
        <v>77</v>
      </c>
      <c r="E26" s="92"/>
      <c r="F26" s="91">
        <f>F25-G25</f>
        <v>22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6"/>
      <c r="K31" s="66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3686.3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3686.3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0" t="s">
        <v>33</v>
      </c>
      <c r="D51" s="90"/>
      <c r="E51" s="90"/>
      <c r="F51" s="8"/>
      <c r="G51" s="90" t="s">
        <v>31</v>
      </c>
      <c r="H51" s="90"/>
      <c r="I51" s="9"/>
      <c r="J51" s="9"/>
      <c r="K51" s="9"/>
    </row>
    <row r="52" spans="3:11" ht="21" x14ac:dyDescent="0.35">
      <c r="C52" s="80" t="s">
        <v>23</v>
      </c>
      <c r="D52" s="80"/>
      <c r="E52" s="80"/>
      <c r="F52" s="8"/>
      <c r="G52" s="80" t="s">
        <v>24</v>
      </c>
      <c r="H52" s="80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P24" sqref="P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106</v>
      </c>
      <c r="E16" s="49" t="s">
        <v>107</v>
      </c>
      <c r="F16" s="18"/>
      <c r="G16" s="18"/>
      <c r="H16" s="18">
        <v>3686.3</v>
      </c>
      <c r="I16" s="18">
        <f>K34</f>
        <v>3647.39</v>
      </c>
      <c r="J16" s="18">
        <f>I16+H16+G16</f>
        <v>7333.6900000000005</v>
      </c>
      <c r="K16" s="19"/>
    </row>
    <row r="17" spans="3:11" ht="21" x14ac:dyDescent="0.35">
      <c r="C17" s="8"/>
      <c r="D17" s="8"/>
      <c r="E17" s="8" t="s">
        <v>64</v>
      </c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6" t="s">
        <v>32</v>
      </c>
      <c r="E20" s="86"/>
      <c r="F20" s="46" t="s">
        <v>108</v>
      </c>
      <c r="G20" s="46"/>
      <c r="H20" s="46"/>
      <c r="I20" s="9"/>
      <c r="J20" s="22">
        <v>0</v>
      </c>
      <c r="K20" s="9">
        <f>H21</f>
        <v>1587.92</v>
      </c>
    </row>
    <row r="21" spans="3:11" ht="21" x14ac:dyDescent="0.35">
      <c r="C21" s="39"/>
      <c r="D21" s="8"/>
      <c r="E21" s="8"/>
      <c r="F21" s="46">
        <v>2816</v>
      </c>
      <c r="G21" s="46">
        <v>2632</v>
      </c>
      <c r="H21" s="47">
        <f>(F21-G21)*8.63</f>
        <v>1587.92</v>
      </c>
      <c r="I21" s="9"/>
      <c r="J21" s="9"/>
      <c r="K21" s="9"/>
    </row>
    <row r="22" spans="3:11" ht="21" x14ac:dyDescent="0.35">
      <c r="C22" s="39"/>
      <c r="D22" s="92" t="s">
        <v>76</v>
      </c>
      <c r="E22" s="92"/>
      <c r="F22" s="91">
        <f>F21-G21</f>
        <v>184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2059.4699999999998</v>
      </c>
    </row>
    <row r="25" spans="3:11" ht="21" x14ac:dyDescent="0.35">
      <c r="C25" s="39"/>
      <c r="D25" s="8"/>
      <c r="E25" s="8"/>
      <c r="F25" s="46">
        <v>224</v>
      </c>
      <c r="G25" s="46">
        <v>203</v>
      </c>
      <c r="H25" s="47">
        <f>(F25-G25)*98.07</f>
        <v>2059.4699999999998</v>
      </c>
      <c r="I25" s="9"/>
      <c r="J25" s="9"/>
      <c r="K25" s="9"/>
    </row>
    <row r="26" spans="3:11" ht="21" x14ac:dyDescent="0.35">
      <c r="C26" s="39"/>
      <c r="D26" s="92" t="s">
        <v>77</v>
      </c>
      <c r="E26" s="92"/>
      <c r="F26" s="91">
        <f>F25-G25</f>
        <v>21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6"/>
      <c r="K31" s="66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3647.39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7333.6900000000005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0" t="s">
        <v>33</v>
      </c>
      <c r="D51" s="90"/>
      <c r="E51" s="90"/>
      <c r="F51" s="8"/>
      <c r="G51" s="90" t="s">
        <v>31</v>
      </c>
      <c r="H51" s="90"/>
      <c r="I51" s="9"/>
      <c r="J51" s="9"/>
      <c r="K51" s="9"/>
    </row>
    <row r="52" spans="3:11" ht="21" x14ac:dyDescent="0.35">
      <c r="C52" s="80" t="s">
        <v>23</v>
      </c>
      <c r="D52" s="80"/>
      <c r="E52" s="80"/>
      <c r="F52" s="8"/>
      <c r="G52" s="80" t="s">
        <v>24</v>
      </c>
      <c r="H52" s="80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7"/>
  <sheetViews>
    <sheetView zoomScale="70" zoomScaleNormal="70" workbookViewId="0">
      <selection sqref="A1:XFD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1" spans="3:11" ht="35.1" customHeight="1" x14ac:dyDescent="0.25">
      <c r="C1" s="76" t="s">
        <v>112</v>
      </c>
    </row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116</v>
      </c>
      <c r="H15" s="13" t="s">
        <v>117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110</v>
      </c>
      <c r="E16" s="49" t="s">
        <v>111</v>
      </c>
      <c r="F16" s="18"/>
      <c r="G16" s="18">
        <v>5359.2</v>
      </c>
      <c r="H16" s="18">
        <v>7333.69</v>
      </c>
      <c r="I16" s="18">
        <f>K34</f>
        <v>4712.5200000000004</v>
      </c>
      <c r="J16" s="18">
        <f>I16+H16+G16</f>
        <v>17405.41</v>
      </c>
      <c r="K16" s="19"/>
    </row>
    <row r="17" spans="3:11" ht="21" x14ac:dyDescent="0.35">
      <c r="C17" s="8"/>
      <c r="D17" s="8"/>
      <c r="E17" s="8" t="s">
        <v>64</v>
      </c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7" t="s">
        <v>118</v>
      </c>
      <c r="E20" s="97"/>
      <c r="F20" s="46" t="s">
        <v>113</v>
      </c>
      <c r="G20" s="46"/>
      <c r="H20" s="46"/>
      <c r="I20" s="9"/>
      <c r="J20" s="22">
        <v>0</v>
      </c>
      <c r="K20" s="9">
        <f>H21</f>
        <v>1302.96</v>
      </c>
    </row>
    <row r="21" spans="3:11" ht="21" x14ac:dyDescent="0.35">
      <c r="C21" s="39"/>
      <c r="D21" s="8"/>
      <c r="E21" s="8"/>
      <c r="F21" s="46">
        <v>2994</v>
      </c>
      <c r="G21" s="46">
        <v>2816</v>
      </c>
      <c r="H21" s="47">
        <f>(F21-G21)*7.32</f>
        <v>1302.96</v>
      </c>
      <c r="I21" s="9"/>
      <c r="J21" s="9"/>
      <c r="K21" s="9"/>
    </row>
    <row r="22" spans="3:11" ht="21" x14ac:dyDescent="0.35">
      <c r="C22" s="39"/>
      <c r="D22" s="92" t="s">
        <v>76</v>
      </c>
      <c r="E22" s="92"/>
      <c r="F22" s="91">
        <f>F21-G21</f>
        <v>178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119</v>
      </c>
      <c r="E24" s="8"/>
      <c r="F24" s="46" t="s">
        <v>114</v>
      </c>
      <c r="G24" s="46"/>
      <c r="H24" s="46"/>
      <c r="I24" s="9"/>
      <c r="J24" s="22">
        <v>0</v>
      </c>
      <c r="K24" s="9">
        <f>H25</f>
        <v>2069.7600000000002</v>
      </c>
    </row>
    <row r="25" spans="3:11" ht="21" x14ac:dyDescent="0.35">
      <c r="C25" s="39"/>
      <c r="D25" s="8"/>
      <c r="E25" s="8"/>
      <c r="F25" s="46">
        <v>245</v>
      </c>
      <c r="G25" s="46">
        <v>224</v>
      </c>
      <c r="H25" s="47">
        <f>(F25-G25)*98.56</f>
        <v>2069.7600000000002</v>
      </c>
      <c r="I25" s="9"/>
      <c r="J25" s="9"/>
      <c r="K25" s="9"/>
    </row>
    <row r="26" spans="3:11" ht="21" x14ac:dyDescent="0.35">
      <c r="C26" s="39"/>
      <c r="D26" s="92" t="s">
        <v>77</v>
      </c>
      <c r="E26" s="92"/>
      <c r="F26" s="91">
        <f>F25-G25</f>
        <v>21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7" t="s">
        <v>120</v>
      </c>
      <c r="E28" s="97"/>
      <c r="F28" s="46" t="s">
        <v>121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69"/>
      <c r="D30" s="69"/>
      <c r="E30" s="69"/>
      <c r="F30" s="79"/>
      <c r="G30" s="79"/>
      <c r="H30" s="79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6"/>
      <c r="K31" s="66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4712.5200000000004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17405.41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0" t="s">
        <v>126</v>
      </c>
      <c r="D51" s="90"/>
      <c r="E51" s="90"/>
      <c r="F51" s="8"/>
      <c r="G51" s="90" t="s">
        <v>31</v>
      </c>
      <c r="H51" s="90"/>
      <c r="I51" s="9"/>
      <c r="J51" s="9"/>
      <c r="K51" s="9"/>
    </row>
    <row r="52" spans="3:11" ht="21" x14ac:dyDescent="0.35">
      <c r="C52" s="80" t="s">
        <v>23</v>
      </c>
      <c r="D52" s="80"/>
      <c r="E52" s="80"/>
      <c r="F52" s="8"/>
      <c r="G52" s="80" t="s">
        <v>24</v>
      </c>
      <c r="H52" s="80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7"/>
  <sheetViews>
    <sheetView tabSelected="1" topLeftCell="A13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1" spans="3:11" ht="35.1" customHeight="1" x14ac:dyDescent="0.25">
      <c r="C1" s="76" t="s">
        <v>112</v>
      </c>
    </row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116</v>
      </c>
      <c r="H15" s="13" t="s">
        <v>117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123</v>
      </c>
      <c r="E16" s="49" t="s">
        <v>124</v>
      </c>
      <c r="F16" s="18"/>
      <c r="G16" s="18">
        <f>[1]ASU!$E$12</f>
        <v>6699</v>
      </c>
      <c r="H16" s="18">
        <f>[1]Sheet1!$E$20+[1]Sheet1!$L$20</f>
        <v>10704.4</v>
      </c>
      <c r="I16" s="18">
        <f>K34</f>
        <v>5190.47</v>
      </c>
      <c r="J16" s="18">
        <f>I16+H16+G16</f>
        <v>22593.87</v>
      </c>
      <c r="K16" s="19"/>
    </row>
    <row r="17" spans="3:11" ht="21" x14ac:dyDescent="0.35">
      <c r="C17" s="8"/>
      <c r="D17" s="8"/>
      <c r="E17" s="8" t="s">
        <v>64</v>
      </c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7" t="s">
        <v>32</v>
      </c>
      <c r="E20" s="97"/>
      <c r="F20" s="46" t="s">
        <v>127</v>
      </c>
      <c r="G20" s="46"/>
      <c r="H20" s="46"/>
      <c r="I20" s="9"/>
      <c r="J20" s="22">
        <v>0</v>
      </c>
      <c r="K20" s="9">
        <f>H21</f>
        <v>1595.98</v>
      </c>
    </row>
    <row r="21" spans="3:11" ht="21" x14ac:dyDescent="0.35">
      <c r="C21" s="39"/>
      <c r="D21" s="8"/>
      <c r="E21" s="8"/>
      <c r="F21" s="46">
        <v>3193</v>
      </c>
      <c r="G21" s="46">
        <v>2994</v>
      </c>
      <c r="H21" s="47">
        <f>(F21-G21)*8.02</f>
        <v>1595.98</v>
      </c>
      <c r="I21" s="9"/>
      <c r="J21" s="9"/>
      <c r="K21" s="9"/>
    </row>
    <row r="22" spans="3:11" ht="21" x14ac:dyDescent="0.35">
      <c r="C22" s="39"/>
      <c r="D22" s="92" t="s">
        <v>76</v>
      </c>
      <c r="E22" s="92"/>
      <c r="F22" s="91">
        <f>F21-G21</f>
        <v>199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128</v>
      </c>
      <c r="G24" s="46"/>
      <c r="H24" s="46"/>
      <c r="I24" s="9"/>
      <c r="J24" s="22">
        <v>0</v>
      </c>
      <c r="K24" s="9">
        <f>H25</f>
        <v>2254.69</v>
      </c>
    </row>
    <row r="25" spans="3:11" ht="21" x14ac:dyDescent="0.35">
      <c r="C25" s="39"/>
      <c r="D25" s="8"/>
      <c r="E25" s="8"/>
      <c r="F25" s="46">
        <v>268</v>
      </c>
      <c r="G25" s="46">
        <v>245</v>
      </c>
      <c r="H25" s="47">
        <f>(F25-G25)*98.03</f>
        <v>2254.69</v>
      </c>
      <c r="I25" s="9"/>
      <c r="J25" s="9"/>
      <c r="K25" s="9"/>
    </row>
    <row r="26" spans="3:11" ht="21" x14ac:dyDescent="0.35">
      <c r="C26" s="39"/>
      <c r="D26" s="92" t="s">
        <v>77</v>
      </c>
      <c r="E26" s="92"/>
      <c r="F26" s="91">
        <f>F25-G25</f>
        <v>23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7" t="s">
        <v>120</v>
      </c>
      <c r="E28" s="97"/>
      <c r="F28" s="46" t="s">
        <v>125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69"/>
      <c r="D30" s="69"/>
      <c r="E30" s="69"/>
      <c r="F30" s="79"/>
      <c r="G30" s="79"/>
      <c r="H30" s="79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6"/>
      <c r="K31" s="66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5190.47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22593.87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0" t="s">
        <v>126</v>
      </c>
      <c r="D51" s="90"/>
      <c r="E51" s="90"/>
      <c r="F51" s="8"/>
      <c r="G51" s="90" t="s">
        <v>31</v>
      </c>
      <c r="H51" s="90"/>
      <c r="I51" s="9"/>
      <c r="J51" s="9"/>
      <c r="K51" s="9"/>
    </row>
    <row r="52" spans="3:11" ht="21" x14ac:dyDescent="0.35">
      <c r="C52" s="80" t="s">
        <v>23</v>
      </c>
      <c r="D52" s="80"/>
      <c r="E52" s="80"/>
      <c r="F52" s="8"/>
      <c r="G52" s="80" t="s">
        <v>24</v>
      </c>
      <c r="H52" s="80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148.88999999999999</v>
      </c>
      <c r="I16" s="18">
        <f>K35</f>
        <v>775.96</v>
      </c>
      <c r="J16" s="18">
        <f>I16+H16+G16</f>
        <v>924.85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6" t="s">
        <v>32</v>
      </c>
      <c r="E20" s="86"/>
      <c r="F20" s="46" t="s">
        <v>44</v>
      </c>
      <c r="G20" s="46"/>
      <c r="H20" s="46"/>
      <c r="I20" s="9"/>
      <c r="J20" s="22">
        <v>0</v>
      </c>
      <c r="K20" s="9">
        <f>H21</f>
        <v>312.83999999999997</v>
      </c>
    </row>
    <row r="21" spans="3:11" ht="21" x14ac:dyDescent="0.35">
      <c r="C21" s="39"/>
      <c r="D21" s="8"/>
      <c r="E21" s="8"/>
      <c r="F21" s="46">
        <v>20</v>
      </c>
      <c r="G21" s="46">
        <v>2</v>
      </c>
      <c r="H21" s="47">
        <f>(F21-G21)*17.38</f>
        <v>312.83999999999997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463.12</v>
      </c>
    </row>
    <row r="25" spans="3:11" ht="21" x14ac:dyDescent="0.35">
      <c r="C25" s="39"/>
      <c r="D25" s="8"/>
      <c r="E25" s="8"/>
      <c r="F25" s="46">
        <v>5</v>
      </c>
      <c r="G25" s="46">
        <v>1</v>
      </c>
      <c r="H25" s="47">
        <f>(F25-G25)*115.78</f>
        <v>463.12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775.96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924.85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/>
      <c r="I16" s="18">
        <f>K35</f>
        <v>10305.77</v>
      </c>
      <c r="J16" s="18">
        <f>I16+H16+G16</f>
        <v>10305.77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6" t="s">
        <v>32</v>
      </c>
      <c r="E20" s="86"/>
      <c r="F20" s="46" t="s">
        <v>49</v>
      </c>
      <c r="G20" s="46"/>
      <c r="H20" s="46"/>
      <c r="I20" s="9"/>
      <c r="J20" s="22">
        <v>0</v>
      </c>
      <c r="K20" s="9">
        <f>H21</f>
        <v>7639.3799999999992</v>
      </c>
    </row>
    <row r="21" spans="3:11" ht="21" x14ac:dyDescent="0.35">
      <c r="C21" s="39"/>
      <c r="D21" s="8"/>
      <c r="E21" s="8"/>
      <c r="F21" s="46">
        <v>443</v>
      </c>
      <c r="G21" s="46">
        <v>20</v>
      </c>
      <c r="H21" s="47">
        <f>(F21-G21)*18.06</f>
        <v>7639.3799999999992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2666.3900000000003</v>
      </c>
    </row>
    <row r="25" spans="3:11" ht="21" x14ac:dyDescent="0.35">
      <c r="C25" s="39"/>
      <c r="D25" s="8"/>
      <c r="E25" s="8"/>
      <c r="F25" s="46">
        <v>28</v>
      </c>
      <c r="G25" s="46">
        <v>5</v>
      </c>
      <c r="H25" s="47">
        <f>(F25-G25)*115.93</f>
        <v>2666.3900000000003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10305.77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10305.77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/>
      <c r="I16" s="18">
        <f>K35</f>
        <v>9260.369999999999</v>
      </c>
      <c r="J16" s="18">
        <f>I16+H16+G16</f>
        <v>9260.369999999999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6" t="s">
        <v>32</v>
      </c>
      <c r="E20" s="86"/>
      <c r="F20" s="46" t="s">
        <v>54</v>
      </c>
      <c r="G20" s="46"/>
      <c r="H20" s="46"/>
      <c r="I20" s="9"/>
      <c r="J20" s="22">
        <v>0</v>
      </c>
      <c r="K20" s="9">
        <f>H21</f>
        <v>6820.7999999999993</v>
      </c>
    </row>
    <row r="21" spans="3:11" ht="21" x14ac:dyDescent="0.35">
      <c r="C21" s="39"/>
      <c r="D21" s="8"/>
      <c r="E21" s="8"/>
      <c r="F21" s="46">
        <v>835</v>
      </c>
      <c r="G21" s="46">
        <v>443</v>
      </c>
      <c r="H21" s="47">
        <f>(F21-G21)*17.4</f>
        <v>6820.7999999999993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2439.5700000000002</v>
      </c>
    </row>
    <row r="25" spans="3:11" ht="21" x14ac:dyDescent="0.35">
      <c r="C25" s="39"/>
      <c r="D25" s="8"/>
      <c r="E25" s="8"/>
      <c r="F25" s="46">
        <v>49</v>
      </c>
      <c r="G25" s="46">
        <v>28</v>
      </c>
      <c r="H25" s="47">
        <f>(F25-G25)*116.17</f>
        <v>2439.5700000000002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9260.369999999999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9260.369999999999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/>
      <c r="I16" s="18">
        <f>K35</f>
        <v>5641.67</v>
      </c>
      <c r="J16" s="18">
        <f>I16+H16+G16</f>
        <v>5641.67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6" t="s">
        <v>32</v>
      </c>
      <c r="E20" s="86"/>
      <c r="F20" s="46" t="s">
        <v>59</v>
      </c>
      <c r="G20" s="46"/>
      <c r="H20" s="46"/>
      <c r="I20" s="9"/>
      <c r="J20" s="22">
        <v>0</v>
      </c>
      <c r="K20" s="9">
        <f>H21</f>
        <v>3530.09</v>
      </c>
    </row>
    <row r="21" spans="3:11" ht="21" x14ac:dyDescent="0.35">
      <c r="C21" s="39"/>
      <c r="D21" s="8"/>
      <c r="E21" s="8"/>
      <c r="F21" s="46">
        <v>1058</v>
      </c>
      <c r="G21" s="46">
        <v>835</v>
      </c>
      <c r="H21" s="47">
        <f>(F21-G21)*15.83</f>
        <v>3530.09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2111.58</v>
      </c>
    </row>
    <row r="25" spans="3:11" ht="21" x14ac:dyDescent="0.35">
      <c r="C25" s="39"/>
      <c r="D25" s="8"/>
      <c r="E25" s="8"/>
      <c r="F25" s="46">
        <v>67</v>
      </c>
      <c r="G25" s="46">
        <v>49</v>
      </c>
      <c r="H25" s="47">
        <f>(F25-G25)*117.31</f>
        <v>2111.58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5641.67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5641.67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9" zoomScale="70" zoomScaleNormal="70" workbookViewId="0">
      <selection activeCell="C43" sqref="C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5641.67</v>
      </c>
      <c r="I16" s="18">
        <f>K35</f>
        <v>7006.72</v>
      </c>
      <c r="J16" s="18">
        <f>I16+H16+G16</f>
        <v>12648.39</v>
      </c>
      <c r="K16" s="19"/>
    </row>
    <row r="17" spans="3:11" ht="21" x14ac:dyDescent="0.35">
      <c r="C17" s="8"/>
      <c r="D17" s="8"/>
      <c r="E17" s="8" t="s">
        <v>64</v>
      </c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6" t="s">
        <v>32</v>
      </c>
      <c r="E20" s="86"/>
      <c r="F20" s="46" t="s">
        <v>65</v>
      </c>
      <c r="G20" s="46"/>
      <c r="H20" s="46"/>
      <c r="I20" s="9"/>
      <c r="J20" s="22">
        <v>0</v>
      </c>
      <c r="K20" s="9">
        <f>H21</f>
        <v>4543.21</v>
      </c>
    </row>
    <row r="21" spans="3:11" ht="21" x14ac:dyDescent="0.35">
      <c r="C21" s="39"/>
      <c r="D21" s="8"/>
      <c r="E21" s="8"/>
      <c r="F21" s="46">
        <v>1345</v>
      </c>
      <c r="G21" s="46">
        <v>1058</v>
      </c>
      <c r="H21" s="47">
        <f>(F21-G21)*15.83</f>
        <v>4543.21</v>
      </c>
      <c r="I21" s="9"/>
      <c r="J21" s="9"/>
      <c r="K21" s="9"/>
    </row>
    <row r="22" spans="3:11" ht="21" x14ac:dyDescent="0.35">
      <c r="C22" s="39"/>
      <c r="D22" s="92" t="s">
        <v>76</v>
      </c>
      <c r="E22" s="92"/>
      <c r="F22" s="91">
        <f>F21-G21</f>
        <v>287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2463.5100000000002</v>
      </c>
    </row>
    <row r="25" spans="3:11" ht="21" x14ac:dyDescent="0.35">
      <c r="C25" s="39"/>
      <c r="D25" s="8"/>
      <c r="E25" s="8"/>
      <c r="F25" s="46">
        <v>88</v>
      </c>
      <c r="G25" s="46">
        <v>67</v>
      </c>
      <c r="H25" s="47">
        <f>(F25-G25)*117.31</f>
        <v>2463.5100000000002</v>
      </c>
      <c r="I25" s="9"/>
      <c r="J25" s="9"/>
      <c r="K25" s="9"/>
    </row>
    <row r="26" spans="3:11" ht="21" x14ac:dyDescent="0.35">
      <c r="C26" s="39"/>
      <c r="D26" s="92" t="s">
        <v>77</v>
      </c>
      <c r="E26" s="92"/>
      <c r="F26" s="91">
        <f>F25-G25</f>
        <v>21</v>
      </c>
      <c r="G26" s="91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7006.72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12648.39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56" t="s">
        <v>66</v>
      </c>
      <c r="D41" s="56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6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S9" sqref="S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71</v>
      </c>
      <c r="E16" s="49" t="s">
        <v>72</v>
      </c>
      <c r="F16" s="18"/>
      <c r="G16" s="18"/>
      <c r="H16" s="18"/>
      <c r="I16" s="18">
        <f>K36</f>
        <v>8369.4</v>
      </c>
      <c r="J16" s="18">
        <f>I16+H16+G16</f>
        <v>8369.4</v>
      </c>
      <c r="K16" s="19"/>
    </row>
    <row r="17" spans="3:11" ht="21" x14ac:dyDescent="0.35">
      <c r="C17" s="8"/>
      <c r="D17" s="8"/>
      <c r="E17" s="8" t="s">
        <v>64</v>
      </c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6" t="s">
        <v>32</v>
      </c>
      <c r="E20" s="86"/>
      <c r="F20" s="46" t="s">
        <v>73</v>
      </c>
      <c r="G20" s="46"/>
      <c r="H20" s="46"/>
      <c r="I20" s="9"/>
      <c r="J20" s="22">
        <v>0</v>
      </c>
      <c r="K20" s="9">
        <f>H21</f>
        <v>4139.46</v>
      </c>
    </row>
    <row r="21" spans="3:11" ht="21" x14ac:dyDescent="0.35">
      <c r="C21" s="39"/>
      <c r="D21" s="8"/>
      <c r="E21" s="8"/>
      <c r="F21" s="46">
        <v>1722</v>
      </c>
      <c r="G21" s="46">
        <v>1345</v>
      </c>
      <c r="H21" s="47">
        <f>(F21-G21)*10.98</f>
        <v>4139.46</v>
      </c>
      <c r="I21" s="9"/>
      <c r="J21" s="9"/>
      <c r="K21" s="9"/>
    </row>
    <row r="22" spans="3:11" ht="21" x14ac:dyDescent="0.35">
      <c r="C22" s="39"/>
      <c r="D22" s="92" t="s">
        <v>76</v>
      </c>
      <c r="E22" s="92"/>
      <c r="F22" s="91">
        <f>F21-G21</f>
        <v>377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74</v>
      </c>
      <c r="G24" s="46"/>
      <c r="H24" s="46"/>
      <c r="I24" s="9"/>
      <c r="J24" s="22">
        <v>0</v>
      </c>
      <c r="K24" s="9">
        <f>H25</f>
        <v>2835.04</v>
      </c>
    </row>
    <row r="25" spans="3:11" ht="21" x14ac:dyDescent="0.35">
      <c r="C25" s="39"/>
      <c r="D25" s="8"/>
      <c r="E25" s="8"/>
      <c r="F25" s="46">
        <v>117</v>
      </c>
      <c r="G25" s="46">
        <v>88</v>
      </c>
      <c r="H25" s="47">
        <f>(F25-G25)*97.76</f>
        <v>2835.04</v>
      </c>
      <c r="I25" s="9"/>
      <c r="J25" s="9"/>
      <c r="K25" s="9"/>
    </row>
    <row r="26" spans="3:11" ht="21" x14ac:dyDescent="0.35">
      <c r="C26" s="39"/>
      <c r="D26" s="92" t="s">
        <v>77</v>
      </c>
      <c r="E26" s="92"/>
      <c r="F26" s="91">
        <f>F25-G25</f>
        <v>29</v>
      </c>
      <c r="G26" s="91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75</v>
      </c>
      <c r="E28" s="8"/>
      <c r="F28" s="8"/>
      <c r="G28" s="8"/>
      <c r="H28" s="8"/>
      <c r="I28" s="9">
        <f>(H21+H25)*20%</f>
        <v>1394.9</v>
      </c>
      <c r="J28" s="22">
        <v>0</v>
      </c>
      <c r="K28" s="9">
        <f>I28</f>
        <v>1394.9</v>
      </c>
    </row>
    <row r="29" spans="3:11" ht="21" x14ac:dyDescent="0.35">
      <c r="C29" s="93" t="s">
        <v>78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8369.4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8369.4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0" t="s">
        <v>17</v>
      </c>
      <c r="D41" s="80"/>
      <c r="E41" s="80"/>
      <c r="F41" s="80"/>
      <c r="G41" s="80"/>
      <c r="H41" s="80"/>
      <c r="I41" s="80"/>
      <c r="J41" s="80"/>
      <c r="K41" s="80"/>
      <c r="L41" s="3"/>
    </row>
    <row r="42" spans="2:12" s="8" customFormat="1" ht="23.25" x14ac:dyDescent="0.35">
      <c r="B42" s="3"/>
      <c r="C42" s="58" t="s">
        <v>66</v>
      </c>
      <c r="D42" s="59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9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6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85" zoomScaleNormal="85" workbookViewId="0">
      <selection activeCell="N48" sqref="N4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80</v>
      </c>
      <c r="E16" s="49" t="s">
        <v>81</v>
      </c>
      <c r="F16" s="18"/>
      <c r="G16" s="18"/>
      <c r="H16" s="18">
        <v>8369.4</v>
      </c>
      <c r="I16" s="18">
        <f>K36</f>
        <v>5404.3620000000001</v>
      </c>
      <c r="J16" s="18">
        <f>I16+H16+G16</f>
        <v>13773.761999999999</v>
      </c>
      <c r="K16" s="19"/>
    </row>
    <row r="17" spans="3:11" ht="21" x14ac:dyDescent="0.35">
      <c r="C17" s="8"/>
      <c r="D17" s="8"/>
      <c r="E17" s="8" t="s">
        <v>64</v>
      </c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6" t="s">
        <v>32</v>
      </c>
      <c r="E20" s="86"/>
      <c r="F20" s="46" t="s">
        <v>82</v>
      </c>
      <c r="G20" s="46"/>
      <c r="H20" s="46"/>
      <c r="I20" s="9"/>
      <c r="J20" s="22">
        <v>0</v>
      </c>
      <c r="K20" s="9">
        <f>H21</f>
        <v>3436.2899999999995</v>
      </c>
    </row>
    <row r="21" spans="3:11" ht="21" x14ac:dyDescent="0.35">
      <c r="C21" s="39"/>
      <c r="D21" s="8"/>
      <c r="E21" s="8"/>
      <c r="F21" s="46">
        <v>2073</v>
      </c>
      <c r="G21" s="46">
        <v>1722</v>
      </c>
      <c r="H21" s="47">
        <f>(F21-G21)*9.79</f>
        <v>3436.2899999999995</v>
      </c>
      <c r="I21" s="9"/>
      <c r="J21" s="9"/>
      <c r="K21" s="9"/>
    </row>
    <row r="22" spans="3:11" ht="21" x14ac:dyDescent="0.35">
      <c r="C22" s="39"/>
      <c r="D22" s="92" t="s">
        <v>76</v>
      </c>
      <c r="E22" s="92"/>
      <c r="F22" s="91">
        <f>F21-G21</f>
        <v>351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83</v>
      </c>
      <c r="G24" s="46"/>
      <c r="H24" s="46"/>
      <c r="I24" s="9"/>
      <c r="J24" s="22">
        <v>0</v>
      </c>
      <c r="K24" s="9">
        <f>H25</f>
        <v>2150.7200000000003</v>
      </c>
    </row>
    <row r="25" spans="3:11" ht="21" x14ac:dyDescent="0.35">
      <c r="C25" s="39"/>
      <c r="D25" s="8"/>
      <c r="E25" s="8"/>
      <c r="F25" s="46">
        <v>139</v>
      </c>
      <c r="G25" s="46">
        <v>117</v>
      </c>
      <c r="H25" s="47">
        <f>(F25-G25)*97.76</f>
        <v>2150.7200000000003</v>
      </c>
      <c r="I25" s="9"/>
      <c r="J25" s="9"/>
      <c r="K25" s="9"/>
    </row>
    <row r="26" spans="3:11" ht="21" x14ac:dyDescent="0.35">
      <c r="C26" s="39"/>
      <c r="D26" s="92" t="s">
        <v>77</v>
      </c>
      <c r="E26" s="92"/>
      <c r="F26" s="91">
        <f>F25-G25</f>
        <v>22</v>
      </c>
      <c r="G26" s="91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75</v>
      </c>
      <c r="E28" s="8"/>
      <c r="F28" s="8"/>
      <c r="G28" s="8"/>
      <c r="H28" s="8"/>
      <c r="I28" s="9">
        <f>(H21+H25)*20%</f>
        <v>1117.402</v>
      </c>
      <c r="J28" s="22">
        <v>0</v>
      </c>
      <c r="K28" s="9">
        <f>I28</f>
        <v>1117.402</v>
      </c>
    </row>
    <row r="29" spans="3:11" ht="21" customHeight="1" x14ac:dyDescent="0.35">
      <c r="C29" s="93" t="s">
        <v>84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96.95" customHeight="1" x14ac:dyDescent="0.35">
      <c r="C33" s="38"/>
      <c r="D33" s="95" t="s">
        <v>85</v>
      </c>
      <c r="E33" s="95"/>
      <c r="F33" s="96" t="s">
        <v>88</v>
      </c>
      <c r="G33" s="96"/>
      <c r="H33" s="96"/>
      <c r="I33" s="96"/>
      <c r="J33" s="66">
        <v>0</v>
      </c>
      <c r="K33" s="66">
        <f>(761.7+538.35)</f>
        <v>1300.0500000000002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5404.3620000000001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13773.761999999999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3.25" x14ac:dyDescent="0.35">
      <c r="B43" s="3"/>
      <c r="C43" s="58" t="s">
        <v>66</v>
      </c>
      <c r="D43" s="59" t="s">
        <v>86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9" t="s">
        <v>87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9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P9" sqref="P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89</v>
      </c>
      <c r="E16" s="49" t="s">
        <v>90</v>
      </c>
      <c r="F16" s="18"/>
      <c r="G16" s="18"/>
      <c r="H16" s="18"/>
      <c r="I16" s="18">
        <f>K34</f>
        <v>3917.8199999999997</v>
      </c>
      <c r="J16" s="18">
        <f>I16+H16+G16</f>
        <v>3917.8199999999997</v>
      </c>
      <c r="K16" s="19"/>
    </row>
    <row r="17" spans="3:11" ht="21" x14ac:dyDescent="0.35">
      <c r="C17" s="8"/>
      <c r="D17" s="8"/>
      <c r="E17" s="8" t="s">
        <v>64</v>
      </c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6" t="s">
        <v>32</v>
      </c>
      <c r="E20" s="86"/>
      <c r="F20" s="46" t="s">
        <v>92</v>
      </c>
      <c r="G20" s="46"/>
      <c r="H20" s="46"/>
      <c r="I20" s="9"/>
      <c r="J20" s="22">
        <v>0</v>
      </c>
      <c r="K20" s="9">
        <f>H21</f>
        <v>2029.82</v>
      </c>
    </row>
    <row r="21" spans="3:11" ht="21" x14ac:dyDescent="0.35">
      <c r="C21" s="39"/>
      <c r="D21" s="8"/>
      <c r="E21" s="8"/>
      <c r="F21" s="46">
        <v>2284</v>
      </c>
      <c r="G21" s="46">
        <v>2073</v>
      </c>
      <c r="H21" s="47">
        <f>(F21-G21)*9.62</f>
        <v>2029.82</v>
      </c>
      <c r="I21" s="9"/>
      <c r="J21" s="9"/>
      <c r="K21" s="9"/>
    </row>
    <row r="22" spans="3:11" ht="21" x14ac:dyDescent="0.35">
      <c r="C22" s="39"/>
      <c r="D22" s="92" t="s">
        <v>76</v>
      </c>
      <c r="E22" s="92"/>
      <c r="F22" s="91">
        <f>F21-G21</f>
        <v>211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2020.62</v>
      </c>
    </row>
    <row r="25" spans="3:11" ht="21" x14ac:dyDescent="0.35">
      <c r="C25" s="39"/>
      <c r="D25" s="8"/>
      <c r="E25" s="8"/>
      <c r="F25" s="46">
        <v>160</v>
      </c>
      <c r="G25" s="46">
        <v>139</v>
      </c>
      <c r="H25" s="47">
        <f>(F25-G25)*96.22</f>
        <v>2020.62</v>
      </c>
      <c r="I25" s="9"/>
      <c r="J25" s="9"/>
      <c r="K25" s="9"/>
    </row>
    <row r="26" spans="3:11" ht="21" x14ac:dyDescent="0.35">
      <c r="C26" s="39"/>
      <c r="D26" s="92" t="s">
        <v>77</v>
      </c>
      <c r="E26" s="92"/>
      <c r="F26" s="91">
        <f>F25-G25</f>
        <v>21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8"/>
      <c r="G30" s="88"/>
      <c r="H30" s="88"/>
      <c r="I30" s="9"/>
      <c r="J30" s="9"/>
      <c r="K30" s="9"/>
    </row>
    <row r="31" spans="3:11" ht="135" customHeight="1" x14ac:dyDescent="0.35">
      <c r="C31" s="38"/>
      <c r="D31" s="95" t="s">
        <v>85</v>
      </c>
      <c r="E31" s="95"/>
      <c r="F31" s="96" t="s">
        <v>94</v>
      </c>
      <c r="G31" s="96"/>
      <c r="H31" s="96"/>
      <c r="I31" s="96"/>
      <c r="J31" s="66">
        <v>0</v>
      </c>
      <c r="K31" s="66">
        <f>21.13+53.94+57.55</f>
        <v>132.62</v>
      </c>
    </row>
    <row r="32" spans="3:11" ht="27" customHeight="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3917.8199999999997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3917.8199999999997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64"/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0" t="s">
        <v>33</v>
      </c>
      <c r="D51" s="90"/>
      <c r="E51" s="90"/>
      <c r="F51" s="8"/>
      <c r="G51" s="90" t="s">
        <v>31</v>
      </c>
      <c r="H51" s="90"/>
      <c r="I51" s="9"/>
      <c r="J51" s="9"/>
      <c r="K51" s="9"/>
    </row>
    <row r="52" spans="3:11" ht="21" x14ac:dyDescent="0.35">
      <c r="C52" s="80" t="s">
        <v>23</v>
      </c>
      <c r="D52" s="80"/>
      <c r="E52" s="80"/>
      <c r="F52" s="8"/>
      <c r="G52" s="80" t="s">
        <v>24</v>
      </c>
      <c r="H52" s="80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3:K43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2020-11-05T08:48:22Z</cp:lastPrinted>
  <dcterms:created xsi:type="dcterms:W3CDTF">2018-02-28T02:33:50Z</dcterms:created>
  <dcterms:modified xsi:type="dcterms:W3CDTF">2020-12-05T06:36:58Z</dcterms:modified>
</cp:coreProperties>
</file>