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2020'!$A$1:$K$54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2020'!$A$1:$K$60</definedName>
    <definedName name="_xlnm.Print_Area" localSheetId="12">'NOV 2020'!$A$1:$K$54</definedName>
    <definedName name="_xlnm.Print_Area" localSheetId="0">'NOVEMBER 2019'!$A$1:$L$57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G16" i="15" l="1"/>
  <c r="K33" i="15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5" i="14" l="1"/>
  <c r="H21" i="14" l="1"/>
  <c r="K20" i="14" s="1"/>
  <c r="K34" i="14" s="1"/>
  <c r="K33" i="14"/>
  <c r="F26" i="14"/>
  <c r="K24" i="14"/>
  <c r="F22" i="14"/>
  <c r="I16" i="14" l="1"/>
  <c r="J16" i="14" s="1"/>
  <c r="H25" i="13"/>
  <c r="K24" i="13" s="1"/>
  <c r="K33" i="13"/>
  <c r="K29" i="13"/>
  <c r="K27" i="13"/>
  <c r="F26" i="13"/>
  <c r="F22" i="13"/>
  <c r="H21" i="13"/>
  <c r="K20" i="13" s="1"/>
  <c r="K3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s="1"/>
  <c r="I16" i="12" s="1"/>
  <c r="K36" i="12" l="1"/>
  <c r="J16" i="12"/>
  <c r="H25" i="11"/>
  <c r="K24" i="11" s="1"/>
  <c r="H21" i="11"/>
  <c r="K20" i="11" s="1"/>
  <c r="K33" i="11"/>
  <c r="K29" i="11"/>
  <c r="K27" i="11"/>
  <c r="F26" i="11"/>
  <c r="F22" i="11"/>
  <c r="K34" i="11" l="1"/>
  <c r="I16" i="11" s="1"/>
  <c r="K36" i="11" s="1"/>
  <c r="K31" i="10"/>
  <c r="K33" i="10"/>
  <c r="H25" i="10"/>
  <c r="K24" i="10" s="1"/>
  <c r="H21" i="10"/>
  <c r="K20" i="10" s="1"/>
  <c r="K29" i="10"/>
  <c r="F26" i="10"/>
  <c r="F22" i="10"/>
  <c r="J16" i="11" l="1"/>
  <c r="K27" i="10"/>
  <c r="K34" i="10" s="1"/>
  <c r="K33" i="9"/>
  <c r="I16" i="10" l="1"/>
  <c r="K36" i="10" s="1"/>
  <c r="K35" i="9"/>
  <c r="J16" i="10" l="1"/>
  <c r="F26" i="7"/>
  <c r="F22" i="7"/>
  <c r="H21" i="9" l="1"/>
  <c r="K20" i="9" s="1"/>
  <c r="K30" i="9"/>
  <c r="F26" i="9"/>
  <c r="H25" i="9"/>
  <c r="K24" i="9" s="1"/>
  <c r="F22" i="9"/>
  <c r="I28" i="9" l="1"/>
  <c r="K28" i="9" s="1"/>
  <c r="F26" i="8"/>
  <c r="F22" i="8"/>
  <c r="K36" i="9" l="1"/>
  <c r="I16" i="9" s="1"/>
  <c r="H25" i="8"/>
  <c r="K24" i="8" s="1"/>
  <c r="H21" i="8"/>
  <c r="K20" i="8"/>
  <c r="K35" i="8"/>
  <c r="K33" i="8"/>
  <c r="K30" i="8"/>
  <c r="K38" i="9" l="1"/>
  <c r="J16" i="9"/>
  <c r="I28" i="8"/>
  <c r="K28" i="8" s="1"/>
  <c r="K36" i="8"/>
  <c r="I16" i="8" s="1"/>
  <c r="J16" i="8" s="1"/>
  <c r="K34" i="7"/>
  <c r="K32" i="7"/>
  <c r="K29" i="7"/>
  <c r="K27" i="7"/>
  <c r="H25" i="7"/>
  <c r="K24" i="7"/>
  <c r="H21" i="7"/>
  <c r="K20" i="7" s="1"/>
  <c r="K38" i="8" l="1"/>
  <c r="K35" i="7"/>
  <c r="I16" i="7" s="1"/>
  <c r="J16" i="7" s="1"/>
  <c r="H25" i="6"/>
  <c r="K24" i="6" s="1"/>
  <c r="H21" i="6"/>
  <c r="K20" i="6" s="1"/>
  <c r="K34" i="6"/>
  <c r="K32" i="6"/>
  <c r="K29" i="6"/>
  <c r="K27" i="6"/>
  <c r="K37" i="7" l="1"/>
  <c r="K35" i="6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K37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<sst xmlns="http://schemas.openxmlformats.org/spreadsheetml/2006/main" count="586" uniqueCount="122">
  <si>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</si>
  <si>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</si>
  <si>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</si>
  <si>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</si>
  <si>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</si>
  <si>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</si>
  <si>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</si>
  <si>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</si>
  <si>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</si>
  <si>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</si>
  <si>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</si>
  <si>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</si>
  <si>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</si>
  <si>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</si>
  <si>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</si>
  <si>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</si>
  <si>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</si>
  <si>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</si>
  <si>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</si>
  <si>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</si>
  <si>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</si>
  <si>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</si>
  <si>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</si>
  <si>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</si>
  <si>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</si>
  <si>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</si>
  <si>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</si>
  <si>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</si>
  <si>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</si>
  <si>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</si>
  <si>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</si>
  <si>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</si>
  <si>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</si>
  <si>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</si>
  <si>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</si>
  <si>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</si>
  <si>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</si>
  <si>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</si>
  <si>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CAMELA VALENCIA</t>
  </si>
  <si>
    <t>UNIT: 29A06</t>
  </si>
  <si>
    <t xml:space="preserve">PRES: NOV 25 2019 - PREV: NOV 19 2019 * 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</si>
  <si>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</si>
  <si>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</si>
  <si>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</si>
  <si>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</si>
  <si>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</si>
  <si>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</si>
  <si>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</si>
  <si>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</si>
  <si>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</si>
  <si>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</si>
  <si>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</si>
  <si>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</si>
  <si>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</si>
  <si>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</si>
  <si>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</si>
  <si>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</si>
  <si>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</si>
  <si>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</si>
  <si>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</si>
  <si>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</si>
  <si>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</si>
  <si>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</si>
  <si>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</si>
  <si>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</si>
  <si>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</si>
  <si>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</si>
  <si>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</si>
  <si>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</si>
  <si>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</si>
  <si>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</si>
  <si>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</si>
  <si>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</si>
  <si>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</si>
  <si>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</si>
  <si>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</si>
  <si>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</si>
  <si>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</si>
  <si>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</si>
  <si>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t>MAY 2020 BILLING WAS BASED ON APRIL 2020 ( amount per kWh)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</si>
  <si>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</si>
  <si>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r>
      <t xml:space="preserve">ELECTRICITY: 
MAR 2020 - 298 kWh x 10.98 = 3,272.04 + 20% (AC) = 3,926.45 - 4,717.34 (billing Mar2020) = </t>
    </r>
    <r>
      <rPr>
        <b/>
        <u/>
        <sz val="14"/>
        <color rgb="FFFF0000"/>
        <rFont val="Calibri"/>
        <family val="2"/>
        <scheme val="minor"/>
      </rPr>
      <t>790.89</t>
    </r>
    <r>
      <rPr>
        <b/>
        <sz val="14"/>
        <color rgb="FFFF0000"/>
        <rFont val="Calibri"/>
        <family val="2"/>
        <scheme val="minor"/>
      </rPr>
      <t xml:space="preserve">
APR 2020 - 473 kWh x 9.79 = 4,630.67 + 20% (AC) = 5,556.80 - 6,232.25 (billing Mar2020) = </t>
    </r>
    <r>
      <rPr>
        <b/>
        <u/>
        <sz val="14"/>
        <color rgb="FFFF0000"/>
        <rFont val="Calibri"/>
        <family val="2"/>
        <scheme val="minor"/>
      </rPr>
      <t>675.45</t>
    </r>
  </si>
  <si>
    <t>* SECURITY
* JANITORIAL SERVICES
* PMS (BUILDING EQUIPMENTS) 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</si>
  <si>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</si>
  <si>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</si>
  <si>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</si>
  <si>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</si>
  <si>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</si>
  <si>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2020 - 13 cubic x 96.92 = 1,259.96 + 20% (AC) = 1,511.95 - 1,525.03 (billing Mar2020) = </t>
    </r>
    <r>
      <rPr>
        <b/>
        <u/>
        <sz val="14"/>
        <color rgb="FFFF0000"/>
        <rFont val="Calibri"/>
        <family val="2"/>
        <scheme val="minor"/>
      </rPr>
      <t>13.08</t>
    </r>
    <r>
      <rPr>
        <b/>
        <sz val="14"/>
        <color rgb="FFFF0000"/>
        <rFont val="Calibri"/>
        <family val="2"/>
        <scheme val="minor"/>
      </rPr>
      <t xml:space="preserve">
APR 2020 - 16 cubic x 96.21 = 1,539.36 + 20% (AC) = 1,847.23 - 1,876.99 (billing Apr2020) = </t>
    </r>
    <r>
      <rPr>
        <b/>
        <u/>
        <sz val="14"/>
        <color rgb="FFFF0000"/>
        <rFont val="Calibri"/>
        <family val="2"/>
        <scheme val="minor"/>
      </rPr>
      <t xml:space="preserve">29.76
</t>
    </r>
    <r>
      <rPr>
        <b/>
        <sz val="14"/>
        <color rgb="FFFF0000"/>
        <rFont val="Calibri"/>
        <family val="2"/>
        <scheme val="minor"/>
      </rPr>
      <t xml:space="preserve">MAY 2020 - 15 cubic x 95.58 = 1,433.70 + 20% (AC) = 1,720.44 - 1,759.68 (billing May2020) = </t>
    </r>
    <r>
      <rPr>
        <b/>
        <u/>
        <sz val="14"/>
        <color rgb="FFFF0000"/>
        <rFont val="Calibri"/>
        <family val="2"/>
        <scheme val="minor"/>
      </rPr>
      <t>39.24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</si>
  <si>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</si>
  <si>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</si>
  <si>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</si>
  <si>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</si>
  <si>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</si>
  <si>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</si>
  <si>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</si>
  <si>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</si>
  <si>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</si>
  <si>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</si>
  <si>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</si>
  <si>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</si>
  <si>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</si>
  <si>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</si>
  <si>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</si>
  <si>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</si>
  <si>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</si>
  <si>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</si>
  <si>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</si>
  <si>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</si>
  <si>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</si>
  <si>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</si>
  <si>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</si>
  <si>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</si>
  <si>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</si>
  <si>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OCT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</si>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</sst>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43" fontId="3" fillId="0" borderId="0" xfId="0" applyNumberFormat="1" applyFont="1"/>
    <xf numFmtId="43" fontId="0" fillId="0" borderId="0" xfId="0" applyNumberFormat="1" applyFont="1"/>
    <xf numFmtId="43" fontId="0" fillId="0" borderId="0" xfId="0" applyNumberFormat="1" applyFont="1" applyAlignment="1">
      <alignment vertical="center"/>
    </xf>
    <xf numFmtId="43" fontId="2" fillId="0" borderId="0" xfId="0" applyNumberFormat="1" applyFont="1" applyAlignment="1">
      <alignment horizontal="center" vertical="center"/>
    </xf>
    <xf numFmtId="43" fontId="5" fillId="0" borderId="0" xfId="0" applyNumberFormat="1" applyFont="1"/>
    <xf numFmtId="164" fontId="19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688786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4450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0162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29A06%20-%20VAL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4264.8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/>
      <c r="G21" s="46"/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/>
      <c r="G25" s="46"/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J12" sqref="J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4064.09</v>
      </c>
      <c r="J16" s="18">
        <f>I16+H16+G16</f>
        <v>4064.09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97</v>
      </c>
      <c r="G20" s="46"/>
      <c r="H20" s="46"/>
      <c r="I20" s="9"/>
      <c r="J20" s="22">
        <v>0</v>
      </c>
      <c r="K20" s="9">
        <f>H21</f>
        <v>2210.6400000000003</v>
      </c>
    </row>
    <row r="21" spans="3:11" ht="21" x14ac:dyDescent="0.35">
      <c r="C21" s="39"/>
      <c r="D21" s="8"/>
      <c r="E21" s="8"/>
      <c r="F21" s="46">
        <v>3045</v>
      </c>
      <c r="G21" s="46">
        <v>2801</v>
      </c>
      <c r="H21" s="47">
        <f>(F21-G21)*9.06</f>
        <v>2210.6400000000003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244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1853.45</v>
      </c>
    </row>
    <row r="25" spans="3:11" ht="21" x14ac:dyDescent="0.35">
      <c r="C25" s="39"/>
      <c r="D25" s="8"/>
      <c r="E25" s="8"/>
      <c r="F25" s="46">
        <v>121</v>
      </c>
      <c r="G25" s="46">
        <v>102</v>
      </c>
      <c r="H25" s="47">
        <f>(F25-G25)*97.55</f>
        <v>1853.45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19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0" customHeight="1" x14ac:dyDescent="0.35">
      <c r="C30" s="61"/>
      <c r="D30" s="61"/>
      <c r="E30" s="6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0"/>
      <c r="K31" s="70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4064.09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4064.09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4733.76</v>
      </c>
      <c r="J16" s="18">
        <f>I16+H16+G16</f>
        <v>4733.76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102</v>
      </c>
      <c r="G20" s="46"/>
      <c r="H20" s="46"/>
      <c r="I20" s="9"/>
      <c r="J20" s="22">
        <v>0</v>
      </c>
      <c r="K20" s="9">
        <f>H21</f>
        <v>2772.36</v>
      </c>
    </row>
    <row r="21" spans="3:11" ht="21" x14ac:dyDescent="0.35">
      <c r="C21" s="39"/>
      <c r="D21" s="8"/>
      <c r="E21" s="8"/>
      <c r="F21" s="46">
        <v>3351</v>
      </c>
      <c r="G21" s="46">
        <v>3045</v>
      </c>
      <c r="H21" s="47">
        <f>(F21-G21)*9.06</f>
        <v>2772.36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306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1961.3999999999999</v>
      </c>
    </row>
    <row r="25" spans="3:11" ht="21" x14ac:dyDescent="0.35">
      <c r="C25" s="39"/>
      <c r="D25" s="8"/>
      <c r="E25" s="8"/>
      <c r="F25" s="46">
        <v>141</v>
      </c>
      <c r="G25" s="46">
        <v>121</v>
      </c>
      <c r="H25" s="47">
        <f>(F25-G25)*98.07</f>
        <v>1961.3999999999999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20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0" customHeight="1" x14ac:dyDescent="0.35">
      <c r="C30" s="61"/>
      <c r="D30" s="61"/>
      <c r="E30" s="6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0"/>
      <c r="K31" s="70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4733.76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4733.76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2132.4</v>
      </c>
      <c r="H16" s="18"/>
      <c r="I16" s="18">
        <f>K34</f>
        <v>5316.3600000000006</v>
      </c>
      <c r="J16" s="18">
        <f>I16+H16+G16</f>
        <v>7448.76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111</v>
      </c>
      <c r="E20" s="100"/>
      <c r="F20" s="46" t="s">
        <v>106</v>
      </c>
      <c r="G20" s="46"/>
      <c r="H20" s="46"/>
      <c r="I20" s="9"/>
      <c r="J20" s="22">
        <v>0</v>
      </c>
      <c r="K20" s="9">
        <f>H21</f>
        <v>1705.5600000000002</v>
      </c>
    </row>
    <row r="21" spans="3:11" ht="21" x14ac:dyDescent="0.35">
      <c r="C21" s="39"/>
      <c r="D21" s="8"/>
      <c r="E21" s="8"/>
      <c r="F21" s="46">
        <v>3584</v>
      </c>
      <c r="G21" s="46">
        <v>3351</v>
      </c>
      <c r="H21" s="47">
        <f>(F21-G21)*7.32</f>
        <v>1705.5600000000002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233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112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1478.4</v>
      </c>
    </row>
    <row r="25" spans="3:11" ht="21" x14ac:dyDescent="0.35">
      <c r="C25" s="39"/>
      <c r="D25" s="8"/>
      <c r="E25" s="8"/>
      <c r="F25" s="46">
        <v>156</v>
      </c>
      <c r="G25" s="46">
        <v>141</v>
      </c>
      <c r="H25" s="47">
        <f>(F25-G25)*98.56</f>
        <v>1478.4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15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113</v>
      </c>
      <c r="E28" s="100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0" customHeight="1" x14ac:dyDescent="0.35">
      <c r="C30" s="38"/>
      <c r="D30" s="44"/>
      <c r="E30" s="44"/>
      <c r="F30" s="90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0"/>
      <c r="K31" s="70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5316.3600000000006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7448.76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9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F30:H3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20" zoomScale="85" zoomScaleNormal="85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'[1]ASSOC DUES'!$E$12</f>
        <v>4264.8</v>
      </c>
      <c r="H16" s="18"/>
      <c r="I16" s="18">
        <f>K34</f>
        <v>5251.3899999999994</v>
      </c>
      <c r="J16" s="18">
        <f>I16+H16+G16</f>
        <v>9516.1899999999987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32</v>
      </c>
      <c r="E20" s="100"/>
      <c r="F20" s="46" t="s">
        <v>120</v>
      </c>
      <c r="G20" s="46"/>
      <c r="H20" s="46"/>
      <c r="I20" s="9"/>
      <c r="J20" s="22">
        <v>0</v>
      </c>
      <c r="K20" s="9">
        <f>H21</f>
        <v>1844.6</v>
      </c>
    </row>
    <row r="21" spans="3:11" ht="21" x14ac:dyDescent="0.35">
      <c r="C21" s="39"/>
      <c r="D21" s="8"/>
      <c r="E21" s="8"/>
      <c r="F21" s="46">
        <v>3814</v>
      </c>
      <c r="G21" s="46">
        <v>3584</v>
      </c>
      <c r="H21" s="47">
        <f>(F21-G21)*8.02</f>
        <v>1844.6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230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1274.3900000000001</v>
      </c>
    </row>
    <row r="25" spans="3:11" ht="21" x14ac:dyDescent="0.35">
      <c r="C25" s="39"/>
      <c r="D25" s="8"/>
      <c r="E25" s="8"/>
      <c r="F25" s="46">
        <v>169</v>
      </c>
      <c r="G25" s="46">
        <v>156</v>
      </c>
      <c r="H25" s="47">
        <f>(F25-G25)*98.03</f>
        <v>1274.3900000000001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13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113</v>
      </c>
      <c r="E28" s="100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35.54</v>
      </c>
      <c r="G29" s="46">
        <v>60</v>
      </c>
      <c r="H29" s="47">
        <f>F29*G29</f>
        <v>2132.4</v>
      </c>
      <c r="I29" s="9"/>
      <c r="J29" s="22">
        <v>0</v>
      </c>
      <c r="K29" s="9">
        <f>H29</f>
        <v>2132.4</v>
      </c>
    </row>
    <row r="30" spans="3:11" ht="30" customHeight="1" x14ac:dyDescent="0.35">
      <c r="C30" s="38"/>
      <c r="D30" s="44"/>
      <c r="E30" s="44"/>
      <c r="F30" s="90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0"/>
      <c r="K31" s="70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5251.3899999999994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9516.1899999999987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119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D28:E28"/>
    <mergeCell ref="F30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517</v>
      </c>
      <c r="G21" s="46">
        <v>517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4119.7</v>
      </c>
      <c r="J16" s="18">
        <f>I16+H16+G16</f>
        <v>4119.7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2957.9999999999995</v>
      </c>
    </row>
    <row r="21" spans="3:11" ht="21" x14ac:dyDescent="0.35">
      <c r="C21" s="39"/>
      <c r="D21" s="8"/>
      <c r="E21" s="8"/>
      <c r="F21" s="46">
        <v>687</v>
      </c>
      <c r="G21" s="46">
        <v>517</v>
      </c>
      <c r="H21" s="47">
        <f>(F21-G21)*17.4</f>
        <v>2957.9999999999995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1161.7</v>
      </c>
    </row>
    <row r="25" spans="3:11" ht="21" x14ac:dyDescent="0.35">
      <c r="C25" s="39"/>
      <c r="D25" s="8"/>
      <c r="E25" s="8"/>
      <c r="F25" s="46">
        <v>11</v>
      </c>
      <c r="G25" s="46">
        <v>1</v>
      </c>
      <c r="H25" s="47">
        <f>(F25-G25)*116.17</f>
        <v>1161.7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4119.7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4119.7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3" sqref="H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4789.68</v>
      </c>
      <c r="J16" s="18">
        <f>I16+H16+G16</f>
        <v>4789.68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54</v>
      </c>
      <c r="G20" s="46"/>
      <c r="H20" s="46"/>
      <c r="I20" s="9"/>
      <c r="J20" s="22">
        <v>0</v>
      </c>
      <c r="K20" s="9">
        <f>H21</f>
        <v>2912.72</v>
      </c>
    </row>
    <row r="21" spans="3:11" ht="21" x14ac:dyDescent="0.35">
      <c r="C21" s="39"/>
      <c r="D21" s="8"/>
      <c r="E21" s="8"/>
      <c r="F21" s="46">
        <v>871</v>
      </c>
      <c r="G21" s="46">
        <v>687</v>
      </c>
      <c r="H21" s="47">
        <f>(F21-G21)*15.83</f>
        <v>2912.72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1876.96</v>
      </c>
    </row>
    <row r="25" spans="3:11" ht="21" x14ac:dyDescent="0.35">
      <c r="C25" s="39"/>
      <c r="D25" s="8"/>
      <c r="E25" s="8"/>
      <c r="F25" s="46">
        <v>27</v>
      </c>
      <c r="G25" s="46">
        <v>11</v>
      </c>
      <c r="H25" s="47">
        <f>(F25-G25)*117.31</f>
        <v>1876.96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4789.68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4789.68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K20" sqref="K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6242.37</v>
      </c>
      <c r="J16" s="18">
        <f>I16+H16+G16</f>
        <v>6242.37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59</v>
      </c>
      <c r="G20" s="46"/>
      <c r="H20" s="46"/>
      <c r="I20" s="9"/>
      <c r="J20" s="22">
        <v>0</v>
      </c>
      <c r="K20" s="9">
        <f>H21</f>
        <v>4717.34</v>
      </c>
    </row>
    <row r="21" spans="3:11" ht="21" x14ac:dyDescent="0.35">
      <c r="C21" s="39"/>
      <c r="D21" s="8"/>
      <c r="E21" s="8"/>
      <c r="F21" s="46">
        <v>1169</v>
      </c>
      <c r="G21" s="46">
        <v>871</v>
      </c>
      <c r="H21" s="47">
        <f>(F21-G21)*15.83</f>
        <v>4717.34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298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1525.03</v>
      </c>
    </row>
    <row r="25" spans="3:11" ht="21" x14ac:dyDescent="0.35">
      <c r="C25" s="39"/>
      <c r="D25" s="8"/>
      <c r="E25" s="8"/>
      <c r="F25" s="46">
        <v>40</v>
      </c>
      <c r="G25" s="46">
        <v>27</v>
      </c>
      <c r="H25" s="47">
        <f>(F25-G25)*117.31</f>
        <v>1525.03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13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6242.37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6242.37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5" t="s">
        <v>61</v>
      </c>
      <c r="D41" s="55" t="s">
        <v>62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5" zoomScale="70" zoomScaleNormal="70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31.85546875" style="65" customWidth="1"/>
    <col min="14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  <c r="M2" s="64"/>
    </row>
    <row r="3" spans="3:13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3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  <c r="M14" s="66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67"/>
    </row>
    <row r="16" spans="3:13" s="5" customFormat="1" ht="21.75" thickBot="1" x14ac:dyDescent="0.3">
      <c r="C16" s="17"/>
      <c r="D16" s="49" t="s">
        <v>65</v>
      </c>
      <c r="E16" s="49" t="s">
        <v>66</v>
      </c>
      <c r="F16" s="18"/>
      <c r="G16" s="18"/>
      <c r="H16" s="18"/>
      <c r="I16" s="18">
        <f>K36</f>
        <v>8109.24</v>
      </c>
      <c r="J16" s="18">
        <f>I16+H16+G16</f>
        <v>8109.24</v>
      </c>
      <c r="K16" s="19"/>
      <c r="M16" s="66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  <c r="M19" s="67"/>
    </row>
    <row r="20" spans="3:13" ht="21" x14ac:dyDescent="0.35">
      <c r="C20" s="38">
        <v>43956</v>
      </c>
      <c r="D20" s="89" t="s">
        <v>32</v>
      </c>
      <c r="E20" s="89"/>
      <c r="F20" s="46" t="s">
        <v>67</v>
      </c>
      <c r="G20" s="46"/>
      <c r="H20" s="46"/>
      <c r="I20" s="9"/>
      <c r="J20" s="22">
        <v>0</v>
      </c>
      <c r="K20" s="9">
        <f>H21</f>
        <v>5193.54</v>
      </c>
      <c r="M20" s="65">
        <v>6232.25</v>
      </c>
    </row>
    <row r="21" spans="3:13" ht="21" x14ac:dyDescent="0.35">
      <c r="C21" s="39"/>
      <c r="D21" s="8"/>
      <c r="E21" s="8"/>
      <c r="F21" s="46">
        <v>1642</v>
      </c>
      <c r="G21" s="46">
        <v>1169</v>
      </c>
      <c r="H21" s="47">
        <f>(F21-G21)*10.98</f>
        <v>5193.54</v>
      </c>
      <c r="I21" s="9"/>
      <c r="J21" s="9"/>
      <c r="K21" s="9"/>
    </row>
    <row r="22" spans="3:13" ht="21" x14ac:dyDescent="0.35">
      <c r="C22" s="39"/>
      <c r="D22" s="95" t="s">
        <v>70</v>
      </c>
      <c r="E22" s="95"/>
      <c r="F22" s="94">
        <f>F21-G21</f>
        <v>473</v>
      </c>
      <c r="G22" s="94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43956</v>
      </c>
      <c r="D24" s="8" t="s">
        <v>15</v>
      </c>
      <c r="E24" s="8"/>
      <c r="F24" s="46" t="s">
        <v>68</v>
      </c>
      <c r="G24" s="46"/>
      <c r="H24" s="46"/>
      <c r="I24" s="9"/>
      <c r="J24" s="22">
        <v>0</v>
      </c>
      <c r="K24" s="9">
        <f>H25</f>
        <v>1564.16</v>
      </c>
      <c r="M24" s="65">
        <v>1876.992</v>
      </c>
    </row>
    <row r="25" spans="3:13" ht="21" x14ac:dyDescent="0.35">
      <c r="C25" s="39"/>
      <c r="D25" s="8"/>
      <c r="E25" s="8"/>
      <c r="F25" s="46">
        <v>56</v>
      </c>
      <c r="G25" s="46">
        <v>40</v>
      </c>
      <c r="H25" s="47">
        <f>(F25-G25)*97.76</f>
        <v>1564.16</v>
      </c>
      <c r="I25" s="9"/>
      <c r="J25" s="9"/>
      <c r="K25" s="9"/>
    </row>
    <row r="26" spans="3:13" ht="21" x14ac:dyDescent="0.35">
      <c r="C26" s="39"/>
      <c r="D26" s="95" t="s">
        <v>71</v>
      </c>
      <c r="E26" s="95"/>
      <c r="F26" s="94">
        <f>F25-G25</f>
        <v>16</v>
      </c>
      <c r="G26" s="94"/>
      <c r="H26" s="45"/>
      <c r="I26" s="9"/>
      <c r="J26" s="9"/>
      <c r="K26" s="9"/>
    </row>
    <row r="27" spans="3:13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3" ht="21" x14ac:dyDescent="0.35">
      <c r="C28" s="38"/>
      <c r="D28" s="7" t="s">
        <v>69</v>
      </c>
      <c r="E28" s="8"/>
      <c r="F28" s="8"/>
      <c r="G28" s="8"/>
      <c r="H28" s="8"/>
      <c r="I28" s="9">
        <f>(H21+H25)*20%</f>
        <v>1351.54</v>
      </c>
      <c r="J28" s="22">
        <v>0</v>
      </c>
      <c r="K28" s="9">
        <f>I28</f>
        <v>1351.54</v>
      </c>
    </row>
    <row r="29" spans="3:13" ht="21" customHeight="1" x14ac:dyDescent="0.35">
      <c r="C29" s="96" t="s">
        <v>72</v>
      </c>
      <c r="D29" s="96"/>
      <c r="E29" s="96"/>
      <c r="F29" s="8"/>
      <c r="G29" s="8"/>
      <c r="H29" s="8"/>
      <c r="I29" s="9"/>
      <c r="J29" s="22"/>
      <c r="K29" s="9"/>
    </row>
    <row r="30" spans="3:13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3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3" ht="21" x14ac:dyDescent="0.35">
      <c r="C32" s="61"/>
      <c r="D32" s="61"/>
      <c r="E32" s="61"/>
      <c r="F32" s="56"/>
      <c r="G32" s="56"/>
      <c r="H32" s="56"/>
      <c r="I32" s="9"/>
      <c r="J32" s="9"/>
      <c r="K32" s="9"/>
    </row>
    <row r="33" spans="2:13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3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3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3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8109.24</v>
      </c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8109.24</v>
      </c>
      <c r="L38" s="8"/>
    </row>
    <row r="39" spans="2:13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3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  <c r="M41" s="68"/>
    </row>
    <row r="42" spans="2:13" s="8" customFormat="1" ht="23.25" x14ac:dyDescent="0.35">
      <c r="B42" s="3"/>
      <c r="C42" s="57" t="s">
        <v>61</v>
      </c>
      <c r="D42" s="58" t="s">
        <v>62</v>
      </c>
      <c r="E42" s="3"/>
      <c r="F42" s="3"/>
      <c r="G42" s="3"/>
      <c r="H42" s="3"/>
      <c r="I42" s="4"/>
      <c r="J42" s="4"/>
      <c r="K42" s="4"/>
      <c r="L42" s="3"/>
      <c r="M42" s="68"/>
    </row>
    <row r="43" spans="2:13" s="8" customFormat="1" ht="23.25" x14ac:dyDescent="0.35">
      <c r="B43" s="3"/>
      <c r="C43" s="1"/>
      <c r="D43" s="58" t="s">
        <v>63</v>
      </c>
      <c r="E43" s="3"/>
      <c r="F43" s="3"/>
      <c r="G43" s="3"/>
      <c r="H43" s="3"/>
      <c r="I43" s="4"/>
      <c r="J43" s="4"/>
      <c r="K43" s="4"/>
      <c r="L43" s="3"/>
      <c r="M43" s="68"/>
    </row>
    <row r="44" spans="2:13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  <c r="M44" s="68"/>
    </row>
    <row r="45" spans="2:13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  <c r="M45" s="68"/>
    </row>
    <row r="46" spans="2:13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  <c r="M46" s="68"/>
    </row>
    <row r="47" spans="2:13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3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F22:G22"/>
    <mergeCell ref="D22:E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Q42" sqref="Q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74</v>
      </c>
      <c r="E16" s="49" t="s">
        <v>75</v>
      </c>
      <c r="F16" s="18"/>
      <c r="G16" s="18"/>
      <c r="H16" s="18">
        <v>8109.24</v>
      </c>
      <c r="I16" s="18">
        <f>K36</f>
        <v>5626.9319999999989</v>
      </c>
      <c r="J16" s="18">
        <f>I16+H16+G16</f>
        <v>13736.171999999999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76</v>
      </c>
      <c r="G20" s="46"/>
      <c r="H20" s="46"/>
      <c r="I20" s="9"/>
      <c r="J20" s="22">
        <v>0</v>
      </c>
      <c r="K20" s="9">
        <f>H21</f>
        <v>4444.66</v>
      </c>
    </row>
    <row r="21" spans="3:11" ht="21" x14ac:dyDescent="0.35">
      <c r="C21" s="39"/>
      <c r="D21" s="8"/>
      <c r="E21" s="8"/>
      <c r="F21" s="46">
        <v>2096</v>
      </c>
      <c r="G21" s="46">
        <v>1642</v>
      </c>
      <c r="H21" s="47">
        <f>(F21-G21)*9.79</f>
        <v>4444.66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454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1466.4</v>
      </c>
    </row>
    <row r="25" spans="3:11" ht="21" x14ac:dyDescent="0.35">
      <c r="C25" s="39"/>
      <c r="D25" s="8"/>
      <c r="E25" s="8"/>
      <c r="F25" s="46">
        <v>71</v>
      </c>
      <c r="G25" s="46">
        <v>56</v>
      </c>
      <c r="H25" s="47">
        <f>(F25-G25)*97.76</f>
        <v>1466.4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15</v>
      </c>
      <c r="G26" s="94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69</v>
      </c>
      <c r="E28" s="8"/>
      <c r="F28" s="8"/>
      <c r="G28" s="8"/>
      <c r="H28" s="8"/>
      <c r="I28" s="9">
        <f>(H21+H25)*20%</f>
        <v>1182.212</v>
      </c>
      <c r="J28" s="22">
        <v>0</v>
      </c>
      <c r="K28" s="9">
        <f>I28</f>
        <v>1182.212</v>
      </c>
    </row>
    <row r="29" spans="3:11" ht="21" customHeight="1" x14ac:dyDescent="0.35">
      <c r="C29" s="96" t="s">
        <v>82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61"/>
      <c r="D32" s="61"/>
      <c r="E32" s="61"/>
      <c r="F32" s="60"/>
      <c r="G32" s="60"/>
      <c r="H32" s="60"/>
      <c r="I32" s="9"/>
      <c r="J32" s="9"/>
      <c r="K32" s="9"/>
    </row>
    <row r="33" spans="2:12" ht="94.5" customHeight="1" x14ac:dyDescent="0.35">
      <c r="C33" s="38"/>
      <c r="D33" s="98" t="s">
        <v>78</v>
      </c>
      <c r="E33" s="98"/>
      <c r="F33" s="99" t="s">
        <v>81</v>
      </c>
      <c r="G33" s="99"/>
      <c r="H33" s="99"/>
      <c r="I33" s="99"/>
      <c r="J33" s="69">
        <v>0</v>
      </c>
      <c r="K33" s="70">
        <f>790.89+675.45</f>
        <v>1466.3400000000001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5626.9319999999989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13736.171999999999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7" t="s">
        <v>61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79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2"/>
      <c r="D48" s="92"/>
      <c r="E48" s="92"/>
      <c r="F48" s="92"/>
      <c r="G48" s="92"/>
      <c r="H48" s="92"/>
      <c r="I48" s="92"/>
      <c r="J48" s="92"/>
      <c r="K48" s="92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 x14ac:dyDescent="0.35">
      <c r="C58" s="83" t="s">
        <v>23</v>
      </c>
      <c r="D58" s="83"/>
      <c r="E58" s="83"/>
      <c r="F58" s="8"/>
      <c r="G58" s="83" t="s">
        <v>24</v>
      </c>
      <c r="H58" s="83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25"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/>
      <c r="I16" s="18">
        <f>K34</f>
        <v>5055.3</v>
      </c>
      <c r="J16" s="18">
        <f>I16+H16+G16</f>
        <v>5055.3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86</v>
      </c>
      <c r="G20" s="46"/>
      <c r="H20" s="46"/>
      <c r="I20" s="9"/>
      <c r="J20" s="22">
        <v>0</v>
      </c>
      <c r="K20" s="9">
        <f>H21</f>
        <v>3694.08</v>
      </c>
    </row>
    <row r="21" spans="3:11" ht="21" x14ac:dyDescent="0.35">
      <c r="C21" s="39"/>
      <c r="D21" s="8"/>
      <c r="E21" s="8"/>
      <c r="F21" s="46">
        <v>2480</v>
      </c>
      <c r="G21" s="46">
        <v>2096</v>
      </c>
      <c r="H21" s="47">
        <f>(F21-G21)*9.62</f>
        <v>3694.08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384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1443.3</v>
      </c>
    </row>
    <row r="25" spans="3:11" ht="21" x14ac:dyDescent="0.35">
      <c r="C25" s="39"/>
      <c r="D25" s="8"/>
      <c r="E25" s="8"/>
      <c r="F25" s="46">
        <v>86</v>
      </c>
      <c r="G25" s="46">
        <v>71</v>
      </c>
      <c r="H25" s="47">
        <f>(F25-G25)*96.22</f>
        <v>1443.3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15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0" customHeight="1" x14ac:dyDescent="0.35">
      <c r="C30" s="61"/>
      <c r="D30" s="61"/>
      <c r="E30" s="61"/>
      <c r="F30" s="91"/>
      <c r="G30" s="91"/>
      <c r="H30" s="91"/>
      <c r="I30" s="9"/>
      <c r="J30" s="9"/>
      <c r="K30" s="9"/>
    </row>
    <row r="31" spans="3:11" ht="135" customHeight="1" x14ac:dyDescent="0.35">
      <c r="C31" s="38"/>
      <c r="D31" s="98" t="s">
        <v>78</v>
      </c>
      <c r="E31" s="98"/>
      <c r="F31" s="99" t="s">
        <v>88</v>
      </c>
      <c r="G31" s="99"/>
      <c r="H31" s="99"/>
      <c r="I31" s="99"/>
      <c r="J31" s="70">
        <v>0</v>
      </c>
      <c r="K31" s="70">
        <f>13.08+29.76+39.24</f>
        <v>82.080000000000013</v>
      </c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5055.3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5055.3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S19" sqref="S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/>
      <c r="I16" s="18">
        <f>K34</f>
        <v>4433.3099999999995</v>
      </c>
      <c r="J16" s="18">
        <f>I16+H16+G16</f>
        <v>4433.3099999999995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92</v>
      </c>
      <c r="G20" s="46"/>
      <c r="H20" s="46"/>
      <c r="I20" s="9"/>
      <c r="J20" s="22">
        <v>0</v>
      </c>
      <c r="K20" s="9">
        <f>H21</f>
        <v>2885.79</v>
      </c>
    </row>
    <row r="21" spans="3:11" ht="21" x14ac:dyDescent="0.35">
      <c r="C21" s="39"/>
      <c r="D21" s="8"/>
      <c r="E21" s="8"/>
      <c r="F21" s="46">
        <v>2801</v>
      </c>
      <c r="G21" s="46">
        <v>2480</v>
      </c>
      <c r="H21" s="47">
        <f>(F21-G21)*8.99</f>
        <v>2885.79</v>
      </c>
      <c r="I21" s="9"/>
      <c r="J21" s="9"/>
      <c r="K21" s="9"/>
    </row>
    <row r="22" spans="3:11" ht="21" x14ac:dyDescent="0.35">
      <c r="C22" s="39"/>
      <c r="D22" s="95" t="s">
        <v>70</v>
      </c>
      <c r="E22" s="95"/>
      <c r="F22" s="94">
        <f>F21-G21</f>
        <v>321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1547.52</v>
      </c>
    </row>
    <row r="25" spans="3:11" ht="21" x14ac:dyDescent="0.35">
      <c r="C25" s="39"/>
      <c r="D25" s="8"/>
      <c r="E25" s="8"/>
      <c r="F25" s="46">
        <v>102</v>
      </c>
      <c r="G25" s="46">
        <v>86</v>
      </c>
      <c r="H25" s="47">
        <f>(F25-G25)*96.72</f>
        <v>1547.52</v>
      </c>
      <c r="I25" s="9"/>
      <c r="J25" s="9"/>
      <c r="K25" s="9"/>
    </row>
    <row r="26" spans="3:11" ht="21" x14ac:dyDescent="0.35">
      <c r="C26" s="39"/>
      <c r="D26" s="95" t="s">
        <v>71</v>
      </c>
      <c r="E26" s="95"/>
      <c r="F26" s="94">
        <f>F25-G25</f>
        <v>16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1"/>
      <c r="D28" s="61"/>
      <c r="E28" s="61"/>
      <c r="F28" s="8"/>
      <c r="G28" s="8"/>
      <c r="H28" s="8"/>
      <c r="I28" s="9"/>
      <c r="J28" s="22"/>
      <c r="K28" s="9"/>
    </row>
    <row r="29" spans="3:11" ht="21" x14ac:dyDescent="0.35">
      <c r="C29" s="61"/>
      <c r="D29" s="61"/>
      <c r="E29" s="61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0" customHeight="1" x14ac:dyDescent="0.35">
      <c r="C30" s="61"/>
      <c r="D30" s="61"/>
      <c r="E30" s="61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0"/>
      <c r="K31" s="70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4433.3099999999995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4433.3099999999995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2020-12-19T05:41:33Z</cp:lastPrinted>
  <dcterms:created xsi:type="dcterms:W3CDTF">2018-02-28T02:33:50Z</dcterms:created>
  <dcterms:modified xsi:type="dcterms:W3CDTF">2020-12-19T05:41:36Z</dcterms:modified>
</cp:coreProperties>
</file>