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04F8B8B3-9EED-455A-BAB2-9BE4DFDDA16C}" xr6:coauthVersionLast="45" xr6:coauthVersionMax="45" xr10:uidLastSave="{00000000-0000-0000-0000-000000000000}"/>
  <bookViews>
    <workbookView xWindow="-120" yWindow="-120" windowWidth="20730" windowHeight="11160" firstSheet="8" activeTab="14" xr2:uid="{00000000-000D-0000-FFFF-FFFF00000000}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  <externalReference r:id="rId17"/>
  </externalReferences>
  <definedNames>
    <definedName name="_xlnm.Print_Area" localSheetId="7">'APR 2020'!$A$1:$K$59</definedName>
    <definedName name="_xlnm.Print_Area" localSheetId="11">'AUG 2020'!$A$1:$K$55</definedName>
    <definedName name="_xlnm.Print_Area" localSheetId="10">'JUL 2020'!$A$1:$K$55</definedName>
    <definedName name="_xlnm.Print_Area" localSheetId="9">'JUN 2020'!$A$1:$K$55</definedName>
    <definedName name="_xlnm.Print_Area" localSheetId="6">'MAR 2020'!$A$1:$K$57</definedName>
    <definedName name="_xlnm.Print_Area" localSheetId="8">'MAY 2020'!$A$1:$K$60</definedName>
    <definedName name="_xlnm.Print_Area" localSheetId="14">'NOV 2020'!$A$1:$K$55</definedName>
    <definedName name="_xlnm.Print_Area" localSheetId="13">'OCT 2020'!$A$1:$K$55</definedName>
    <definedName name="_xlnm.Print_Area" localSheetId="12">'SEPT 2020'!$A$1:$K$55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6" l="1"/>
  <c r="H25" i="16" l="1"/>
  <c r="H21" i="16"/>
  <c r="H16" i="16" l="1"/>
  <c r="K33" i="16" l="1"/>
  <c r="H29" i="16"/>
  <c r="K29" i="16" s="1"/>
  <c r="F26" i="16"/>
  <c r="K24" i="16"/>
  <c r="F22" i="16"/>
  <c r="K20" i="16"/>
  <c r="K34" i="16" l="1"/>
  <c r="I16" i="16" s="1"/>
  <c r="J16" i="16" s="1"/>
  <c r="K36" i="16" l="1"/>
  <c r="H29" i="15"/>
  <c r="K29" i="15" s="1"/>
  <c r="H21" i="15" l="1"/>
  <c r="H25" i="15"/>
  <c r="K24" i="15" s="1"/>
  <c r="K33" i="15"/>
  <c r="F26" i="15"/>
  <c r="F22" i="15"/>
  <c r="K20" i="15"/>
  <c r="K34" i="15" l="1"/>
  <c r="I16" i="15" s="1"/>
  <c r="K36" i="15" s="1"/>
  <c r="H21" i="14"/>
  <c r="K20" i="14" s="1"/>
  <c r="H25" i="14"/>
  <c r="K24" i="14" s="1"/>
  <c r="K33" i="14"/>
  <c r="K29" i="14"/>
  <c r="K27" i="14"/>
  <c r="F26" i="14"/>
  <c r="F22" i="14"/>
  <c r="J16" i="15" l="1"/>
  <c r="K34" i="14"/>
  <c r="I16" i="14" s="1"/>
  <c r="K36" i="14" s="1"/>
  <c r="H25" i="13"/>
  <c r="H21" i="13"/>
  <c r="J16" i="14" l="1"/>
  <c r="K33" i="13"/>
  <c r="K29" i="13"/>
  <c r="K27" i="13"/>
  <c r="F26" i="13"/>
  <c r="K24" i="13"/>
  <c r="F22" i="13"/>
  <c r="K20" i="13"/>
  <c r="K34" i="13" l="1"/>
  <c r="I16" i="13" s="1"/>
  <c r="K36" i="13" s="1"/>
  <c r="H25" i="12"/>
  <c r="H21" i="12"/>
  <c r="J16" i="13" l="1"/>
  <c r="K33" i="12"/>
  <c r="K29" i="12"/>
  <c r="K27" i="12"/>
  <c r="F26" i="12"/>
  <c r="K24" i="12"/>
  <c r="F22" i="12"/>
  <c r="K20" i="12"/>
  <c r="K34" i="12" l="1"/>
  <c r="I16" i="12" s="1"/>
  <c r="K36" i="12" s="1"/>
  <c r="K31" i="11"/>
  <c r="K33" i="11"/>
  <c r="H25" i="11"/>
  <c r="K24" i="11" s="1"/>
  <c r="H21" i="11"/>
  <c r="K20" i="11" s="1"/>
  <c r="K29" i="11"/>
  <c r="F26" i="11"/>
  <c r="F22" i="11"/>
  <c r="J16" i="12" l="1"/>
  <c r="K27" i="11"/>
  <c r="K33" i="10"/>
  <c r="F26" i="8"/>
  <c r="F22" i="8"/>
  <c r="K35" i="10"/>
  <c r="H21" i="10"/>
  <c r="K20" i="10" s="1"/>
  <c r="K30" i="10"/>
  <c r="F26" i="10"/>
  <c r="H25" i="10"/>
  <c r="K24" i="10" s="1"/>
  <c r="F22" i="10"/>
  <c r="K34" i="11" l="1"/>
  <c r="I16" i="11" s="1"/>
  <c r="I28" i="10"/>
  <c r="K28" i="10" s="1"/>
  <c r="F26" i="9"/>
  <c r="F22" i="9"/>
  <c r="K36" i="11" l="1"/>
  <c r="J16" i="11"/>
  <c r="K36" i="10"/>
  <c r="I16" i="10" s="1"/>
  <c r="H25" i="9"/>
  <c r="K24" i="9" s="1"/>
  <c r="H21" i="9"/>
  <c r="K35" i="9"/>
  <c r="K33" i="9"/>
  <c r="K30" i="9"/>
  <c r="K20" i="9" l="1"/>
  <c r="I28" i="9"/>
  <c r="K28" i="9" s="1"/>
  <c r="K36" i="9" s="1"/>
  <c r="I16" i="9" s="1"/>
  <c r="K38" i="10"/>
  <c r="J16" i="10"/>
  <c r="K34" i="8"/>
  <c r="K32" i="8"/>
  <c r="K29" i="8"/>
  <c r="K27" i="8"/>
  <c r="H25" i="8"/>
  <c r="K24" i="8" s="1"/>
  <c r="H21" i="8"/>
  <c r="K20" i="8"/>
  <c r="J16" i="9" l="1"/>
  <c r="K38" i="9"/>
  <c r="K35" i="8"/>
  <c r="I16" i="8" s="1"/>
  <c r="J16" i="8" s="1"/>
  <c r="H25" i="7"/>
  <c r="K24" i="7" s="1"/>
  <c r="H21" i="7"/>
  <c r="K20" i="7" s="1"/>
  <c r="K34" i="7"/>
  <c r="K32" i="7"/>
  <c r="K29" i="7"/>
  <c r="K27" i="7"/>
  <c r="K37" i="8" l="1"/>
  <c r="K35" i="7"/>
  <c r="I16" i="7" s="1"/>
  <c r="K37" i="7" s="1"/>
  <c r="H25" i="6"/>
  <c r="H21" i="6"/>
  <c r="J16" i="7" l="1"/>
  <c r="K34" i="6"/>
  <c r="K32" i="6"/>
  <c r="K29" i="6"/>
  <c r="K27" i="6"/>
  <c r="K24" i="6"/>
  <c r="K20" i="6"/>
  <c r="K35" i="6" l="1"/>
  <c r="I16" i="6" s="1"/>
  <c r="K37" i="6" s="1"/>
  <c r="H25" i="5"/>
  <c r="J16" i="6" l="1"/>
  <c r="H21" i="5"/>
  <c r="K20" i="5" s="1"/>
  <c r="K34" i="5"/>
  <c r="K32" i="5"/>
  <c r="K29" i="5"/>
  <c r="K27" i="5"/>
  <c r="K24" i="5"/>
  <c r="K35" i="5" l="1"/>
  <c r="I16" i="5" s="1"/>
  <c r="J16" i="5" s="1"/>
  <c r="H25" i="4"/>
  <c r="K24" i="4" s="1"/>
  <c r="H21" i="4"/>
  <c r="K20" i="4" s="1"/>
  <c r="K34" i="4"/>
  <c r="K32" i="4"/>
  <c r="K29" i="4"/>
  <c r="K27" i="4"/>
  <c r="K37" i="5" l="1"/>
  <c r="K35" i="4"/>
  <c r="I16" i="4" s="1"/>
  <c r="J16" i="4" s="1"/>
  <c r="K37" i="4"/>
  <c r="H25" i="3"/>
  <c r="H21" i="3" l="1"/>
  <c r="K20" i="3" s="1"/>
  <c r="K34" i="3"/>
  <c r="K32" i="3"/>
  <c r="K29" i="3"/>
  <c r="K27" i="3"/>
  <c r="K24" i="3"/>
  <c r="K35" i="3" l="1"/>
  <c r="I16" i="3" s="1"/>
  <c r="K37" i="3" s="1"/>
  <c r="H25" i="2"/>
  <c r="J16" i="3" l="1"/>
  <c r="K34" i="2"/>
  <c r="K32" i="2"/>
  <c r="K29" i="2"/>
  <c r="K27" i="2"/>
  <c r="K24" i="2"/>
  <c r="H21" i="2"/>
  <c r="K20" i="2" s="1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<sst xmlns="http://schemas.openxmlformats.org/spreadsheetml/2006/main" count="655" uniqueCount="132">
  <si>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</si>
  <si>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</si>
  <si>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</si>
  <si>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</si>
  <si>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</si>
  <si>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</si>
  <si>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</si>
  <si>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</si>
  <si>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</si>
  <si>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</si>
  <si>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</si>
  <si>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</si>
  <si>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</si>
  <si>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</si>
  <si>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</si>
  <si>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</si>
  <si>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</si>
  <si>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</si>
  <si>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</si>
  <si>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</si>
  <si>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</si>
  <si>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</si>
  <si>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</si>
  <si>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</si>
  <si>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</si>
  <si>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</si>
  <si>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</si>
  <si>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</si>
  <si>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</si>
  <si>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</si>
  <si>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</si>
  <si>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</si>
  <si>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</si>
  <si>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</si>
  <si>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</si>
  <si>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</si>
  <si>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</si>
  <si>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ARNALDO DE BELEN</t>
    </r>
  </si>
  <si>
    <t>UNIT: 31A11</t>
  </si>
  <si>
    <t>PRES: SEPT 25 2019 - PREV: SEPT 23 2019 * 16.32</t>
  </si>
  <si>
    <t>PRES: SEPT 25 2019 - PREV: SEPT 23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</si>
  <si>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</si>
  <si>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</si>
  <si>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</si>
  <si>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</si>
  <si>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</si>
  <si>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</si>
  <si>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</si>
  <si>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</si>
  <si>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</si>
  <si>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</si>
  <si>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</si>
  <si>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</si>
  <si>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</si>
  <si>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</si>
  <si>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</si>
  <si>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</si>
  <si>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</si>
  <si>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</si>
  <si>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</si>
  <si>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</si>
  <si>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</si>
  <si>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</si>
  <si>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</si>
  <si>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</si>
  <si>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</si>
  <si>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</si>
  <si>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</si>
  <si>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</si>
  <si>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</si>
  <si>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</si>
  <si>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</si>
  <si>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</si>
  <si>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</si>
  <si>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</si>
  <si>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</si>
  <si>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</si>
  <si>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</si>
  <si>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</si>
  <si>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</si>
  <si>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</si>
  <si>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</si>
  <si>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</si>
  <si>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</si>
  <si>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</si>
  <si>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</si>
  <si>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</si>
  <si>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</si>
  <si>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</si>
  <si>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</si>
  <si>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</si>
  <si>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t>* SECURITY
* JANITORIAL SERVICES
* PMS (BUILDING EQUIPMENTS)
* TECHNICAL SERVICES</t>
  </si>
  <si>
    <r>
      <t xml:space="preserve">ELECTRICITY:
MAR 2020 - 4 kWh x 10.98 = 43.92 + 20% (AC) = 52.70 - 63.32 (billing Mar2020) = </t>
    </r>
    <r>
      <rPr>
        <b/>
        <u/>
        <sz val="14"/>
        <color rgb="FFFF0000"/>
        <rFont val="Calibri"/>
        <family val="2"/>
        <scheme val="minor"/>
      </rPr>
      <t>10.62</t>
    </r>
    <r>
      <rPr>
        <b/>
        <sz val="14"/>
        <color rgb="FFFF0000"/>
        <rFont val="Calibri"/>
        <family val="2"/>
        <scheme val="minor"/>
      </rPr>
      <t xml:space="preserve">
APR 2020 - 3 kWh x 9.79 = 29.37 + 20% (AC) = 35.24 - 39.53 (billing Apr2020) = </t>
    </r>
    <r>
      <rPr>
        <b/>
        <u/>
        <sz val="14"/>
        <color rgb="FFFF0000"/>
        <rFont val="Calibri"/>
        <family val="2"/>
        <scheme val="minor"/>
      </rPr>
      <t>4.29</t>
    </r>
  </si>
  <si>
    <t>BILLING MONTH: JUNE 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</si>
  <si>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</si>
  <si>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</si>
  <si>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</si>
  <si>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</si>
  <si>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2020 - 11 cubic x 96.92 = 1066.12 + 20% (AC) = 1279.34 - 1290.41 (billing Mar2020) = </t>
    </r>
    <r>
      <rPr>
        <b/>
        <u/>
        <sz val="14"/>
        <color rgb="FFFF0000"/>
        <rFont val="Calibri"/>
        <family val="2"/>
        <scheme val="minor"/>
      </rPr>
      <t>11.07</t>
    </r>
    <r>
      <rPr>
        <b/>
        <sz val="14"/>
        <color rgb="FFFF0000"/>
        <rFont val="Calibri"/>
        <family val="2"/>
        <scheme val="minor"/>
      </rPr>
      <t xml:space="preserve">
APR 2020 - 0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</t>
    </r>
  </si>
  <si>
    <t>BILLING MONTH: JULY 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</si>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</sst>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3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029765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91882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41120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31A11%20-%20DE%20BEL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31A11%20-%20DE%20BEL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C DUES"/>
    </sheetNames>
    <sheetDataSet>
      <sheetData sheetId="0">
        <row r="21">
          <cell r="E21">
            <v>8296.7899999999991</v>
          </cell>
          <cell r="L21">
            <v>71.989999999999995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C DUES"/>
    </sheetNames>
    <sheetDataSet>
      <sheetData sheetId="0"/>
      <sheetData sheetId="1">
        <row r="12">
          <cell r="E12">
            <v>1453.8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view="pageBreakPreview" topLeftCell="A10" zoomScale="70" zoomScaleNormal="55" zoomScaleSheetLayoutView="70" workbookViewId="0">
      <selection activeCell="F29" sqref="F29:H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6" t="s">
        <v>32</v>
      </c>
      <c r="E20" s="86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</v>
      </c>
      <c r="G21" s="46">
        <v>4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58"/>
  <sheetViews>
    <sheetView topLeftCell="D8" zoomScale="85" zoomScaleNormal="85" workbookViewId="0">
      <selection activeCell="N22" sqref="N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8698.65</v>
      </c>
      <c r="I16" s="18">
        <f>K34</f>
        <v>46.65</v>
      </c>
      <c r="J16" s="18">
        <f>I16+H16+G16</f>
        <v>8745.2999999999993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96</v>
      </c>
      <c r="G20" s="46"/>
      <c r="H20" s="46"/>
      <c r="I20" s="9"/>
      <c r="J20" s="22">
        <v>0</v>
      </c>
      <c r="K20" s="9">
        <f>H21</f>
        <v>57.72</v>
      </c>
    </row>
    <row r="21" spans="3:11" ht="21" x14ac:dyDescent="0.35">
      <c r="C21" s="39"/>
      <c r="D21" s="8"/>
      <c r="E21" s="8"/>
      <c r="F21" s="46">
        <v>26</v>
      </c>
      <c r="G21" s="46">
        <v>20</v>
      </c>
      <c r="H21" s="47">
        <f>(F21-G21)*9.62</f>
        <v>57.72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6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72</v>
      </c>
      <c r="G25" s="46">
        <v>72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8"/>
      <c r="G30" s="88"/>
      <c r="H30" s="88"/>
      <c r="I30" s="9"/>
      <c r="J30" s="9"/>
      <c r="K30" s="9"/>
    </row>
    <row r="31" spans="3:11" ht="99.95" customHeight="1" x14ac:dyDescent="0.35">
      <c r="C31" s="38"/>
      <c r="D31" s="95" t="s">
        <v>90</v>
      </c>
      <c r="E31" s="95"/>
      <c r="F31" s="96" t="s">
        <v>98</v>
      </c>
      <c r="G31" s="96"/>
      <c r="H31" s="96"/>
      <c r="I31" s="96"/>
      <c r="J31" s="65">
        <v>0</v>
      </c>
      <c r="K31" s="65">
        <f>11.07</f>
        <v>11.07</v>
      </c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46.65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8745.2999999999993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C43:K43"/>
    <mergeCell ref="C52:E52"/>
    <mergeCell ref="G52:H52"/>
    <mergeCell ref="C53:E53"/>
    <mergeCell ref="G53:H53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58"/>
  <sheetViews>
    <sheetView topLeftCell="A10" zoomScale="85" zoomScaleNormal="85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7038.6</v>
      </c>
      <c r="I16" s="18">
        <f>K34</f>
        <v>1223.57</v>
      </c>
      <c r="J16" s="18">
        <f>I16+H16+G16</f>
        <v>8262.17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102</v>
      </c>
      <c r="G20" s="46"/>
      <c r="H20" s="46"/>
      <c r="I20" s="9"/>
      <c r="J20" s="22">
        <v>0</v>
      </c>
      <c r="K20" s="9">
        <f>H21</f>
        <v>62.93</v>
      </c>
    </row>
    <row r="21" spans="3:11" ht="21" x14ac:dyDescent="0.35">
      <c r="C21" s="39"/>
      <c r="D21" s="8"/>
      <c r="E21" s="8"/>
      <c r="F21" s="46">
        <v>33</v>
      </c>
      <c r="G21" s="46">
        <v>26</v>
      </c>
      <c r="H21" s="47">
        <f>(F21-G21)*8.99</f>
        <v>62.93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7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1160.6399999999999</v>
      </c>
    </row>
    <row r="25" spans="3:11" ht="21" x14ac:dyDescent="0.35">
      <c r="C25" s="39"/>
      <c r="D25" s="8"/>
      <c r="E25" s="8"/>
      <c r="F25" s="46">
        <v>84</v>
      </c>
      <c r="G25" s="46">
        <v>72</v>
      </c>
      <c r="H25" s="47">
        <f>(F25-G25)*96.72</f>
        <v>1160.6399999999999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12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5"/>
      <c r="K31" s="65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1223.57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8262.17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58"/>
  <sheetViews>
    <sheetView zoomScale="85" zoomScaleNormal="85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8262.17</v>
      </c>
      <c r="I16" s="18">
        <f>K34</f>
        <v>106.61</v>
      </c>
      <c r="J16" s="18">
        <f>I16+H16+G16</f>
        <v>8368.7800000000007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107</v>
      </c>
      <c r="G20" s="46"/>
      <c r="H20" s="46"/>
      <c r="I20" s="9"/>
      <c r="J20" s="22">
        <v>0</v>
      </c>
      <c r="K20" s="9">
        <f>H21</f>
        <v>9.06</v>
      </c>
    </row>
    <row r="21" spans="3:11" ht="21" x14ac:dyDescent="0.35">
      <c r="C21" s="39"/>
      <c r="D21" s="8"/>
      <c r="E21" s="8"/>
      <c r="F21" s="46">
        <v>34</v>
      </c>
      <c r="G21" s="46">
        <v>33</v>
      </c>
      <c r="H21" s="47">
        <f>(F21-G21)*9.06</f>
        <v>9.06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1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97.55</v>
      </c>
    </row>
    <row r="25" spans="3:11" ht="21" x14ac:dyDescent="0.35">
      <c r="C25" s="39"/>
      <c r="D25" s="8"/>
      <c r="E25" s="8"/>
      <c r="F25" s="46">
        <v>85</v>
      </c>
      <c r="G25" s="46">
        <v>84</v>
      </c>
      <c r="H25" s="47">
        <f>(F25-G25)*97.55</f>
        <v>97.55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1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5"/>
      <c r="K31" s="65"/>
    </row>
    <row r="32" spans="3:11" ht="27" customHeight="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106.61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8368.7800000000007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58"/>
  <sheetViews>
    <sheetView topLeftCell="A9" zoomScale="85" zoomScaleNormal="85" workbookViewId="0">
      <selection activeCell="N20" sqref="N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/>
      <c r="H16" s="18">
        <v>8368.7800000000007</v>
      </c>
      <c r="I16" s="18">
        <f>K34</f>
        <v>0</v>
      </c>
      <c r="J16" s="18">
        <f>I16+H16+G16</f>
        <v>8368.7800000000007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112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</v>
      </c>
      <c r="G21" s="46">
        <v>34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85</v>
      </c>
      <c r="G25" s="46">
        <v>85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8"/>
      <c r="D28" s="68"/>
      <c r="E28" s="68"/>
      <c r="F28" s="8"/>
      <c r="G28" s="8"/>
      <c r="H28" s="8"/>
      <c r="I28" s="9"/>
      <c r="J28" s="22"/>
      <c r="K28" s="9"/>
    </row>
    <row r="29" spans="3:11" ht="21" x14ac:dyDescent="0.35">
      <c r="C29" s="68"/>
      <c r="D29" s="68"/>
      <c r="E29" s="68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8"/>
      <c r="D30" s="68"/>
      <c r="E30" s="68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5"/>
      <c r="K31" s="65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8368.7800000000007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3"/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58"/>
  <sheetViews>
    <sheetView topLeftCell="A16" zoomScale="85" zoomScaleNormal="85" workbookViewId="0">
      <selection activeCell="N10" sqref="N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119</v>
      </c>
      <c r="H15" s="13" t="s">
        <v>120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/>
      <c r="H16" s="18">
        <v>8368.7800000000007</v>
      </c>
      <c r="I16" s="18">
        <f>K34</f>
        <v>0</v>
      </c>
      <c r="J16" s="18">
        <f>I16+H16+G16</f>
        <v>8368.7800000000007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7" t="s">
        <v>122</v>
      </c>
      <c r="E20" s="97"/>
      <c r="F20" s="46" t="s">
        <v>116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</v>
      </c>
      <c r="G21" s="46">
        <v>34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123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85</v>
      </c>
      <c r="G25" s="46">
        <v>85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7" t="s">
        <v>121</v>
      </c>
      <c r="E28" s="97"/>
      <c r="F28" s="46" t="s">
        <v>124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24.23</v>
      </c>
      <c r="G29" s="46">
        <v>60</v>
      </c>
      <c r="H29" s="47">
        <f>F29*G29</f>
        <v>1453.8</v>
      </c>
      <c r="I29" s="9"/>
      <c r="J29" s="22">
        <v>0</v>
      </c>
      <c r="K29" s="9">
        <f>H29</f>
        <v>1453.8</v>
      </c>
    </row>
    <row r="30" spans="3:11" ht="35.1" customHeight="1" x14ac:dyDescent="0.35">
      <c r="C30" s="68"/>
      <c r="D30" s="68"/>
      <c r="E30" s="68"/>
      <c r="F30" s="79"/>
      <c r="G30" s="79"/>
      <c r="H30" s="79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5"/>
      <c r="K31" s="65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8368.7800000000007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L58"/>
  <sheetViews>
    <sheetView tabSelected="1" topLeftCell="A4" zoomScale="85" zoomScaleNormal="85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125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119</v>
      </c>
      <c r="H15" s="13" t="s">
        <v>120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126</v>
      </c>
      <c r="E16" s="49" t="s">
        <v>127</v>
      </c>
      <c r="F16" s="18"/>
      <c r="G16" s="18">
        <f>'[2]ASSOC DUES'!$E$12</f>
        <v>1453.8</v>
      </c>
      <c r="H16" s="18">
        <f>[1]Sheet1!$E$21+[1]Sheet1!$L$21</f>
        <v>8368.7799999999988</v>
      </c>
      <c r="I16" s="18">
        <f>K34</f>
        <v>0</v>
      </c>
      <c r="J16" s="18">
        <f>I16+H16+G16</f>
        <v>9822.5799999999981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7" t="s">
        <v>32</v>
      </c>
      <c r="E20" s="97"/>
      <c r="F20" s="46" t="s">
        <v>130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</v>
      </c>
      <c r="G21" s="46">
        <v>34</v>
      </c>
      <c r="H21" s="47">
        <f>(F21-G21)*8.02</f>
        <v>0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131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85</v>
      </c>
      <c r="G25" s="46">
        <v>85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7" t="s">
        <v>121</v>
      </c>
      <c r="E28" s="97"/>
      <c r="F28" s="46" t="s">
        <v>128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24.23</v>
      </c>
      <c r="G29" s="46">
        <v>60</v>
      </c>
      <c r="H29" s="47">
        <f>F29*G29</f>
        <v>1453.8</v>
      </c>
      <c r="I29" s="9"/>
      <c r="J29" s="22">
        <v>0</v>
      </c>
      <c r="K29" s="9">
        <f>H29</f>
        <v>1453.8</v>
      </c>
    </row>
    <row r="30" spans="3:11" ht="35.1" customHeight="1" x14ac:dyDescent="0.35">
      <c r="C30" s="68"/>
      <c r="D30" s="68"/>
      <c r="E30" s="68"/>
      <c r="F30" s="79"/>
      <c r="G30" s="79"/>
      <c r="H30" s="79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5"/>
      <c r="K31" s="65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9822.5799999999981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129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7" workbookViewId="0">
      <selection activeCell="K10" sqref="K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16.420000000000002</v>
      </c>
      <c r="J16" s="18">
        <f>I16+H16+G16</f>
        <v>16.420000000000002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6" t="s">
        <v>32</v>
      </c>
      <c r="E20" s="86"/>
      <c r="F20" s="46" t="s">
        <v>44</v>
      </c>
      <c r="G20" s="46"/>
      <c r="H20" s="46"/>
      <c r="I20" s="9"/>
      <c r="J20" s="22">
        <v>0</v>
      </c>
      <c r="K20" s="9">
        <f>H21</f>
        <v>16.420000000000002</v>
      </c>
    </row>
    <row r="21" spans="3:11" ht="21" x14ac:dyDescent="0.35">
      <c r="C21" s="39"/>
      <c r="D21" s="8"/>
      <c r="E21" s="8"/>
      <c r="F21" s="46">
        <v>5</v>
      </c>
      <c r="G21" s="46">
        <v>4</v>
      </c>
      <c r="H21" s="47">
        <f>(F21-G21)*16.42</f>
        <v>16.420000000000002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16.420000000000002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16.420000000000002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7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16.420000000000002</v>
      </c>
      <c r="I16" s="18">
        <f>K35</f>
        <v>34.76</v>
      </c>
      <c r="J16" s="18">
        <f>I16+H16+G16</f>
        <v>51.18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6" t="s">
        <v>32</v>
      </c>
      <c r="E20" s="86"/>
      <c r="F20" s="46" t="s">
        <v>49</v>
      </c>
      <c r="G20" s="46"/>
      <c r="H20" s="46"/>
      <c r="I20" s="9"/>
      <c r="J20" s="22">
        <v>0</v>
      </c>
      <c r="K20" s="9">
        <f>H21</f>
        <v>34.76</v>
      </c>
    </row>
    <row r="21" spans="3:11" ht="21" x14ac:dyDescent="0.35">
      <c r="C21" s="39"/>
      <c r="D21" s="8"/>
      <c r="E21" s="8"/>
      <c r="F21" s="46">
        <v>7</v>
      </c>
      <c r="G21" s="46">
        <v>5</v>
      </c>
      <c r="H21" s="47">
        <f>(F21-G21)*17.38</f>
        <v>34.76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51.18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topLeftCell="A13" zoomScale="85" zoomScaleNormal="85" workbookViewId="0">
      <selection activeCell="F32" sqref="F32:H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51.18</v>
      </c>
      <c r="I16" s="18">
        <f>K35</f>
        <v>36.119999999999997</v>
      </c>
      <c r="J16" s="18">
        <f>I16+H16+G16</f>
        <v>87.3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54</v>
      </c>
      <c r="G20" s="46"/>
      <c r="H20" s="46"/>
      <c r="I20" s="9"/>
      <c r="J20" s="22">
        <v>0</v>
      </c>
      <c r="K20" s="9">
        <f>H21</f>
        <v>36.119999999999997</v>
      </c>
    </row>
    <row r="21" spans="3:11" ht="21" x14ac:dyDescent="0.35">
      <c r="C21" s="39"/>
      <c r="D21" s="8"/>
      <c r="E21" s="8"/>
      <c r="F21" s="46">
        <v>9</v>
      </c>
      <c r="G21" s="46">
        <v>7</v>
      </c>
      <c r="H21" s="47">
        <f>(F21-G21)*18.06</f>
        <v>36.119999999999997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36.119999999999997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87.3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topLeftCell="A10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87.3</v>
      </c>
      <c r="I16" s="18">
        <f>K35</f>
        <v>116.17</v>
      </c>
      <c r="J16" s="18">
        <f>I16+H16+G16</f>
        <v>203.47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59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9</v>
      </c>
      <c r="G21" s="46">
        <v>9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116.17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203.47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10" zoomScale="85" zoomScaleNormal="85" workbookViewId="0">
      <selection activeCell="O23" sqref="O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203.47</v>
      </c>
      <c r="I16" s="18">
        <f>K35</f>
        <v>7101.92</v>
      </c>
      <c r="J16" s="18">
        <f>I16+H16+G16</f>
        <v>7305.39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64</v>
      </c>
      <c r="G20" s="46"/>
      <c r="H20" s="46"/>
      <c r="I20" s="9"/>
      <c r="J20" s="22">
        <v>0</v>
      </c>
      <c r="K20" s="9">
        <f>H21</f>
        <v>63.32</v>
      </c>
    </row>
    <row r="21" spans="3:11" ht="21" x14ac:dyDescent="0.35">
      <c r="C21" s="39"/>
      <c r="D21" s="8"/>
      <c r="E21" s="8"/>
      <c r="F21" s="46">
        <v>13</v>
      </c>
      <c r="G21" s="46">
        <v>9</v>
      </c>
      <c r="H21" s="47">
        <f>(F21-G21)*15.83</f>
        <v>63.32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7038.6</v>
      </c>
    </row>
    <row r="25" spans="3:11" ht="21" x14ac:dyDescent="0.35">
      <c r="C25" s="39"/>
      <c r="D25" s="8"/>
      <c r="E25" s="8"/>
      <c r="F25" s="46">
        <v>61</v>
      </c>
      <c r="G25" s="46">
        <v>1</v>
      </c>
      <c r="H25" s="47">
        <f>(F25-G25)*117.31</f>
        <v>7038.6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7101.92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7305.39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0"/>
  <sheetViews>
    <sheetView topLeftCell="A7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7305.39</v>
      </c>
      <c r="I16" s="18">
        <f>K35</f>
        <v>1353.73</v>
      </c>
      <c r="J16" s="18">
        <f>I16+H16+G16</f>
        <v>8659.1200000000008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69</v>
      </c>
      <c r="G20" s="46"/>
      <c r="H20" s="46"/>
      <c r="I20" s="9"/>
      <c r="J20" s="22">
        <v>0</v>
      </c>
      <c r="K20" s="9">
        <f>H21</f>
        <v>63.32</v>
      </c>
    </row>
    <row r="21" spans="3:11" ht="21" x14ac:dyDescent="0.35">
      <c r="C21" s="39"/>
      <c r="D21" s="8"/>
      <c r="E21" s="8"/>
      <c r="F21" s="46">
        <v>17</v>
      </c>
      <c r="G21" s="46">
        <v>13</v>
      </c>
      <c r="H21" s="47">
        <f>(F21-G21)*15.83</f>
        <v>63.32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4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1290.4100000000001</v>
      </c>
    </row>
    <row r="25" spans="3:11" ht="21" x14ac:dyDescent="0.35">
      <c r="C25" s="39"/>
      <c r="D25" s="8"/>
      <c r="E25" s="8"/>
      <c r="F25" s="46">
        <v>72</v>
      </c>
      <c r="G25" s="46">
        <v>61</v>
      </c>
      <c r="H25" s="47">
        <f>(F25-G25)*117.31</f>
        <v>1290.4100000000001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11</v>
      </c>
      <c r="G26" s="91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1353.73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8659.1200000000008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2"/>
  <sheetViews>
    <sheetView topLeftCell="A10" zoomScale="70" zoomScaleNormal="70" workbookViewId="0">
      <selection activeCell="S11" sqref="S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8659.1200000000008</v>
      </c>
      <c r="I16" s="18">
        <f>K36</f>
        <v>39.527999999999999</v>
      </c>
      <c r="J16" s="18">
        <f>I16+H16+G16</f>
        <v>8698.648000000001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77</v>
      </c>
      <c r="G20" s="46"/>
      <c r="H20" s="46"/>
      <c r="I20" s="9"/>
      <c r="J20" s="22">
        <v>0</v>
      </c>
      <c r="K20" s="9">
        <f>H21</f>
        <v>32.94</v>
      </c>
    </row>
    <row r="21" spans="3:11" ht="21" x14ac:dyDescent="0.35">
      <c r="C21" s="39"/>
      <c r="D21" s="8"/>
      <c r="E21" s="8"/>
      <c r="F21" s="46">
        <v>20</v>
      </c>
      <c r="G21" s="46">
        <v>17</v>
      </c>
      <c r="H21" s="47">
        <f>(F21-G21)*10.98</f>
        <v>32.94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3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72</v>
      </c>
      <c r="G25" s="46">
        <v>72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6.5880000000000001</v>
      </c>
      <c r="J28" s="22">
        <v>0</v>
      </c>
      <c r="K28" s="9">
        <f>I28</f>
        <v>6.5880000000000001</v>
      </c>
    </row>
    <row r="29" spans="3:11" ht="21" x14ac:dyDescent="0.35">
      <c r="C29" s="93" t="s">
        <v>82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39.527999999999999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8698.648000000001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3.25" x14ac:dyDescent="0.35">
      <c r="B42" s="3"/>
      <c r="C42" s="59" t="s">
        <v>71</v>
      </c>
      <c r="D42" s="60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60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3"/>
  <sheetViews>
    <sheetView topLeftCell="A12" zoomScale="85" zoomScaleNormal="85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customHeight="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8698.65</v>
      </c>
      <c r="I16" s="18">
        <f>K36</f>
        <v>-3.1620000000000008</v>
      </c>
      <c r="J16" s="18">
        <f>I16+H16+G16</f>
        <v>8695.4879999999994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86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20</v>
      </c>
      <c r="G21" s="46">
        <v>19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2" t="s">
        <v>80</v>
      </c>
      <c r="E22" s="92"/>
      <c r="F22" s="91">
        <f>F21-G21</f>
        <v>1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72</v>
      </c>
      <c r="G25" s="46">
        <v>72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2" t="s">
        <v>81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1.958</v>
      </c>
      <c r="J28" s="22">
        <v>0</v>
      </c>
      <c r="K28" s="9">
        <f>I28</f>
        <v>1.958</v>
      </c>
    </row>
    <row r="29" spans="3:11" ht="21" customHeight="1" x14ac:dyDescent="0.35">
      <c r="C29" s="93" t="s">
        <v>91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95" t="s">
        <v>90</v>
      </c>
      <c r="E33" s="95"/>
      <c r="F33" s="96" t="s">
        <v>92</v>
      </c>
      <c r="G33" s="96"/>
      <c r="H33" s="96"/>
      <c r="I33" s="96"/>
      <c r="J33" s="65">
        <v>0</v>
      </c>
      <c r="K33" s="65">
        <f>(10.62+4.29)</f>
        <v>14.91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-3.1620000000000008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8695.4879999999994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59" t="s">
        <v>71</v>
      </c>
      <c r="D43" s="60" t="s">
        <v>88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0" t="s">
        <v>89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0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9"/>
      <c r="D48" s="89"/>
      <c r="E48" s="89"/>
      <c r="F48" s="89"/>
      <c r="G48" s="89"/>
      <c r="H48" s="89"/>
      <c r="I48" s="89"/>
      <c r="J48" s="89"/>
      <c r="K48" s="89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0" t="s">
        <v>33</v>
      </c>
      <c r="D57" s="90"/>
      <c r="E57" s="90"/>
      <c r="F57" s="8"/>
      <c r="G57" s="90" t="s">
        <v>31</v>
      </c>
      <c r="H57" s="90"/>
      <c r="I57" s="9"/>
      <c r="J57" s="9"/>
      <c r="K57" s="9"/>
    </row>
    <row r="58" spans="3:11" ht="21" x14ac:dyDescent="0.35">
      <c r="C58" s="80" t="s">
        <v>23</v>
      </c>
      <c r="D58" s="80"/>
      <c r="E58" s="80"/>
      <c r="F58" s="8"/>
      <c r="G58" s="80" t="s">
        <v>24</v>
      </c>
      <c r="H58" s="80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2020-12-19T17:16:13Z</cp:lastPrinted>
  <dcterms:created xsi:type="dcterms:W3CDTF">2018-02-28T02:33:50Z</dcterms:created>
  <dcterms:modified xsi:type="dcterms:W3CDTF">2020-12-19T17:16:30Z</dcterms:modified>
</cp:coreProperties>
</file>