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1ABA0D42-092A-460F-89BA-D78A6C4F3C58}" xr6:coauthVersionLast="45" xr6:coauthVersionMax="45" xr10:uidLastSave="{00000000-0000-0000-0000-000000000000}"/>
  <bookViews>
    <workbookView xWindow="-120" yWindow="-120" windowWidth="20730" windowHeight="11160" firstSheet="5" activeTab="11" xr2:uid="{00000000-000D-0000-FFFF-FFFF00000000}"/>
  </bookViews>
  <sheets>
    <sheet name="DEC 2019" sheetId="3" r:id="rId1"/>
    <sheet name="JAN 2020" sheetId="4" r:id="rId2"/>
    <sheet name="FEB 2020" sheetId="5" r:id="rId3"/>
    <sheet name="MAR 2020" sheetId="6" r:id="rId4"/>
    <sheet name="APR 2020" sheetId="7" r:id="rId5"/>
    <sheet name="MAY 2020" sheetId="8" r:id="rId6"/>
    <sheet name="JUN 2020" sheetId="9" r:id="rId7"/>
    <sheet name="JUL 2020" sheetId="10" r:id="rId8"/>
    <sheet name="AUG 2020" sheetId="11" r:id="rId9"/>
    <sheet name="SEPT 2020" sheetId="12" r:id="rId10"/>
    <sheet name="OCT 2020" sheetId="13" r:id="rId11"/>
    <sheet name="NOV 2020" sheetId="14" r:id="rId12"/>
  </sheets>
  <externalReferences>
    <externalReference r:id="rId13"/>
  </externalReferences>
  <definedNames>
    <definedName name="_xlnm.Print_Area" localSheetId="4">'APR 2020'!$A$1:$K$59</definedName>
    <definedName name="_xlnm.Print_Area" localSheetId="8">'AUG 2020'!$A$1:$K$52</definedName>
    <definedName name="_xlnm.Print_Area" localSheetId="0">'DEC 2019'!$A$1:$L$57</definedName>
    <definedName name="_xlnm.Print_Area" localSheetId="2">'FEB 2020'!$A$1:$K$57</definedName>
    <definedName name="_xlnm.Print_Area" localSheetId="1">'JAN 2020'!$A$1:$L$57</definedName>
    <definedName name="_xlnm.Print_Area" localSheetId="7">'JUL 2020'!$A$1:$K$52</definedName>
    <definedName name="_xlnm.Print_Area" localSheetId="6">'JUN 2020'!$A$1:$K$53</definedName>
    <definedName name="_xlnm.Print_Area" localSheetId="3">'MAR 2020'!$A$1:$K$57</definedName>
    <definedName name="_xlnm.Print_Area" localSheetId="5">'MAY 2020'!$A$1:$K$60</definedName>
    <definedName name="_xlnm.Print_Area" localSheetId="11">'NOV 2020'!$A$1:$K$52</definedName>
    <definedName name="_xlnm.Print_Area" localSheetId="10">'OCT 2020'!$A$1:$K$52</definedName>
    <definedName name="_xlnm.Print_Area" localSheetId="9">'SEPT 2020'!$A$1:$K$52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4" l="1"/>
  <c r="H21" i="14"/>
  <c r="H16" i="14" l="1"/>
  <c r="G16" i="14" l="1"/>
  <c r="K33" i="14" l="1"/>
  <c r="H29" i="14"/>
  <c r="K28" i="14" s="1"/>
  <c r="F26" i="14"/>
  <c r="K24" i="14"/>
  <c r="F22" i="14"/>
  <c r="K20" i="14"/>
  <c r="K34" i="14" l="1"/>
  <c r="I16" i="14" s="1"/>
  <c r="J16" i="14" s="1"/>
  <c r="K36" i="14" l="1"/>
  <c r="H29" i="13"/>
  <c r="K28" i="13" s="1"/>
  <c r="H21" i="13" l="1"/>
  <c r="H25" i="13"/>
  <c r="K33" i="13" l="1"/>
  <c r="F26" i="13"/>
  <c r="K24" i="13"/>
  <c r="F22" i="13"/>
  <c r="K20" i="13"/>
  <c r="K34" i="13" s="1"/>
  <c r="I16" i="13" l="1"/>
  <c r="J16" i="13" s="1"/>
  <c r="H21" i="12"/>
  <c r="K20" i="12" s="1"/>
  <c r="H25" i="12"/>
  <c r="K24" i="12" s="1"/>
  <c r="K33" i="12"/>
  <c r="K29" i="12"/>
  <c r="K27" i="12"/>
  <c r="F26" i="12"/>
  <c r="F22" i="12"/>
  <c r="K36" i="13" l="1"/>
  <c r="K34" i="12"/>
  <c r="I16" i="12" s="1"/>
  <c r="K36" i="12" s="1"/>
  <c r="J16" i="12"/>
  <c r="H25" i="11"/>
  <c r="H21" i="11"/>
  <c r="K33" i="11" l="1"/>
  <c r="K29" i="11"/>
  <c r="K27" i="11"/>
  <c r="F26" i="11"/>
  <c r="K24" i="11"/>
  <c r="F22" i="11"/>
  <c r="K20" i="11"/>
  <c r="K34" i="11" l="1"/>
  <c r="I16" i="11" s="1"/>
  <c r="K36" i="11" s="1"/>
  <c r="H25" i="10"/>
  <c r="K24" i="10" s="1"/>
  <c r="H21" i="10"/>
  <c r="K20" i="10" s="1"/>
  <c r="K33" i="10"/>
  <c r="K29" i="10"/>
  <c r="K27" i="10"/>
  <c r="F26" i="10"/>
  <c r="F22" i="10"/>
  <c r="J16" i="11" l="1"/>
  <c r="K34" i="10"/>
  <c r="I16" i="10" s="1"/>
  <c r="K36" i="10" s="1"/>
  <c r="K32" i="9"/>
  <c r="K34" i="9"/>
  <c r="H26" i="9"/>
  <c r="K25" i="9" s="1"/>
  <c r="H22" i="9"/>
  <c r="K21" i="9" s="1"/>
  <c r="K30" i="9"/>
  <c r="F27" i="9"/>
  <c r="F23" i="9"/>
  <c r="K28" i="9"/>
  <c r="J16" i="10" l="1"/>
  <c r="K35" i="9"/>
  <c r="I17" i="9" s="1"/>
  <c r="K33" i="8"/>
  <c r="F26" i="6"/>
  <c r="F22" i="6"/>
  <c r="H21" i="8"/>
  <c r="K35" i="8"/>
  <c r="J17" i="9" l="1"/>
  <c r="K37" i="9"/>
  <c r="K30" i="8"/>
  <c r="F26" i="8"/>
  <c r="H25" i="8"/>
  <c r="I28" i="8" s="1"/>
  <c r="K28" i="8" s="1"/>
  <c r="K24" i="8"/>
  <c r="F22" i="8"/>
  <c r="K20" i="8"/>
  <c r="K36" i="8" l="1"/>
  <c r="I16" i="8" s="1"/>
  <c r="F26" i="7"/>
  <c r="F22" i="7"/>
  <c r="K39" i="8" l="1"/>
  <c r="J16" i="8"/>
  <c r="H25" i="7"/>
  <c r="K24" i="7" s="1"/>
  <c r="H21" i="7"/>
  <c r="K35" i="7"/>
  <c r="K33" i="7"/>
  <c r="K30" i="7"/>
  <c r="K20" i="7"/>
  <c r="I28" i="7" l="1"/>
  <c r="K28" i="7" s="1"/>
  <c r="K36" i="7"/>
  <c r="I16" i="7" s="1"/>
  <c r="K38" i="7" s="1"/>
  <c r="K34" i="6"/>
  <c r="K32" i="6"/>
  <c r="K29" i="6"/>
  <c r="K27" i="6"/>
  <c r="H25" i="6"/>
  <c r="K24" i="6" s="1"/>
  <c r="H21" i="6"/>
  <c r="K20" i="6" s="1"/>
  <c r="J16" i="7" l="1"/>
  <c r="K35" i="6"/>
  <c r="I16" i="6" s="1"/>
  <c r="J16" i="6" s="1"/>
  <c r="H25" i="5"/>
  <c r="K37" i="6" l="1"/>
  <c r="H21" i="5"/>
  <c r="K20" i="5" s="1"/>
  <c r="K34" i="5"/>
  <c r="K32" i="5"/>
  <c r="K29" i="5"/>
  <c r="K27" i="5"/>
  <c r="K24" i="5"/>
  <c r="K35" i="5" l="1"/>
  <c r="I16" i="5" s="1"/>
  <c r="J16" i="5" s="1"/>
  <c r="H25" i="4"/>
  <c r="H21" i="4"/>
  <c r="K37" i="5" l="1"/>
  <c r="K34" i="4"/>
  <c r="K32" i="4"/>
  <c r="K29" i="4"/>
  <c r="K27" i="4"/>
  <c r="K24" i="4"/>
  <c r="K20" i="4"/>
  <c r="K35" i="4" l="1"/>
  <c r="I16" i="4" s="1"/>
  <c r="K37" i="4" s="1"/>
  <c r="H25" i="3"/>
  <c r="J16" i="4" l="1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<sst xmlns="http://schemas.openxmlformats.org/spreadsheetml/2006/main" count="544" uniqueCount="119">
  <si>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</si>
  <si>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</si>
  <si>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</si>
  <si>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</si>
  <si>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</si>
  <si>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</si>
  <si>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</si>
  <si>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</si>
  <si>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</si>
  <si>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</si>
  <si>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</si>
  <si>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</si>
  <si>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</si>
  <si>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</si>
  <si>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</si>
  <si>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</si>
  <si>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</si>
  <si>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</si>
  <si>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</si>
  <si>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</si>
  <si>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</si>
  <si>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</si>
  <si>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</si>
  <si>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</si>
  <si>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</si>
  <si>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</si>
  <si>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</si>
  <si>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</si>
  <si>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</si>
  <si>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</si>
  <si>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</si>
  <si>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</si>
  <si>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</si>
  <si>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</si>
  <si>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</si>
  <si>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DECEMBER 2019</t>
  </si>
  <si>
    <t>JAN 15 2020</t>
  </si>
  <si>
    <t>JAN 5 2020</t>
  </si>
  <si>
    <t>RIO ROSE SANTOS</t>
  </si>
  <si>
    <t>UNIT: 41B06</t>
  </si>
  <si>
    <t>PRES: DEC 25 2019 - PREV: DEC 3 2019 * 18.06</t>
  </si>
  <si>
    <t>PRES: DEC 25 2019 - PREV: DEC 3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</si>
  <si>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</si>
  <si>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</si>
  <si>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</si>
  <si>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</si>
  <si>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</si>
  <si>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</si>
  <si>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</si>
  <si>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</si>
  <si>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</si>
  <si>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</si>
  <si>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</si>
  <si>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</si>
  <si>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</si>
  <si>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</si>
  <si>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</si>
  <si>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</si>
  <si>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</si>
  <si>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</si>
  <si>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</si>
  <si>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</si>
  <si>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</si>
  <si>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</si>
  <si>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</si>
  <si>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</si>
  <si>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</si>
  <si>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</si>
  <si>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</si>
  <si>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</si>
  <si>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</si>
  <si>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</si>
  <si>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</si>
  <si>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</si>
  <si>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* SECURITY
* JANITORIAL SERVICES
* PMS (BUILDING EQUIPMENTS)
* TECHNICAL SERVICES</t>
  </si>
  <si>
    <t>ADJUSTMENTS</t>
  </si>
  <si>
    <t>PRES: MAY 25 2020 - PREV: APR 26 2020 * 9.79</t>
  </si>
  <si>
    <t>PRES: MAY 25 2020 - PREV: APR 26 2020 * 97.76</t>
  </si>
  <si>
    <r>
      <t xml:space="preserve">ELECTRICITY:
MAR 2020 - 238 kWh x 10.98 = 2,613.24 + 20% (AC) = 3,135.89 - 3,767.54 (billing Mar2020) = </t>
    </r>
    <r>
      <rPr>
        <b/>
        <u/>
        <sz val="14"/>
        <color rgb="FFFF0000"/>
        <rFont val="Calibri"/>
        <family val="2"/>
        <scheme val="minor"/>
      </rPr>
      <t>631.65</t>
    </r>
    <r>
      <rPr>
        <b/>
        <sz val="14"/>
        <color rgb="FFFF0000"/>
        <rFont val="Calibri"/>
        <family val="2"/>
        <scheme val="minor"/>
      </rPr>
      <t xml:space="preserve">
APR 2020 - 299 kWh x 9.79 = 2,927.21 + 20% (AC) = 3,512.65 - 3,939.62 (billing Apr2020) = </t>
    </r>
    <r>
      <rPr>
        <b/>
        <u/>
        <sz val="14"/>
        <color rgb="FFFF0000"/>
        <rFont val="Calibri"/>
        <family val="2"/>
        <scheme val="minor"/>
      </rPr>
      <t>426.97</t>
    </r>
  </si>
  <si>
    <t>SUBJECT FOR DISCONNECTION OF UTILITIES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</si>
  <si>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</si>
  <si>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</si>
  <si>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</si>
  <si>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</si>
  <si>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</si>
  <si>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2020 - 3 cubic x 96.92 = 290.76 + 20% (AC) = 348.91 - 351.93 (billing Mar2020) = </t>
    </r>
    <r>
      <rPr>
        <b/>
        <u/>
        <sz val="14"/>
        <color rgb="FFFF0000"/>
        <rFont val="Calibri"/>
        <family val="2"/>
        <scheme val="minor"/>
      </rPr>
      <t>3.02</t>
    </r>
    <r>
      <rPr>
        <b/>
        <sz val="14"/>
        <color rgb="FFFF0000"/>
        <rFont val="Calibri"/>
        <family val="2"/>
        <scheme val="minor"/>
      </rPr>
      <t xml:space="preserve">
APR 2020 - 6 cubic x 96.21 = 577.26 + 20% (AC) = 692.71 - 703.87 (billing Apr2020) = </t>
    </r>
    <r>
      <rPr>
        <b/>
        <u/>
        <sz val="14"/>
        <color rgb="FFFF0000"/>
        <rFont val="Calibri"/>
        <family val="2"/>
        <scheme val="minor"/>
      </rPr>
      <t xml:space="preserve">11.16
</t>
    </r>
    <r>
      <rPr>
        <b/>
        <sz val="14"/>
        <color rgb="FFFF0000"/>
        <rFont val="Calibri"/>
        <family val="2"/>
        <scheme val="minor"/>
      </rPr>
      <t xml:space="preserve">MAY 2020 - 5 cubic x 95.58 = 477.90 + 20% (AC) = 573.48 - 586.56 (billing May2020) = </t>
    </r>
    <r>
      <rPr>
        <b/>
        <u/>
        <sz val="14"/>
        <color rgb="FFFF0000"/>
        <rFont val="Calibri"/>
        <family val="2"/>
        <scheme val="minor"/>
      </rPr>
      <t>13.08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</si>
  <si>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</si>
  <si>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</si>
  <si>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</si>
  <si>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</si>
  <si>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</si>
  <si>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</si>
  <si>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</si>
  <si>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</si>
  <si>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</si>
  <si>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</si>
  <si>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</si>
  <si>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</si>
  <si>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</si>
  <si>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</si>
  <si>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</si>
  <si>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</si>
  <si>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</si>
  <si>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</si>
  <si>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</si>
  <si>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ASSOCIATION DUES</t>
  </si>
  <si>
    <t>BILLING MONTH: NOVEMBER 2020</t>
  </si>
  <si>
    <t>ASU PAST DUE</t>
  </si>
  <si>
    <t>UTILITY PAST DUE</t>
  </si>
  <si>
    <t>FOR THE MONTH OF NOV 2020</t>
  </si>
  <si>
    <t>ELECTRICITY - OCT 2020</t>
  </si>
  <si>
    <t>WATER - OCT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</si>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</sst>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43" fontId="21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22" fillId="0" borderId="0" xfId="0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47</xdr:row>
      <xdr:rowOff>0</xdr:rowOff>
    </xdr:from>
    <xdr:to>
      <xdr:col>4</xdr:col>
      <xdr:colOff>433298</xdr:colOff>
      <xdr:row>48</xdr:row>
      <xdr:rowOff>100692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3185321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745671</xdr:colOff>
      <xdr:row>49</xdr:row>
      <xdr:rowOff>152894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2641036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45</xdr:row>
      <xdr:rowOff>0</xdr:rowOff>
    </xdr:from>
    <xdr:to>
      <xdr:col>7</xdr:col>
      <xdr:colOff>745671</xdr:colOff>
      <xdr:row>49</xdr:row>
      <xdr:rowOff>152894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2506325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41B06%20-%20SAN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8">
          <cell r="E18">
            <v>492.8</v>
          </cell>
          <cell r="L18">
            <v>1112.6400000000001</v>
          </cell>
        </row>
      </sheetData>
      <sheetData sheetId="1">
        <row r="12">
          <cell r="E12">
            <v>10662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topLeftCell="A10" zoomScale="70" zoomScaleNormal="70" workbookViewId="0">
      <selection activeCell="O8" sqref="O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37</v>
      </c>
      <c r="E16" s="49" t="s">
        <v>36</v>
      </c>
      <c r="F16" s="18"/>
      <c r="G16" s="18"/>
      <c r="H16" s="18"/>
      <c r="I16" s="18">
        <f>K35</f>
        <v>188.17000000000002</v>
      </c>
      <c r="J16" s="18">
        <f>I16+H16+G16</f>
        <v>188.17000000000002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4" t="s">
        <v>32</v>
      </c>
      <c r="E20" s="84"/>
      <c r="F20" s="46" t="s">
        <v>40</v>
      </c>
      <c r="G20" s="46"/>
      <c r="H20" s="46"/>
      <c r="I20" s="9"/>
      <c r="J20" s="22">
        <v>0</v>
      </c>
      <c r="K20" s="9">
        <f>H21</f>
        <v>72.239999999999995</v>
      </c>
    </row>
    <row r="21" spans="3:11" ht="21" x14ac:dyDescent="0.35">
      <c r="C21" s="39"/>
      <c r="D21" s="8"/>
      <c r="E21" s="8"/>
      <c r="F21" s="46">
        <v>1463</v>
      </c>
      <c r="G21" s="46">
        <v>1459</v>
      </c>
      <c r="H21" s="47">
        <f>(F21-G21)*18.06</f>
        <v>72.239999999999995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188.17000000000002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188.17000000000002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55"/>
  <sheetViews>
    <sheetView topLeftCell="A7" zoomScale="70" zoomScaleNormal="70" workbookViewId="0">
      <selection activeCell="O20" sqref="O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97</v>
      </c>
      <c r="E16" s="49" t="s">
        <v>98</v>
      </c>
      <c r="F16" s="18"/>
      <c r="G16" s="18"/>
      <c r="H16" s="18">
        <v>4382.25</v>
      </c>
      <c r="I16" s="18">
        <f>K34</f>
        <v>2285.3900000000003</v>
      </c>
      <c r="J16" s="18">
        <f>I16+H16+G16</f>
        <v>6667.64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4" t="s">
        <v>32</v>
      </c>
      <c r="E20" s="84"/>
      <c r="F20" s="46" t="s">
        <v>99</v>
      </c>
      <c r="G20" s="46"/>
      <c r="H20" s="46"/>
      <c r="I20" s="9"/>
      <c r="J20" s="22">
        <v>0</v>
      </c>
      <c r="K20" s="9">
        <f>H21</f>
        <v>1795.0400000000002</v>
      </c>
    </row>
    <row r="21" spans="3:11" ht="21" x14ac:dyDescent="0.35">
      <c r="C21" s="39"/>
      <c r="D21" s="8"/>
      <c r="E21" s="8"/>
      <c r="F21" s="46">
        <v>3143</v>
      </c>
      <c r="G21" s="46">
        <v>2935</v>
      </c>
      <c r="H21" s="47">
        <f>(F21-G21)*8.63</f>
        <v>1795.0400000000002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89">
        <f>F21-G21</f>
        <v>208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100</v>
      </c>
      <c r="G24" s="46"/>
      <c r="H24" s="46"/>
      <c r="I24" s="9"/>
      <c r="J24" s="22">
        <v>0</v>
      </c>
      <c r="K24" s="9">
        <f>H25</f>
        <v>490.34999999999997</v>
      </c>
    </row>
    <row r="25" spans="3:11" ht="21" x14ac:dyDescent="0.35">
      <c r="C25" s="39"/>
      <c r="D25" s="8"/>
      <c r="E25" s="8"/>
      <c r="F25" s="46">
        <v>37</v>
      </c>
      <c r="G25" s="46">
        <v>32</v>
      </c>
      <c r="H25" s="47">
        <f>(F25-G25)*98.07</f>
        <v>490.34999999999997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89">
        <f>F25-G25</f>
        <v>5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4"/>
      <c r="K31" s="64"/>
    </row>
    <row r="32" spans="3:11" ht="21" x14ac:dyDescent="0.35">
      <c r="C32" s="40"/>
      <c r="D32" s="44"/>
      <c r="E32" s="44"/>
      <c r="F32" s="72"/>
      <c r="G32" s="72"/>
      <c r="H32" s="72"/>
      <c r="I32" s="9"/>
      <c r="J32" s="9"/>
      <c r="K32" s="9"/>
    </row>
    <row r="33" spans="2:12" ht="27" customHeight="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C34" s="40"/>
      <c r="D34" s="8"/>
      <c r="E34" s="8"/>
      <c r="F34" s="8"/>
      <c r="G34" s="8"/>
      <c r="H34" s="8"/>
      <c r="I34" s="9"/>
      <c r="J34" s="22"/>
      <c r="K34" s="9">
        <f>(K20+K24+K27)-K31</f>
        <v>2285.3900000000003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6667.64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92" t="s">
        <v>17</v>
      </c>
      <c r="D38" s="92"/>
      <c r="E38" s="92"/>
      <c r="F38" s="92"/>
      <c r="G38" s="92"/>
      <c r="H38" s="92"/>
      <c r="I38" s="92"/>
      <c r="J38" s="92"/>
      <c r="K38" s="92"/>
      <c r="L38" s="3"/>
    </row>
    <row r="39" spans="2:12" s="8" customFormat="1" ht="28.5" x14ac:dyDescent="0.45">
      <c r="B39" s="3"/>
      <c r="C39" s="10" t="s">
        <v>18</v>
      </c>
      <c r="D39" s="71"/>
      <c r="E39" s="71"/>
      <c r="F39" s="71"/>
      <c r="G39" s="71"/>
      <c r="H39" s="71"/>
      <c r="I39" s="71"/>
      <c r="J39" s="71"/>
      <c r="K39" s="71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87"/>
      <c r="D41" s="87"/>
      <c r="E41" s="87"/>
      <c r="F41" s="87"/>
      <c r="G41" s="87"/>
      <c r="H41" s="87"/>
      <c r="I41" s="87"/>
      <c r="J41" s="87"/>
      <c r="K41" s="87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6" spans="2:12" ht="21" x14ac:dyDescent="0.35">
      <c r="C46" s="8" t="s">
        <v>19</v>
      </c>
      <c r="D46" s="8"/>
      <c r="E46" s="8"/>
      <c r="F46" s="8"/>
      <c r="G46" s="8" t="s">
        <v>20</v>
      </c>
      <c r="H46" s="8"/>
      <c r="I46" s="9"/>
      <c r="J46" s="9"/>
      <c r="K46" s="9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8" t="s">
        <v>33</v>
      </c>
      <c r="D49" s="88"/>
      <c r="E49" s="88"/>
      <c r="F49" s="8"/>
      <c r="G49" s="88" t="s">
        <v>31</v>
      </c>
      <c r="H49" s="88"/>
      <c r="I49" s="9"/>
      <c r="J49" s="9"/>
      <c r="K49" s="9"/>
    </row>
    <row r="50" spans="3:11" ht="21" x14ac:dyDescent="0.35">
      <c r="C50" s="78" t="s">
        <v>23</v>
      </c>
      <c r="D50" s="78"/>
      <c r="E50" s="78"/>
      <c r="F50" s="8"/>
      <c r="G50" s="78" t="s">
        <v>24</v>
      </c>
      <c r="H50" s="7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.75" thickBot="1" x14ac:dyDescent="0.4">
      <c r="C52" s="23"/>
      <c r="D52" s="23"/>
      <c r="E52" s="23"/>
      <c r="F52" s="23"/>
      <c r="G52" s="23"/>
      <c r="H52" s="23"/>
      <c r="I52" s="40"/>
      <c r="J52" s="43" t="s">
        <v>26</v>
      </c>
      <c r="K52" s="24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</sheetData>
  <mergeCells count="18">
    <mergeCell ref="C38:K38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1:K41"/>
    <mergeCell ref="C49:E49"/>
    <mergeCell ref="G49:H49"/>
    <mergeCell ref="C50:E50"/>
    <mergeCell ref="G50:H50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55"/>
  <sheetViews>
    <sheetView zoomScale="70" zoomScaleNormal="70" workbookViewId="0">
      <selection activeCell="P31" sqref="P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107</v>
      </c>
      <c r="H15" s="13" t="s">
        <v>108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101</v>
      </c>
      <c r="E16" s="49" t="s">
        <v>102</v>
      </c>
      <c r="F16" s="18"/>
      <c r="G16" s="18">
        <v>8529.6</v>
      </c>
      <c r="H16" s="18"/>
      <c r="I16" s="18">
        <f>K34</f>
        <v>3737.84</v>
      </c>
      <c r="J16" s="18">
        <f>I16+H16+G16</f>
        <v>12267.44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5" t="s">
        <v>110</v>
      </c>
      <c r="E20" s="95"/>
      <c r="F20" s="46" t="s">
        <v>103</v>
      </c>
      <c r="G20" s="46"/>
      <c r="H20" s="46"/>
      <c r="I20" s="9"/>
      <c r="J20" s="22">
        <v>0</v>
      </c>
      <c r="K20" s="9">
        <f>H21</f>
        <v>1112.6400000000001</v>
      </c>
    </row>
    <row r="21" spans="3:11" ht="21" x14ac:dyDescent="0.35">
      <c r="C21" s="39"/>
      <c r="D21" s="8"/>
      <c r="E21" s="8"/>
      <c r="F21" s="46">
        <v>3295</v>
      </c>
      <c r="G21" s="46">
        <v>3143</v>
      </c>
      <c r="H21" s="47">
        <f>(F21-G21)*7.32</f>
        <v>1112.6400000000001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89">
        <f>F21-G21</f>
        <v>152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111</v>
      </c>
      <c r="E24" s="8"/>
      <c r="F24" s="46" t="s">
        <v>104</v>
      </c>
      <c r="G24" s="46"/>
      <c r="H24" s="46"/>
      <c r="I24" s="9"/>
      <c r="J24" s="22">
        <v>0</v>
      </c>
      <c r="K24" s="9">
        <f>H25</f>
        <v>492.8</v>
      </c>
    </row>
    <row r="25" spans="3:11" ht="21" x14ac:dyDescent="0.35">
      <c r="C25" s="39"/>
      <c r="D25" s="8"/>
      <c r="E25" s="8"/>
      <c r="F25" s="46">
        <v>42</v>
      </c>
      <c r="G25" s="46">
        <v>37</v>
      </c>
      <c r="H25" s="47">
        <f>(F25-G25)*98.56</f>
        <v>492.8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89">
        <f>F25-G25</f>
        <v>5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</row>
    <row r="28" spans="3:11" ht="21" customHeight="1" x14ac:dyDescent="0.35">
      <c r="C28" s="38">
        <v>43962</v>
      </c>
      <c r="D28" s="95" t="s">
        <v>105</v>
      </c>
      <c r="E28" s="95"/>
      <c r="F28" s="46" t="s">
        <v>109</v>
      </c>
      <c r="G28" s="46"/>
      <c r="H28" s="46"/>
      <c r="I28" s="9"/>
      <c r="J28" s="22">
        <v>0</v>
      </c>
      <c r="K28" s="9">
        <f>H29</f>
        <v>2132.4</v>
      </c>
    </row>
    <row r="29" spans="3:11" ht="21" x14ac:dyDescent="0.35">
      <c r="C29" s="39"/>
      <c r="D29" s="8"/>
      <c r="E29" s="8"/>
      <c r="F29" s="46">
        <v>35.54</v>
      </c>
      <c r="G29" s="46">
        <v>60</v>
      </c>
      <c r="H29" s="47">
        <f>F29*G29</f>
        <v>2132.4</v>
      </c>
      <c r="I29" s="9"/>
      <c r="J29" s="22"/>
      <c r="K29" s="9"/>
    </row>
    <row r="30" spans="3:11" ht="35.1" customHeight="1" x14ac:dyDescent="0.35">
      <c r="C30" s="68"/>
      <c r="D30" s="68"/>
      <c r="E30" s="68"/>
      <c r="F30" s="77"/>
      <c r="G30" s="77"/>
      <c r="H30" s="77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4"/>
      <c r="K31" s="64"/>
    </row>
    <row r="32" spans="3:11" ht="2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7" customHeight="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C34" s="40"/>
      <c r="D34" s="8"/>
      <c r="E34" s="8"/>
      <c r="F34" s="8"/>
      <c r="G34" s="8"/>
      <c r="H34" s="8"/>
      <c r="I34" s="9"/>
      <c r="J34" s="22"/>
      <c r="K34" s="9">
        <f>(K20+K24+K28)-K33</f>
        <v>3737.84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12267.44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92" t="s">
        <v>17</v>
      </c>
      <c r="D38" s="92"/>
      <c r="E38" s="92"/>
      <c r="F38" s="92"/>
      <c r="G38" s="92"/>
      <c r="H38" s="92"/>
      <c r="I38" s="92"/>
      <c r="J38" s="92"/>
      <c r="K38" s="92"/>
      <c r="L38" s="3"/>
    </row>
    <row r="39" spans="2:12" s="8" customFormat="1" ht="28.5" x14ac:dyDescent="0.45">
      <c r="B39" s="3"/>
      <c r="C39" s="10" t="s">
        <v>18</v>
      </c>
      <c r="D39" s="73"/>
      <c r="E39" s="73"/>
      <c r="F39" s="73"/>
      <c r="G39" s="73"/>
      <c r="H39" s="73"/>
      <c r="I39" s="73"/>
      <c r="J39" s="73"/>
      <c r="K39" s="73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87"/>
      <c r="D41" s="87"/>
      <c r="E41" s="87"/>
      <c r="F41" s="87"/>
      <c r="G41" s="87"/>
      <c r="H41" s="87"/>
      <c r="I41" s="87"/>
      <c r="J41" s="87"/>
      <c r="K41" s="87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6" spans="2:12" ht="21" x14ac:dyDescent="0.35">
      <c r="C46" s="8" t="s">
        <v>19</v>
      </c>
      <c r="D46" s="8"/>
      <c r="E46" s="8"/>
      <c r="F46" s="8"/>
      <c r="G46" s="8" t="s">
        <v>20</v>
      </c>
      <c r="H46" s="8"/>
      <c r="I46" s="9"/>
      <c r="J46" s="9"/>
      <c r="K46" s="9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8" t="s">
        <v>33</v>
      </c>
      <c r="D49" s="88"/>
      <c r="E49" s="88"/>
      <c r="F49" s="8"/>
      <c r="G49" s="88" t="s">
        <v>31</v>
      </c>
      <c r="H49" s="88"/>
      <c r="I49" s="9"/>
      <c r="J49" s="9"/>
      <c r="K49" s="9"/>
    </row>
    <row r="50" spans="3:11" ht="21" x14ac:dyDescent="0.35">
      <c r="C50" s="78" t="s">
        <v>23</v>
      </c>
      <c r="D50" s="78"/>
      <c r="E50" s="78"/>
      <c r="F50" s="8"/>
      <c r="G50" s="78" t="s">
        <v>24</v>
      </c>
      <c r="H50" s="7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.75" thickBot="1" x14ac:dyDescent="0.4">
      <c r="C52" s="23"/>
      <c r="D52" s="23"/>
      <c r="E52" s="23"/>
      <c r="F52" s="23"/>
      <c r="G52" s="23"/>
      <c r="H52" s="23"/>
      <c r="I52" s="40"/>
      <c r="J52" s="43" t="s">
        <v>26</v>
      </c>
      <c r="K52" s="24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</sheetData>
  <mergeCells count="18">
    <mergeCell ref="C41:K41"/>
    <mergeCell ref="C49:E49"/>
    <mergeCell ref="G49:H49"/>
    <mergeCell ref="C50:E50"/>
    <mergeCell ref="G50:H50"/>
    <mergeCell ref="C38:K38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L55"/>
  <sheetViews>
    <sheetView tabSelected="1" topLeftCell="A15" zoomScale="85" zoomScaleNormal="85" workbookViewId="0">
      <selection activeCell="J28" sqref="J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107</v>
      </c>
      <c r="H15" s="13" t="s">
        <v>108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113</v>
      </c>
      <c r="E16" s="49" t="s">
        <v>114</v>
      </c>
      <c r="F16" s="18"/>
      <c r="G16" s="18">
        <f>[1]ASU!$E$12</f>
        <v>10662</v>
      </c>
      <c r="H16" s="18">
        <f>[1]Sheet1!$E$18+[1]Sheet1!$L$18</f>
        <v>1605.44</v>
      </c>
      <c r="I16" s="18">
        <f>K34</f>
        <v>3623.26</v>
      </c>
      <c r="J16" s="18">
        <f>I16+H16+G16</f>
        <v>15890.7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5" t="s">
        <v>32</v>
      </c>
      <c r="E20" s="95"/>
      <c r="F20" s="46" t="s">
        <v>117</v>
      </c>
      <c r="G20" s="46"/>
      <c r="H20" s="46"/>
      <c r="I20" s="9"/>
      <c r="J20" s="22">
        <v>0</v>
      </c>
      <c r="K20" s="9">
        <f>H21</f>
        <v>1098.74</v>
      </c>
    </row>
    <row r="21" spans="3:11" ht="21" x14ac:dyDescent="0.35">
      <c r="C21" s="39"/>
      <c r="D21" s="8"/>
      <c r="E21" s="8"/>
      <c r="F21" s="46">
        <v>3432</v>
      </c>
      <c r="G21" s="46">
        <v>3295</v>
      </c>
      <c r="H21" s="47">
        <f>(F21-G21)*8.02</f>
        <v>1098.74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89">
        <f>F21-G21</f>
        <v>137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118</v>
      </c>
      <c r="G24" s="46"/>
      <c r="H24" s="46"/>
      <c r="I24" s="9"/>
      <c r="J24" s="22">
        <v>0</v>
      </c>
      <c r="K24" s="9">
        <f>H25</f>
        <v>392.12</v>
      </c>
    </row>
    <row r="25" spans="3:11" ht="21" x14ac:dyDescent="0.35">
      <c r="C25" s="39"/>
      <c r="D25" s="8"/>
      <c r="E25" s="8"/>
      <c r="F25" s="46">
        <v>46</v>
      </c>
      <c r="G25" s="46">
        <v>42</v>
      </c>
      <c r="H25" s="47">
        <f>(F25-G25)*98.03</f>
        <v>392.12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89">
        <f>F25-G25</f>
        <v>4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</row>
    <row r="28" spans="3:11" ht="21" customHeight="1" x14ac:dyDescent="0.35">
      <c r="C28" s="38">
        <v>44170</v>
      </c>
      <c r="D28" s="95" t="s">
        <v>105</v>
      </c>
      <c r="E28" s="95"/>
      <c r="F28" s="46" t="s">
        <v>115</v>
      </c>
      <c r="G28" s="46"/>
      <c r="H28" s="46"/>
      <c r="I28" s="9"/>
      <c r="J28" s="22">
        <v>0</v>
      </c>
      <c r="K28" s="9">
        <f>H29</f>
        <v>2132.4</v>
      </c>
    </row>
    <row r="29" spans="3:11" ht="21" x14ac:dyDescent="0.35">
      <c r="C29" s="39"/>
      <c r="D29" s="8"/>
      <c r="E29" s="8"/>
      <c r="F29" s="46">
        <v>35.54</v>
      </c>
      <c r="G29" s="46">
        <v>60</v>
      </c>
      <c r="H29" s="47">
        <f>F29*G29</f>
        <v>2132.4</v>
      </c>
      <c r="I29" s="9"/>
      <c r="J29" s="22"/>
      <c r="K29" s="9"/>
    </row>
    <row r="30" spans="3:11" ht="35.1" customHeight="1" x14ac:dyDescent="0.35">
      <c r="C30" s="68"/>
      <c r="D30" s="68"/>
      <c r="E30" s="68"/>
      <c r="F30" s="77"/>
      <c r="G30" s="77"/>
      <c r="H30" s="77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4"/>
      <c r="K31" s="64"/>
    </row>
    <row r="32" spans="3:11" ht="2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7" customHeight="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C34" s="40"/>
      <c r="D34" s="8"/>
      <c r="E34" s="8"/>
      <c r="F34" s="8"/>
      <c r="G34" s="8"/>
      <c r="H34" s="8"/>
      <c r="I34" s="9"/>
      <c r="J34" s="22"/>
      <c r="K34" s="9">
        <f>(K20+K24+K28)-K33</f>
        <v>3623.26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15890.7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92" t="s">
        <v>17</v>
      </c>
      <c r="D38" s="92"/>
      <c r="E38" s="92"/>
      <c r="F38" s="92"/>
      <c r="G38" s="92"/>
      <c r="H38" s="92"/>
      <c r="I38" s="92"/>
      <c r="J38" s="92"/>
      <c r="K38" s="92"/>
      <c r="L38" s="3"/>
    </row>
    <row r="39" spans="2:12" s="8" customFormat="1" ht="28.5" x14ac:dyDescent="0.45">
      <c r="B39" s="3"/>
      <c r="C39" s="10" t="s">
        <v>18</v>
      </c>
      <c r="D39" s="75"/>
      <c r="E39" s="75"/>
      <c r="F39" s="75"/>
      <c r="G39" s="75"/>
      <c r="H39" s="75"/>
      <c r="I39" s="75"/>
      <c r="J39" s="75"/>
      <c r="K39" s="75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87"/>
      <c r="D41" s="87"/>
      <c r="E41" s="87"/>
      <c r="F41" s="87"/>
      <c r="G41" s="87"/>
      <c r="H41" s="87"/>
      <c r="I41" s="87"/>
      <c r="J41" s="87"/>
      <c r="K41" s="87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6" spans="2:12" ht="21" x14ac:dyDescent="0.35">
      <c r="C46" s="8" t="s">
        <v>19</v>
      </c>
      <c r="D46" s="8"/>
      <c r="E46" s="8"/>
      <c r="F46" s="8"/>
      <c r="G46" s="8" t="s">
        <v>20</v>
      </c>
      <c r="H46" s="8"/>
      <c r="I46" s="9"/>
      <c r="J46" s="9"/>
      <c r="K46" s="9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8" t="s">
        <v>116</v>
      </c>
      <c r="D49" s="88"/>
      <c r="E49" s="88"/>
      <c r="F49" s="8"/>
      <c r="G49" s="88" t="s">
        <v>31</v>
      </c>
      <c r="H49" s="88"/>
      <c r="I49" s="9"/>
      <c r="J49" s="9"/>
      <c r="K49" s="9"/>
    </row>
    <row r="50" spans="3:11" ht="21" x14ac:dyDescent="0.35">
      <c r="C50" s="78" t="s">
        <v>23</v>
      </c>
      <c r="D50" s="78"/>
      <c r="E50" s="78"/>
      <c r="F50" s="8"/>
      <c r="G50" s="78" t="s">
        <v>24</v>
      </c>
      <c r="H50" s="7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.75" thickBot="1" x14ac:dyDescent="0.4">
      <c r="C52" s="23"/>
      <c r="D52" s="23"/>
      <c r="E52" s="23"/>
      <c r="F52" s="23"/>
      <c r="G52" s="23"/>
      <c r="H52" s="23"/>
      <c r="I52" s="40"/>
      <c r="J52" s="43" t="s">
        <v>26</v>
      </c>
      <c r="K52" s="24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</sheetData>
  <mergeCells count="18">
    <mergeCell ref="C38:K38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1:K41"/>
    <mergeCell ref="C49:E49"/>
    <mergeCell ref="G49:H49"/>
    <mergeCell ref="C50:E50"/>
    <mergeCell ref="G50:H50"/>
  </mergeCells>
  <pageMargins left="0.7" right="0.7" top="0.75" bottom="0.75" header="0.3" footer="0.3"/>
  <pageSetup scale="5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zoomScale="70" zoomScaleNormal="70" workbookViewId="0">
      <selection activeCell="H12" sqref="H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>
        <v>188.17</v>
      </c>
      <c r="I16" s="18">
        <f>K35</f>
        <v>220.57</v>
      </c>
      <c r="J16" s="18">
        <f>I16+H16+G16</f>
        <v>408.74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4" t="s">
        <v>32</v>
      </c>
      <c r="E20" s="84"/>
      <c r="F20" s="46" t="s">
        <v>45</v>
      </c>
      <c r="G20" s="46"/>
      <c r="H20" s="46"/>
      <c r="I20" s="9"/>
      <c r="J20" s="22">
        <v>0</v>
      </c>
      <c r="K20" s="9">
        <f>H21</f>
        <v>104.39999999999999</v>
      </c>
    </row>
    <row r="21" spans="3:11" ht="21" x14ac:dyDescent="0.35">
      <c r="C21" s="39"/>
      <c r="D21" s="8"/>
      <c r="E21" s="8"/>
      <c r="F21" s="46">
        <v>1469</v>
      </c>
      <c r="G21" s="46">
        <v>1463</v>
      </c>
      <c r="H21" s="47">
        <f>(F21-G21)*17.4</f>
        <v>104.39999999999999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116.17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(F25-G25)*116.17</f>
        <v>116.17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220.57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408.74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0"/>
  <sheetViews>
    <sheetView zoomScale="70" zoomScaleNormal="70" workbookViewId="0">
      <selection activeCell="J11" sqref="J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408.74</v>
      </c>
      <c r="I16" s="18">
        <f>K35</f>
        <v>1206.75</v>
      </c>
      <c r="J16" s="18">
        <f>I16+H16+G16</f>
        <v>1615.49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4" t="s">
        <v>32</v>
      </c>
      <c r="E20" s="84"/>
      <c r="F20" s="46" t="s">
        <v>50</v>
      </c>
      <c r="G20" s="46"/>
      <c r="H20" s="46"/>
      <c r="I20" s="9"/>
      <c r="J20" s="22">
        <v>0</v>
      </c>
      <c r="K20" s="9">
        <f>H21</f>
        <v>854.82</v>
      </c>
    </row>
    <row r="21" spans="3:11" ht="21" x14ac:dyDescent="0.35">
      <c r="C21" s="39"/>
      <c r="D21" s="8"/>
      <c r="E21" s="8"/>
      <c r="F21" s="46">
        <v>1523</v>
      </c>
      <c r="G21" s="46">
        <v>1469</v>
      </c>
      <c r="H21" s="47">
        <f>(F21-G21)*15.83</f>
        <v>854.82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351.93</v>
      </c>
    </row>
    <row r="25" spans="3:11" ht="21" x14ac:dyDescent="0.35">
      <c r="C25" s="39"/>
      <c r="D25" s="8"/>
      <c r="E25" s="8"/>
      <c r="F25" s="46">
        <v>5</v>
      </c>
      <c r="G25" s="46">
        <v>2</v>
      </c>
      <c r="H25" s="47">
        <f>(F25-G25)*117.31</f>
        <v>351.93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1206.75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1615.49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0"/>
  <sheetViews>
    <sheetView topLeftCell="A10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/>
      <c r="I16" s="18">
        <f>K35</f>
        <v>4119.47</v>
      </c>
      <c r="J16" s="18">
        <f>I16+H16+G16</f>
        <v>4119.47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4" t="s">
        <v>32</v>
      </c>
      <c r="E20" s="84"/>
      <c r="F20" s="46" t="s">
        <v>55</v>
      </c>
      <c r="G20" s="46"/>
      <c r="H20" s="46"/>
      <c r="I20" s="9"/>
      <c r="J20" s="22">
        <v>0</v>
      </c>
      <c r="K20" s="9">
        <f>H21</f>
        <v>3767.54</v>
      </c>
    </row>
    <row r="21" spans="3:11" ht="21" x14ac:dyDescent="0.35">
      <c r="C21" s="39"/>
      <c r="D21" s="8"/>
      <c r="E21" s="8"/>
      <c r="F21" s="46">
        <v>1761</v>
      </c>
      <c r="G21" s="46">
        <v>1523</v>
      </c>
      <c r="H21" s="47">
        <f>(F21-G21)*15.83</f>
        <v>3767.54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89">
        <f>F21-G21</f>
        <v>238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351.93</v>
      </c>
    </row>
    <row r="25" spans="3:11" ht="21" x14ac:dyDescent="0.35">
      <c r="C25" s="39"/>
      <c r="D25" s="8"/>
      <c r="E25" s="8"/>
      <c r="F25" s="46">
        <v>8</v>
      </c>
      <c r="G25" s="46">
        <v>5</v>
      </c>
      <c r="H25" s="47">
        <f>(F25-G25)*117.31</f>
        <v>351.93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89">
        <f>F25-G25</f>
        <v>3</v>
      </c>
      <c r="G26" s="89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4119.47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4119.47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55" t="s">
        <v>57</v>
      </c>
      <c r="D41" s="55" t="s">
        <v>58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5" t="s">
        <v>59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2"/>
  <sheetViews>
    <sheetView zoomScale="70" zoomScaleNormal="70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61</v>
      </c>
      <c r="E16" s="49" t="s">
        <v>62</v>
      </c>
      <c r="F16" s="18"/>
      <c r="G16" s="18"/>
      <c r="H16" s="18">
        <v>4119.47</v>
      </c>
      <c r="I16" s="18">
        <f>K36</f>
        <v>4643.4960000000001</v>
      </c>
      <c r="J16" s="18">
        <f>I16+H16+G16</f>
        <v>8762.9660000000003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4" t="s">
        <v>32</v>
      </c>
      <c r="E20" s="84"/>
      <c r="F20" s="46" t="s">
        <v>63</v>
      </c>
      <c r="G20" s="46"/>
      <c r="H20" s="46"/>
      <c r="I20" s="9"/>
      <c r="J20" s="22">
        <v>0</v>
      </c>
      <c r="K20" s="9">
        <f>H21</f>
        <v>3283.02</v>
      </c>
    </row>
    <row r="21" spans="3:11" ht="21" x14ac:dyDescent="0.35">
      <c r="C21" s="39"/>
      <c r="D21" s="8"/>
      <c r="E21" s="8"/>
      <c r="F21" s="46">
        <v>2060</v>
      </c>
      <c r="G21" s="46">
        <v>1761</v>
      </c>
      <c r="H21" s="47">
        <f>(F21-G21)*10.98</f>
        <v>3283.02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89">
        <f>F21-G21</f>
        <v>299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586.56000000000006</v>
      </c>
    </row>
    <row r="25" spans="3:11" ht="21" x14ac:dyDescent="0.35">
      <c r="C25" s="39"/>
      <c r="D25" s="8"/>
      <c r="E25" s="8"/>
      <c r="F25" s="46">
        <v>14</v>
      </c>
      <c r="G25" s="46">
        <v>8</v>
      </c>
      <c r="H25" s="47">
        <f>(F25-G25)*97.76</f>
        <v>586.56000000000006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89">
        <f>F25-G25</f>
        <v>6</v>
      </c>
      <c r="G26" s="89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65</v>
      </c>
      <c r="E28" s="8"/>
      <c r="F28" s="8"/>
      <c r="G28" s="8"/>
      <c r="H28" s="8"/>
      <c r="I28" s="9">
        <f>(H21+H25)*20%</f>
        <v>773.91600000000005</v>
      </c>
      <c r="J28" s="22">
        <v>0</v>
      </c>
      <c r="K28" s="9">
        <f>I28</f>
        <v>773.91600000000005</v>
      </c>
    </row>
    <row r="29" spans="3:11" ht="21" x14ac:dyDescent="0.35">
      <c r="C29" s="91" t="s">
        <v>68</v>
      </c>
      <c r="D29" s="91"/>
      <c r="E29" s="91"/>
      <c r="F29" s="8"/>
      <c r="G29" s="8"/>
      <c r="H29" s="8"/>
      <c r="I29" s="9"/>
      <c r="J29" s="22"/>
      <c r="K29" s="9"/>
    </row>
    <row r="30" spans="3:11" ht="21" x14ac:dyDescent="0.35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1" x14ac:dyDescent="0.35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54"/>
      <c r="G32" s="54"/>
      <c r="H32" s="54"/>
      <c r="I32" s="9"/>
      <c r="J32" s="9"/>
      <c r="K32" s="9"/>
    </row>
    <row r="33" spans="2:12" ht="21" x14ac:dyDescent="0.35">
      <c r="C33" s="38"/>
      <c r="D33" s="44"/>
      <c r="E33" s="44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4"/>
      <c r="G34" s="54"/>
      <c r="H34" s="5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4643.4960000000001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8762.9660000000003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3.25" x14ac:dyDescent="0.35">
      <c r="B42" s="3"/>
      <c r="C42" s="56" t="s">
        <v>57</v>
      </c>
      <c r="D42" s="57" t="s">
        <v>58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7" t="s">
        <v>59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5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 x14ac:dyDescent="0.35">
      <c r="C57" s="78" t="s">
        <v>23</v>
      </c>
      <c r="D57" s="78"/>
      <c r="E57" s="78"/>
      <c r="F57" s="8"/>
      <c r="G57" s="78" t="s">
        <v>24</v>
      </c>
      <c r="H57" s="7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3"/>
  <sheetViews>
    <sheetView topLeftCell="A7" zoomScale="70" zoomScaleNormal="70" workbookViewId="0">
      <selection activeCell="Q33" sqref="Q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>
        <v>8762.9699999999993</v>
      </c>
      <c r="I16" s="18">
        <f>K36</f>
        <v>2582.42</v>
      </c>
      <c r="J16" s="18">
        <f>I16+H16+G16</f>
        <v>11345.39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4" t="s">
        <v>32</v>
      </c>
      <c r="E20" s="84"/>
      <c r="F20" s="46" t="s">
        <v>76</v>
      </c>
      <c r="G20" s="46"/>
      <c r="H20" s="46"/>
      <c r="I20" s="9"/>
      <c r="J20" s="22">
        <v>0</v>
      </c>
      <c r="K20" s="9">
        <f>H21</f>
        <v>2545.3999999999996</v>
      </c>
    </row>
    <row r="21" spans="3:11" ht="21" x14ac:dyDescent="0.35">
      <c r="C21" s="39"/>
      <c r="D21" s="8"/>
      <c r="E21" s="8"/>
      <c r="F21" s="46">
        <v>2320</v>
      </c>
      <c r="G21" s="46">
        <v>2060</v>
      </c>
      <c r="H21" s="47">
        <f>(F21-G21)*9.79</f>
        <v>2545.3999999999996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89">
        <f>F21-G21</f>
        <v>260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77</v>
      </c>
      <c r="G24" s="46"/>
      <c r="H24" s="46"/>
      <c r="I24" s="9"/>
      <c r="J24" s="22">
        <v>0</v>
      </c>
      <c r="K24" s="9">
        <f>H25</f>
        <v>488.8</v>
      </c>
    </row>
    <row r="25" spans="3:11" ht="21" x14ac:dyDescent="0.35">
      <c r="C25" s="39"/>
      <c r="D25" s="8"/>
      <c r="E25" s="8"/>
      <c r="F25" s="46">
        <v>19</v>
      </c>
      <c r="G25" s="46">
        <v>14</v>
      </c>
      <c r="H25" s="47">
        <f>(F25-G25)*97.76</f>
        <v>488.8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89">
        <f>F25-G25</f>
        <v>5</v>
      </c>
      <c r="G26" s="89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65</v>
      </c>
      <c r="E28" s="8"/>
      <c r="F28" s="8"/>
      <c r="G28" s="8"/>
      <c r="H28" s="8"/>
      <c r="I28" s="9">
        <f>(H21+H25)*20%</f>
        <v>606.84</v>
      </c>
      <c r="J28" s="22">
        <v>0</v>
      </c>
      <c r="K28" s="9">
        <f>I28</f>
        <v>606.84</v>
      </c>
    </row>
    <row r="29" spans="3:11" ht="21" customHeight="1" x14ac:dyDescent="0.35">
      <c r="C29" s="91" t="s">
        <v>74</v>
      </c>
      <c r="D29" s="91"/>
      <c r="E29" s="91"/>
      <c r="F29" s="8"/>
      <c r="G29" s="8"/>
      <c r="H29" s="8"/>
      <c r="I29" s="9"/>
      <c r="J29" s="22"/>
      <c r="K29" s="9"/>
    </row>
    <row r="30" spans="3:11" ht="21" x14ac:dyDescent="0.35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96.95" customHeight="1" x14ac:dyDescent="0.35">
      <c r="C33" s="38"/>
      <c r="D33" s="93" t="s">
        <v>75</v>
      </c>
      <c r="E33" s="93"/>
      <c r="F33" s="94" t="s">
        <v>78</v>
      </c>
      <c r="G33" s="94"/>
      <c r="H33" s="94"/>
      <c r="I33" s="94"/>
      <c r="J33" s="64">
        <v>0</v>
      </c>
      <c r="K33" s="64">
        <f>(631.65+426.97)</f>
        <v>1058.6199999999999</v>
      </c>
    </row>
    <row r="34" spans="2:12" ht="2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7" customHeight="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C36" s="40"/>
      <c r="D36" s="8"/>
      <c r="E36" s="8"/>
      <c r="F36" s="8"/>
      <c r="G36" s="8"/>
      <c r="H36" s="8"/>
      <c r="I36" s="9"/>
      <c r="J36" s="22"/>
      <c r="K36" s="9">
        <f>(K20+K24+K28)-K33</f>
        <v>2582.42</v>
      </c>
    </row>
    <row r="37" spans="2:12" ht="21" x14ac:dyDescent="0.35">
      <c r="B37" s="8"/>
      <c r="C37" s="40"/>
      <c r="D37" s="8"/>
      <c r="E37" s="8"/>
      <c r="F37" s="8"/>
      <c r="G37" s="8"/>
      <c r="H37" s="8"/>
      <c r="I37" s="9"/>
      <c r="J37" s="22"/>
      <c r="K37" s="9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x14ac:dyDescent="0.45">
      <c r="B39" s="8"/>
      <c r="C39" s="8"/>
      <c r="D39" s="8"/>
      <c r="E39" s="8"/>
      <c r="G39" s="33"/>
      <c r="H39" s="34" t="s">
        <v>16</v>
      </c>
      <c r="I39" s="35"/>
      <c r="J39" s="35"/>
      <c r="K39" s="36">
        <f>I16+H16+G16</f>
        <v>11345.39</v>
      </c>
      <c r="L39" s="8"/>
    </row>
    <row r="40" spans="2:12" ht="2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ht="22.5" customHeight="1" x14ac:dyDescent="0.35">
      <c r="B41" s="8"/>
      <c r="C41" s="8"/>
      <c r="D41" s="8"/>
      <c r="E41" s="8"/>
      <c r="F41" s="8"/>
      <c r="G41" s="8"/>
      <c r="H41" s="8"/>
      <c r="I41" s="9"/>
      <c r="J41" s="9"/>
      <c r="K41" s="9"/>
      <c r="L41" s="8"/>
    </row>
    <row r="42" spans="2:12" s="8" customFormat="1" ht="21" x14ac:dyDescent="0.35">
      <c r="C42" s="92" t="s">
        <v>17</v>
      </c>
      <c r="D42" s="92"/>
      <c r="E42" s="92"/>
      <c r="F42" s="92"/>
      <c r="G42" s="92"/>
      <c r="H42" s="92"/>
      <c r="I42" s="92"/>
      <c r="J42" s="92"/>
      <c r="K42" s="92"/>
      <c r="L42" s="3"/>
    </row>
    <row r="43" spans="2:12" s="8" customFormat="1" ht="21" x14ac:dyDescent="0.35">
      <c r="B43" s="3"/>
      <c r="C43" s="58"/>
      <c r="D43" s="58"/>
      <c r="E43" s="58"/>
      <c r="F43" s="58"/>
      <c r="G43" s="58"/>
      <c r="H43" s="58"/>
      <c r="I43" s="58"/>
      <c r="J43" s="58"/>
      <c r="K43" s="58"/>
      <c r="L43" s="3"/>
    </row>
    <row r="44" spans="2:12" s="8" customFormat="1" ht="23.25" x14ac:dyDescent="0.35">
      <c r="B44" s="3"/>
      <c r="C44" s="56" t="s">
        <v>57</v>
      </c>
      <c r="D44" s="57" t="s">
        <v>72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3.25" x14ac:dyDescent="0.35">
      <c r="B45" s="3"/>
      <c r="C45" s="1"/>
      <c r="D45" s="57" t="s">
        <v>73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1" x14ac:dyDescent="0.35">
      <c r="B46" s="3"/>
      <c r="C46" s="3"/>
      <c r="D46" s="57" t="s">
        <v>59</v>
      </c>
      <c r="E46" s="3"/>
      <c r="F46" s="3"/>
      <c r="G46" s="3"/>
      <c r="H46" s="3"/>
      <c r="I46" s="4"/>
      <c r="J46" s="4"/>
      <c r="K46" s="4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7"/>
      <c r="D48" s="87"/>
      <c r="E48" s="87"/>
      <c r="F48" s="87"/>
      <c r="G48" s="87"/>
      <c r="H48" s="87"/>
      <c r="I48" s="87"/>
      <c r="J48" s="87"/>
      <c r="K48" s="87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8" t="s">
        <v>33</v>
      </c>
      <c r="D57" s="88"/>
      <c r="E57" s="88"/>
      <c r="F57" s="8"/>
      <c r="G57" s="88" t="s">
        <v>31</v>
      </c>
      <c r="H57" s="88"/>
      <c r="I57" s="9"/>
      <c r="J57" s="9"/>
      <c r="K57" s="9"/>
    </row>
    <row r="58" spans="3:11" ht="21" x14ac:dyDescent="0.35">
      <c r="C58" s="78" t="s">
        <v>23</v>
      </c>
      <c r="D58" s="78"/>
      <c r="E58" s="78"/>
      <c r="F58" s="8"/>
      <c r="G58" s="78" t="s">
        <v>24</v>
      </c>
      <c r="H58" s="7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2:K42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56"/>
  <sheetViews>
    <sheetView topLeftCell="A10" zoomScale="70" zoomScaleNormal="70" workbookViewId="0">
      <selection activeCell="A40" sqref="A40:XFD4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ht="39.950000000000003" customHeight="1" x14ac:dyDescent="0.7">
      <c r="C2" s="67" t="s">
        <v>79</v>
      </c>
    </row>
    <row r="3" spans="3:11" s="1" customFormat="1" ht="31.5" x14ac:dyDescent="0.5">
      <c r="C3" s="11" t="s">
        <v>28</v>
      </c>
      <c r="I3" s="2"/>
      <c r="J3" s="2"/>
      <c r="K3" s="2"/>
    </row>
    <row r="4" spans="3:11" ht="21" x14ac:dyDescent="0.35">
      <c r="C4" s="8" t="s">
        <v>29</v>
      </c>
      <c r="D4" s="8"/>
      <c r="E4" s="8"/>
      <c r="F4" s="8"/>
      <c r="G4" s="8"/>
      <c r="H4" s="8"/>
      <c r="I4" s="79" t="s">
        <v>14</v>
      </c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79"/>
      <c r="J5" s="79"/>
      <c r="K5" s="7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1" x14ac:dyDescent="0.35">
      <c r="C7" s="8"/>
      <c r="D7" s="8"/>
      <c r="E7" s="8"/>
      <c r="F7" s="8"/>
      <c r="G7" s="8"/>
      <c r="H7" s="8"/>
      <c r="I7" s="9"/>
      <c r="J7" s="9"/>
      <c r="K7" s="9"/>
    </row>
    <row r="8" spans="3:11" ht="26.25" x14ac:dyDescent="0.4">
      <c r="C8" s="28" t="s">
        <v>34</v>
      </c>
      <c r="D8" s="29"/>
      <c r="E8" s="30" t="s">
        <v>38</v>
      </c>
      <c r="F8" s="29"/>
      <c r="G8" s="29"/>
      <c r="H8" s="8"/>
      <c r="I8" s="9"/>
      <c r="J8" s="9"/>
      <c r="K8" s="9"/>
    </row>
    <row r="9" spans="3:11" ht="21" x14ac:dyDescent="0.35">
      <c r="C9" s="8"/>
      <c r="D9" s="8"/>
      <c r="E9" s="8"/>
      <c r="F9" s="8"/>
      <c r="G9" s="8"/>
      <c r="H9" s="8"/>
      <c r="I9" s="9"/>
      <c r="J9" s="9"/>
      <c r="K9" s="9"/>
    </row>
    <row r="10" spans="3:11" ht="26.25" x14ac:dyDescent="0.4">
      <c r="C10" s="30" t="s">
        <v>39</v>
      </c>
      <c r="D10" s="31"/>
      <c r="E10" s="30"/>
      <c r="F10" s="29"/>
      <c r="G10" s="8"/>
      <c r="H10" s="8"/>
      <c r="I10" s="9"/>
      <c r="J10" s="9"/>
      <c r="K10" s="9"/>
    </row>
    <row r="11" spans="3:11" ht="21" x14ac:dyDescent="0.35">
      <c r="C11" s="8"/>
      <c r="D11" s="8"/>
      <c r="E11" s="8"/>
      <c r="F11" s="8"/>
      <c r="G11" s="8"/>
      <c r="H11" s="8"/>
      <c r="I11" s="9"/>
      <c r="J11" s="9"/>
      <c r="K11" s="9"/>
    </row>
    <row r="12" spans="3:11" ht="26.25" x14ac:dyDescent="0.4">
      <c r="C12" s="30" t="s">
        <v>80</v>
      </c>
      <c r="D12" s="29"/>
      <c r="E12" s="29"/>
      <c r="F12" s="29"/>
      <c r="G12" s="8"/>
      <c r="H12" s="8"/>
      <c r="I12" s="9"/>
      <c r="J12" s="9"/>
      <c r="K12" s="9"/>
    </row>
    <row r="13" spans="3:11" ht="21" x14ac:dyDescent="0.35">
      <c r="C13" s="8"/>
      <c r="D13" s="8"/>
      <c r="E13" s="8"/>
      <c r="F13" s="8"/>
      <c r="G13" s="8"/>
      <c r="H13" s="8"/>
      <c r="I13" s="9"/>
      <c r="J13" s="9"/>
      <c r="K13" s="9"/>
    </row>
    <row r="14" spans="3:11" ht="21.75" thickBot="1" x14ac:dyDescent="0.4">
      <c r="C14" s="8"/>
      <c r="D14" s="8"/>
      <c r="E14" s="8"/>
      <c r="F14" s="8"/>
      <c r="G14" s="8"/>
      <c r="H14" s="8"/>
      <c r="I14" s="9"/>
      <c r="J14" s="9"/>
      <c r="K14" s="9"/>
    </row>
    <row r="15" spans="3:11" s="5" customFormat="1" ht="21.75" thickBot="1" x14ac:dyDescent="0.3">
      <c r="C15" s="80" t="s">
        <v>12</v>
      </c>
      <c r="D15" s="81"/>
      <c r="E15" s="81"/>
      <c r="F15" s="81"/>
      <c r="G15" s="81"/>
      <c r="H15" s="81"/>
      <c r="I15" s="81"/>
      <c r="J15" s="81"/>
      <c r="K15" s="82"/>
    </row>
    <row r="16" spans="3:11" s="6" customFormat="1" ht="21" x14ac:dyDescent="0.25">
      <c r="C16" s="12" t="s">
        <v>0</v>
      </c>
      <c r="D16" s="13" t="s">
        <v>1</v>
      </c>
      <c r="E16" s="14" t="s">
        <v>2</v>
      </c>
      <c r="G16" s="13" t="s">
        <v>25</v>
      </c>
      <c r="H16" s="13" t="s">
        <v>3</v>
      </c>
      <c r="I16" s="15" t="s">
        <v>4</v>
      </c>
      <c r="J16" s="15" t="s">
        <v>5</v>
      </c>
      <c r="K16" s="16" t="s">
        <v>6</v>
      </c>
    </row>
    <row r="17" spans="3:11" s="5" customFormat="1" ht="21.75" thickBot="1" x14ac:dyDescent="0.3">
      <c r="C17" s="17"/>
      <c r="D17" s="49" t="s">
        <v>81</v>
      </c>
      <c r="E17" s="49" t="s">
        <v>82</v>
      </c>
      <c r="F17" s="18"/>
      <c r="G17" s="18"/>
      <c r="H17" s="18">
        <v>11345.39</v>
      </c>
      <c r="I17" s="18">
        <f>K35</f>
        <v>2531.7399999999998</v>
      </c>
      <c r="J17" s="18">
        <f>I17+H17+G17</f>
        <v>13877.13</v>
      </c>
      <c r="K17" s="19"/>
    </row>
    <row r="18" spans="3:11" ht="21" x14ac:dyDescent="0.35">
      <c r="C18" s="8"/>
      <c r="D18" s="8"/>
      <c r="E18" s="8"/>
      <c r="F18" s="8"/>
      <c r="G18" s="8"/>
      <c r="H18" s="8"/>
      <c r="I18" s="9"/>
      <c r="J18" s="9"/>
      <c r="K18" s="9"/>
    </row>
    <row r="19" spans="3:11" ht="21.75" thickBot="1" x14ac:dyDescent="0.4">
      <c r="C19" s="8"/>
      <c r="D19" s="8"/>
      <c r="E19" s="8"/>
      <c r="F19" s="8"/>
      <c r="G19" s="8"/>
      <c r="H19" s="8"/>
      <c r="I19" s="9"/>
      <c r="J19" s="9"/>
      <c r="K19" s="9"/>
    </row>
    <row r="20" spans="3:11" s="6" customFormat="1" ht="21.75" thickBot="1" x14ac:dyDescent="0.3">
      <c r="C20" s="48" t="s">
        <v>7</v>
      </c>
      <c r="D20" s="83" t="s">
        <v>8</v>
      </c>
      <c r="E20" s="83"/>
      <c r="F20" s="83" t="s">
        <v>9</v>
      </c>
      <c r="G20" s="83"/>
      <c r="H20" s="83"/>
      <c r="I20" s="20" t="s">
        <v>13</v>
      </c>
      <c r="J20" s="20" t="s">
        <v>10</v>
      </c>
      <c r="K20" s="21" t="s">
        <v>11</v>
      </c>
    </row>
    <row r="21" spans="3:11" ht="21" x14ac:dyDescent="0.35">
      <c r="C21" s="38">
        <v>43958</v>
      </c>
      <c r="D21" s="84" t="s">
        <v>32</v>
      </c>
      <c r="E21" s="84"/>
      <c r="F21" s="46" t="s">
        <v>83</v>
      </c>
      <c r="G21" s="46"/>
      <c r="H21" s="46"/>
      <c r="I21" s="9"/>
      <c r="J21" s="22">
        <v>0</v>
      </c>
      <c r="K21" s="9">
        <f>H22</f>
        <v>2174.12</v>
      </c>
    </row>
    <row r="22" spans="3:11" ht="21" x14ac:dyDescent="0.35">
      <c r="C22" s="39"/>
      <c r="D22" s="8"/>
      <c r="E22" s="8"/>
      <c r="F22" s="46">
        <v>2546</v>
      </c>
      <c r="G22" s="46">
        <v>2320</v>
      </c>
      <c r="H22" s="47">
        <f>(F22-G22)*9.62</f>
        <v>2174.12</v>
      </c>
      <c r="I22" s="9"/>
      <c r="J22" s="9"/>
      <c r="K22" s="9"/>
    </row>
    <row r="23" spans="3:11" ht="21" x14ac:dyDescent="0.35">
      <c r="C23" s="39"/>
      <c r="D23" s="90" t="s">
        <v>66</v>
      </c>
      <c r="E23" s="90"/>
      <c r="F23" s="89">
        <f>F22-G22</f>
        <v>226</v>
      </c>
      <c r="G23" s="89"/>
      <c r="H23" s="47"/>
      <c r="I23" s="9"/>
      <c r="J23" s="9"/>
      <c r="K23" s="9"/>
    </row>
    <row r="24" spans="3:11" ht="21" x14ac:dyDescent="0.35">
      <c r="C24" s="39"/>
      <c r="D24" s="8"/>
      <c r="E24" s="8"/>
      <c r="F24" s="46"/>
      <c r="G24" s="46"/>
      <c r="H24" s="47"/>
      <c r="I24" s="9"/>
      <c r="J24" s="9"/>
      <c r="K24" s="9"/>
    </row>
    <row r="25" spans="3:11" ht="21" x14ac:dyDescent="0.35">
      <c r="C25" s="38">
        <v>43958</v>
      </c>
      <c r="D25" s="8" t="s">
        <v>15</v>
      </c>
      <c r="E25" s="8"/>
      <c r="F25" s="46" t="s">
        <v>84</v>
      </c>
      <c r="G25" s="46"/>
      <c r="H25" s="46"/>
      <c r="I25" s="9"/>
      <c r="J25" s="22">
        <v>0</v>
      </c>
      <c r="K25" s="9">
        <f>H26</f>
        <v>384.88</v>
      </c>
    </row>
    <row r="26" spans="3:11" ht="21" x14ac:dyDescent="0.35">
      <c r="C26" s="39"/>
      <c r="D26" s="8"/>
      <c r="E26" s="8"/>
      <c r="F26" s="46">
        <v>23</v>
      </c>
      <c r="G26" s="46">
        <v>19</v>
      </c>
      <c r="H26" s="47">
        <f>(F26-G26)*96.22</f>
        <v>384.88</v>
      </c>
      <c r="I26" s="9"/>
      <c r="J26" s="9"/>
      <c r="K26" s="9"/>
    </row>
    <row r="27" spans="3:11" ht="21" x14ac:dyDescent="0.35">
      <c r="C27" s="39"/>
      <c r="D27" s="90" t="s">
        <v>67</v>
      </c>
      <c r="E27" s="90"/>
      <c r="F27" s="89">
        <f>F26-G26</f>
        <v>4</v>
      </c>
      <c r="G27" s="89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86"/>
      <c r="G31" s="86"/>
      <c r="H31" s="86"/>
      <c r="I31" s="9"/>
      <c r="J31" s="9"/>
      <c r="K31" s="9"/>
    </row>
    <row r="32" spans="3:11" ht="135" customHeight="1" x14ac:dyDescent="0.35">
      <c r="C32" s="38"/>
      <c r="D32" s="93" t="s">
        <v>75</v>
      </c>
      <c r="E32" s="93"/>
      <c r="F32" s="94" t="s">
        <v>85</v>
      </c>
      <c r="G32" s="94"/>
      <c r="H32" s="94"/>
      <c r="I32" s="94"/>
      <c r="J32" s="64">
        <v>0</v>
      </c>
      <c r="K32" s="64">
        <f>3.02+11.16+13.08</f>
        <v>27.259999999999998</v>
      </c>
    </row>
    <row r="33" spans="2:12" ht="21" x14ac:dyDescent="0.35">
      <c r="C33" s="40"/>
      <c r="D33" s="44"/>
      <c r="E33" s="44"/>
      <c r="F33" s="63"/>
      <c r="G33" s="63"/>
      <c r="H33" s="63"/>
      <c r="I33" s="9"/>
      <c r="J33" s="9"/>
      <c r="K33" s="9"/>
    </row>
    <row r="34" spans="2:12" ht="27" customHeight="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C35" s="40"/>
      <c r="D35" s="8"/>
      <c r="E35" s="8"/>
      <c r="F35" s="8"/>
      <c r="G35" s="8"/>
      <c r="H35" s="8"/>
      <c r="I35" s="9"/>
      <c r="J35" s="22"/>
      <c r="K35" s="9">
        <f>(K21+K25+K28)-K32</f>
        <v>2531.7399999999998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I17+H17+G17</f>
        <v>13877.13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8.5" x14ac:dyDescent="0.45">
      <c r="B40" s="3"/>
      <c r="C40" s="10" t="s">
        <v>18</v>
      </c>
      <c r="D40" s="62"/>
      <c r="E40" s="62"/>
      <c r="F40" s="62"/>
      <c r="G40" s="62"/>
      <c r="H40" s="62"/>
      <c r="I40" s="62"/>
      <c r="J40" s="62"/>
      <c r="K40" s="62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87"/>
      <c r="D42" s="87"/>
      <c r="E42" s="87"/>
      <c r="F42" s="87"/>
      <c r="G42" s="87"/>
      <c r="H42" s="87"/>
      <c r="I42" s="87"/>
      <c r="J42" s="87"/>
      <c r="K42" s="87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8" t="s">
        <v>33</v>
      </c>
      <c r="D50" s="88"/>
      <c r="E50" s="88"/>
      <c r="F50" s="8"/>
      <c r="G50" s="88" t="s">
        <v>31</v>
      </c>
      <c r="H50" s="88"/>
      <c r="I50" s="9"/>
      <c r="J50" s="9"/>
      <c r="K50" s="9"/>
    </row>
    <row r="51" spans="3:11" ht="21" x14ac:dyDescent="0.35">
      <c r="C51" s="78" t="s">
        <v>23</v>
      </c>
      <c r="D51" s="78"/>
      <c r="E51" s="78"/>
      <c r="F51" s="8"/>
      <c r="G51" s="78" t="s">
        <v>24</v>
      </c>
      <c r="H51" s="7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40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8">
    <mergeCell ref="D23:E23"/>
    <mergeCell ref="F23:G23"/>
    <mergeCell ref="I4:K5"/>
    <mergeCell ref="C15:K15"/>
    <mergeCell ref="D20:E20"/>
    <mergeCell ref="F20:H20"/>
    <mergeCell ref="D21:E21"/>
    <mergeCell ref="D27:E27"/>
    <mergeCell ref="F27:G27"/>
    <mergeCell ref="F30:H31"/>
    <mergeCell ref="D32:E32"/>
    <mergeCell ref="F32:I32"/>
    <mergeCell ref="C39:K39"/>
    <mergeCell ref="C42:K42"/>
    <mergeCell ref="C50:E50"/>
    <mergeCell ref="G50:H50"/>
    <mergeCell ref="C51:E51"/>
    <mergeCell ref="G51:H5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55"/>
  <sheetViews>
    <sheetView zoomScale="70" zoomScaleNormal="70" workbookViewId="0">
      <selection activeCell="K22" sqref="K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87</v>
      </c>
      <c r="E16" s="49" t="s">
        <v>88</v>
      </c>
      <c r="F16" s="18"/>
      <c r="G16" s="18"/>
      <c r="H16" s="18"/>
      <c r="I16" s="18">
        <f>K34</f>
        <v>2524.33</v>
      </c>
      <c r="J16" s="18">
        <f>I16+H16+G16</f>
        <v>2524.33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4" t="s">
        <v>32</v>
      </c>
      <c r="E20" s="84"/>
      <c r="F20" s="46" t="s">
        <v>89</v>
      </c>
      <c r="G20" s="46"/>
      <c r="H20" s="46"/>
      <c r="I20" s="9"/>
      <c r="J20" s="22">
        <v>0</v>
      </c>
      <c r="K20" s="9">
        <f>H21</f>
        <v>2040.73</v>
      </c>
    </row>
    <row r="21" spans="3:11" ht="21" x14ac:dyDescent="0.35">
      <c r="C21" s="39"/>
      <c r="D21" s="8"/>
      <c r="E21" s="8"/>
      <c r="F21" s="46">
        <v>2773</v>
      </c>
      <c r="G21" s="46">
        <v>2546</v>
      </c>
      <c r="H21" s="47">
        <f>(F21-G21)*8.99</f>
        <v>2040.73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89">
        <f>F21-G21</f>
        <v>227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90</v>
      </c>
      <c r="G24" s="46"/>
      <c r="H24" s="46"/>
      <c r="I24" s="9"/>
      <c r="J24" s="22">
        <v>0</v>
      </c>
      <c r="K24" s="9">
        <f>H25</f>
        <v>483.6</v>
      </c>
    </row>
    <row r="25" spans="3:11" ht="21" x14ac:dyDescent="0.35">
      <c r="C25" s="39"/>
      <c r="D25" s="8"/>
      <c r="E25" s="8"/>
      <c r="F25" s="46">
        <v>28</v>
      </c>
      <c r="G25" s="46">
        <v>23</v>
      </c>
      <c r="H25" s="47">
        <f>(F25-G25)*96.72</f>
        <v>483.6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89">
        <f>F25-G25</f>
        <v>5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4"/>
      <c r="K31" s="64"/>
    </row>
    <row r="32" spans="3:11" ht="21" x14ac:dyDescent="0.35">
      <c r="C32" s="40"/>
      <c r="D32" s="44"/>
      <c r="E32" s="44"/>
      <c r="F32" s="66"/>
      <c r="G32" s="66"/>
      <c r="H32" s="66"/>
      <c r="I32" s="9"/>
      <c r="J32" s="9"/>
      <c r="K32" s="9"/>
    </row>
    <row r="33" spans="2:12" ht="27" customHeight="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C34" s="40"/>
      <c r="D34" s="8"/>
      <c r="E34" s="8"/>
      <c r="F34" s="8"/>
      <c r="G34" s="8"/>
      <c r="H34" s="8"/>
      <c r="I34" s="9"/>
      <c r="J34" s="22"/>
      <c r="K34" s="9">
        <f>(K20+K24+K27)-K31</f>
        <v>2524.33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2524.33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92" t="s">
        <v>17</v>
      </c>
      <c r="D38" s="92"/>
      <c r="E38" s="92"/>
      <c r="F38" s="92"/>
      <c r="G38" s="92"/>
      <c r="H38" s="92"/>
      <c r="I38" s="92"/>
      <c r="J38" s="92"/>
      <c r="K38" s="92"/>
      <c r="L38" s="3"/>
    </row>
    <row r="39" spans="2:12" s="8" customFormat="1" ht="28.5" x14ac:dyDescent="0.45">
      <c r="B39" s="3"/>
      <c r="C39" s="10" t="s">
        <v>18</v>
      </c>
      <c r="D39" s="65"/>
      <c r="E39" s="65"/>
      <c r="F39" s="65"/>
      <c r="G39" s="65"/>
      <c r="H39" s="65"/>
      <c r="I39" s="65"/>
      <c r="J39" s="65"/>
      <c r="K39" s="65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87"/>
      <c r="D41" s="87"/>
      <c r="E41" s="87"/>
      <c r="F41" s="87"/>
      <c r="G41" s="87"/>
      <c r="H41" s="87"/>
      <c r="I41" s="87"/>
      <c r="J41" s="87"/>
      <c r="K41" s="87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6" spans="2:12" ht="21" x14ac:dyDescent="0.35">
      <c r="C46" s="8" t="s">
        <v>19</v>
      </c>
      <c r="D46" s="8"/>
      <c r="E46" s="8"/>
      <c r="F46" s="8"/>
      <c r="G46" s="8" t="s">
        <v>20</v>
      </c>
      <c r="H46" s="8"/>
      <c r="I46" s="9"/>
      <c r="J46" s="9"/>
      <c r="K46" s="9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8" t="s">
        <v>33</v>
      </c>
      <c r="D49" s="88"/>
      <c r="E49" s="88"/>
      <c r="F49" s="8"/>
      <c r="G49" s="88" t="s">
        <v>31</v>
      </c>
      <c r="H49" s="88"/>
      <c r="I49" s="9"/>
      <c r="J49" s="9"/>
      <c r="K49" s="9"/>
    </row>
    <row r="50" spans="3:11" ht="21" x14ac:dyDescent="0.35">
      <c r="C50" s="78" t="s">
        <v>23</v>
      </c>
      <c r="D50" s="78"/>
      <c r="E50" s="78"/>
      <c r="F50" s="8"/>
      <c r="G50" s="78" t="s">
        <v>24</v>
      </c>
      <c r="H50" s="7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.75" thickBot="1" x14ac:dyDescent="0.4">
      <c r="C52" s="23"/>
      <c r="D52" s="23"/>
      <c r="E52" s="23"/>
      <c r="F52" s="23"/>
      <c r="G52" s="23"/>
      <c r="H52" s="23"/>
      <c r="I52" s="40"/>
      <c r="J52" s="43" t="s">
        <v>26</v>
      </c>
      <c r="K52" s="24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</sheetData>
  <mergeCells count="18">
    <mergeCell ref="C41:K41"/>
    <mergeCell ref="C49:E49"/>
    <mergeCell ref="G49:H49"/>
    <mergeCell ref="C50:E50"/>
    <mergeCell ref="G50:H50"/>
    <mergeCell ref="C38:K38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55"/>
  <sheetViews>
    <sheetView topLeftCell="A7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92</v>
      </c>
      <c r="E16" s="49" t="s">
        <v>93</v>
      </c>
      <c r="F16" s="18"/>
      <c r="G16" s="18"/>
      <c r="H16" s="18">
        <v>2524.33</v>
      </c>
      <c r="I16" s="18">
        <f>K34</f>
        <v>1857.92</v>
      </c>
      <c r="J16" s="18">
        <f>I16+H16+G16</f>
        <v>4382.25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4" t="s">
        <v>32</v>
      </c>
      <c r="E20" s="84"/>
      <c r="F20" s="46" t="s">
        <v>94</v>
      </c>
      <c r="G20" s="46"/>
      <c r="H20" s="46"/>
      <c r="I20" s="9"/>
      <c r="J20" s="22">
        <v>0</v>
      </c>
      <c r="K20" s="9">
        <f>H21</f>
        <v>1467.72</v>
      </c>
    </row>
    <row r="21" spans="3:11" ht="21" x14ac:dyDescent="0.35">
      <c r="C21" s="39"/>
      <c r="D21" s="8"/>
      <c r="E21" s="8"/>
      <c r="F21" s="46">
        <v>2935</v>
      </c>
      <c r="G21" s="46">
        <v>2773</v>
      </c>
      <c r="H21" s="47">
        <f>(F21-G21)*9.06</f>
        <v>1467.72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89">
        <f>F21-G21</f>
        <v>162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95</v>
      </c>
      <c r="G24" s="46"/>
      <c r="H24" s="46"/>
      <c r="I24" s="9"/>
      <c r="J24" s="22">
        <v>0</v>
      </c>
      <c r="K24" s="9">
        <f>H25</f>
        <v>390.2</v>
      </c>
    </row>
    <row r="25" spans="3:11" ht="21" x14ac:dyDescent="0.35">
      <c r="C25" s="39"/>
      <c r="D25" s="8"/>
      <c r="E25" s="8"/>
      <c r="F25" s="46">
        <v>32</v>
      </c>
      <c r="G25" s="46">
        <v>28</v>
      </c>
      <c r="H25" s="47">
        <f>(F25-G25)*97.55</f>
        <v>390.2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89">
        <f>F25-G25</f>
        <v>4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4"/>
      <c r="K31" s="64"/>
    </row>
    <row r="32" spans="3:11" ht="2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7" customHeight="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C34" s="40"/>
      <c r="D34" s="8"/>
      <c r="E34" s="8"/>
      <c r="F34" s="8"/>
      <c r="G34" s="8"/>
      <c r="H34" s="8"/>
      <c r="I34" s="9"/>
      <c r="J34" s="22"/>
      <c r="K34" s="9">
        <f>(K20+K24+K27)-K31</f>
        <v>1857.92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4382.25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92" t="s">
        <v>17</v>
      </c>
      <c r="D38" s="92"/>
      <c r="E38" s="92"/>
      <c r="F38" s="92"/>
      <c r="G38" s="92"/>
      <c r="H38" s="92"/>
      <c r="I38" s="92"/>
      <c r="J38" s="92"/>
      <c r="K38" s="92"/>
      <c r="L38" s="3"/>
    </row>
    <row r="39" spans="2:12" s="8" customFormat="1" ht="28.5" x14ac:dyDescent="0.45">
      <c r="B39" s="3"/>
      <c r="C39" s="10" t="s">
        <v>18</v>
      </c>
      <c r="D39" s="69"/>
      <c r="E39" s="69"/>
      <c r="F39" s="69"/>
      <c r="G39" s="69"/>
      <c r="H39" s="69"/>
      <c r="I39" s="69"/>
      <c r="J39" s="69"/>
      <c r="K39" s="69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87"/>
      <c r="D41" s="87"/>
      <c r="E41" s="87"/>
      <c r="F41" s="87"/>
      <c r="G41" s="87"/>
      <c r="H41" s="87"/>
      <c r="I41" s="87"/>
      <c r="J41" s="87"/>
      <c r="K41" s="87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6" spans="2:12" ht="21" x14ac:dyDescent="0.35">
      <c r="C46" s="8" t="s">
        <v>19</v>
      </c>
      <c r="D46" s="8"/>
      <c r="E46" s="8"/>
      <c r="F46" s="8"/>
      <c r="G46" s="8" t="s">
        <v>20</v>
      </c>
      <c r="H46" s="8"/>
      <c r="I46" s="9"/>
      <c r="J46" s="9"/>
      <c r="K46" s="9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8" t="s">
        <v>33</v>
      </c>
      <c r="D49" s="88"/>
      <c r="E49" s="88"/>
      <c r="F49" s="8"/>
      <c r="G49" s="88" t="s">
        <v>31</v>
      </c>
      <c r="H49" s="88"/>
      <c r="I49" s="9"/>
      <c r="J49" s="9"/>
      <c r="K49" s="9"/>
    </row>
    <row r="50" spans="3:11" ht="21" x14ac:dyDescent="0.35">
      <c r="C50" s="78" t="s">
        <v>23</v>
      </c>
      <c r="D50" s="78"/>
      <c r="E50" s="78"/>
      <c r="F50" s="8"/>
      <c r="G50" s="78" t="s">
        <v>24</v>
      </c>
      <c r="H50" s="7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.75" thickBot="1" x14ac:dyDescent="0.4">
      <c r="C52" s="23"/>
      <c r="D52" s="23"/>
      <c r="E52" s="23"/>
      <c r="F52" s="23"/>
      <c r="G52" s="23"/>
      <c r="H52" s="23"/>
      <c r="I52" s="40"/>
      <c r="J52" s="43" t="s">
        <v>26</v>
      </c>
      <c r="K52" s="24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</sheetData>
  <mergeCells count="18">
    <mergeCell ref="C38:K38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1:K41"/>
    <mergeCell ref="C49:E49"/>
    <mergeCell ref="G49:H49"/>
    <mergeCell ref="C50:E50"/>
    <mergeCell ref="G50:H5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DEC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2020-11-05T09:52:21Z</cp:lastPrinted>
  <dcterms:created xsi:type="dcterms:W3CDTF">2018-02-28T02:33:50Z</dcterms:created>
  <dcterms:modified xsi:type="dcterms:W3CDTF">2020-12-20T06:34:47Z</dcterms:modified>
</cp:coreProperties>
</file>