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80" yWindow="0" windowWidth="2536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" i="1" l="1"/>
  <c r="H42" i="1"/>
  <c r="L42" i="1"/>
  <c r="M42" i="1"/>
  <c r="N42" i="1"/>
  <c r="H47" i="1"/>
  <c r="H46" i="1"/>
  <c r="H44" i="1"/>
  <c r="P47" i="1"/>
  <c r="L47" i="1"/>
  <c r="M47" i="1"/>
  <c r="N47" i="1"/>
  <c r="P46" i="1"/>
  <c r="L46" i="1"/>
  <c r="M46" i="1"/>
  <c r="N46" i="1"/>
  <c r="P45" i="1"/>
  <c r="H45" i="1"/>
  <c r="L45" i="1"/>
  <c r="M45" i="1"/>
  <c r="N45" i="1"/>
  <c r="P44" i="1"/>
  <c r="L44" i="1"/>
  <c r="M44" i="1"/>
  <c r="N44" i="1"/>
  <c r="P43" i="1"/>
  <c r="H43" i="1"/>
  <c r="L43" i="1"/>
  <c r="M43" i="1"/>
  <c r="N43" i="1"/>
  <c r="H29" i="1"/>
  <c r="P41" i="1"/>
  <c r="H41" i="1"/>
  <c r="L41" i="1"/>
  <c r="M41" i="1"/>
  <c r="N41" i="1"/>
  <c r="P40" i="1"/>
  <c r="H38" i="1"/>
  <c r="H40" i="1"/>
  <c r="L40" i="1"/>
  <c r="M40" i="1"/>
  <c r="N40" i="1"/>
  <c r="P39" i="1"/>
  <c r="H39" i="1"/>
  <c r="L39" i="1"/>
  <c r="M39" i="1"/>
  <c r="N39" i="1"/>
  <c r="P38" i="1"/>
  <c r="N38" i="1"/>
  <c r="M38" i="1"/>
  <c r="L38" i="1"/>
  <c r="P37" i="1"/>
  <c r="N37" i="1"/>
  <c r="M37" i="1"/>
  <c r="L37" i="1"/>
  <c r="H37" i="1"/>
  <c r="P36" i="1"/>
  <c r="N36" i="1"/>
  <c r="M36" i="1"/>
  <c r="L36" i="1"/>
  <c r="H36" i="1"/>
  <c r="P35" i="1"/>
  <c r="N35" i="1"/>
  <c r="M35" i="1"/>
  <c r="L35" i="1"/>
  <c r="H35" i="1"/>
  <c r="P34" i="1"/>
  <c r="N34" i="1"/>
  <c r="M34" i="1"/>
  <c r="L34" i="1"/>
  <c r="H34" i="1"/>
  <c r="P33" i="1"/>
  <c r="H33" i="1"/>
  <c r="L33" i="1"/>
  <c r="M33" i="1"/>
  <c r="N33" i="1"/>
  <c r="P32" i="1"/>
  <c r="N31" i="1"/>
  <c r="N32" i="1"/>
  <c r="M31" i="1"/>
  <c r="M32" i="1"/>
  <c r="L31" i="1"/>
  <c r="L32" i="1"/>
  <c r="H31" i="1"/>
  <c r="H32" i="1"/>
  <c r="P31" i="1"/>
  <c r="P30" i="1"/>
  <c r="N30" i="1"/>
  <c r="M30" i="1"/>
  <c r="L30" i="1"/>
  <c r="P29" i="1"/>
  <c r="N29" i="1"/>
  <c r="M29" i="1"/>
  <c r="L29" i="1"/>
  <c r="P28" i="1"/>
  <c r="N28" i="1"/>
  <c r="M28" i="1"/>
  <c r="L28" i="1"/>
  <c r="H28" i="1"/>
  <c r="K4" i="1"/>
  <c r="P27" i="1"/>
  <c r="N27" i="1"/>
  <c r="M27" i="1"/>
  <c r="L27" i="1"/>
  <c r="H27" i="1"/>
  <c r="P26" i="1"/>
  <c r="N26" i="1"/>
  <c r="M26" i="1"/>
  <c r="L26" i="1"/>
  <c r="H26" i="1"/>
  <c r="P25" i="1"/>
  <c r="N25" i="1"/>
  <c r="M25" i="1"/>
  <c r="L25" i="1"/>
  <c r="H25" i="1"/>
  <c r="P24" i="1"/>
  <c r="N24" i="1"/>
  <c r="M24" i="1"/>
  <c r="L24" i="1"/>
  <c r="H24" i="1"/>
  <c r="P23" i="1"/>
  <c r="N23" i="1"/>
  <c r="M23" i="1"/>
  <c r="L23" i="1"/>
  <c r="H23" i="1"/>
  <c r="P22" i="1"/>
  <c r="N22" i="1"/>
  <c r="M22" i="1"/>
  <c r="L22" i="1"/>
  <c r="H22" i="1"/>
  <c r="P21" i="1"/>
  <c r="N21" i="1"/>
  <c r="M21" i="1"/>
  <c r="L21" i="1"/>
  <c r="H21" i="1"/>
  <c r="P20" i="1"/>
  <c r="N20" i="1"/>
  <c r="M20" i="1"/>
  <c r="L20" i="1"/>
  <c r="H19" i="1"/>
  <c r="H18" i="1"/>
  <c r="H20" i="1"/>
  <c r="P19" i="1"/>
  <c r="N19" i="1"/>
  <c r="M19" i="1"/>
  <c r="L19" i="1"/>
  <c r="P18" i="1"/>
  <c r="N18" i="1"/>
  <c r="M18" i="1"/>
  <c r="L18" i="1"/>
  <c r="P17" i="1"/>
  <c r="N17" i="1"/>
  <c r="M17" i="1"/>
  <c r="L17" i="1"/>
  <c r="H17" i="1"/>
  <c r="P16" i="1"/>
  <c r="N16" i="1"/>
  <c r="M16" i="1"/>
  <c r="L16" i="1"/>
  <c r="H16" i="1"/>
  <c r="N13" i="1"/>
  <c r="N14" i="1"/>
  <c r="N15" i="1"/>
  <c r="N12" i="1"/>
  <c r="P15" i="1"/>
  <c r="M15" i="1"/>
  <c r="L15" i="1"/>
  <c r="H15" i="1"/>
  <c r="P14" i="1"/>
  <c r="M14" i="1"/>
  <c r="L14" i="1"/>
  <c r="H14" i="1"/>
  <c r="P13" i="1"/>
  <c r="M13" i="1"/>
  <c r="L13" i="1"/>
  <c r="H13" i="1"/>
  <c r="P12" i="1"/>
  <c r="M12" i="1"/>
  <c r="L12" i="1"/>
  <c r="K3" i="1"/>
  <c r="H12" i="1"/>
</calcChain>
</file>

<file path=xl/sharedStrings.xml><?xml version="1.0" encoding="utf-8"?>
<sst xmlns="http://schemas.openxmlformats.org/spreadsheetml/2006/main" count="531" uniqueCount="279">
  <si>
    <t>1. What volume targets are you aiming for?</t>
  </si>
  <si>
    <t>Questionairre</t>
  </si>
  <si>
    <t>2. How are you measuring those targets?</t>
  </si>
  <si>
    <t>4. What pressure targets are you aiming for?</t>
  </si>
  <si>
    <t>3. Are you using ETCO2 to measure targets?</t>
  </si>
  <si>
    <t>5. Are you aiming for other targets?</t>
  </si>
  <si>
    <t>Study ID</t>
  </si>
  <si>
    <t>Sex</t>
  </si>
  <si>
    <t>Age</t>
  </si>
  <si>
    <t>Weight</t>
  </si>
  <si>
    <t>Height</t>
  </si>
  <si>
    <t>Ideal weight</t>
  </si>
  <si>
    <t>Day of admission</t>
  </si>
  <si>
    <t>Diagnosis</t>
  </si>
  <si>
    <t>measured tidal volume</t>
  </si>
  <si>
    <t>range</t>
  </si>
  <si>
    <t>average</t>
  </si>
  <si>
    <t>mode</t>
  </si>
  <si>
    <t>PEEP</t>
  </si>
  <si>
    <t>RR</t>
  </si>
  <si>
    <t>mandatory</t>
  </si>
  <si>
    <t>assist</t>
  </si>
  <si>
    <t>PSV</t>
  </si>
  <si>
    <t>ETCO2</t>
  </si>
  <si>
    <t>M</t>
  </si>
  <si>
    <t>Consultant</t>
  </si>
  <si>
    <t>Power</t>
  </si>
  <si>
    <t>GBS secondary to CMV</t>
  </si>
  <si>
    <t>M=50+(0.91*(height(cm)-152.4))</t>
  </si>
  <si>
    <t>F=45.5+(0.91*(height(cm)-152.4))</t>
  </si>
  <si>
    <t>ml</t>
  </si>
  <si>
    <t>308-775</t>
  </si>
  <si>
    <t>Psupp</t>
  </si>
  <si>
    <t>Tot</t>
  </si>
  <si>
    <t>SpO2</t>
  </si>
  <si>
    <t>FiO2</t>
  </si>
  <si>
    <t>Questions</t>
  </si>
  <si>
    <t>IBW</t>
  </si>
  <si>
    <t>414-512</t>
  </si>
  <si>
    <t>6-7.4 ml/kg</t>
  </si>
  <si>
    <t>1 and 2</t>
  </si>
  <si>
    <t>Yes</t>
  </si>
  <si>
    <t>35-45</t>
  </si>
  <si>
    <t>If high increase RR, if low decrease</t>
  </si>
  <si>
    <t>SpO2&gt;92, desynchrony - patient increased WOB, low Vt</t>
  </si>
  <si>
    <t>Van Beek</t>
  </si>
  <si>
    <t>RUL cellulitis, compartment syndrome</t>
  </si>
  <si>
    <t>483-797</t>
  </si>
  <si>
    <t>480-640</t>
  </si>
  <si>
    <t>6-8 ml/kg</t>
  </si>
  <si>
    <t>If high, decrease RR, if low increase RR</t>
  </si>
  <si>
    <t>PEEP 6-8/Psupp 6-7</t>
  </si>
  <si>
    <t>Sats, desynchrony - High Vt, High RR</t>
  </si>
  <si>
    <t>Weidmann</t>
  </si>
  <si>
    <t>F</t>
  </si>
  <si>
    <t>Disseminated melioidosis</t>
  </si>
  <si>
    <t>417-563</t>
  </si>
  <si>
    <t>5.88 ml/kg</t>
  </si>
  <si>
    <t>No pressure targets</t>
  </si>
  <si>
    <t>SpO2 &gt;92, not sure desynchrony</t>
  </si>
  <si>
    <t>Milne</t>
  </si>
  <si>
    <t>Multitrauma</t>
  </si>
  <si>
    <t>515-707</t>
  </si>
  <si>
    <t>400-500</t>
  </si>
  <si>
    <t>5-6.25 ml/kg</t>
  </si>
  <si>
    <t>&lt;45</t>
  </si>
  <si>
    <t>If high, increase RR, if low decrease RR</t>
  </si>
  <si>
    <t>Pressure peak &lt;45</t>
  </si>
  <si>
    <t>SpO2 &gt;94, pO2 &gt;80, desynchrony - regular waveforms/volumes</t>
  </si>
  <si>
    <t>Kennedy</t>
  </si>
  <si>
    <t>Sepsis unknown origin</t>
  </si>
  <si>
    <t>393-622</t>
  </si>
  <si>
    <t>AC/PCV</t>
  </si>
  <si>
    <t>5 ml/kg of actual body wieght</t>
  </si>
  <si>
    <t>No</t>
  </si>
  <si>
    <t>Look at trend ETCO2 then do ABG for PaCO2</t>
  </si>
  <si>
    <t>Pressure peak &lt;30</t>
  </si>
  <si>
    <t xml:space="preserve">SpO2 &gt;94, PO2 &gt;70, </t>
  </si>
  <si>
    <t>Fat embolus post NOF repair</t>
  </si>
  <si>
    <t>335-547</t>
  </si>
  <si>
    <t>346-462</t>
  </si>
  <si>
    <t>6-8ml/kg</t>
  </si>
  <si>
    <t>28-34</t>
  </si>
  <si>
    <t>Pressure peak &lt; 30</t>
  </si>
  <si>
    <t>FiO2 and SpO2, desynchrony if high Vt or high RR</t>
  </si>
  <si>
    <t>MVA Multitrauma</t>
  </si>
  <si>
    <t>470-915</t>
  </si>
  <si>
    <t>486-648</t>
  </si>
  <si>
    <t>If high, increase RR or sedation, or switch to assist control</t>
  </si>
  <si>
    <t>Pressure peak &lt;30, increase pressure to maintain volumes</t>
  </si>
  <si>
    <t>SpO2 &gt;92%, desynchrony - waveforms, tidal volumes, comfort of patient</t>
  </si>
  <si>
    <t>PD Peritonitis</t>
  </si>
  <si>
    <t>259-404</t>
  </si>
  <si>
    <t>340-454</t>
  </si>
  <si>
    <t>30-40</t>
  </si>
  <si>
    <t>Pressure peak&lt;30</t>
  </si>
  <si>
    <t>Minute volume -from volume targets, SpO2 &gt;94, desynchrony alarms, patient comfortable, breathing pattern.</t>
  </si>
  <si>
    <t>708-1129</t>
  </si>
  <si>
    <t>485-647</t>
  </si>
  <si>
    <t>35-40</t>
  </si>
  <si>
    <t>If &gt;45, ask doctors. If high increase RR or Psupp, if low not do anything due to mode</t>
  </si>
  <si>
    <t>Pressure peak &lt;15-16</t>
  </si>
  <si>
    <t>SpO2 &gt;94%, pO2 70-80, desynchrony - patient, chest movements, tachypnoea, high or low volumes, high pressures</t>
  </si>
  <si>
    <t>PD peritonitis and haemorrhagic shock</t>
  </si>
  <si>
    <t>340-459</t>
  </si>
  <si>
    <t>340-452</t>
  </si>
  <si>
    <t>If high, increase RR, increase support, decrease sedation, if low, decrease RR</t>
  </si>
  <si>
    <t>Pressure peak &lt;40, concerned if 30-40</t>
  </si>
  <si>
    <t>SpO2 &gt;94% - increase FiO2 or suction, desynchrony - waveform, asymmetrical</t>
  </si>
  <si>
    <t>Intracranial haemorrhage</t>
  </si>
  <si>
    <t>Ideal tidal volume (5,6,8 ml/kg)</t>
  </si>
  <si>
    <t>432-447</t>
  </si>
  <si>
    <t>409-545</t>
  </si>
  <si>
    <t>If high, increase RR, increase Psupp, if low, decrease RR, decrease Psupp</t>
  </si>
  <si>
    <t>SpO2 &gt;93%, desynchrony lose volumes, decrease oxgyen decrease sats</t>
  </si>
  <si>
    <t>Agarwal</t>
  </si>
  <si>
    <t>639-690</t>
  </si>
  <si>
    <t>SIMV</t>
  </si>
  <si>
    <t>6 ml/kg</t>
  </si>
  <si>
    <t>If high or low, check volumes, RR</t>
  </si>
  <si>
    <t>Pressure peak &lt;33</t>
  </si>
  <si>
    <t>Minute volume &gt;7, SpO2 &gt;94%, desychrony - patient comfortable, waveforms, increased volumes</t>
  </si>
  <si>
    <t>Status Epilepticus</t>
  </si>
  <si>
    <t>229-398</t>
  </si>
  <si>
    <t>280-340</t>
  </si>
  <si>
    <t>7-8 ml/kg</t>
  </si>
  <si>
    <t>41 *note this is actual weight, not IBW</t>
  </si>
  <si>
    <t>No, not targeting</t>
  </si>
  <si>
    <t>No pressure targets. Pressure peak &lt;25</t>
  </si>
  <si>
    <t>SpO2 &gt;94-95%, desynchrony - breath stacking, increased frequency, low tidal volumes</t>
  </si>
  <si>
    <t>Campbell</t>
  </si>
  <si>
    <t>Anterior STEMI</t>
  </si>
  <si>
    <t>361-365</t>
  </si>
  <si>
    <t>If high, increase RR, if low, decrease RR</t>
  </si>
  <si>
    <t>PO2 80-100, SpO2 &gt;92%, desynchrony - fighting, cough, patient uncomfortable, pressures go up</t>
  </si>
  <si>
    <t>CAP b/g End stage COPD</t>
  </si>
  <si>
    <t>405-462</t>
  </si>
  <si>
    <t>404-538</t>
  </si>
  <si>
    <t>45-55</t>
  </si>
  <si>
    <t>If out of range, ?check patient, do paCO2, notify TL/MO</t>
  </si>
  <si>
    <t>Minute volume is correct MV 4-10, SpO2 &gt;88%, desynchrony waveforms, patient distressed/uncomfortable, I:E ratio 1:4 (Aim 1:2)</t>
  </si>
  <si>
    <t>CAP/IECOPD</t>
  </si>
  <si>
    <t>260-314</t>
  </si>
  <si>
    <t>336-538</t>
  </si>
  <si>
    <t>Using IBW?</t>
  </si>
  <si>
    <t>5-8 ml/kg</t>
  </si>
  <si>
    <t>around 50</t>
  </si>
  <si>
    <t>No pressure targets, Pressure peak &lt;25</t>
  </si>
  <si>
    <t>SpO2 &gt;92%, patient 45 degree elevation, ETT, I:E 2:3, desynchrony - tidal volumes high or low, Patient symmetrical, AE equal, comfortable, consistent volumes, minute volume within range</t>
  </si>
  <si>
    <t>Chapman</t>
  </si>
  <si>
    <t>Intra-abdominal collection post cholecystectomy</t>
  </si>
  <si>
    <t>364-520</t>
  </si>
  <si>
    <t>342-456</t>
  </si>
  <si>
    <t>Target pressures to tidal volumes with Ppeak &lt;20</t>
  </si>
  <si>
    <t>PaO2, SpO2, desynchrony tidal volumes increase or decrease, patietn comfortable/desaturating</t>
  </si>
  <si>
    <t>Multilobar Pneumonia</t>
  </si>
  <si>
    <t>533-666</t>
  </si>
  <si>
    <t>Yes but IBW wrong</t>
  </si>
  <si>
    <t>290-380</t>
  </si>
  <si>
    <t>4-6 ml//kg</t>
  </si>
  <si>
    <t>If high increase RR, if low decrease RR or increase volume</t>
  </si>
  <si>
    <t>Sats, PaO2, dsyncrhony waveforms, patient comfortable</t>
  </si>
  <si>
    <t>Sepsis unknown origin ?Resp, ?CNS</t>
  </si>
  <si>
    <t>28-31</t>
  </si>
  <si>
    <t>25-33</t>
  </si>
  <si>
    <t>Not specifically, change pressures for adequate volumes</t>
  </si>
  <si>
    <t>Sats 92-96%, paO2 unsure targets, desynchrony - waveforms consistent, patient comfortable</t>
  </si>
  <si>
    <t>Aspiration Pneumonia</t>
  </si>
  <si>
    <t>205-441</t>
  </si>
  <si>
    <t>Yes but said '400-600', written down 396-528</t>
  </si>
  <si>
    <t>400-600</t>
  </si>
  <si>
    <t>If low, check leak/cuff pressure, if high, suction</t>
  </si>
  <si>
    <t>Peak pressure 20-30</t>
  </si>
  <si>
    <t>SpO2 &gt;92, paco2, comfortable, target volumes big or small, increase RR</t>
  </si>
  <si>
    <t>Spain</t>
  </si>
  <si>
    <t>Out of hospital PEA arrest</t>
  </si>
  <si>
    <t>367-427</t>
  </si>
  <si>
    <t>Bilevel</t>
  </si>
  <si>
    <t>18 and 7</t>
  </si>
  <si>
    <t>295-392</t>
  </si>
  <si>
    <t>written down 6-8 but said 4-8 ml/kg</t>
  </si>
  <si>
    <t>If low, decrease exp time, if high, increase exp time</t>
  </si>
  <si>
    <t>Total pressure max &lt;30</t>
  </si>
  <si>
    <t>SpO2 and pO2, titrating FiO2, desynchrony desaturating, inadequate volumes, poorly timed, increase RR, decrease RR, apnoeas</t>
  </si>
  <si>
    <t>Penetrating abdomen wound trauma/sepsis and MOF</t>
  </si>
  <si>
    <t>293-644</t>
  </si>
  <si>
    <t>250-400</t>
  </si>
  <si>
    <t>4-6 ml/kg (usually 6-8 ml/kg as bilat AKA and very short)</t>
  </si>
  <si>
    <t>30-50</t>
  </si>
  <si>
    <t>If high, increase RR, if low increase RR</t>
  </si>
  <si>
    <t>SpO2, desynchrony waveform, increase pressure peak or high or low volumes</t>
  </si>
  <si>
    <t>Airway/tongue swelling</t>
  </si>
  <si>
    <t>473-477</t>
  </si>
  <si>
    <t>If high, increase RR, if low decrease RR and decrease volumes</t>
  </si>
  <si>
    <t>PIP 25-30</t>
  </si>
  <si>
    <t>SpO2 &gt;94, PaO2 &gt;70, desyncrhony - fighting ventilator, waveform, patient coughing/trying to breath</t>
  </si>
  <si>
    <t>STEMI and cardiogenic shock</t>
  </si>
  <si>
    <t>379-381</t>
  </si>
  <si>
    <t>340-455</t>
  </si>
  <si>
    <t>SpO2&gt;92,paO2&gt;70, desynchrony - alarms, patietn coughing, settled</t>
  </si>
  <si>
    <t>PEA arrest</t>
  </si>
  <si>
    <t>311-417</t>
  </si>
  <si>
    <t>If high, increase RR, volumes, inspiratory time, if low decrease RR</t>
  </si>
  <si>
    <t>Pressure peak &lt;20</t>
  </si>
  <si>
    <t>Minute volume &lt;3L min, SpO2 &gt;100, desynchrony - ventilator alarms, small or large volumes, decrease minute volume</t>
  </si>
  <si>
    <t>Stephens</t>
  </si>
  <si>
    <t>Anterior STEMI with cardiogenic shock</t>
  </si>
  <si>
    <t>318-423</t>
  </si>
  <si>
    <t>260-430</t>
  </si>
  <si>
    <t>6-10 ml/kg</t>
  </si>
  <si>
    <t>20-50</t>
  </si>
  <si>
    <t>Pressure peak 22</t>
  </si>
  <si>
    <t>SpO2 &gt;92,, desynchrony apnoea, setting,I:E ratio waveform, increase decrease sedation</t>
  </si>
  <si>
    <t>Ludwigs Angina</t>
  </si>
  <si>
    <t>441-483</t>
  </si>
  <si>
    <t>SIMV/PC</t>
  </si>
  <si>
    <t>366-488</t>
  </si>
  <si>
    <t>If high increase RR, increase inspiratory time, if low, decrease inspiratory time, decrease RR</t>
  </si>
  <si>
    <t>Pressure peak 15-20</t>
  </si>
  <si>
    <t>Minute volume 4.39-5.85, SpO2 &gt;95, desynchrony apnoea, fighting the ventilator</t>
  </si>
  <si>
    <t>Collins</t>
  </si>
  <si>
    <t>Psychosis and strep pneum CAP</t>
  </si>
  <si>
    <t>452-457</t>
  </si>
  <si>
    <t>360-480</t>
  </si>
  <si>
    <t>If high, increase RR, increase Psupp to increase volumes, if low, decrease RR</t>
  </si>
  <si>
    <t>Pins 25-30</t>
  </si>
  <si>
    <t>Minute volume, SpO2 &gt;95%, desynchrony 'breathing up', increase RR, pt uncomfortable</t>
  </si>
  <si>
    <t>Hypoxic arrest likely exac COPD</t>
  </si>
  <si>
    <t>534-539</t>
  </si>
  <si>
    <t>530-550</t>
  </si>
  <si>
    <t>If high, increase I:E ratio to 1:4, increase PEEP to 7, decrease RR, if low decrease volume targets</t>
  </si>
  <si>
    <t>Pressure peak &lt;35</t>
  </si>
  <si>
    <t>PaO2 &gt;80, SpO2 &gt;90, desynchrony - fight ventilator, breath stacking, increase sedation</t>
  </si>
  <si>
    <t>Angioedema unknown aetiology</t>
  </si>
  <si>
    <t>372-423</t>
  </si>
  <si>
    <t>SIMV/PCV</t>
  </si>
  <si>
    <t>346-356</t>
  </si>
  <si>
    <t>If high, increase RR, decrease I:E ratio, if low decrease RR, increase I:E ratio</t>
  </si>
  <si>
    <t>Pressure to volumes, pressure peak &lt;35</t>
  </si>
  <si>
    <t>SpO2 &gt;94, PaO2 &gt;80, desynchrony - decrease volumes, increase peak pressures, pt fighting ventilator</t>
  </si>
  <si>
    <t>9 week</t>
  </si>
  <si>
    <t>Meeting targets?</t>
  </si>
  <si>
    <t>No (under)</t>
  </si>
  <si>
    <t>No (over)</t>
  </si>
  <si>
    <t>Says yes but isn't</t>
  </si>
  <si>
    <t>10 ml/kg</t>
  </si>
  <si>
    <t>OOHCA VF arrest inferior STEMI</t>
  </si>
  <si>
    <t>401-406</t>
  </si>
  <si>
    <t>324-432</t>
  </si>
  <si>
    <t>If high increase RR, if low decrease RR</t>
  </si>
  <si>
    <t>SpO2 88-92%, paO2 &gt;90, desynchrony - pattern on screen, high or low volumes, oxygenation, fighting ventilator, tachy/uncomortable</t>
  </si>
  <si>
    <t>Multitrauma pedestrian vs icecream truck</t>
  </si>
  <si>
    <t>553-730</t>
  </si>
  <si>
    <t>SpO2 &gt;94%, oxygenation. Desynchrony - irregular breathing, alarms, labile volumes, pressures</t>
  </si>
  <si>
    <t>Janssen</t>
  </si>
  <si>
    <t>T2RF CAP/IECOPD</t>
  </si>
  <si>
    <t>488-553</t>
  </si>
  <si>
    <t>297-396</t>
  </si>
  <si>
    <t>If high, do gas</t>
  </si>
  <si>
    <t>If out of range, increase pressures</t>
  </si>
  <si>
    <t>Pressure peak &lt;40</t>
  </si>
  <si>
    <t>SpO2 &gt;87, desynchrony - pt uncomfortable, fighting ventilator</t>
  </si>
  <si>
    <t>Post inhospital cardiac arrest and CAP sepsis</t>
  </si>
  <si>
    <t>425-706</t>
  </si>
  <si>
    <t>444-592</t>
  </si>
  <si>
    <t>If high, increase RR, if low, sedate, change mode, decrease RR</t>
  </si>
  <si>
    <t>SpO2 &gt;90, pO2 &gt;60, desynchrony - waveform cutting off breaths, patient comfotable, short sharp shallow breaths</t>
  </si>
  <si>
    <t>SDH/Sepsis unclear source/Multiorgan failure/AKI secondary to rhabdo</t>
  </si>
  <si>
    <t>436-476</t>
  </si>
  <si>
    <t>460-608</t>
  </si>
  <si>
    <t>If high, increase RR, volume targets, if low, decrease RR</t>
  </si>
  <si>
    <t>SpO2 &gt;92, pO2 &gt;70, pCO2 35-45, desynchrony - pt effort/comfortable, tidal volumes up or down, set rate and breathing on top</t>
  </si>
  <si>
    <t>Post op hemicolectomy, complicated by anastomotic leak, relook in OT, returned to ICU, later intubated for respiratory failure</t>
  </si>
  <si>
    <t>554-584</t>
  </si>
  <si>
    <t>420-560</t>
  </si>
  <si>
    <t>6-8 ml/kg plus 10% for error</t>
  </si>
  <si>
    <t>Yes but different IBW (higher)</t>
  </si>
  <si>
    <t>SpO2 &gt;95, paO2 &gt;70, if desynchronous change ventilator mode</t>
  </si>
  <si>
    <t>Yes but IBW wrong and measured volumes are different to questionaire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</si>
</sst>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7"/>
  <sheetViews>
    <sheetView tabSelected="1" topLeftCell="P5" workbookViewId="0">
      <selection activeCell="AD45" sqref="AD45"/>
    </sheetView>
  </sheetViews>
  <sheetFormatPr baseColWidth="10" defaultRowHeight="15" x14ac:dyDescent="0"/>
  <sheetData>
    <row r="2" spans="2:39">
      <c r="B2" t="s">
        <v>1</v>
      </c>
    </row>
    <row r="3" spans="2:39">
      <c r="B3" t="s">
        <v>0</v>
      </c>
      <c r="K3">
        <f>45.5+(0.91*(161-152.4))</f>
        <v>53.325999999999993</v>
      </c>
    </row>
    <row r="4" spans="2:39">
      <c r="B4" t="s">
        <v>2</v>
      </c>
      <c r="H4" t="s">
        <v>28</v>
      </c>
      <c r="K4">
        <f>53.4/1.61/1.61</f>
        <v>20.601057057983869</v>
      </c>
      <c r="AC4">
        <f>426/64</f>
        <v>6.65625</v>
      </c>
    </row>
    <row r="5" spans="2:39">
      <c r="B5" t="s">
        <v>4</v>
      </c>
      <c r="H5" t="s">
        <v>29</v>
      </c>
    </row>
    <row r="6" spans="2:39">
      <c r="B6" t="s">
        <v>3</v>
      </c>
    </row>
    <row r="7" spans="2:39">
      <c r="B7" t="s">
        <v>5</v>
      </c>
    </row>
    <row r="9" spans="2:39">
      <c r="B9" t="s">
        <v>6</v>
      </c>
      <c r="C9" t="s">
        <v>25</v>
      </c>
      <c r="D9" t="s">
        <v>8</v>
      </c>
      <c r="E9" t="s">
        <v>7</v>
      </c>
      <c r="F9" t="s">
        <v>10</v>
      </c>
      <c r="G9" t="s">
        <v>9</v>
      </c>
      <c r="H9" t="s">
        <v>11</v>
      </c>
      <c r="I9" t="s">
        <v>12</v>
      </c>
      <c r="J9" t="s">
        <v>13</v>
      </c>
      <c r="L9" t="s">
        <v>110</v>
      </c>
      <c r="O9" t="s">
        <v>14</v>
      </c>
      <c r="Q9" t="s">
        <v>17</v>
      </c>
      <c r="R9" t="s">
        <v>18</v>
      </c>
      <c r="S9" t="s">
        <v>32</v>
      </c>
      <c r="T9" t="s">
        <v>19</v>
      </c>
      <c r="W9" t="s">
        <v>23</v>
      </c>
      <c r="X9" t="s">
        <v>34</v>
      </c>
      <c r="Y9" t="s">
        <v>35</v>
      </c>
      <c r="AA9" t="s">
        <v>36</v>
      </c>
      <c r="AB9" t="s">
        <v>36</v>
      </c>
    </row>
    <row r="10" spans="2:39">
      <c r="L10" t="s">
        <v>30</v>
      </c>
      <c r="O10" t="s">
        <v>15</v>
      </c>
      <c r="P10" t="s">
        <v>16</v>
      </c>
      <c r="T10" t="s">
        <v>20</v>
      </c>
      <c r="U10" t="s">
        <v>21</v>
      </c>
      <c r="V10" t="s">
        <v>33</v>
      </c>
      <c r="AA10" t="s">
        <v>40</v>
      </c>
      <c r="AB10" t="s">
        <v>40</v>
      </c>
      <c r="AF10">
        <v>3</v>
      </c>
      <c r="AK10">
        <v>4</v>
      </c>
      <c r="AM10">
        <v>5</v>
      </c>
    </row>
    <row r="11" spans="2:39">
      <c r="AA11" t="s">
        <v>144</v>
      </c>
      <c r="AB11" t="s">
        <v>37</v>
      </c>
      <c r="AC11" t="s">
        <v>241</v>
      </c>
    </row>
    <row r="12" spans="2:39">
      <c r="B12">
        <v>1</v>
      </c>
      <c r="C12" t="s">
        <v>26</v>
      </c>
      <c r="D12">
        <v>34</v>
      </c>
      <c r="E12" t="s">
        <v>24</v>
      </c>
      <c r="F12">
        <v>173</v>
      </c>
      <c r="G12">
        <v>91.5</v>
      </c>
      <c r="H12">
        <f>50+(0.91*(F12-152.4))</f>
        <v>68.745999999999995</v>
      </c>
      <c r="I12">
        <v>76</v>
      </c>
      <c r="J12" t="s">
        <v>27</v>
      </c>
      <c r="L12">
        <f t="shared" ref="L12:L47" si="0">5*H12</f>
        <v>343.72999999999996</v>
      </c>
      <c r="M12">
        <f t="shared" ref="M12:M47" si="1">6*H12</f>
        <v>412.476</v>
      </c>
      <c r="N12">
        <f>H12*8</f>
        <v>549.96799999999996</v>
      </c>
      <c r="O12" t="s">
        <v>31</v>
      </c>
      <c r="P12">
        <f>AVERAGE(308,318,485,408,499,606,687,775)</f>
        <v>510.75</v>
      </c>
      <c r="Q12" t="s">
        <v>22</v>
      </c>
      <c r="R12">
        <v>8</v>
      </c>
      <c r="S12">
        <v>8</v>
      </c>
      <c r="T12">
        <v>0</v>
      </c>
      <c r="U12">
        <v>20</v>
      </c>
      <c r="V12">
        <v>20</v>
      </c>
      <c r="W12">
        <v>30</v>
      </c>
      <c r="X12">
        <v>99</v>
      </c>
      <c r="Y12">
        <v>0.25</v>
      </c>
      <c r="AA12" t="s">
        <v>41</v>
      </c>
      <c r="AB12">
        <v>69.099999999999994</v>
      </c>
      <c r="AC12" t="s">
        <v>41</v>
      </c>
      <c r="AD12" t="s">
        <v>38</v>
      </c>
      <c r="AE12" t="s">
        <v>39</v>
      </c>
      <c r="AF12" t="s">
        <v>41</v>
      </c>
      <c r="AG12" t="s">
        <v>42</v>
      </c>
      <c r="AH12" t="s">
        <v>43</v>
      </c>
      <c r="AM12" t="s">
        <v>44</v>
      </c>
    </row>
    <row r="13" spans="2:39">
      <c r="B13">
        <v>2</v>
      </c>
      <c r="C13" t="s">
        <v>45</v>
      </c>
      <c r="D13">
        <v>62</v>
      </c>
      <c r="E13" t="s">
        <v>24</v>
      </c>
      <c r="F13">
        <v>185</v>
      </c>
      <c r="G13">
        <v>119.5</v>
      </c>
      <c r="H13">
        <f>50+(0.91*(F13-152.4))</f>
        <v>79.665999999999997</v>
      </c>
      <c r="I13">
        <v>3</v>
      </c>
      <c r="J13" t="s">
        <v>46</v>
      </c>
      <c r="L13">
        <f t="shared" si="0"/>
        <v>398.33</v>
      </c>
      <c r="M13">
        <f t="shared" si="1"/>
        <v>477.99599999999998</v>
      </c>
      <c r="N13">
        <f t="shared" ref="N13:N47" si="2">H13*8</f>
        <v>637.32799999999997</v>
      </c>
      <c r="O13" t="s">
        <v>47</v>
      </c>
      <c r="P13">
        <f>AVERAGE(483,527,640,648,498,558,797)</f>
        <v>593</v>
      </c>
      <c r="Q13" t="s">
        <v>22</v>
      </c>
      <c r="R13">
        <v>8</v>
      </c>
      <c r="S13">
        <v>8</v>
      </c>
      <c r="T13">
        <v>0</v>
      </c>
      <c r="U13">
        <v>13</v>
      </c>
      <c r="V13">
        <v>13</v>
      </c>
      <c r="W13">
        <v>43</v>
      </c>
      <c r="X13">
        <v>97</v>
      </c>
      <c r="Y13">
        <v>0.25</v>
      </c>
      <c r="AA13" t="s">
        <v>41</v>
      </c>
      <c r="AB13">
        <v>80</v>
      </c>
      <c r="AC13" t="s">
        <v>41</v>
      </c>
      <c r="AD13" t="s">
        <v>48</v>
      </c>
      <c r="AE13" t="s">
        <v>49</v>
      </c>
      <c r="AF13" t="s">
        <v>41</v>
      </c>
      <c r="AG13" t="s">
        <v>42</v>
      </c>
      <c r="AH13" t="s">
        <v>50</v>
      </c>
      <c r="AK13" t="s">
        <v>51</v>
      </c>
      <c r="AM13" t="s">
        <v>52</v>
      </c>
    </row>
    <row r="14" spans="2:39">
      <c r="B14">
        <v>3</v>
      </c>
      <c r="C14" t="s">
        <v>53</v>
      </c>
      <c r="D14">
        <v>32</v>
      </c>
      <c r="E14" t="s">
        <v>54</v>
      </c>
      <c r="F14">
        <v>160</v>
      </c>
      <c r="G14">
        <v>58.1</v>
      </c>
      <c r="H14">
        <f>45.5+(0.91*(F14-152.4))</f>
        <v>52.415999999999997</v>
      </c>
      <c r="I14">
        <v>20</v>
      </c>
      <c r="J14" t="s">
        <v>55</v>
      </c>
      <c r="L14">
        <f t="shared" si="0"/>
        <v>262.08</v>
      </c>
      <c r="M14">
        <f t="shared" si="1"/>
        <v>314.49599999999998</v>
      </c>
      <c r="N14">
        <f t="shared" si="2"/>
        <v>419.32799999999997</v>
      </c>
      <c r="O14" t="s">
        <v>56</v>
      </c>
      <c r="P14">
        <f>AVERAGE(498,507,443,550,563,435,417)</f>
        <v>487.57142857142856</v>
      </c>
      <c r="Q14" t="s">
        <v>22</v>
      </c>
      <c r="R14">
        <v>5</v>
      </c>
      <c r="S14">
        <v>7</v>
      </c>
      <c r="T14">
        <v>0</v>
      </c>
      <c r="U14">
        <v>12</v>
      </c>
      <c r="V14">
        <v>12</v>
      </c>
      <c r="W14">
        <v>37</v>
      </c>
      <c r="X14">
        <v>100</v>
      </c>
      <c r="Y14">
        <v>0.21</v>
      </c>
      <c r="AA14" t="s">
        <v>41</v>
      </c>
      <c r="AB14">
        <v>52</v>
      </c>
      <c r="AC14" t="s">
        <v>243</v>
      </c>
      <c r="AD14">
        <v>300</v>
      </c>
      <c r="AE14" t="s">
        <v>57</v>
      </c>
      <c r="AF14" t="s">
        <v>41</v>
      </c>
      <c r="AG14" t="s">
        <v>42</v>
      </c>
      <c r="AK14" t="s">
        <v>58</v>
      </c>
      <c r="AM14" t="s">
        <v>59</v>
      </c>
    </row>
    <row r="15" spans="2:39">
      <c r="B15">
        <v>4</v>
      </c>
      <c r="C15" t="s">
        <v>60</v>
      </c>
      <c r="D15">
        <v>45</v>
      </c>
      <c r="E15" t="s">
        <v>24</v>
      </c>
      <c r="F15">
        <v>186</v>
      </c>
      <c r="G15">
        <v>93</v>
      </c>
      <c r="H15">
        <f>50+(0.91*(F15-152.4))</f>
        <v>80.575999999999993</v>
      </c>
      <c r="I15">
        <v>1</v>
      </c>
      <c r="J15" t="s">
        <v>61</v>
      </c>
      <c r="L15">
        <f t="shared" si="0"/>
        <v>402.88</v>
      </c>
      <c r="M15">
        <f t="shared" si="1"/>
        <v>483.45599999999996</v>
      </c>
      <c r="N15">
        <f t="shared" si="2"/>
        <v>644.60799999999995</v>
      </c>
      <c r="O15" t="s">
        <v>62</v>
      </c>
      <c r="P15">
        <f>AVERAGE(515,517,707,537,689,687,515,621,643,565,572,687)</f>
        <v>604.58333333333337</v>
      </c>
      <c r="Q15" t="s">
        <v>72</v>
      </c>
      <c r="R15">
        <v>6</v>
      </c>
      <c r="S15">
        <v>10</v>
      </c>
      <c r="T15">
        <v>15</v>
      </c>
      <c r="U15">
        <v>5</v>
      </c>
      <c r="V15">
        <v>20</v>
      </c>
      <c r="W15">
        <v>32</v>
      </c>
      <c r="X15">
        <v>99</v>
      </c>
      <c r="Y15">
        <v>0.4</v>
      </c>
      <c r="AA15" t="s">
        <v>41</v>
      </c>
      <c r="AB15">
        <v>80</v>
      </c>
      <c r="AC15" t="s">
        <v>41</v>
      </c>
      <c r="AD15" t="s">
        <v>63</v>
      </c>
      <c r="AE15" t="s">
        <v>64</v>
      </c>
      <c r="AF15" t="s">
        <v>41</v>
      </c>
      <c r="AG15" t="s">
        <v>65</v>
      </c>
      <c r="AH15" t="s">
        <v>66</v>
      </c>
      <c r="AK15" t="s">
        <v>67</v>
      </c>
      <c r="AM15" t="s">
        <v>68</v>
      </c>
    </row>
    <row r="16" spans="2:39">
      <c r="B16">
        <v>5</v>
      </c>
      <c r="C16" t="s">
        <v>69</v>
      </c>
      <c r="D16">
        <v>43</v>
      </c>
      <c r="E16" t="s">
        <v>54</v>
      </c>
      <c r="F16">
        <v>170</v>
      </c>
      <c r="G16">
        <v>72</v>
      </c>
      <c r="H16">
        <f>45.5+(0.91*(F16-152.4))</f>
        <v>61.515999999999991</v>
      </c>
      <c r="I16">
        <v>1</v>
      </c>
      <c r="J16" t="s">
        <v>70</v>
      </c>
      <c r="L16">
        <f t="shared" si="0"/>
        <v>307.57999999999993</v>
      </c>
      <c r="M16">
        <f t="shared" si="1"/>
        <v>369.09599999999995</v>
      </c>
      <c r="N16">
        <f t="shared" si="2"/>
        <v>492.12799999999993</v>
      </c>
      <c r="O16" t="s">
        <v>71</v>
      </c>
      <c r="P16">
        <f>AVERAGE(415, 419, 393, 500, 622, 417, 432, 422, 419, 464)</f>
        <v>450.3</v>
      </c>
      <c r="Q16" t="s">
        <v>72</v>
      </c>
      <c r="R16">
        <v>5</v>
      </c>
      <c r="S16">
        <v>10</v>
      </c>
      <c r="T16">
        <v>16</v>
      </c>
      <c r="U16">
        <v>0</v>
      </c>
      <c r="V16">
        <v>16</v>
      </c>
      <c r="W16">
        <v>41</v>
      </c>
      <c r="X16">
        <v>100</v>
      </c>
      <c r="Y16">
        <v>0.3</v>
      </c>
      <c r="AA16" t="s">
        <v>74</v>
      </c>
      <c r="AB16">
        <v>72</v>
      </c>
      <c r="AC16" t="s">
        <v>41</v>
      </c>
      <c r="AD16">
        <v>432</v>
      </c>
      <c r="AE16" t="s">
        <v>73</v>
      </c>
      <c r="AF16" t="s">
        <v>74</v>
      </c>
      <c r="AG16" t="s">
        <v>75</v>
      </c>
      <c r="AK16" t="s">
        <v>76</v>
      </c>
      <c r="AM16" t="s">
        <v>77</v>
      </c>
    </row>
    <row r="17" spans="2:39">
      <c r="B17">
        <v>6</v>
      </c>
      <c r="C17" t="s">
        <v>69</v>
      </c>
      <c r="D17">
        <v>65</v>
      </c>
      <c r="E17" t="s">
        <v>54</v>
      </c>
      <c r="F17">
        <v>166</v>
      </c>
      <c r="G17">
        <v>68.099999999999994</v>
      </c>
      <c r="H17">
        <f>45.5+(0.91*(F17-152.4))</f>
        <v>57.875999999999998</v>
      </c>
      <c r="I17">
        <v>2</v>
      </c>
      <c r="J17" t="s">
        <v>78</v>
      </c>
      <c r="L17">
        <f t="shared" si="0"/>
        <v>289.38</v>
      </c>
      <c r="M17">
        <f t="shared" si="1"/>
        <v>347.25599999999997</v>
      </c>
      <c r="N17">
        <f t="shared" si="2"/>
        <v>463.00799999999998</v>
      </c>
      <c r="O17" t="s">
        <v>79</v>
      </c>
      <c r="P17">
        <f>AVERAGE(335, 547, 436, 381, 397, 438, 398, 465, 374, 393)</f>
        <v>416.4</v>
      </c>
      <c r="Q17" t="s">
        <v>72</v>
      </c>
      <c r="R17">
        <v>5</v>
      </c>
      <c r="S17">
        <v>10</v>
      </c>
      <c r="T17">
        <v>14</v>
      </c>
      <c r="U17">
        <v>1</v>
      </c>
      <c r="V17">
        <v>15</v>
      </c>
      <c r="W17">
        <v>37</v>
      </c>
      <c r="X17">
        <v>100</v>
      </c>
      <c r="Y17">
        <v>0.35</v>
      </c>
      <c r="AA17" t="s">
        <v>41</v>
      </c>
      <c r="AB17">
        <v>58</v>
      </c>
      <c r="AC17" t="s">
        <v>41</v>
      </c>
      <c r="AD17" t="s">
        <v>80</v>
      </c>
      <c r="AE17" t="s">
        <v>81</v>
      </c>
      <c r="AF17" t="s">
        <v>41</v>
      </c>
      <c r="AG17" t="s">
        <v>82</v>
      </c>
      <c r="AH17" t="s">
        <v>50</v>
      </c>
      <c r="AK17" t="s">
        <v>83</v>
      </c>
      <c r="AM17" t="s">
        <v>84</v>
      </c>
    </row>
    <row r="18" spans="2:39">
      <c r="B18">
        <v>7</v>
      </c>
      <c r="C18" t="s">
        <v>69</v>
      </c>
      <c r="D18">
        <v>45</v>
      </c>
      <c r="E18" t="s">
        <v>24</v>
      </c>
      <c r="F18">
        <v>186</v>
      </c>
      <c r="G18">
        <v>98.8</v>
      </c>
      <c r="H18">
        <f>50+(0.91*(F18-152.4))</f>
        <v>80.575999999999993</v>
      </c>
      <c r="I18">
        <v>7</v>
      </c>
      <c r="J18" t="s">
        <v>85</v>
      </c>
      <c r="L18">
        <f t="shared" si="0"/>
        <v>402.88</v>
      </c>
      <c r="M18">
        <f t="shared" si="1"/>
        <v>483.45599999999996</v>
      </c>
      <c r="N18">
        <f t="shared" si="2"/>
        <v>644.60799999999995</v>
      </c>
      <c r="O18" t="s">
        <v>86</v>
      </c>
      <c r="P18">
        <f>AVERAGE(854, 677, 724, 497, 915, 788, 470, 687, 753, 760)</f>
        <v>712.5</v>
      </c>
      <c r="Q18" t="s">
        <v>22</v>
      </c>
      <c r="R18">
        <v>5</v>
      </c>
      <c r="S18">
        <v>5</v>
      </c>
      <c r="T18">
        <v>0</v>
      </c>
      <c r="U18">
        <v>15</v>
      </c>
      <c r="V18">
        <v>15</v>
      </c>
      <c r="W18">
        <v>35</v>
      </c>
      <c r="X18">
        <v>97</v>
      </c>
      <c r="Y18">
        <v>0.25</v>
      </c>
      <c r="AA18" t="s">
        <v>41</v>
      </c>
      <c r="AB18">
        <v>81</v>
      </c>
      <c r="AC18" t="s">
        <v>243</v>
      </c>
      <c r="AD18" t="s">
        <v>87</v>
      </c>
      <c r="AE18" t="s">
        <v>49</v>
      </c>
      <c r="AF18" t="s">
        <v>41</v>
      </c>
      <c r="AG18" t="s">
        <v>42</v>
      </c>
      <c r="AH18" t="s">
        <v>88</v>
      </c>
      <c r="AK18" t="s">
        <v>89</v>
      </c>
      <c r="AM18" t="s">
        <v>90</v>
      </c>
    </row>
    <row r="19" spans="2:39">
      <c r="B19">
        <v>8</v>
      </c>
      <c r="C19" t="s">
        <v>69</v>
      </c>
      <c r="D19">
        <v>65</v>
      </c>
      <c r="E19" t="s">
        <v>54</v>
      </c>
      <c r="F19">
        <v>165</v>
      </c>
      <c r="G19">
        <v>65.900000000000006</v>
      </c>
      <c r="H19">
        <f>45.5+(0.91*(F19-152.4))</f>
        <v>56.965999999999994</v>
      </c>
      <c r="I19">
        <v>2</v>
      </c>
      <c r="J19" t="s">
        <v>91</v>
      </c>
      <c r="L19">
        <f t="shared" si="0"/>
        <v>284.83</v>
      </c>
      <c r="M19">
        <f t="shared" si="1"/>
        <v>341.79599999999994</v>
      </c>
      <c r="N19">
        <f t="shared" si="2"/>
        <v>455.72799999999995</v>
      </c>
      <c r="O19" t="s">
        <v>92</v>
      </c>
      <c r="P19">
        <f>AVERAGE(352, 350, 355, 343, 259, 385, 394, 396, 404, 402)</f>
        <v>364</v>
      </c>
      <c r="Q19" t="s">
        <v>72</v>
      </c>
      <c r="R19">
        <v>6</v>
      </c>
      <c r="S19">
        <v>17</v>
      </c>
      <c r="T19">
        <v>13</v>
      </c>
      <c r="U19">
        <v>0</v>
      </c>
      <c r="V19">
        <v>13</v>
      </c>
      <c r="W19">
        <v>38</v>
      </c>
      <c r="X19">
        <v>100</v>
      </c>
      <c r="Y19">
        <v>0.25</v>
      </c>
      <c r="AA19" t="s">
        <v>41</v>
      </c>
      <c r="AB19">
        <v>61</v>
      </c>
      <c r="AC19" t="s">
        <v>41</v>
      </c>
      <c r="AD19" t="s">
        <v>93</v>
      </c>
      <c r="AE19" t="s">
        <v>49</v>
      </c>
      <c r="AF19" t="s">
        <v>41</v>
      </c>
      <c r="AG19" t="s">
        <v>94</v>
      </c>
      <c r="AH19" t="s">
        <v>66</v>
      </c>
      <c r="AK19" t="s">
        <v>95</v>
      </c>
      <c r="AM19" t="s">
        <v>96</v>
      </c>
    </row>
    <row r="20" spans="2:39">
      <c r="B20">
        <v>9</v>
      </c>
      <c r="C20" t="s">
        <v>69</v>
      </c>
      <c r="D20">
        <v>45</v>
      </c>
      <c r="E20" t="s">
        <v>24</v>
      </c>
      <c r="F20">
        <v>186</v>
      </c>
      <c r="G20">
        <v>90</v>
      </c>
      <c r="H20">
        <f>50+(0.91*(F20-152.4))</f>
        <v>80.575999999999993</v>
      </c>
      <c r="I20">
        <v>10</v>
      </c>
      <c r="J20" t="s">
        <v>61</v>
      </c>
      <c r="L20">
        <f t="shared" si="0"/>
        <v>402.88</v>
      </c>
      <c r="M20">
        <f t="shared" si="1"/>
        <v>483.45599999999996</v>
      </c>
      <c r="N20">
        <f t="shared" si="2"/>
        <v>644.60799999999995</v>
      </c>
      <c r="O20" t="s">
        <v>97</v>
      </c>
      <c r="P20">
        <f>AVERAGE(708,834,1106,1103,564,1113,1129,962,963,938)</f>
        <v>942</v>
      </c>
      <c r="Q20" t="s">
        <v>22</v>
      </c>
      <c r="R20">
        <v>5</v>
      </c>
      <c r="S20">
        <v>5</v>
      </c>
      <c r="T20">
        <v>0</v>
      </c>
      <c r="U20">
        <v>8</v>
      </c>
      <c r="V20">
        <v>8</v>
      </c>
      <c r="W20">
        <v>36</v>
      </c>
      <c r="X20">
        <v>97</v>
      </c>
      <c r="Y20">
        <v>0.25</v>
      </c>
      <c r="AA20" t="s">
        <v>41</v>
      </c>
      <c r="AB20">
        <v>81</v>
      </c>
      <c r="AC20" t="s">
        <v>243</v>
      </c>
      <c r="AD20" t="s">
        <v>98</v>
      </c>
      <c r="AE20" t="s">
        <v>49</v>
      </c>
      <c r="AF20" t="s">
        <v>41</v>
      </c>
      <c r="AG20" t="s">
        <v>99</v>
      </c>
      <c r="AH20" t="s">
        <v>100</v>
      </c>
      <c r="AK20" t="s">
        <v>101</v>
      </c>
      <c r="AM20" t="s">
        <v>102</v>
      </c>
    </row>
    <row r="21" spans="2:39">
      <c r="B21">
        <v>10</v>
      </c>
      <c r="C21" t="s">
        <v>69</v>
      </c>
      <c r="D21">
        <v>64</v>
      </c>
      <c r="E21" t="s">
        <v>54</v>
      </c>
      <c r="F21">
        <v>165</v>
      </c>
      <c r="G21">
        <v>64.2</v>
      </c>
      <c r="H21">
        <f>45.5+(0.91*(F21-152.4))</f>
        <v>56.965999999999994</v>
      </c>
      <c r="I21">
        <v>4</v>
      </c>
      <c r="J21" t="s">
        <v>103</v>
      </c>
      <c r="L21">
        <f t="shared" si="0"/>
        <v>284.83</v>
      </c>
      <c r="M21">
        <f t="shared" si="1"/>
        <v>341.79599999999994</v>
      </c>
      <c r="N21">
        <f t="shared" si="2"/>
        <v>455.72799999999995</v>
      </c>
      <c r="O21" t="s">
        <v>104</v>
      </c>
      <c r="P21">
        <f>AVERAGE(340,423,458,459,427,431,450,427,453,440)</f>
        <v>430.8</v>
      </c>
      <c r="Q21" t="s">
        <v>22</v>
      </c>
      <c r="R21">
        <v>7.5</v>
      </c>
      <c r="S21">
        <v>17</v>
      </c>
      <c r="T21">
        <v>0</v>
      </c>
      <c r="U21">
        <v>13</v>
      </c>
      <c r="V21">
        <v>13</v>
      </c>
      <c r="W21">
        <v>35</v>
      </c>
      <c r="X21">
        <v>100</v>
      </c>
      <c r="Y21">
        <v>0.21</v>
      </c>
      <c r="AA21" t="s">
        <v>41</v>
      </c>
      <c r="AB21">
        <v>57</v>
      </c>
      <c r="AC21" t="s">
        <v>41</v>
      </c>
      <c r="AD21" t="s">
        <v>105</v>
      </c>
      <c r="AE21" t="s">
        <v>49</v>
      </c>
      <c r="AF21" t="s">
        <v>41</v>
      </c>
      <c r="AG21" t="s">
        <v>42</v>
      </c>
      <c r="AH21" t="s">
        <v>106</v>
      </c>
      <c r="AK21" t="s">
        <v>107</v>
      </c>
      <c r="AM21" t="s">
        <v>108</v>
      </c>
    </row>
    <row r="22" spans="2:39">
      <c r="B22">
        <v>11</v>
      </c>
      <c r="C22" t="s">
        <v>69</v>
      </c>
      <c r="D22">
        <v>90</v>
      </c>
      <c r="E22" t="s">
        <v>24</v>
      </c>
      <c r="F22">
        <v>172</v>
      </c>
      <c r="G22">
        <v>81.599999999999994</v>
      </c>
      <c r="H22">
        <f>50+(0.91*(F22-152.4))</f>
        <v>67.835999999999999</v>
      </c>
      <c r="I22">
        <v>1</v>
      </c>
      <c r="J22" t="s">
        <v>109</v>
      </c>
      <c r="L22">
        <f t="shared" si="0"/>
        <v>339.18</v>
      </c>
      <c r="M22">
        <f t="shared" si="1"/>
        <v>407.01599999999996</v>
      </c>
      <c r="N22">
        <f t="shared" si="2"/>
        <v>542.68799999999999</v>
      </c>
      <c r="O22" t="s">
        <v>111</v>
      </c>
      <c r="P22">
        <f>AVERAGE(436,441,443,447,446,442,438,435,433,432)</f>
        <v>439.3</v>
      </c>
      <c r="Q22" t="s">
        <v>72</v>
      </c>
      <c r="R22">
        <v>10</v>
      </c>
      <c r="S22">
        <v>14</v>
      </c>
      <c r="T22">
        <v>13</v>
      </c>
      <c r="U22">
        <v>3</v>
      </c>
      <c r="V22">
        <v>16</v>
      </c>
      <c r="W22">
        <v>33</v>
      </c>
      <c r="X22">
        <v>96</v>
      </c>
      <c r="Y22">
        <v>0.35</v>
      </c>
      <c r="AA22" t="s">
        <v>41</v>
      </c>
      <c r="AB22">
        <v>68</v>
      </c>
      <c r="AC22" t="s">
        <v>41</v>
      </c>
      <c r="AD22" t="s">
        <v>112</v>
      </c>
      <c r="AE22" t="s">
        <v>49</v>
      </c>
      <c r="AF22" t="s">
        <v>41</v>
      </c>
      <c r="AG22" t="s">
        <v>42</v>
      </c>
      <c r="AH22" t="s">
        <v>113</v>
      </c>
      <c r="AK22" t="s">
        <v>76</v>
      </c>
      <c r="AM22" t="s">
        <v>114</v>
      </c>
    </row>
    <row r="23" spans="2:39">
      <c r="B23">
        <v>12</v>
      </c>
      <c r="C23" t="s">
        <v>115</v>
      </c>
      <c r="D23">
        <v>45</v>
      </c>
      <c r="E23" t="s">
        <v>24</v>
      </c>
      <c r="F23">
        <v>186</v>
      </c>
      <c r="G23">
        <v>86.4</v>
      </c>
      <c r="H23">
        <f>50+(0.91*(F23-152.4))</f>
        <v>80.575999999999993</v>
      </c>
      <c r="I23">
        <v>11</v>
      </c>
      <c r="J23" t="s">
        <v>85</v>
      </c>
      <c r="L23">
        <f t="shared" si="0"/>
        <v>402.88</v>
      </c>
      <c r="M23">
        <f t="shared" si="1"/>
        <v>483.45599999999996</v>
      </c>
      <c r="N23">
        <f t="shared" si="2"/>
        <v>644.60799999999995</v>
      </c>
      <c r="O23" t="s">
        <v>116</v>
      </c>
      <c r="P23">
        <f>AVERAGE(690,639,656,658,660,665,673,675,667,671)</f>
        <v>665.4</v>
      </c>
      <c r="Q23" t="s">
        <v>117</v>
      </c>
      <c r="R23">
        <v>8</v>
      </c>
      <c r="S23">
        <v>4</v>
      </c>
      <c r="T23">
        <v>12</v>
      </c>
      <c r="U23">
        <v>0</v>
      </c>
      <c r="V23">
        <v>12</v>
      </c>
      <c r="W23">
        <v>34</v>
      </c>
      <c r="X23">
        <v>100</v>
      </c>
      <c r="Y23">
        <v>0.28000000000000003</v>
      </c>
      <c r="AA23" t="s">
        <v>41</v>
      </c>
      <c r="AB23">
        <v>81</v>
      </c>
      <c r="AC23" t="s">
        <v>243</v>
      </c>
      <c r="AD23">
        <v>500</v>
      </c>
      <c r="AE23" t="s">
        <v>118</v>
      </c>
      <c r="AF23" t="s">
        <v>41</v>
      </c>
      <c r="AG23" t="s">
        <v>42</v>
      </c>
      <c r="AH23" t="s">
        <v>119</v>
      </c>
      <c r="AK23" t="s">
        <v>120</v>
      </c>
      <c r="AM23" t="s">
        <v>121</v>
      </c>
    </row>
    <row r="24" spans="2:39">
      <c r="B24">
        <v>13</v>
      </c>
      <c r="C24" t="s">
        <v>60</v>
      </c>
      <c r="D24">
        <v>50</v>
      </c>
      <c r="E24" t="s">
        <v>54</v>
      </c>
      <c r="F24">
        <v>160</v>
      </c>
      <c r="G24">
        <v>41</v>
      </c>
      <c r="H24">
        <f>45.5+(0.91*(F24-152.4))</f>
        <v>52.415999999999997</v>
      </c>
      <c r="I24">
        <v>2</v>
      </c>
      <c r="J24" t="s">
        <v>122</v>
      </c>
      <c r="L24">
        <f t="shared" si="0"/>
        <v>262.08</v>
      </c>
      <c r="M24">
        <f t="shared" si="1"/>
        <v>314.49599999999998</v>
      </c>
      <c r="N24">
        <f t="shared" si="2"/>
        <v>419.32799999999997</v>
      </c>
      <c r="O24" t="s">
        <v>123</v>
      </c>
      <c r="P24">
        <f>AVERAGE(346,342,339,337,339,229,242,332,398,309)</f>
        <v>321.3</v>
      </c>
      <c r="Q24" t="s">
        <v>72</v>
      </c>
      <c r="R24">
        <v>5</v>
      </c>
      <c r="S24">
        <v>11</v>
      </c>
      <c r="T24">
        <v>12</v>
      </c>
      <c r="U24">
        <v>4</v>
      </c>
      <c r="V24">
        <v>16</v>
      </c>
      <c r="W24">
        <v>32</v>
      </c>
      <c r="X24">
        <v>100</v>
      </c>
      <c r="Y24">
        <v>0.28000000000000003</v>
      </c>
      <c r="AA24" t="s">
        <v>74</v>
      </c>
      <c r="AB24" t="s">
        <v>126</v>
      </c>
      <c r="AC24" t="s">
        <v>41</v>
      </c>
      <c r="AD24" t="s">
        <v>124</v>
      </c>
      <c r="AE24" t="s">
        <v>125</v>
      </c>
      <c r="AF24" t="s">
        <v>127</v>
      </c>
      <c r="AK24" t="s">
        <v>128</v>
      </c>
      <c r="AM24" t="s">
        <v>129</v>
      </c>
    </row>
    <row r="25" spans="2:39">
      <c r="B25">
        <v>14</v>
      </c>
      <c r="C25" t="s">
        <v>130</v>
      </c>
      <c r="D25">
        <v>52</v>
      </c>
      <c r="E25" t="s">
        <v>54</v>
      </c>
      <c r="F25">
        <v>164</v>
      </c>
      <c r="G25">
        <v>65</v>
      </c>
      <c r="H25">
        <f>45.5+(0.91*(F25-152.4))</f>
        <v>56.055999999999997</v>
      </c>
      <c r="I25">
        <v>2</v>
      </c>
      <c r="J25" t="s">
        <v>131</v>
      </c>
      <c r="L25">
        <f t="shared" si="0"/>
        <v>280.27999999999997</v>
      </c>
      <c r="M25">
        <f t="shared" si="1"/>
        <v>336.33600000000001</v>
      </c>
      <c r="N25">
        <f t="shared" si="2"/>
        <v>448.44799999999998</v>
      </c>
      <c r="O25" t="s">
        <v>132</v>
      </c>
      <c r="P25">
        <f>AVERAGE(364,365,365,361,364,365,364,364,362,361)</f>
        <v>363.5</v>
      </c>
      <c r="Q25" t="s">
        <v>72</v>
      </c>
      <c r="R25">
        <v>10</v>
      </c>
      <c r="S25">
        <v>12</v>
      </c>
      <c r="T25">
        <v>15</v>
      </c>
      <c r="U25">
        <v>0</v>
      </c>
      <c r="V25">
        <v>15</v>
      </c>
      <c r="W25">
        <v>33</v>
      </c>
      <c r="X25">
        <v>100</v>
      </c>
      <c r="Y25">
        <v>0.25</v>
      </c>
      <c r="AA25" t="s">
        <v>41</v>
      </c>
      <c r="AB25">
        <v>56</v>
      </c>
      <c r="AC25" t="s">
        <v>41</v>
      </c>
      <c r="AD25">
        <v>350</v>
      </c>
      <c r="AE25" t="s">
        <v>118</v>
      </c>
      <c r="AF25" t="s">
        <v>41</v>
      </c>
      <c r="AG25" t="s">
        <v>42</v>
      </c>
      <c r="AH25" t="s">
        <v>133</v>
      </c>
      <c r="AK25" t="s">
        <v>83</v>
      </c>
      <c r="AM25" t="s">
        <v>134</v>
      </c>
    </row>
    <row r="26" spans="2:39">
      <c r="B26">
        <v>15</v>
      </c>
      <c r="C26" t="s">
        <v>130</v>
      </c>
      <c r="D26">
        <v>43</v>
      </c>
      <c r="E26" t="s">
        <v>24</v>
      </c>
      <c r="F26">
        <v>171</v>
      </c>
      <c r="G26">
        <v>57.4</v>
      </c>
      <c r="H26">
        <f>50+(0.91*(F26-152.4))</f>
        <v>66.925999999999988</v>
      </c>
      <c r="I26">
        <v>6</v>
      </c>
      <c r="J26" t="s">
        <v>135</v>
      </c>
      <c r="L26">
        <f t="shared" si="0"/>
        <v>334.62999999999994</v>
      </c>
      <c r="M26">
        <f t="shared" si="1"/>
        <v>401.55599999999993</v>
      </c>
      <c r="N26">
        <f t="shared" si="2"/>
        <v>535.4079999999999</v>
      </c>
      <c r="O26" t="s">
        <v>136</v>
      </c>
      <c r="P26">
        <f>AVERAGE(415,413,410,442,418,414,406,405,422,462)</f>
        <v>420.7</v>
      </c>
      <c r="Q26" t="s">
        <v>22</v>
      </c>
      <c r="R26">
        <v>8</v>
      </c>
      <c r="S26">
        <v>12</v>
      </c>
      <c r="T26">
        <v>0</v>
      </c>
      <c r="U26">
        <v>13</v>
      </c>
      <c r="V26">
        <v>13</v>
      </c>
      <c r="W26">
        <v>47</v>
      </c>
      <c r="X26">
        <v>100</v>
      </c>
      <c r="Y26">
        <v>0.3</v>
      </c>
      <c r="AA26" t="s">
        <v>41</v>
      </c>
      <c r="AB26">
        <v>67</v>
      </c>
      <c r="AC26" t="s">
        <v>41</v>
      </c>
      <c r="AD26" t="s">
        <v>137</v>
      </c>
      <c r="AE26" t="s">
        <v>49</v>
      </c>
      <c r="AF26" t="s">
        <v>41</v>
      </c>
      <c r="AG26" t="s">
        <v>138</v>
      </c>
      <c r="AH26" t="s">
        <v>139</v>
      </c>
      <c r="AK26" t="s">
        <v>76</v>
      </c>
      <c r="AM26" t="s">
        <v>140</v>
      </c>
    </row>
    <row r="27" spans="2:39">
      <c r="B27">
        <v>16</v>
      </c>
      <c r="C27" t="s">
        <v>130</v>
      </c>
      <c r="D27">
        <v>43</v>
      </c>
      <c r="E27" t="s">
        <v>24</v>
      </c>
      <c r="F27">
        <v>171</v>
      </c>
      <c r="G27">
        <v>53.2</v>
      </c>
      <c r="H27">
        <f>50+(0.91*(F27-152.4))</f>
        <v>66.925999999999988</v>
      </c>
      <c r="I27">
        <v>9</v>
      </c>
      <c r="J27" t="s">
        <v>141</v>
      </c>
      <c r="L27">
        <f t="shared" si="0"/>
        <v>334.62999999999994</v>
      </c>
      <c r="M27">
        <f t="shared" si="1"/>
        <v>401.55599999999993</v>
      </c>
      <c r="N27">
        <f t="shared" si="2"/>
        <v>535.4079999999999</v>
      </c>
      <c r="O27" t="s">
        <v>142</v>
      </c>
      <c r="P27">
        <f>AVERAGE(291,278,292,314,297,260,274,283,291,300)</f>
        <v>288</v>
      </c>
      <c r="Q27" t="s">
        <v>22</v>
      </c>
      <c r="R27">
        <v>5</v>
      </c>
      <c r="S27">
        <v>5</v>
      </c>
      <c r="T27">
        <v>0</v>
      </c>
      <c r="U27">
        <v>17</v>
      </c>
      <c r="V27">
        <v>17</v>
      </c>
      <c r="W27">
        <v>49</v>
      </c>
      <c r="X27">
        <v>95</v>
      </c>
      <c r="Y27">
        <v>0.25</v>
      </c>
      <c r="AA27" t="s">
        <v>41</v>
      </c>
      <c r="AB27">
        <v>67</v>
      </c>
      <c r="AC27" t="s">
        <v>242</v>
      </c>
      <c r="AD27" t="s">
        <v>143</v>
      </c>
      <c r="AE27" t="s">
        <v>145</v>
      </c>
      <c r="AF27" t="s">
        <v>41</v>
      </c>
      <c r="AG27" t="s">
        <v>146</v>
      </c>
      <c r="AH27" t="s">
        <v>66</v>
      </c>
      <c r="AK27" t="s">
        <v>147</v>
      </c>
      <c r="AM27" t="s">
        <v>148</v>
      </c>
    </row>
    <row r="28" spans="2:39">
      <c r="B28">
        <v>17</v>
      </c>
      <c r="C28" t="s">
        <v>149</v>
      </c>
      <c r="D28">
        <v>40</v>
      </c>
      <c r="E28" t="s">
        <v>54</v>
      </c>
      <c r="F28">
        <v>165</v>
      </c>
      <c r="G28">
        <v>74</v>
      </c>
      <c r="H28">
        <f>45.5+(0.91*(F28-152.4))</f>
        <v>56.965999999999994</v>
      </c>
      <c r="I28">
        <v>2</v>
      </c>
      <c r="J28" t="s">
        <v>150</v>
      </c>
      <c r="L28">
        <f t="shared" si="0"/>
        <v>284.83</v>
      </c>
      <c r="M28">
        <f t="shared" si="1"/>
        <v>341.79599999999994</v>
      </c>
      <c r="N28">
        <f t="shared" si="2"/>
        <v>455.72799999999995</v>
      </c>
      <c r="O28" t="s">
        <v>151</v>
      </c>
      <c r="P28">
        <f>AVERAGE(520,431,413,473,364,447,458,515,507,547)</f>
        <v>467.5</v>
      </c>
      <c r="Q28" t="s">
        <v>22</v>
      </c>
      <c r="R28">
        <v>7</v>
      </c>
      <c r="S28">
        <v>15</v>
      </c>
      <c r="T28">
        <v>0</v>
      </c>
      <c r="U28">
        <v>15</v>
      </c>
      <c r="V28">
        <v>15</v>
      </c>
      <c r="W28">
        <v>40</v>
      </c>
      <c r="X28">
        <v>100</v>
      </c>
      <c r="Y28">
        <v>0.3</v>
      </c>
      <c r="AA28" t="s">
        <v>41</v>
      </c>
      <c r="AB28">
        <v>57</v>
      </c>
      <c r="AC28" t="s">
        <v>243</v>
      </c>
      <c r="AD28" t="s">
        <v>152</v>
      </c>
      <c r="AE28" t="s">
        <v>49</v>
      </c>
      <c r="AF28" t="s">
        <v>41</v>
      </c>
      <c r="AG28" t="s">
        <v>42</v>
      </c>
      <c r="AH28" t="s">
        <v>66</v>
      </c>
      <c r="AK28" t="s">
        <v>153</v>
      </c>
      <c r="AM28" t="s">
        <v>154</v>
      </c>
    </row>
    <row r="29" spans="2:39">
      <c r="B29">
        <v>18</v>
      </c>
      <c r="C29" t="s">
        <v>149</v>
      </c>
      <c r="D29">
        <v>39</v>
      </c>
      <c r="E29" t="s">
        <v>24</v>
      </c>
      <c r="F29">
        <v>155</v>
      </c>
      <c r="G29">
        <v>54.4</v>
      </c>
      <c r="H29">
        <f>50+(0.91*(F29-152.4))</f>
        <v>52.365999999999993</v>
      </c>
      <c r="I29">
        <v>3</v>
      </c>
      <c r="J29" t="s">
        <v>155</v>
      </c>
      <c r="L29">
        <f t="shared" si="0"/>
        <v>261.83</v>
      </c>
      <c r="M29">
        <f t="shared" si="1"/>
        <v>314.19599999999997</v>
      </c>
      <c r="N29">
        <f t="shared" si="2"/>
        <v>418.92799999999994</v>
      </c>
      <c r="O29" t="s">
        <v>156</v>
      </c>
      <c r="P29">
        <f>AVERAGE(533,604,577,663,600,588,603,613,666,653)</f>
        <v>610</v>
      </c>
      <c r="Q29" t="s">
        <v>22</v>
      </c>
      <c r="R29">
        <v>7</v>
      </c>
      <c r="S29">
        <v>6</v>
      </c>
      <c r="T29">
        <v>0</v>
      </c>
      <c r="U29">
        <v>11</v>
      </c>
      <c r="V29">
        <v>11</v>
      </c>
      <c r="W29">
        <v>37</v>
      </c>
      <c r="X29">
        <v>94</v>
      </c>
      <c r="Y29">
        <v>0.35</v>
      </c>
      <c r="AA29" t="s">
        <v>157</v>
      </c>
      <c r="AB29">
        <v>68.2</v>
      </c>
      <c r="AC29" t="s">
        <v>243</v>
      </c>
      <c r="AD29" t="s">
        <v>158</v>
      </c>
      <c r="AE29" t="s">
        <v>159</v>
      </c>
      <c r="AF29" t="s">
        <v>41</v>
      </c>
      <c r="AG29" t="s">
        <v>42</v>
      </c>
      <c r="AH29" t="s">
        <v>160</v>
      </c>
      <c r="AK29" t="s">
        <v>76</v>
      </c>
      <c r="AM29" t="s">
        <v>161</v>
      </c>
    </row>
    <row r="30" spans="2:39">
      <c r="B30">
        <v>19</v>
      </c>
      <c r="C30" t="s">
        <v>149</v>
      </c>
      <c r="D30" t="s">
        <v>240</v>
      </c>
      <c r="E30" t="s">
        <v>24</v>
      </c>
      <c r="G30">
        <v>4.2</v>
      </c>
      <c r="H30">
        <v>4.2</v>
      </c>
      <c r="I30">
        <v>1</v>
      </c>
      <c r="J30" t="s">
        <v>162</v>
      </c>
      <c r="L30">
        <f t="shared" si="0"/>
        <v>21</v>
      </c>
      <c r="M30">
        <f t="shared" si="1"/>
        <v>25.200000000000003</v>
      </c>
      <c r="N30">
        <f t="shared" si="2"/>
        <v>33.6</v>
      </c>
      <c r="O30" t="s">
        <v>163</v>
      </c>
      <c r="P30">
        <f>AVERAGE(28,27,29,27,28,31,31,28)</f>
        <v>28.625</v>
      </c>
      <c r="Q30" t="s">
        <v>72</v>
      </c>
      <c r="R30">
        <v>8</v>
      </c>
      <c r="S30">
        <v>15</v>
      </c>
      <c r="T30">
        <v>50</v>
      </c>
      <c r="U30">
        <v>0</v>
      </c>
      <c r="V30">
        <v>50</v>
      </c>
      <c r="W30">
        <v>42</v>
      </c>
      <c r="X30">
        <v>100</v>
      </c>
      <c r="Y30">
        <v>0.55000000000000004</v>
      </c>
      <c r="AA30" t="s">
        <v>41</v>
      </c>
      <c r="AB30">
        <v>4.2</v>
      </c>
      <c r="AC30" t="s">
        <v>41</v>
      </c>
      <c r="AD30" t="s">
        <v>164</v>
      </c>
      <c r="AE30" t="s">
        <v>49</v>
      </c>
      <c r="AF30" t="s">
        <v>41</v>
      </c>
      <c r="AG30" t="s">
        <v>42</v>
      </c>
      <c r="AH30" t="s">
        <v>66</v>
      </c>
      <c r="AK30" t="s">
        <v>165</v>
      </c>
      <c r="AM30" t="s">
        <v>166</v>
      </c>
    </row>
    <row r="31" spans="2:39">
      <c r="B31">
        <v>20</v>
      </c>
      <c r="C31" t="s">
        <v>149</v>
      </c>
      <c r="D31">
        <v>44</v>
      </c>
      <c r="F31">
        <v>170</v>
      </c>
      <c r="G31">
        <v>91.2</v>
      </c>
      <c r="H31">
        <f>45.5+(0.91*(F31-152.4))</f>
        <v>61.515999999999991</v>
      </c>
      <c r="J31" t="s">
        <v>167</v>
      </c>
      <c r="L31">
        <f t="shared" si="0"/>
        <v>307.57999999999993</v>
      </c>
      <c r="M31">
        <f t="shared" si="1"/>
        <v>369.09599999999995</v>
      </c>
      <c r="N31">
        <f t="shared" si="2"/>
        <v>492.12799999999993</v>
      </c>
      <c r="O31" t="s">
        <v>168</v>
      </c>
      <c r="P31">
        <f>AVERAGE(397,348,251,352,365,205,441,436,303,383)</f>
        <v>348.1</v>
      </c>
      <c r="Q31" t="s">
        <v>22</v>
      </c>
      <c r="R31">
        <v>5</v>
      </c>
      <c r="S31">
        <v>30</v>
      </c>
      <c r="T31">
        <v>0</v>
      </c>
      <c r="U31">
        <v>23</v>
      </c>
      <c r="V31">
        <v>23</v>
      </c>
      <c r="W31">
        <v>43</v>
      </c>
      <c r="X31">
        <v>93</v>
      </c>
      <c r="Y31">
        <v>0.25</v>
      </c>
      <c r="AA31" t="s">
        <v>169</v>
      </c>
      <c r="AB31">
        <v>66</v>
      </c>
      <c r="AC31" t="s">
        <v>41</v>
      </c>
      <c r="AD31" t="s">
        <v>170</v>
      </c>
      <c r="AE31" t="s">
        <v>49</v>
      </c>
      <c r="AF31" t="s">
        <v>41</v>
      </c>
      <c r="AG31" t="s">
        <v>42</v>
      </c>
      <c r="AH31" t="s">
        <v>171</v>
      </c>
      <c r="AK31" t="s">
        <v>172</v>
      </c>
      <c r="AM31" t="s">
        <v>173</v>
      </c>
    </row>
    <row r="32" spans="2:39">
      <c r="B32">
        <v>21</v>
      </c>
      <c r="C32" t="s">
        <v>174</v>
      </c>
      <c r="D32">
        <v>52</v>
      </c>
      <c r="E32" t="s">
        <v>54</v>
      </c>
      <c r="F32">
        <v>156</v>
      </c>
      <c r="G32">
        <v>51</v>
      </c>
      <c r="H32">
        <f t="shared" ref="H30:H33" si="3">45.5+(0.91*(F32-152.4))</f>
        <v>48.775999999999996</v>
      </c>
      <c r="I32">
        <v>4</v>
      </c>
      <c r="J32" t="s">
        <v>175</v>
      </c>
      <c r="L32">
        <f t="shared" si="0"/>
        <v>243.88</v>
      </c>
      <c r="M32">
        <f t="shared" si="1"/>
        <v>292.65599999999995</v>
      </c>
      <c r="N32">
        <f t="shared" si="2"/>
        <v>390.20799999999997</v>
      </c>
      <c r="O32" t="s">
        <v>176</v>
      </c>
      <c r="P32">
        <f>AVERAGE(427,386,393,405,422,411,432,419,367)</f>
        <v>406.88888888888891</v>
      </c>
      <c r="Q32" t="s">
        <v>177</v>
      </c>
      <c r="R32" s="1" t="s">
        <v>178</v>
      </c>
      <c r="S32">
        <v>12</v>
      </c>
      <c r="T32">
        <v>15</v>
      </c>
      <c r="U32">
        <v>0</v>
      </c>
      <c r="V32">
        <v>15</v>
      </c>
      <c r="W32">
        <v>41</v>
      </c>
      <c r="X32">
        <v>98</v>
      </c>
      <c r="Y32">
        <v>0.35</v>
      </c>
      <c r="AA32" t="s">
        <v>41</v>
      </c>
      <c r="AB32">
        <v>49</v>
      </c>
      <c r="AC32" t="s">
        <v>243</v>
      </c>
      <c r="AD32" t="s">
        <v>179</v>
      </c>
      <c r="AE32" t="s">
        <v>180</v>
      </c>
      <c r="AF32" t="s">
        <v>41</v>
      </c>
      <c r="AG32" t="s">
        <v>42</v>
      </c>
      <c r="AH32" t="s">
        <v>181</v>
      </c>
      <c r="AK32" t="s">
        <v>182</v>
      </c>
      <c r="AM32" t="s">
        <v>183</v>
      </c>
    </row>
    <row r="33" spans="2:39">
      <c r="B33">
        <v>22</v>
      </c>
      <c r="C33" t="s">
        <v>174</v>
      </c>
      <c r="D33">
        <v>20</v>
      </c>
      <c r="E33" t="s">
        <v>24</v>
      </c>
      <c r="F33">
        <v>168</v>
      </c>
      <c r="G33">
        <v>51</v>
      </c>
      <c r="H33">
        <f>50+(0.91*(F33-152.4))</f>
        <v>64.195999999999998</v>
      </c>
      <c r="I33">
        <v>17</v>
      </c>
      <c r="J33" t="s">
        <v>184</v>
      </c>
      <c r="L33">
        <f t="shared" si="0"/>
        <v>320.98</v>
      </c>
      <c r="M33">
        <f t="shared" si="1"/>
        <v>385.17599999999999</v>
      </c>
      <c r="N33">
        <f t="shared" si="2"/>
        <v>513.56799999999998</v>
      </c>
      <c r="O33" t="s">
        <v>185</v>
      </c>
      <c r="P33">
        <f>AVERAGE(504,411,323,320,644,478,293,331,525,432)</f>
        <v>426.1</v>
      </c>
      <c r="Q33" t="s">
        <v>72</v>
      </c>
      <c r="R33">
        <v>8</v>
      </c>
      <c r="S33">
        <v>15</v>
      </c>
      <c r="T33">
        <v>18</v>
      </c>
      <c r="U33">
        <v>2</v>
      </c>
      <c r="V33">
        <v>20</v>
      </c>
      <c r="W33">
        <v>42</v>
      </c>
      <c r="X33">
        <v>100</v>
      </c>
      <c r="Y33">
        <v>0.25</v>
      </c>
      <c r="AA33" t="s">
        <v>41</v>
      </c>
      <c r="AB33">
        <v>65</v>
      </c>
      <c r="AC33" t="s">
        <v>41</v>
      </c>
      <c r="AD33" t="s">
        <v>186</v>
      </c>
      <c r="AE33" t="s">
        <v>187</v>
      </c>
      <c r="AG33" t="s">
        <v>188</v>
      </c>
      <c r="AH33" t="s">
        <v>189</v>
      </c>
      <c r="AK33" t="s">
        <v>76</v>
      </c>
      <c r="AM33" t="s">
        <v>190</v>
      </c>
    </row>
    <row r="34" spans="2:39">
      <c r="B34">
        <v>23</v>
      </c>
      <c r="C34" t="s">
        <v>53</v>
      </c>
      <c r="D34">
        <v>32</v>
      </c>
      <c r="E34" t="s">
        <v>24</v>
      </c>
      <c r="F34">
        <v>175</v>
      </c>
      <c r="G34">
        <v>59.5</v>
      </c>
      <c r="H34">
        <f>50+(0.91*(F34-152.4))</f>
        <v>70.566000000000003</v>
      </c>
      <c r="I34">
        <v>1</v>
      </c>
      <c r="J34" t="s">
        <v>191</v>
      </c>
      <c r="L34">
        <f t="shared" si="0"/>
        <v>352.83000000000004</v>
      </c>
      <c r="M34">
        <f t="shared" si="1"/>
        <v>423.39600000000002</v>
      </c>
      <c r="N34">
        <f t="shared" si="2"/>
        <v>564.52800000000002</v>
      </c>
      <c r="O34" t="s">
        <v>192</v>
      </c>
      <c r="P34">
        <f>AVERAGE(477,476,473,475,477,475,476,475,476,477)</f>
        <v>475.7</v>
      </c>
      <c r="Q34" t="s">
        <v>72</v>
      </c>
      <c r="R34">
        <v>5</v>
      </c>
      <c r="S34">
        <v>15</v>
      </c>
      <c r="T34">
        <v>15</v>
      </c>
      <c r="U34">
        <v>0</v>
      </c>
      <c r="V34">
        <v>15</v>
      </c>
      <c r="W34">
        <v>37</v>
      </c>
      <c r="X34">
        <v>97</v>
      </c>
      <c r="Y34">
        <v>0.25</v>
      </c>
      <c r="AA34" t="s">
        <v>41</v>
      </c>
      <c r="AB34">
        <v>70.930000000000007</v>
      </c>
      <c r="AC34" t="s">
        <v>41</v>
      </c>
      <c r="AD34">
        <v>420</v>
      </c>
      <c r="AE34" t="s">
        <v>118</v>
      </c>
      <c r="AF34" t="s">
        <v>41</v>
      </c>
      <c r="AG34" t="s">
        <v>42</v>
      </c>
      <c r="AH34" t="s">
        <v>193</v>
      </c>
      <c r="AK34" t="s">
        <v>194</v>
      </c>
      <c r="AM34" t="s">
        <v>195</v>
      </c>
    </row>
    <row r="35" spans="2:39">
      <c r="B35">
        <v>24</v>
      </c>
      <c r="C35" t="s">
        <v>53</v>
      </c>
      <c r="D35">
        <v>56</v>
      </c>
      <c r="E35" t="s">
        <v>54</v>
      </c>
      <c r="F35">
        <v>165</v>
      </c>
      <c r="G35">
        <v>43.1</v>
      </c>
      <c r="H35">
        <f>45.5+(0.91*(F35-152.4))</f>
        <v>56.965999999999994</v>
      </c>
      <c r="I35">
        <v>2</v>
      </c>
      <c r="J35" t="s">
        <v>196</v>
      </c>
      <c r="L35">
        <f t="shared" si="0"/>
        <v>284.83</v>
      </c>
      <c r="M35">
        <f t="shared" si="1"/>
        <v>341.79599999999994</v>
      </c>
      <c r="N35">
        <f t="shared" si="2"/>
        <v>455.72799999999995</v>
      </c>
      <c r="O35" t="s">
        <v>197</v>
      </c>
      <c r="P35">
        <f>AVERAGE(379,382,373,379,380,382,380,381,378,379)</f>
        <v>379.3</v>
      </c>
      <c r="Q35" t="s">
        <v>72</v>
      </c>
      <c r="R35">
        <v>9</v>
      </c>
      <c r="S35">
        <v>18</v>
      </c>
      <c r="T35">
        <v>20</v>
      </c>
      <c r="U35">
        <v>0</v>
      </c>
      <c r="V35">
        <v>20</v>
      </c>
      <c r="W35">
        <v>20</v>
      </c>
      <c r="X35">
        <v>94</v>
      </c>
      <c r="Y35">
        <v>0.55000000000000004</v>
      </c>
      <c r="AA35" t="s">
        <v>41</v>
      </c>
      <c r="AB35">
        <v>56.83</v>
      </c>
      <c r="AC35" t="s">
        <v>41</v>
      </c>
      <c r="AD35" t="s">
        <v>198</v>
      </c>
      <c r="AE35" t="s">
        <v>49</v>
      </c>
      <c r="AF35" t="s">
        <v>41</v>
      </c>
      <c r="AG35" t="s">
        <v>42</v>
      </c>
      <c r="AH35" t="s">
        <v>66</v>
      </c>
      <c r="AK35" t="s">
        <v>76</v>
      </c>
      <c r="AM35" t="s">
        <v>199</v>
      </c>
    </row>
    <row r="36" spans="2:39">
      <c r="B36">
        <v>25</v>
      </c>
      <c r="C36" t="s">
        <v>53</v>
      </c>
      <c r="D36">
        <v>52</v>
      </c>
      <c r="E36" t="s">
        <v>54</v>
      </c>
      <c r="F36">
        <v>156</v>
      </c>
      <c r="G36">
        <v>53.7</v>
      </c>
      <c r="H36">
        <f>45.5+(0.91*(F36-152.4))</f>
        <v>48.775999999999996</v>
      </c>
      <c r="I36">
        <v>7</v>
      </c>
      <c r="J36" t="s">
        <v>200</v>
      </c>
      <c r="L36">
        <f t="shared" si="0"/>
        <v>243.88</v>
      </c>
      <c r="M36">
        <f t="shared" si="1"/>
        <v>292.65599999999995</v>
      </c>
      <c r="N36">
        <f t="shared" si="2"/>
        <v>390.20799999999997</v>
      </c>
      <c r="O36" t="s">
        <v>201</v>
      </c>
      <c r="P36">
        <f>AVERAGE(329,417,326,311,327,326,357,326,331)</f>
        <v>338.88888888888891</v>
      </c>
      <c r="Q36" t="s">
        <v>22</v>
      </c>
      <c r="R36">
        <v>5</v>
      </c>
      <c r="S36">
        <v>9</v>
      </c>
      <c r="T36">
        <v>0</v>
      </c>
      <c r="U36">
        <v>17</v>
      </c>
      <c r="V36">
        <v>17</v>
      </c>
      <c r="W36">
        <v>39</v>
      </c>
      <c r="X36">
        <v>96</v>
      </c>
      <c r="Y36">
        <v>0.25</v>
      </c>
      <c r="AA36" t="s">
        <v>41</v>
      </c>
      <c r="AB36">
        <v>49</v>
      </c>
      <c r="AC36" t="s">
        <v>41</v>
      </c>
      <c r="AD36">
        <v>294</v>
      </c>
      <c r="AE36" t="s">
        <v>118</v>
      </c>
      <c r="AF36" t="s">
        <v>41</v>
      </c>
      <c r="AG36" t="s">
        <v>42</v>
      </c>
      <c r="AH36" t="s">
        <v>202</v>
      </c>
      <c r="AK36" t="s">
        <v>203</v>
      </c>
      <c r="AM36" t="s">
        <v>204</v>
      </c>
    </row>
    <row r="37" spans="2:39">
      <c r="B37">
        <v>26</v>
      </c>
      <c r="C37" t="s">
        <v>205</v>
      </c>
      <c r="D37">
        <v>56</v>
      </c>
      <c r="E37" t="s">
        <v>54</v>
      </c>
      <c r="F37">
        <v>165</v>
      </c>
      <c r="G37">
        <v>41.6</v>
      </c>
      <c r="H37">
        <f>45.5+(0.91*(F37-152.4))</f>
        <v>56.965999999999994</v>
      </c>
      <c r="I37">
        <v>7</v>
      </c>
      <c r="J37" t="s">
        <v>206</v>
      </c>
      <c r="L37">
        <f t="shared" si="0"/>
        <v>284.83</v>
      </c>
      <c r="M37">
        <f t="shared" si="1"/>
        <v>341.79599999999994</v>
      </c>
      <c r="N37">
        <f t="shared" si="2"/>
        <v>455.72799999999995</v>
      </c>
      <c r="O37" t="s">
        <v>207</v>
      </c>
      <c r="P37">
        <f>AVERAGE(405,383,323,409,318,418,410,392,423,399)</f>
        <v>388</v>
      </c>
      <c r="Q37" t="s">
        <v>22</v>
      </c>
      <c r="R37">
        <v>8</v>
      </c>
      <c r="S37">
        <v>12</v>
      </c>
      <c r="T37">
        <v>0</v>
      </c>
      <c r="U37">
        <v>21</v>
      </c>
      <c r="V37">
        <v>21</v>
      </c>
      <c r="W37">
        <v>23</v>
      </c>
      <c r="X37">
        <v>96</v>
      </c>
      <c r="Y37">
        <v>0.4</v>
      </c>
      <c r="AA37" t="s">
        <v>41</v>
      </c>
      <c r="AB37">
        <v>41.6</v>
      </c>
      <c r="AC37" t="s">
        <v>41</v>
      </c>
      <c r="AD37" t="s">
        <v>208</v>
      </c>
      <c r="AE37" t="s">
        <v>209</v>
      </c>
      <c r="AF37" t="s">
        <v>41</v>
      </c>
      <c r="AG37" t="s">
        <v>210</v>
      </c>
      <c r="AH37" t="s">
        <v>66</v>
      </c>
      <c r="AK37" t="s">
        <v>211</v>
      </c>
      <c r="AM37" t="s">
        <v>212</v>
      </c>
    </row>
    <row r="38" spans="2:39">
      <c r="B38">
        <v>27</v>
      </c>
      <c r="C38" t="s">
        <v>205</v>
      </c>
      <c r="D38">
        <v>32</v>
      </c>
      <c r="E38" t="s">
        <v>24</v>
      </c>
      <c r="F38">
        <v>180</v>
      </c>
      <c r="G38">
        <v>65.400000000000006</v>
      </c>
      <c r="H38">
        <f>50+(0.91*(F38-152.4))</f>
        <v>75.116</v>
      </c>
      <c r="I38">
        <v>7</v>
      </c>
      <c r="J38" t="s">
        <v>213</v>
      </c>
      <c r="L38">
        <f t="shared" si="0"/>
        <v>375.58</v>
      </c>
      <c r="M38">
        <f t="shared" si="1"/>
        <v>450.69600000000003</v>
      </c>
      <c r="N38">
        <f t="shared" si="2"/>
        <v>600.928</v>
      </c>
      <c r="O38" t="s">
        <v>214</v>
      </c>
      <c r="P38">
        <f>AVERAGE(449, 441,473,460,474,481,473,464,483,474)</f>
        <v>467.2</v>
      </c>
      <c r="Q38" t="s">
        <v>215</v>
      </c>
      <c r="R38">
        <v>5</v>
      </c>
      <c r="S38">
        <v>10</v>
      </c>
      <c r="T38">
        <v>14</v>
      </c>
      <c r="U38">
        <v>0</v>
      </c>
      <c r="V38">
        <v>14</v>
      </c>
      <c r="W38">
        <v>37</v>
      </c>
      <c r="X38">
        <v>95</v>
      </c>
      <c r="Y38">
        <v>0.35</v>
      </c>
      <c r="AA38" t="s">
        <v>41</v>
      </c>
      <c r="AB38">
        <v>75</v>
      </c>
      <c r="AC38" t="s">
        <v>41</v>
      </c>
      <c r="AD38" t="s">
        <v>216</v>
      </c>
      <c r="AE38" t="s">
        <v>145</v>
      </c>
      <c r="AF38" t="s">
        <v>41</v>
      </c>
      <c r="AG38" t="s">
        <v>42</v>
      </c>
      <c r="AH38" t="s">
        <v>217</v>
      </c>
      <c r="AK38" t="s">
        <v>218</v>
      </c>
      <c r="AM38" t="s">
        <v>219</v>
      </c>
    </row>
    <row r="39" spans="2:39">
      <c r="B39">
        <v>28</v>
      </c>
      <c r="C39" t="s">
        <v>220</v>
      </c>
      <c r="D39">
        <v>26</v>
      </c>
      <c r="E39" t="s">
        <v>54</v>
      </c>
      <c r="F39">
        <v>170</v>
      </c>
      <c r="G39">
        <v>115.6</v>
      </c>
      <c r="H39">
        <f>45.5+(0.91*(F39-152.4))</f>
        <v>61.515999999999991</v>
      </c>
      <c r="I39">
        <v>5</v>
      </c>
      <c r="J39" t="s">
        <v>221</v>
      </c>
      <c r="L39">
        <f t="shared" si="0"/>
        <v>307.57999999999993</v>
      </c>
      <c r="M39">
        <f t="shared" si="1"/>
        <v>369.09599999999995</v>
      </c>
      <c r="N39">
        <f t="shared" si="2"/>
        <v>492.12799999999993</v>
      </c>
      <c r="O39" t="s">
        <v>222</v>
      </c>
      <c r="P39">
        <f>AVERAGE(454,455,457,454,452,453,454,454,453,453)</f>
        <v>453.9</v>
      </c>
      <c r="Q39" t="s">
        <v>215</v>
      </c>
      <c r="R39">
        <v>9</v>
      </c>
      <c r="S39">
        <v>13</v>
      </c>
      <c r="T39">
        <v>14</v>
      </c>
      <c r="U39">
        <v>0</v>
      </c>
      <c r="V39">
        <v>14</v>
      </c>
      <c r="W39">
        <v>44</v>
      </c>
      <c r="X39">
        <v>99</v>
      </c>
      <c r="Y39">
        <v>0.35</v>
      </c>
      <c r="AA39" t="s">
        <v>41</v>
      </c>
      <c r="AB39">
        <v>61</v>
      </c>
      <c r="AC39" t="s">
        <v>41</v>
      </c>
      <c r="AD39" t="s">
        <v>223</v>
      </c>
      <c r="AE39" t="s">
        <v>49</v>
      </c>
      <c r="AF39" t="s">
        <v>41</v>
      </c>
      <c r="AH39" t="s">
        <v>224</v>
      </c>
      <c r="AK39" t="s">
        <v>225</v>
      </c>
      <c r="AM39" t="s">
        <v>226</v>
      </c>
    </row>
    <row r="40" spans="2:39">
      <c r="B40">
        <v>29</v>
      </c>
      <c r="C40" t="s">
        <v>45</v>
      </c>
      <c r="D40">
        <v>58</v>
      </c>
      <c r="E40" t="s">
        <v>54</v>
      </c>
      <c r="F40">
        <v>162</v>
      </c>
      <c r="G40">
        <v>71</v>
      </c>
      <c r="H40">
        <f>45.5+(0.91*(F40-152.4))</f>
        <v>54.235999999999997</v>
      </c>
      <c r="I40">
        <v>1</v>
      </c>
      <c r="J40" t="s">
        <v>227</v>
      </c>
      <c r="L40">
        <f t="shared" si="0"/>
        <v>271.18</v>
      </c>
      <c r="M40">
        <f t="shared" si="1"/>
        <v>325.416</v>
      </c>
      <c r="N40">
        <f t="shared" si="2"/>
        <v>433.88799999999998</v>
      </c>
      <c r="O40" t="s">
        <v>228</v>
      </c>
      <c r="P40">
        <f>AVERAGE(536,535,538,536,535,538,537,534,534,537,539)</f>
        <v>536.27272727272725</v>
      </c>
      <c r="Q40" t="s">
        <v>72</v>
      </c>
      <c r="R40">
        <v>7</v>
      </c>
      <c r="S40">
        <v>20</v>
      </c>
      <c r="T40">
        <v>12</v>
      </c>
      <c r="U40">
        <v>0</v>
      </c>
      <c r="V40">
        <v>12</v>
      </c>
      <c r="W40">
        <v>37</v>
      </c>
      <c r="X40">
        <v>95</v>
      </c>
      <c r="Y40">
        <v>0.5</v>
      </c>
      <c r="AA40" t="s">
        <v>244</v>
      </c>
      <c r="AC40" t="s">
        <v>243</v>
      </c>
      <c r="AD40" t="s">
        <v>229</v>
      </c>
      <c r="AE40" t="s">
        <v>245</v>
      </c>
      <c r="AF40" t="s">
        <v>41</v>
      </c>
      <c r="AG40" t="s">
        <v>42</v>
      </c>
      <c r="AH40" t="s">
        <v>230</v>
      </c>
      <c r="AK40" t="s">
        <v>231</v>
      </c>
      <c r="AM40" t="s">
        <v>232</v>
      </c>
    </row>
    <row r="41" spans="2:39">
      <c r="B41">
        <v>30</v>
      </c>
      <c r="C41" t="s">
        <v>220</v>
      </c>
      <c r="D41">
        <v>76</v>
      </c>
      <c r="E41" t="s">
        <v>54</v>
      </c>
      <c r="F41">
        <v>166</v>
      </c>
      <c r="G41">
        <v>76.3</v>
      </c>
      <c r="H41">
        <f>45.5+(0.91*(F41-152.4))</f>
        <v>57.875999999999998</v>
      </c>
      <c r="I41">
        <v>2</v>
      </c>
      <c r="J41" t="s">
        <v>233</v>
      </c>
      <c r="L41">
        <f t="shared" si="0"/>
        <v>289.38</v>
      </c>
      <c r="M41">
        <f t="shared" si="1"/>
        <v>347.25599999999997</v>
      </c>
      <c r="N41">
        <f t="shared" si="2"/>
        <v>463.00799999999998</v>
      </c>
      <c r="O41" t="s">
        <v>234</v>
      </c>
      <c r="P41">
        <f>AVERAGE(401,411,403,372,414,385,423,392,394,398)</f>
        <v>399.3</v>
      </c>
      <c r="Q41" t="s">
        <v>235</v>
      </c>
      <c r="R41">
        <v>8</v>
      </c>
      <c r="S41">
        <v>18</v>
      </c>
      <c r="T41">
        <v>13</v>
      </c>
      <c r="U41">
        <v>4</v>
      </c>
      <c r="V41">
        <v>17</v>
      </c>
      <c r="W41">
        <v>44</v>
      </c>
      <c r="X41">
        <v>98</v>
      </c>
      <c r="Y41">
        <v>0.3</v>
      </c>
      <c r="AA41" t="s">
        <v>41</v>
      </c>
      <c r="AB41">
        <v>57</v>
      </c>
      <c r="AC41" t="s">
        <v>41</v>
      </c>
      <c r="AD41" t="s">
        <v>236</v>
      </c>
      <c r="AE41" t="s">
        <v>118</v>
      </c>
      <c r="AF41" t="s">
        <v>41</v>
      </c>
      <c r="AG41" t="s">
        <v>42</v>
      </c>
      <c r="AH41" t="s">
        <v>237</v>
      </c>
      <c r="AK41" t="s">
        <v>238</v>
      </c>
      <c r="AM41" t="s">
        <v>239</v>
      </c>
    </row>
    <row r="42" spans="2:39">
      <c r="B42">
        <v>31</v>
      </c>
      <c r="C42" t="s">
        <v>115</v>
      </c>
      <c r="E42" t="s">
        <v>24</v>
      </c>
      <c r="F42">
        <v>174</v>
      </c>
      <c r="G42">
        <v>86</v>
      </c>
      <c r="H42">
        <f>45.5+(0.91*(F42-152.4))</f>
        <v>65.155999999999992</v>
      </c>
      <c r="I42">
        <v>10</v>
      </c>
      <c r="J42" t="s">
        <v>272</v>
      </c>
      <c r="L42">
        <f t="shared" si="0"/>
        <v>325.77999999999997</v>
      </c>
      <c r="M42">
        <f t="shared" si="1"/>
        <v>390.93599999999992</v>
      </c>
      <c r="N42">
        <f t="shared" si="2"/>
        <v>521.24799999999993</v>
      </c>
      <c r="O42" t="s">
        <v>273</v>
      </c>
      <c r="P42">
        <v>566</v>
      </c>
      <c r="Q42" t="s">
        <v>72</v>
      </c>
      <c r="R42">
        <v>7</v>
      </c>
      <c r="S42">
        <v>14</v>
      </c>
      <c r="T42">
        <v>14</v>
      </c>
      <c r="U42">
        <v>0</v>
      </c>
      <c r="V42">
        <v>15</v>
      </c>
      <c r="W42">
        <v>26</v>
      </c>
      <c r="X42">
        <v>97</v>
      </c>
      <c r="Y42">
        <v>0.3</v>
      </c>
      <c r="AA42" t="s">
        <v>276</v>
      </c>
      <c r="AB42">
        <v>70</v>
      </c>
      <c r="AC42" t="s">
        <v>243</v>
      </c>
      <c r="AD42" t="s">
        <v>274</v>
      </c>
      <c r="AE42" t="s">
        <v>275</v>
      </c>
      <c r="AF42" t="s">
        <v>41</v>
      </c>
      <c r="AG42" t="s">
        <v>42</v>
      </c>
      <c r="AH42" t="s">
        <v>66</v>
      </c>
      <c r="AK42" t="s">
        <v>211</v>
      </c>
      <c r="AM42" t="s">
        <v>277</v>
      </c>
    </row>
    <row r="43" spans="2:39">
      <c r="B43">
        <v>32</v>
      </c>
      <c r="C43" t="s">
        <v>45</v>
      </c>
      <c r="D43">
        <v>62</v>
      </c>
      <c r="E43" t="s">
        <v>54</v>
      </c>
      <c r="F43">
        <v>162</v>
      </c>
      <c r="G43">
        <v>60.7</v>
      </c>
      <c r="H43">
        <f>45.5+(0.91*(F43-152.4))</f>
        <v>54.235999999999997</v>
      </c>
      <c r="I43">
        <v>5</v>
      </c>
      <c r="J43" t="s">
        <v>246</v>
      </c>
      <c r="L43">
        <f t="shared" si="0"/>
        <v>271.18</v>
      </c>
      <c r="M43">
        <f t="shared" si="1"/>
        <v>325.416</v>
      </c>
      <c r="N43">
        <f t="shared" si="2"/>
        <v>433.88799999999998</v>
      </c>
      <c r="O43" t="s">
        <v>247</v>
      </c>
      <c r="P43">
        <f>AVERAGE(401,404,406,405,404,404,406)</f>
        <v>404.28571428571428</v>
      </c>
      <c r="Q43" t="s">
        <v>72</v>
      </c>
      <c r="R43">
        <v>8</v>
      </c>
      <c r="S43">
        <v>17</v>
      </c>
      <c r="T43">
        <v>16</v>
      </c>
      <c r="U43">
        <v>0</v>
      </c>
      <c r="V43">
        <v>16</v>
      </c>
      <c r="W43">
        <v>37</v>
      </c>
      <c r="X43">
        <v>98</v>
      </c>
      <c r="Y43">
        <v>0.35</v>
      </c>
      <c r="AA43" t="s">
        <v>41</v>
      </c>
      <c r="AB43">
        <v>54</v>
      </c>
      <c r="AC43" t="s">
        <v>41</v>
      </c>
      <c r="AD43" t="s">
        <v>248</v>
      </c>
      <c r="AE43" t="s">
        <v>49</v>
      </c>
      <c r="AF43" t="s">
        <v>41</v>
      </c>
      <c r="AG43" t="s">
        <v>42</v>
      </c>
      <c r="AH43" t="s">
        <v>249</v>
      </c>
      <c r="AK43" t="s">
        <v>76</v>
      </c>
      <c r="AM43" t="s">
        <v>250</v>
      </c>
    </row>
    <row r="44" spans="2:39">
      <c r="B44">
        <v>33</v>
      </c>
      <c r="C44" t="s">
        <v>45</v>
      </c>
      <c r="D44">
        <v>53</v>
      </c>
      <c r="E44" t="s">
        <v>24</v>
      </c>
      <c r="F44">
        <v>170</v>
      </c>
      <c r="G44">
        <v>89</v>
      </c>
      <c r="H44">
        <f>50+(0.91*(F44-152.4))</f>
        <v>66.015999999999991</v>
      </c>
      <c r="I44">
        <v>6</v>
      </c>
      <c r="J44" t="s">
        <v>251</v>
      </c>
      <c r="L44">
        <f t="shared" si="0"/>
        <v>330.07999999999993</v>
      </c>
      <c r="M44">
        <f t="shared" si="1"/>
        <v>396.09599999999995</v>
      </c>
      <c r="N44">
        <f t="shared" si="2"/>
        <v>528.12799999999993</v>
      </c>
      <c r="O44" t="s">
        <v>252</v>
      </c>
      <c r="P44">
        <f>AVERAGE(767,754,606,354,730,644,709,656,553,634)</f>
        <v>640.70000000000005</v>
      </c>
      <c r="Q44" t="s">
        <v>22</v>
      </c>
      <c r="R44">
        <v>5</v>
      </c>
      <c r="S44">
        <v>12</v>
      </c>
      <c r="T44">
        <v>0</v>
      </c>
      <c r="U44">
        <v>13</v>
      </c>
      <c r="V44">
        <v>13</v>
      </c>
      <c r="W44">
        <v>35</v>
      </c>
      <c r="X44">
        <v>100</v>
      </c>
      <c r="Y44">
        <v>0.25</v>
      </c>
      <c r="AA44" t="s">
        <v>41</v>
      </c>
      <c r="AB44">
        <v>66</v>
      </c>
      <c r="AC44" t="s">
        <v>243</v>
      </c>
      <c r="AD44">
        <v>396</v>
      </c>
      <c r="AE44" t="s">
        <v>118</v>
      </c>
      <c r="AF44" t="s">
        <v>41</v>
      </c>
      <c r="AG44" t="s">
        <v>42</v>
      </c>
      <c r="AH44" t="s">
        <v>259</v>
      </c>
      <c r="AK44" t="s">
        <v>76</v>
      </c>
      <c r="AM44" t="s">
        <v>253</v>
      </c>
    </row>
    <row r="45" spans="2:39">
      <c r="B45">
        <v>34</v>
      </c>
      <c r="C45" t="s">
        <v>254</v>
      </c>
      <c r="D45">
        <v>55</v>
      </c>
      <c r="E45" t="s">
        <v>54</v>
      </c>
      <c r="F45">
        <v>157</v>
      </c>
      <c r="G45">
        <v>118</v>
      </c>
      <c r="H45">
        <f>45.5+(0.91*(F45-152.4))</f>
        <v>49.685999999999993</v>
      </c>
      <c r="I45">
        <v>4</v>
      </c>
      <c r="J45" t="s">
        <v>255</v>
      </c>
      <c r="L45">
        <f t="shared" si="0"/>
        <v>248.42999999999995</v>
      </c>
      <c r="M45">
        <f t="shared" si="1"/>
        <v>298.11599999999999</v>
      </c>
      <c r="N45">
        <f t="shared" si="2"/>
        <v>397.48799999999994</v>
      </c>
      <c r="O45" t="s">
        <v>256</v>
      </c>
      <c r="P45">
        <f>AVERAGE(535,512,513,516,500,488,504,515,553,501)</f>
        <v>513.70000000000005</v>
      </c>
      <c r="Q45" t="s">
        <v>22</v>
      </c>
      <c r="R45">
        <v>9</v>
      </c>
      <c r="S45">
        <v>8</v>
      </c>
      <c r="T45">
        <v>0</v>
      </c>
      <c r="U45">
        <v>14</v>
      </c>
      <c r="V45">
        <v>14</v>
      </c>
      <c r="W45">
        <v>46</v>
      </c>
      <c r="X45">
        <v>96</v>
      </c>
      <c r="Y45">
        <v>0.35</v>
      </c>
      <c r="AA45" t="s">
        <v>41</v>
      </c>
      <c r="AB45">
        <v>49.5</v>
      </c>
      <c r="AC45" t="s">
        <v>243</v>
      </c>
      <c r="AD45" t="s">
        <v>257</v>
      </c>
      <c r="AE45" t="s">
        <v>49</v>
      </c>
      <c r="AF45" t="s">
        <v>41</v>
      </c>
      <c r="AG45" t="s">
        <v>42</v>
      </c>
      <c r="AH45" t="s">
        <v>258</v>
      </c>
      <c r="AK45" t="s">
        <v>260</v>
      </c>
      <c r="AM45" t="s">
        <v>261</v>
      </c>
    </row>
    <row r="46" spans="2:39">
      <c r="B46">
        <v>35</v>
      </c>
      <c r="C46" t="s">
        <v>254</v>
      </c>
      <c r="D46">
        <v>53</v>
      </c>
      <c r="E46" t="s">
        <v>24</v>
      </c>
      <c r="F46">
        <v>178</v>
      </c>
      <c r="G46">
        <v>53</v>
      </c>
      <c r="H46">
        <f>50+(0.91*(F46-152.4))</f>
        <v>73.295999999999992</v>
      </c>
      <c r="I46">
        <v>2</v>
      </c>
      <c r="J46" t="s">
        <v>262</v>
      </c>
      <c r="L46">
        <f t="shared" si="0"/>
        <v>366.47999999999996</v>
      </c>
      <c r="M46">
        <f t="shared" si="1"/>
        <v>439.77599999999995</v>
      </c>
      <c r="N46">
        <f t="shared" si="2"/>
        <v>586.36799999999994</v>
      </c>
      <c r="O46" t="s">
        <v>263</v>
      </c>
      <c r="P46">
        <f>AVERAGE(440,515,581,706,514,461,597,458,425,434)</f>
        <v>513.1</v>
      </c>
      <c r="Q46" t="s">
        <v>22</v>
      </c>
      <c r="R46">
        <v>6</v>
      </c>
      <c r="S46">
        <v>10</v>
      </c>
      <c r="T46">
        <v>0</v>
      </c>
      <c r="U46">
        <v>26</v>
      </c>
      <c r="V46">
        <v>26</v>
      </c>
      <c r="W46">
        <v>25</v>
      </c>
      <c r="X46">
        <v>99</v>
      </c>
      <c r="Y46">
        <v>0.4</v>
      </c>
      <c r="AA46" t="s">
        <v>41</v>
      </c>
      <c r="AB46">
        <v>73</v>
      </c>
      <c r="AC46" t="s">
        <v>41</v>
      </c>
      <c r="AD46" t="s">
        <v>264</v>
      </c>
      <c r="AE46" t="s">
        <v>49</v>
      </c>
      <c r="AF46" t="s">
        <v>41</v>
      </c>
      <c r="AG46" t="s">
        <v>42</v>
      </c>
      <c r="AH46" t="s">
        <v>265</v>
      </c>
      <c r="AK46" t="s">
        <v>231</v>
      </c>
      <c r="AM46" t="s">
        <v>266</v>
      </c>
    </row>
    <row r="47" spans="2:39">
      <c r="B47">
        <v>36</v>
      </c>
      <c r="C47" t="s">
        <v>254</v>
      </c>
      <c r="D47">
        <v>73</v>
      </c>
      <c r="E47" t="s">
        <v>24</v>
      </c>
      <c r="F47">
        <v>165</v>
      </c>
      <c r="G47">
        <v>80</v>
      </c>
      <c r="H47">
        <f>50+(0.91*(F47-152.4))</f>
        <v>61.465999999999994</v>
      </c>
      <c r="I47">
        <v>3</v>
      </c>
      <c r="J47" t="s">
        <v>267</v>
      </c>
      <c r="L47">
        <f t="shared" si="0"/>
        <v>307.33</v>
      </c>
      <c r="M47">
        <f t="shared" si="1"/>
        <v>368.79599999999994</v>
      </c>
      <c r="N47">
        <f t="shared" si="2"/>
        <v>491.72799999999995</v>
      </c>
      <c r="O47" t="s">
        <v>268</v>
      </c>
      <c r="P47">
        <f>AVERAGE(437,447,476,438,441,440,444,462,436,450)</f>
        <v>447.1</v>
      </c>
      <c r="Q47" t="s">
        <v>72</v>
      </c>
      <c r="R47">
        <v>5</v>
      </c>
      <c r="S47">
        <v>20</v>
      </c>
      <c r="T47">
        <v>35</v>
      </c>
      <c r="U47">
        <v>0</v>
      </c>
      <c r="V47">
        <v>35</v>
      </c>
      <c r="W47">
        <v>11</v>
      </c>
      <c r="X47">
        <v>100</v>
      </c>
      <c r="Y47">
        <v>0.4</v>
      </c>
      <c r="AA47" t="s">
        <v>278</v>
      </c>
      <c r="AB47">
        <v>76</v>
      </c>
      <c r="AC47" t="s">
        <v>41</v>
      </c>
      <c r="AD47" t="s">
        <v>269</v>
      </c>
      <c r="AE47" t="s">
        <v>49</v>
      </c>
      <c r="AF47" t="s">
        <v>41</v>
      </c>
      <c r="AG47" t="s">
        <v>42</v>
      </c>
      <c r="AH47" t="s">
        <v>270</v>
      </c>
      <c r="AK47" t="s">
        <v>76</v>
      </c>
      <c r="AM47" t="s">
        <v>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Schleyer</dc:creator>
  <cp:lastModifiedBy>Fiona Schleyer</cp:lastModifiedBy>
  <dcterms:created xsi:type="dcterms:W3CDTF">2020-11-17T07:20:20Z</dcterms:created>
  <dcterms:modified xsi:type="dcterms:W3CDTF">2021-03-22T03:24:24Z</dcterms:modified>
</cp:coreProperties>
</file>