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xl/comments7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tables/table4.xml" ContentType="application/vnd.openxmlformats-officedocument.spreadsheetml.table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/>
  <bookViews>
    <workbookView xWindow="0" yWindow="0" windowWidth="22260" windowHeight="12645" firstSheet="2" activeTab="2"/>
  </bookViews>
  <sheets>
    <sheet name="пр" sheetId="13" state="veryHidden" r:id="rId1"/>
    <sheet name="Денежный поток" sheetId="17" state="veryHidden" r:id="rId2"/>
    <sheet name="Учредительная инф-ия" sheetId="6" r:id="rId3"/>
    <sheet name="ПОЖ" sheetId="19" state="veryHidden" r:id="rId4"/>
    <sheet name="GenAssump" sheetId="1" r:id="rId5"/>
    <sheet name="Генерирующий компонент" sheetId="11" r:id="rId6"/>
    <sheet name="Персонал" sheetId="3" r:id="rId7"/>
    <sheet name="Итоговая смета" sheetId="5" r:id="rId8"/>
    <sheet name="Финансирование" sheetId="14" r:id="rId9"/>
    <sheet name="Прогноз выручки" sheetId="10" r:id="rId10"/>
    <sheet name="Прибыль" sheetId="16" r:id="rId11"/>
    <sheet name="Денежные потоки" sheetId="18" r:id="rId12"/>
    <sheet name="KPI" sheetId="4" r:id="rId13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4" l="1"/>
  <c r="J19" i="16"/>
  <c r="K19" i="16" s="1"/>
  <c r="L19" i="16" s="1"/>
  <c r="M19" i="16" s="1"/>
  <c r="N19" i="16" s="1"/>
  <c r="O19" i="16" s="1"/>
  <c r="P19" i="16" s="1"/>
  <c r="Q19" i="16" s="1"/>
  <c r="R19" i="16" s="1"/>
  <c r="S19" i="16" s="1"/>
  <c r="T19" i="16" s="1"/>
  <c r="U19" i="16" s="1"/>
  <c r="E19" i="16"/>
  <c r="F19" i="16" s="1"/>
  <c r="G19" i="16" s="1"/>
  <c r="H19" i="16" s="1"/>
  <c r="I19" i="16" s="1"/>
  <c r="D19" i="16"/>
  <c r="D5" i="4" l="1"/>
  <c r="B10" i="10"/>
  <c r="E17" i="5"/>
  <c r="B22" i="14"/>
  <c r="B5" i="4"/>
  <c r="F23" i="18"/>
  <c r="J23" i="18"/>
  <c r="N23" i="18"/>
  <c r="R23" i="18"/>
  <c r="B23" i="18"/>
  <c r="B7" i="14"/>
  <c r="C23" i="18" s="1"/>
  <c r="U23" i="18" l="1"/>
  <c r="Q23" i="18"/>
  <c r="M23" i="18"/>
  <c r="I23" i="18"/>
  <c r="E23" i="18"/>
  <c r="T23" i="18"/>
  <c r="P23" i="18"/>
  <c r="L23" i="18"/>
  <c r="H23" i="18"/>
  <c r="D23" i="18"/>
  <c r="S23" i="18"/>
  <c r="O23" i="18"/>
  <c r="K23" i="18"/>
  <c r="G23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B11" i="18"/>
  <c r="B8" i="16" l="1"/>
  <c r="V4" i="16" l="1"/>
  <c r="W4" i="16"/>
  <c r="R10" i="17" l="1"/>
  <c r="S10" i="17"/>
  <c r="T10" i="17"/>
  <c r="U10" i="17"/>
  <c r="Q11" i="17"/>
  <c r="R11" i="17"/>
  <c r="S11" i="17"/>
  <c r="T11" i="17"/>
  <c r="U11" i="17"/>
  <c r="R9" i="10"/>
  <c r="S9" i="10" s="1"/>
  <c r="R14" i="10"/>
  <c r="S14" i="10"/>
  <c r="T14" i="10" s="1"/>
  <c r="B18" i="14"/>
  <c r="I11" i="17"/>
  <c r="J11" i="17"/>
  <c r="K11" i="17"/>
  <c r="L11" i="17"/>
  <c r="M11" i="17"/>
  <c r="N11" i="17"/>
  <c r="O11" i="17"/>
  <c r="P11" i="17"/>
  <c r="C11" i="17"/>
  <c r="D11" i="17"/>
  <c r="E11" i="17"/>
  <c r="F11" i="17"/>
  <c r="G11" i="17"/>
  <c r="H11" i="17"/>
  <c r="B11" i="17"/>
  <c r="C10" i="14"/>
  <c r="B16" i="1"/>
  <c r="T9" i="10" l="1"/>
  <c r="U14" i="10"/>
  <c r="Q22" i="13"/>
  <c r="Q21" i="13"/>
  <c r="F5" i="3"/>
  <c r="Q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B22" i="13"/>
  <c r="B21" i="13"/>
  <c r="B20" i="13"/>
  <c r="C12" i="13"/>
  <c r="D12" i="13"/>
  <c r="E12" i="13"/>
  <c r="F12" i="13"/>
  <c r="G12" i="13"/>
  <c r="H12" i="13"/>
  <c r="I12" i="13"/>
  <c r="J12" i="13"/>
  <c r="K12" i="13"/>
  <c r="M12" i="13"/>
  <c r="N12" i="13"/>
  <c r="O12" i="13"/>
  <c r="P12" i="13"/>
  <c r="K11" i="13"/>
  <c r="M11" i="13"/>
  <c r="N11" i="13"/>
  <c r="O11" i="13"/>
  <c r="P11" i="13"/>
  <c r="H11" i="13"/>
  <c r="I11" i="13"/>
  <c r="J11" i="13"/>
  <c r="C11" i="13"/>
  <c r="D11" i="13"/>
  <c r="E11" i="13"/>
  <c r="F11" i="13"/>
  <c r="G11" i="13"/>
  <c r="J10" i="13"/>
  <c r="K10" i="13"/>
  <c r="M10" i="13"/>
  <c r="N10" i="13"/>
  <c r="O10" i="13"/>
  <c r="P10" i="13"/>
  <c r="C10" i="13"/>
  <c r="D10" i="13"/>
  <c r="E10" i="13"/>
  <c r="F10" i="13"/>
  <c r="G10" i="13"/>
  <c r="H10" i="13"/>
  <c r="I10" i="13"/>
  <c r="L7" i="13"/>
  <c r="L11" i="13" s="1"/>
  <c r="C14" i="10"/>
  <c r="D14" i="10" s="1"/>
  <c r="E14" i="10" s="1"/>
  <c r="F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C9" i="10"/>
  <c r="D9" i="10" s="1"/>
  <c r="E9" i="10" s="1"/>
  <c r="F9" i="10" s="1"/>
  <c r="G9" i="10" s="1"/>
  <c r="H9" i="10" s="1"/>
  <c r="I9" i="10" s="1"/>
  <c r="J9" i="10" s="1"/>
  <c r="K9" i="10" s="1"/>
  <c r="L9" i="10" s="1"/>
  <c r="M9" i="10" s="1"/>
  <c r="N9" i="10" s="1"/>
  <c r="O9" i="10" s="1"/>
  <c r="P9" i="10" s="1"/>
  <c r="Q9" i="10" s="1"/>
  <c r="B13" i="6"/>
  <c r="U9" i="10" l="1"/>
  <c r="V14" i="10"/>
  <c r="L12" i="13"/>
  <c r="L10" i="13"/>
  <c r="C4" i="10"/>
  <c r="B9" i="11"/>
  <c r="B12" i="11" s="1"/>
  <c r="D9" i="5" s="1"/>
  <c r="E9" i="5" s="1"/>
  <c r="B6" i="11"/>
  <c r="E6" i="5"/>
  <c r="E3" i="5"/>
  <c r="E2" i="5"/>
  <c r="E4" i="5"/>
  <c r="E5" i="5"/>
  <c r="E7" i="5"/>
  <c r="E8" i="5"/>
  <c r="E10" i="5"/>
  <c r="E11" i="5"/>
  <c r="E12" i="5"/>
  <c r="E13" i="5"/>
  <c r="E14" i="5"/>
  <c r="B12" i="6"/>
  <c r="B14" i="6"/>
  <c r="C8" i="18" l="1"/>
  <c r="B8" i="18"/>
  <c r="B10" i="11"/>
  <c r="B6" i="6" s="1"/>
  <c r="B9" i="6" s="1"/>
  <c r="B4" i="14"/>
  <c r="B19" i="14" s="1"/>
  <c r="B28" i="14" s="1"/>
  <c r="B10" i="17" s="1"/>
  <c r="C8" i="17"/>
  <c r="G3" i="14" s="1"/>
  <c r="C12" i="18" s="1"/>
  <c r="B8" i="17"/>
  <c r="V9" i="10"/>
  <c r="B7" i="13"/>
  <c r="D4" i="10"/>
  <c r="E15" i="5"/>
  <c r="B2" i="14" l="1"/>
  <c r="G2" i="14"/>
  <c r="B26" i="14" s="1"/>
  <c r="B17" i="1"/>
  <c r="B18" i="1" s="1"/>
  <c r="B5" i="10" s="1"/>
  <c r="B16" i="6"/>
  <c r="B15" i="6"/>
  <c r="E7" i="16"/>
  <c r="I7" i="16"/>
  <c r="H7" i="16"/>
  <c r="C7" i="16"/>
  <c r="G7" i="16"/>
  <c r="J7" i="16"/>
  <c r="D7" i="16"/>
  <c r="F7" i="16"/>
  <c r="K7" i="16"/>
  <c r="B7" i="16"/>
  <c r="L7" i="16" s="1"/>
  <c r="B5" i="14"/>
  <c r="B6" i="14" s="1"/>
  <c r="B10" i="14" s="1"/>
  <c r="E4" i="10"/>
  <c r="E8" i="3"/>
  <c r="F9" i="3" s="1"/>
  <c r="F7" i="3"/>
  <c r="F6" i="3"/>
  <c r="F4" i="3"/>
  <c r="F3" i="3"/>
  <c r="F2" i="3"/>
  <c r="B27" i="14" l="1"/>
  <c r="B12" i="18"/>
  <c r="J5" i="10"/>
  <c r="N5" i="10"/>
  <c r="D5" i="10"/>
  <c r="D6" i="10" s="1"/>
  <c r="C4" i="18" s="1"/>
  <c r="S5" i="10"/>
  <c r="T5" i="10"/>
  <c r="K5" i="10"/>
  <c r="V10" i="10"/>
  <c r="V11" i="10" s="1"/>
  <c r="U5" i="18" s="1"/>
  <c r="B15" i="10"/>
  <c r="P15" i="10" s="1"/>
  <c r="P16" i="10" s="1"/>
  <c r="O6" i="18" s="1"/>
  <c r="U5" i="10"/>
  <c r="V5" i="10"/>
  <c r="G5" i="10"/>
  <c r="H5" i="10"/>
  <c r="M5" i="10"/>
  <c r="F5" i="10"/>
  <c r="Q5" i="10"/>
  <c r="R5" i="10"/>
  <c r="I5" i="10"/>
  <c r="P5" i="10"/>
  <c r="O5" i="10"/>
  <c r="C5" i="10"/>
  <c r="C6" i="10" s="1"/>
  <c r="B4" i="18" s="1"/>
  <c r="E5" i="10"/>
  <c r="L5" i="10"/>
  <c r="E6" i="10"/>
  <c r="D4" i="18" s="1"/>
  <c r="C26" i="14"/>
  <c r="C28" i="14" s="1"/>
  <c r="S15" i="10"/>
  <c r="S16" i="10" s="1"/>
  <c r="R6" i="18" s="1"/>
  <c r="Q15" i="10"/>
  <c r="Q16" i="10" s="1"/>
  <c r="P6" i="18" s="1"/>
  <c r="N15" i="10"/>
  <c r="N16" i="10" s="1"/>
  <c r="M6" i="18" s="1"/>
  <c r="O15" i="10"/>
  <c r="O16" i="10" s="1"/>
  <c r="N6" i="18" s="1"/>
  <c r="L15" i="10"/>
  <c r="L16" i="10" s="1"/>
  <c r="K6" i="18" s="1"/>
  <c r="E15" i="10"/>
  <c r="E16" i="10" s="1"/>
  <c r="D6" i="18" s="1"/>
  <c r="J15" i="10"/>
  <c r="J16" i="10" s="1"/>
  <c r="I6" i="18" s="1"/>
  <c r="H15" i="10"/>
  <c r="H16" i="10" s="1"/>
  <c r="G6" i="18" s="1"/>
  <c r="K15" i="10"/>
  <c r="K16" i="10" s="1"/>
  <c r="J6" i="18" s="1"/>
  <c r="T15" i="10"/>
  <c r="T16" i="10" s="1"/>
  <c r="S6" i="18" s="1"/>
  <c r="I15" i="10"/>
  <c r="I16" i="10" s="1"/>
  <c r="H6" i="18" s="1"/>
  <c r="F15" i="10"/>
  <c r="F16" i="10" s="1"/>
  <c r="E6" i="18" s="1"/>
  <c r="R15" i="10"/>
  <c r="R16" i="10" s="1"/>
  <c r="Q6" i="18" s="1"/>
  <c r="G15" i="10"/>
  <c r="G16" i="10" s="1"/>
  <c r="F6" i="18" s="1"/>
  <c r="M15" i="10"/>
  <c r="M16" i="10" s="1"/>
  <c r="L6" i="18" s="1"/>
  <c r="U15" i="10"/>
  <c r="U16" i="10" s="1"/>
  <c r="T6" i="18" s="1"/>
  <c r="D15" i="10"/>
  <c r="D16" i="10" s="1"/>
  <c r="C6" i="18" s="1"/>
  <c r="V15" i="10"/>
  <c r="V16" i="10" s="1"/>
  <c r="U6" i="18" s="1"/>
  <c r="C15" i="10"/>
  <c r="C16" i="10" s="1"/>
  <c r="B6" i="18" s="1"/>
  <c r="E9" i="3"/>
  <c r="F8" i="3"/>
  <c r="F4" i="10"/>
  <c r="C10" i="17" l="1"/>
  <c r="D26" i="14"/>
  <c r="C27" i="14"/>
  <c r="C29" i="14" s="1"/>
  <c r="R10" i="10"/>
  <c r="R11" i="10" s="1"/>
  <c r="Q5" i="18" s="1"/>
  <c r="D10" i="10"/>
  <c r="D11" i="10" s="1"/>
  <c r="C5" i="18" s="1"/>
  <c r="N10" i="10"/>
  <c r="N11" i="10" s="1"/>
  <c r="M5" i="18" s="1"/>
  <c r="O10" i="10"/>
  <c r="O11" i="10" s="1"/>
  <c r="N5" i="18" s="1"/>
  <c r="M10" i="10"/>
  <c r="M11" i="10" s="1"/>
  <c r="L5" i="18" s="1"/>
  <c r="U10" i="10"/>
  <c r="U11" i="10" s="1"/>
  <c r="T5" i="18" s="1"/>
  <c r="L10" i="10"/>
  <c r="L11" i="10" s="1"/>
  <c r="K5" i="18" s="1"/>
  <c r="J10" i="10"/>
  <c r="J11" i="10" s="1"/>
  <c r="I5" i="18" s="1"/>
  <c r="G10" i="10"/>
  <c r="G11" i="10" s="1"/>
  <c r="F5" i="18" s="1"/>
  <c r="E10" i="10"/>
  <c r="E11" i="10" s="1"/>
  <c r="D5" i="18" s="1"/>
  <c r="B19" i="16"/>
  <c r="B21" i="16" s="1"/>
  <c r="B10" i="18"/>
  <c r="H10" i="10"/>
  <c r="H11" i="10" s="1"/>
  <c r="G5" i="18" s="1"/>
  <c r="C10" i="10"/>
  <c r="C11" i="10" s="1"/>
  <c r="B5" i="18" s="1"/>
  <c r="Q10" i="10"/>
  <c r="Q11" i="10" s="1"/>
  <c r="P5" i="18" s="1"/>
  <c r="T10" i="10"/>
  <c r="T11" i="10" s="1"/>
  <c r="S5" i="18" s="1"/>
  <c r="F10" i="10"/>
  <c r="F11" i="10" s="1"/>
  <c r="E5" i="18" s="1"/>
  <c r="F6" i="10"/>
  <c r="E4" i="18" s="1"/>
  <c r="S10" i="10"/>
  <c r="S11" i="10" s="1"/>
  <c r="R5" i="18" s="1"/>
  <c r="P10" i="10"/>
  <c r="P11" i="10" s="1"/>
  <c r="O5" i="18" s="1"/>
  <c r="I10" i="10"/>
  <c r="I11" i="10" s="1"/>
  <c r="H5" i="18" s="1"/>
  <c r="K10" i="10"/>
  <c r="K11" i="10" s="1"/>
  <c r="J5" i="18" s="1"/>
  <c r="B4" i="17"/>
  <c r="B4" i="16"/>
  <c r="S6" i="17"/>
  <c r="S19" i="17" s="1"/>
  <c r="S6" i="16"/>
  <c r="G5" i="17"/>
  <c r="C6" i="17"/>
  <c r="C19" i="17" s="1"/>
  <c r="C6" i="16"/>
  <c r="Q6" i="17"/>
  <c r="Q6" i="16"/>
  <c r="J6" i="17"/>
  <c r="J6" i="16"/>
  <c r="K6" i="17"/>
  <c r="K6" i="16"/>
  <c r="P6" i="17"/>
  <c r="P6" i="16"/>
  <c r="D4" i="17"/>
  <c r="D4" i="16"/>
  <c r="C4" i="17"/>
  <c r="C4" i="16"/>
  <c r="F6" i="17"/>
  <c r="F6" i="16"/>
  <c r="M6" i="17"/>
  <c r="M6" i="16"/>
  <c r="T6" i="17"/>
  <c r="T19" i="17" s="1"/>
  <c r="T6" i="16"/>
  <c r="E6" i="17"/>
  <c r="E6" i="16"/>
  <c r="G6" i="17"/>
  <c r="G6" i="16"/>
  <c r="N6" i="17"/>
  <c r="N6" i="16"/>
  <c r="R6" i="17"/>
  <c r="R19" i="17" s="1"/>
  <c r="R6" i="16"/>
  <c r="U5" i="17"/>
  <c r="U18" i="17" s="1"/>
  <c r="U5" i="16"/>
  <c r="U6" i="17"/>
  <c r="U19" i="17" s="1"/>
  <c r="U6" i="16"/>
  <c r="D6" i="17"/>
  <c r="D6" i="16"/>
  <c r="B6" i="17"/>
  <c r="B19" i="17" s="1"/>
  <c r="B6" i="16"/>
  <c r="L6" i="17"/>
  <c r="L6" i="16"/>
  <c r="H6" i="17"/>
  <c r="H6" i="16"/>
  <c r="I6" i="17"/>
  <c r="I6" i="16"/>
  <c r="O6" i="17"/>
  <c r="O6" i="16"/>
  <c r="N5" i="16"/>
  <c r="F10" i="3"/>
  <c r="F11" i="3" s="1"/>
  <c r="F12" i="3" s="1"/>
  <c r="B9" i="16" s="1"/>
  <c r="G4" i="10"/>
  <c r="G6" i="10" s="1"/>
  <c r="F4" i="18" s="1"/>
  <c r="B19" i="18" l="1"/>
  <c r="B20" i="18"/>
  <c r="B26" i="18" s="1"/>
  <c r="C5" i="16"/>
  <c r="E5" i="17"/>
  <c r="D27" i="14"/>
  <c r="Q5" i="16"/>
  <c r="H5" i="16"/>
  <c r="F5" i="17"/>
  <c r="B25" i="18"/>
  <c r="B22" i="16"/>
  <c r="B26" i="16" s="1"/>
  <c r="B30" i="16" s="1"/>
  <c r="E4" i="16"/>
  <c r="L5" i="17"/>
  <c r="O5" i="16"/>
  <c r="D5" i="17"/>
  <c r="J5" i="17"/>
  <c r="I5" i="17"/>
  <c r="Q5" i="17"/>
  <c r="C5" i="17"/>
  <c r="C18" i="17" s="1"/>
  <c r="N5" i="17"/>
  <c r="T5" i="17"/>
  <c r="T18" i="17" s="1"/>
  <c r="B5" i="16"/>
  <c r="B12" i="16" s="1"/>
  <c r="K5" i="17"/>
  <c r="M5" i="17"/>
  <c r="S5" i="16"/>
  <c r="L5" i="16"/>
  <c r="M5" i="16"/>
  <c r="E4" i="17"/>
  <c r="K5" i="16"/>
  <c r="I5" i="16"/>
  <c r="J5" i="16"/>
  <c r="O5" i="17"/>
  <c r="D5" i="16"/>
  <c r="P5" i="17"/>
  <c r="R5" i="16"/>
  <c r="F5" i="16"/>
  <c r="G5" i="16"/>
  <c r="E5" i="16"/>
  <c r="T5" i="16"/>
  <c r="P5" i="16"/>
  <c r="C19" i="16"/>
  <c r="C10" i="18"/>
  <c r="H5" i="17"/>
  <c r="R5" i="17"/>
  <c r="R18" i="17" s="1"/>
  <c r="S5" i="17"/>
  <c r="S18" i="17" s="1"/>
  <c r="B5" i="17"/>
  <c r="B18" i="17" s="1"/>
  <c r="F4" i="17"/>
  <c r="F4" i="16"/>
  <c r="B25" i="16"/>
  <c r="B14" i="18" s="1"/>
  <c r="O9" i="16"/>
  <c r="S9" i="16"/>
  <c r="K9" i="16"/>
  <c r="D9" i="16"/>
  <c r="H9" i="16"/>
  <c r="R9" i="16"/>
  <c r="N9" i="16"/>
  <c r="P9" i="16"/>
  <c r="T9" i="16"/>
  <c r="L9" i="16"/>
  <c r="E9" i="16"/>
  <c r="I9" i="16"/>
  <c r="G9" i="16"/>
  <c r="Q9" i="16"/>
  <c r="U9" i="16"/>
  <c r="M9" i="16"/>
  <c r="F9" i="16"/>
  <c r="C9" i="16"/>
  <c r="J9" i="16"/>
  <c r="B11" i="16"/>
  <c r="B13" i="16"/>
  <c r="B18" i="16" s="1"/>
  <c r="B23" i="16" s="1"/>
  <c r="B8" i="13"/>
  <c r="B3" i="14"/>
  <c r="H4" i="10"/>
  <c r="H6" i="10" s="1"/>
  <c r="G4" i="18" s="1"/>
  <c r="D28" i="14" l="1"/>
  <c r="D10" i="17" s="1"/>
  <c r="C20" i="18"/>
  <c r="C19" i="18"/>
  <c r="C25" i="18" s="1"/>
  <c r="B18" i="18"/>
  <c r="B24" i="18" s="1"/>
  <c r="D29" i="14"/>
  <c r="R10" i="18"/>
  <c r="U10" i="18"/>
  <c r="M10" i="18"/>
  <c r="Q10" i="18"/>
  <c r="H10" i="18"/>
  <c r="G10" i="18"/>
  <c r="D10" i="18"/>
  <c r="S10" i="18"/>
  <c r="E10" i="18"/>
  <c r="P10" i="18"/>
  <c r="F10" i="18"/>
  <c r="N10" i="18"/>
  <c r="L10" i="18"/>
  <c r="O10" i="18"/>
  <c r="J10" i="18"/>
  <c r="T10" i="18"/>
  <c r="K10" i="18"/>
  <c r="I10" i="18"/>
  <c r="C26" i="18"/>
  <c r="B14" i="17"/>
  <c r="B15" i="18"/>
  <c r="G4" i="17"/>
  <c r="G4" i="16"/>
  <c r="G11" i="16" s="1"/>
  <c r="G16" i="16" s="1"/>
  <c r="B29" i="16"/>
  <c r="B13" i="17"/>
  <c r="B17" i="17" s="1"/>
  <c r="D18" i="17"/>
  <c r="D19" i="17"/>
  <c r="M13" i="16"/>
  <c r="M18" i="16" s="1"/>
  <c r="M12" i="16"/>
  <c r="M17" i="16" s="1"/>
  <c r="I12" i="16"/>
  <c r="I17" i="16" s="1"/>
  <c r="I13" i="16"/>
  <c r="I18" i="16" s="1"/>
  <c r="P13" i="16"/>
  <c r="P18" i="16" s="1"/>
  <c r="P12" i="16"/>
  <c r="P17" i="16" s="1"/>
  <c r="D12" i="16"/>
  <c r="D17" i="16" s="1"/>
  <c r="D11" i="16"/>
  <c r="D16" i="16" s="1"/>
  <c r="D13" i="16"/>
  <c r="D18" i="16" s="1"/>
  <c r="J13" i="16"/>
  <c r="J18" i="16" s="1"/>
  <c r="J12" i="16"/>
  <c r="J17" i="16" s="1"/>
  <c r="U12" i="16"/>
  <c r="U17" i="16" s="1"/>
  <c r="U22" i="16" s="1"/>
  <c r="U26" i="16" s="1"/>
  <c r="U15" i="18" s="1"/>
  <c r="U13" i="16"/>
  <c r="U18" i="16" s="1"/>
  <c r="U23" i="16" s="1"/>
  <c r="U27" i="16" s="1"/>
  <c r="U16" i="18" s="1"/>
  <c r="E12" i="16"/>
  <c r="E17" i="16" s="1"/>
  <c r="E11" i="16"/>
  <c r="E16" i="16" s="1"/>
  <c r="E13" i="16"/>
  <c r="E18" i="16" s="1"/>
  <c r="N13" i="16"/>
  <c r="N18" i="16" s="1"/>
  <c r="N12" i="16"/>
  <c r="N17" i="16" s="1"/>
  <c r="K12" i="16"/>
  <c r="K17" i="16" s="1"/>
  <c r="K13" i="16"/>
  <c r="K18" i="16" s="1"/>
  <c r="C13" i="16"/>
  <c r="C18" i="16" s="1"/>
  <c r="C23" i="16" s="1"/>
  <c r="C12" i="16"/>
  <c r="C17" i="16" s="1"/>
  <c r="C22" i="16" s="1"/>
  <c r="C11" i="16"/>
  <c r="C16" i="16" s="1"/>
  <c r="C21" i="16" s="1"/>
  <c r="C25" i="16" s="1"/>
  <c r="C14" i="18" s="1"/>
  <c r="S12" i="16"/>
  <c r="S17" i="16" s="1"/>
  <c r="S22" i="16" s="1"/>
  <c r="S26" i="16" s="1"/>
  <c r="S15" i="18" s="1"/>
  <c r="S13" i="16"/>
  <c r="S18" i="16" s="1"/>
  <c r="S23" i="16" s="1"/>
  <c r="S27" i="16" s="1"/>
  <c r="S16" i="18" s="1"/>
  <c r="Q13" i="16"/>
  <c r="Q18" i="16" s="1"/>
  <c r="Q12" i="16"/>
  <c r="Q17" i="16" s="1"/>
  <c r="L13" i="16"/>
  <c r="L18" i="16" s="1"/>
  <c r="L12" i="16"/>
  <c r="L17" i="16" s="1"/>
  <c r="R12" i="16"/>
  <c r="R17" i="16" s="1"/>
  <c r="R22" i="16" s="1"/>
  <c r="R26" i="16" s="1"/>
  <c r="R15" i="18" s="1"/>
  <c r="R13" i="16"/>
  <c r="R18" i="16" s="1"/>
  <c r="R23" i="16" s="1"/>
  <c r="R27" i="16" s="1"/>
  <c r="R16" i="18" s="1"/>
  <c r="F13" i="16"/>
  <c r="F18" i="16" s="1"/>
  <c r="F11" i="16"/>
  <c r="F16" i="16" s="1"/>
  <c r="F12" i="16"/>
  <c r="F17" i="16" s="1"/>
  <c r="G13" i="16"/>
  <c r="G18" i="16" s="1"/>
  <c r="G12" i="16"/>
  <c r="G17" i="16" s="1"/>
  <c r="T13" i="16"/>
  <c r="T18" i="16" s="1"/>
  <c r="T23" i="16" s="1"/>
  <c r="T27" i="16" s="1"/>
  <c r="T16" i="18" s="1"/>
  <c r="T12" i="16"/>
  <c r="T17" i="16" s="1"/>
  <c r="T22" i="16" s="1"/>
  <c r="T26" i="16" s="1"/>
  <c r="T15" i="18" s="1"/>
  <c r="H13" i="16"/>
  <c r="H18" i="16" s="1"/>
  <c r="H12" i="16"/>
  <c r="H17" i="16" s="1"/>
  <c r="O13" i="16"/>
  <c r="O18" i="16" s="1"/>
  <c r="O12" i="16"/>
  <c r="O17" i="16" s="1"/>
  <c r="B27" i="16"/>
  <c r="B16" i="18" s="1"/>
  <c r="B10" i="13"/>
  <c r="B12" i="13"/>
  <c r="B11" i="13"/>
  <c r="I4" i="10"/>
  <c r="I6" i="10" s="1"/>
  <c r="H4" i="18" s="1"/>
  <c r="E26" i="14" l="1"/>
  <c r="E27" i="14" s="1"/>
  <c r="E29" i="14" s="1"/>
  <c r="J19" i="18"/>
  <c r="J25" i="18" s="1"/>
  <c r="J20" i="18"/>
  <c r="D20" i="18"/>
  <c r="B30" i="18" s="1"/>
  <c r="D19" i="18"/>
  <c r="D25" i="18" s="1"/>
  <c r="I19" i="18"/>
  <c r="I20" i="18"/>
  <c r="I26" i="18" s="1"/>
  <c r="O19" i="18"/>
  <c r="O20" i="18"/>
  <c r="O26" i="18" s="1"/>
  <c r="P19" i="18"/>
  <c r="P25" i="18" s="1"/>
  <c r="P20" i="18"/>
  <c r="P26" i="18" s="1"/>
  <c r="G19" i="18"/>
  <c r="G20" i="18"/>
  <c r="G26" i="18" s="1"/>
  <c r="U20" i="18"/>
  <c r="U26" i="18" s="1"/>
  <c r="U19" i="18"/>
  <c r="M20" i="18"/>
  <c r="M19" i="18"/>
  <c r="M25" i="18" s="1"/>
  <c r="K19" i="18"/>
  <c r="K20" i="18"/>
  <c r="K26" i="18" s="1"/>
  <c r="L19" i="18"/>
  <c r="L20" i="18"/>
  <c r="L26" i="18" s="1"/>
  <c r="E19" i="18"/>
  <c r="E25" i="18" s="1"/>
  <c r="E20" i="18"/>
  <c r="E26" i="18" s="1"/>
  <c r="H20" i="18"/>
  <c r="H19" i="18"/>
  <c r="H25" i="18" s="1"/>
  <c r="R20" i="18"/>
  <c r="R19" i="18"/>
  <c r="R25" i="18" s="1"/>
  <c r="F19" i="18"/>
  <c r="F20" i="18"/>
  <c r="F26" i="18" s="1"/>
  <c r="T19" i="18"/>
  <c r="T25" i="18" s="1"/>
  <c r="T20" i="18"/>
  <c r="T26" i="18" s="1"/>
  <c r="N20" i="18"/>
  <c r="N19" i="18"/>
  <c r="N25" i="18" s="1"/>
  <c r="S19" i="18"/>
  <c r="S25" i="18" s="1"/>
  <c r="S20" i="18"/>
  <c r="S26" i="18" s="1"/>
  <c r="Q20" i="18"/>
  <c r="Q19" i="18"/>
  <c r="Q25" i="18" s="1"/>
  <c r="E28" i="14"/>
  <c r="F26" i="14" s="1"/>
  <c r="F27" i="14" s="1"/>
  <c r="C18" i="18"/>
  <c r="C24" i="18" s="1"/>
  <c r="D23" i="16"/>
  <c r="D27" i="16" s="1"/>
  <c r="D16" i="18" s="1"/>
  <c r="D21" i="16"/>
  <c r="D25" i="16" s="1"/>
  <c r="D14" i="18" s="1"/>
  <c r="D22" i="16"/>
  <c r="D26" i="16" s="1"/>
  <c r="D15" i="18" s="1"/>
  <c r="N26" i="18"/>
  <c r="Q26" i="18"/>
  <c r="J26" i="18"/>
  <c r="F25" i="18"/>
  <c r="M26" i="18"/>
  <c r="I25" i="18"/>
  <c r="O25" i="18"/>
  <c r="G25" i="18"/>
  <c r="U25" i="18"/>
  <c r="K25" i="18"/>
  <c r="L25" i="18"/>
  <c r="H26" i="18"/>
  <c r="R26" i="18"/>
  <c r="S31" i="16"/>
  <c r="S15" i="17"/>
  <c r="S30" i="16"/>
  <c r="S14" i="17"/>
  <c r="T30" i="16"/>
  <c r="T14" i="17"/>
  <c r="H4" i="17"/>
  <c r="H4" i="16"/>
  <c r="H11" i="16" s="1"/>
  <c r="H16" i="16" s="1"/>
  <c r="B31" i="16"/>
  <c r="B15" i="17"/>
  <c r="R31" i="16"/>
  <c r="R15" i="17"/>
  <c r="C29" i="16"/>
  <c r="C13" i="17"/>
  <c r="C17" i="17" s="1"/>
  <c r="U31" i="16"/>
  <c r="U15" i="17"/>
  <c r="T31" i="16"/>
  <c r="T15" i="17"/>
  <c r="R30" i="16"/>
  <c r="R14" i="17"/>
  <c r="U30" i="16"/>
  <c r="U14" i="17"/>
  <c r="E10" i="17"/>
  <c r="C27" i="16"/>
  <c r="C31" i="16" s="1"/>
  <c r="C26" i="16"/>
  <c r="C15" i="18" s="1"/>
  <c r="J4" i="10"/>
  <c r="J6" i="10" s="1"/>
  <c r="I4" i="18" s="1"/>
  <c r="D26" i="18" l="1"/>
  <c r="V26" i="18" s="1"/>
  <c r="C2" i="4" s="1"/>
  <c r="E23" i="16"/>
  <c r="E27" i="16" s="1"/>
  <c r="E16" i="18" s="1"/>
  <c r="E22" i="16"/>
  <c r="E26" i="16" s="1"/>
  <c r="E15" i="18" s="1"/>
  <c r="E21" i="16"/>
  <c r="E25" i="16" s="1"/>
  <c r="E14" i="18" s="1"/>
  <c r="E18" i="18" s="1"/>
  <c r="E24" i="18" s="1"/>
  <c r="D18" i="18"/>
  <c r="D24" i="18" s="1"/>
  <c r="E15" i="17"/>
  <c r="E31" i="16"/>
  <c r="V25" i="18"/>
  <c r="C3" i="4" s="1"/>
  <c r="G3" i="4" s="1"/>
  <c r="C15" i="17"/>
  <c r="C16" i="18"/>
  <c r="I4" i="17"/>
  <c r="I4" i="16"/>
  <c r="I11" i="16" s="1"/>
  <c r="I16" i="16" s="1"/>
  <c r="D29" i="16"/>
  <c r="D13" i="17"/>
  <c r="D17" i="17" s="1"/>
  <c r="D30" i="16"/>
  <c r="D14" i="17"/>
  <c r="C30" i="16"/>
  <c r="C14" i="17"/>
  <c r="D31" i="16"/>
  <c r="D15" i="17"/>
  <c r="F28" i="14"/>
  <c r="F10" i="17" s="1"/>
  <c r="F29" i="14"/>
  <c r="E18" i="17"/>
  <c r="E19" i="17"/>
  <c r="K4" i="10"/>
  <c r="K6" i="10" s="1"/>
  <c r="J4" i="18" s="1"/>
  <c r="E14" i="17" l="1"/>
  <c r="E30" i="16"/>
  <c r="G26" i="14"/>
  <c r="E13" i="17"/>
  <c r="E17" i="17" s="1"/>
  <c r="E29" i="16"/>
  <c r="G2" i="4"/>
  <c r="F2" i="4"/>
  <c r="J4" i="17"/>
  <c r="J4" i="16"/>
  <c r="J11" i="16" s="1"/>
  <c r="J16" i="16" s="1"/>
  <c r="G27" i="14"/>
  <c r="F22" i="16"/>
  <c r="F26" i="16" s="1"/>
  <c r="F15" i="18" s="1"/>
  <c r="F23" i="16"/>
  <c r="F21" i="16"/>
  <c r="F25" i="16" s="1"/>
  <c r="F14" i="18" s="1"/>
  <c r="F19" i="17"/>
  <c r="F18" i="17"/>
  <c r="L4" i="10"/>
  <c r="L6" i="10" s="1"/>
  <c r="K4" i="18" s="1"/>
  <c r="F18" i="18" l="1"/>
  <c r="F24" i="18" s="1"/>
  <c r="K4" i="17"/>
  <c r="K4" i="16"/>
  <c r="K11" i="16" s="1"/>
  <c r="K16" i="16" s="1"/>
  <c r="F29" i="16"/>
  <c r="F13" i="17"/>
  <c r="F17" i="17" s="1"/>
  <c r="F30" i="16"/>
  <c r="F14" i="17"/>
  <c r="F27" i="16"/>
  <c r="F16" i="18" s="1"/>
  <c r="G28" i="14"/>
  <c r="G10" i="17" s="1"/>
  <c r="G29" i="14"/>
  <c r="M4" i="10"/>
  <c r="M6" i="10" s="1"/>
  <c r="L4" i="18" s="1"/>
  <c r="H26" i="14" l="1"/>
  <c r="L4" i="17"/>
  <c r="L4" i="16"/>
  <c r="L11" i="16" s="1"/>
  <c r="L16" i="16" s="1"/>
  <c r="F31" i="16"/>
  <c r="F15" i="17"/>
  <c r="G22" i="16"/>
  <c r="G26" i="16" s="1"/>
  <c r="G15" i="18" s="1"/>
  <c r="G21" i="16"/>
  <c r="G23" i="16"/>
  <c r="G18" i="17"/>
  <c r="G19" i="17"/>
  <c r="H27" i="14"/>
  <c r="N4" i="10"/>
  <c r="N6" i="10" s="1"/>
  <c r="M4" i="18" s="1"/>
  <c r="M4" i="17" l="1"/>
  <c r="M4" i="16"/>
  <c r="M11" i="16" s="1"/>
  <c r="M16" i="16" s="1"/>
  <c r="G30" i="16"/>
  <c r="G14" i="17"/>
  <c r="H28" i="14"/>
  <c r="I26" i="14" s="1"/>
  <c r="H29" i="14"/>
  <c r="G27" i="16"/>
  <c r="G25" i="16"/>
  <c r="G14" i="18" s="1"/>
  <c r="O4" i="10"/>
  <c r="O6" i="10" s="1"/>
  <c r="N4" i="18" s="1"/>
  <c r="G18" i="18" l="1"/>
  <c r="G24" i="18" s="1"/>
  <c r="G15" i="17"/>
  <c r="G16" i="18"/>
  <c r="G29" i="16"/>
  <c r="G13" i="17"/>
  <c r="G17" i="17" s="1"/>
  <c r="G31" i="16"/>
  <c r="N4" i="17"/>
  <c r="N4" i="16"/>
  <c r="N11" i="16" s="1"/>
  <c r="N16" i="16" s="1"/>
  <c r="H21" i="16"/>
  <c r="H23" i="16"/>
  <c r="H22" i="16"/>
  <c r="H26" i="16" s="1"/>
  <c r="H15" i="18" s="1"/>
  <c r="H10" i="17"/>
  <c r="I27" i="14"/>
  <c r="P4" i="10"/>
  <c r="P6" i="10" s="1"/>
  <c r="O4" i="18" s="1"/>
  <c r="H30" i="16" l="1"/>
  <c r="H14" i="17"/>
  <c r="O4" i="17"/>
  <c r="O4" i="16"/>
  <c r="O11" i="16" s="1"/>
  <c r="O16" i="16" s="1"/>
  <c r="I28" i="14"/>
  <c r="J26" i="14" s="1"/>
  <c r="I29" i="14"/>
  <c r="H25" i="16"/>
  <c r="H14" i="18" s="1"/>
  <c r="H19" i="17"/>
  <c r="H18" i="17"/>
  <c r="H27" i="16"/>
  <c r="H16" i="18" s="1"/>
  <c r="Q4" i="10"/>
  <c r="H18" i="18" l="1"/>
  <c r="H24" i="18" s="1"/>
  <c r="Q6" i="10"/>
  <c r="P4" i="18" s="1"/>
  <c r="R4" i="10"/>
  <c r="H31" i="16"/>
  <c r="H15" i="17"/>
  <c r="H29" i="16"/>
  <c r="H13" i="17"/>
  <c r="H17" i="17" s="1"/>
  <c r="P4" i="17"/>
  <c r="I23" i="16"/>
  <c r="I27" i="16" s="1"/>
  <c r="I16" i="18" s="1"/>
  <c r="I21" i="16"/>
  <c r="I25" i="16" s="1"/>
  <c r="I14" i="18" s="1"/>
  <c r="I22" i="16"/>
  <c r="I10" i="17"/>
  <c r="J27" i="14"/>
  <c r="I18" i="18" l="1"/>
  <c r="I24" i="18" s="1"/>
  <c r="P4" i="16"/>
  <c r="P11" i="16" s="1"/>
  <c r="P16" i="16" s="1"/>
  <c r="S4" i="10"/>
  <c r="R6" i="10"/>
  <c r="I29" i="16"/>
  <c r="I13" i="17"/>
  <c r="I17" i="17" s="1"/>
  <c r="I31" i="16"/>
  <c r="I15" i="17"/>
  <c r="I19" i="17"/>
  <c r="I18" i="17"/>
  <c r="I26" i="16"/>
  <c r="I15" i="18" s="1"/>
  <c r="J28" i="14"/>
  <c r="K26" i="14" s="1"/>
  <c r="J29" i="14"/>
  <c r="Q4" i="18" l="1"/>
  <c r="Q4" i="16"/>
  <c r="Q11" i="16" s="1"/>
  <c r="Q16" i="16" s="1"/>
  <c r="Q4" i="17"/>
  <c r="T4" i="10"/>
  <c r="S6" i="10"/>
  <c r="I30" i="16"/>
  <c r="I14" i="17"/>
  <c r="J22" i="16"/>
  <c r="J26" i="16" s="1"/>
  <c r="J15" i="18" s="1"/>
  <c r="J21" i="16"/>
  <c r="J25" i="16" s="1"/>
  <c r="J14" i="18" s="1"/>
  <c r="J23" i="16"/>
  <c r="J27" i="16" s="1"/>
  <c r="J16" i="18" s="1"/>
  <c r="J10" i="17"/>
  <c r="K27" i="14"/>
  <c r="J18" i="18" l="1"/>
  <c r="J24" i="18" s="1"/>
  <c r="U4" i="10"/>
  <c r="T6" i="10"/>
  <c r="R4" i="18"/>
  <c r="R4" i="16"/>
  <c r="R11" i="16" s="1"/>
  <c r="R16" i="16" s="1"/>
  <c r="R21" i="16" s="1"/>
  <c r="R4" i="17"/>
  <c r="J31" i="16"/>
  <c r="J15" i="17"/>
  <c r="J29" i="16"/>
  <c r="J13" i="17"/>
  <c r="J17" i="17" s="1"/>
  <c r="J30" i="16"/>
  <c r="J14" i="17"/>
  <c r="J18" i="17"/>
  <c r="J19" i="17"/>
  <c r="K28" i="14"/>
  <c r="K10" i="17" s="1"/>
  <c r="K29" i="14"/>
  <c r="L26" i="14" l="1"/>
  <c r="R25" i="16"/>
  <c r="R29" i="16" s="1"/>
  <c r="S4" i="18"/>
  <c r="S4" i="16"/>
  <c r="S11" i="16" s="1"/>
  <c r="S16" i="16" s="1"/>
  <c r="S21" i="16" s="1"/>
  <c r="S4" i="17"/>
  <c r="V4" i="10"/>
  <c r="V6" i="10" s="1"/>
  <c r="U6" i="10"/>
  <c r="L27" i="14"/>
  <c r="K23" i="16"/>
  <c r="K21" i="16"/>
  <c r="K25" i="16" s="1"/>
  <c r="K14" i="18" s="1"/>
  <c r="K22" i="16"/>
  <c r="K26" i="16" s="1"/>
  <c r="K15" i="18" s="1"/>
  <c r="K19" i="17"/>
  <c r="K18" i="17"/>
  <c r="K18" i="18" l="1"/>
  <c r="K24" i="18" s="1"/>
  <c r="T4" i="18"/>
  <c r="T4" i="16"/>
  <c r="T11" i="16" s="1"/>
  <c r="T16" i="16" s="1"/>
  <c r="T21" i="16" s="1"/>
  <c r="T4" i="17"/>
  <c r="U4" i="18"/>
  <c r="U4" i="16"/>
  <c r="U11" i="16" s="1"/>
  <c r="U16" i="16" s="1"/>
  <c r="U21" i="16" s="1"/>
  <c r="U4" i="17"/>
  <c r="S25" i="16"/>
  <c r="R14" i="18"/>
  <c r="R13" i="17"/>
  <c r="R17" i="17" s="1"/>
  <c r="K29" i="16"/>
  <c r="K13" i="17"/>
  <c r="K17" i="17" s="1"/>
  <c r="K30" i="16"/>
  <c r="K14" i="17"/>
  <c r="K27" i="16"/>
  <c r="K16" i="18" s="1"/>
  <c r="L29" i="14"/>
  <c r="L28" i="14"/>
  <c r="L10" i="17" s="1"/>
  <c r="M26" i="14" l="1"/>
  <c r="M27" i="14" s="1"/>
  <c r="R18" i="18"/>
  <c r="R24" i="18" s="1"/>
  <c r="S14" i="18"/>
  <c r="S13" i="17"/>
  <c r="S17" i="17" s="1"/>
  <c r="U25" i="16"/>
  <c r="U29" i="16" s="1"/>
  <c r="T25" i="16"/>
  <c r="T29" i="16" s="1"/>
  <c r="S29" i="16"/>
  <c r="K31" i="16"/>
  <c r="K15" i="17"/>
  <c r="L19" i="17"/>
  <c r="L18" i="17"/>
  <c r="L21" i="16"/>
  <c r="L22" i="16"/>
  <c r="L26" i="16" s="1"/>
  <c r="L15" i="18" s="1"/>
  <c r="L23" i="16"/>
  <c r="L27" i="16" s="1"/>
  <c r="L16" i="18" s="1"/>
  <c r="S18" i="18" l="1"/>
  <c r="S24" i="18" s="1"/>
  <c r="U14" i="18"/>
  <c r="U13" i="17"/>
  <c r="U17" i="17" s="1"/>
  <c r="T14" i="18"/>
  <c r="T13" i="17"/>
  <c r="T17" i="17" s="1"/>
  <c r="L30" i="16"/>
  <c r="L14" i="17"/>
  <c r="L31" i="16"/>
  <c r="L15" i="17"/>
  <c r="L25" i="16"/>
  <c r="L14" i="18" s="1"/>
  <c r="M29" i="14"/>
  <c r="M28" i="14"/>
  <c r="N26" i="14" s="1"/>
  <c r="L18" i="18" l="1"/>
  <c r="L24" i="18" s="1"/>
  <c r="U18" i="18"/>
  <c r="U24" i="18" s="1"/>
  <c r="T18" i="18"/>
  <c r="T24" i="18" s="1"/>
  <c r="L29" i="16"/>
  <c r="L13" i="17"/>
  <c r="L17" i="17" s="1"/>
  <c r="M22" i="16"/>
  <c r="M26" i="16" s="1"/>
  <c r="M15" i="18" s="1"/>
  <c r="M23" i="16"/>
  <c r="M27" i="16" s="1"/>
  <c r="M16" i="18" s="1"/>
  <c r="M21" i="16"/>
  <c r="N27" i="14"/>
  <c r="M10" i="17"/>
  <c r="M31" i="16" l="1"/>
  <c r="M15" i="17"/>
  <c r="M30" i="16"/>
  <c r="M14" i="17"/>
  <c r="M25" i="16"/>
  <c r="M14" i="18" s="1"/>
  <c r="M19" i="17"/>
  <c r="M18" i="17"/>
  <c r="N28" i="14"/>
  <c r="N10" i="17" s="1"/>
  <c r="N29" i="14"/>
  <c r="O26" i="14" l="1"/>
  <c r="M18" i="18"/>
  <c r="M24" i="18" s="1"/>
  <c r="M29" i="16"/>
  <c r="M13" i="17"/>
  <c r="M17" i="17" s="1"/>
  <c r="O27" i="14"/>
  <c r="N21" i="16"/>
  <c r="N25" i="16" s="1"/>
  <c r="N14" i="18" s="1"/>
  <c r="N22" i="16"/>
  <c r="N26" i="16" s="1"/>
  <c r="N15" i="18" s="1"/>
  <c r="N23" i="16"/>
  <c r="N27" i="16" s="1"/>
  <c r="N16" i="18" s="1"/>
  <c r="N19" i="17"/>
  <c r="N18" i="17"/>
  <c r="O29" i="14" l="1"/>
  <c r="N18" i="18"/>
  <c r="N24" i="18" s="1"/>
  <c r="O28" i="14"/>
  <c r="O10" i="17" s="1"/>
  <c r="O19" i="17" s="1"/>
  <c r="N31" i="16"/>
  <c r="N15" i="17"/>
  <c r="N30" i="16"/>
  <c r="N14" i="17"/>
  <c r="N29" i="16"/>
  <c r="N13" i="17"/>
  <c r="N17" i="17" s="1"/>
  <c r="O23" i="16"/>
  <c r="O22" i="16"/>
  <c r="O26" i="16" s="1"/>
  <c r="O15" i="18" s="1"/>
  <c r="O21" i="16"/>
  <c r="O25" i="16" s="1"/>
  <c r="O14" i="18" s="1"/>
  <c r="P26" i="14" l="1"/>
  <c r="P27" i="14" s="1"/>
  <c r="O18" i="18"/>
  <c r="O24" i="18" s="1"/>
  <c r="O18" i="17"/>
  <c r="O29" i="16"/>
  <c r="O13" i="17"/>
  <c r="O17" i="17" s="1"/>
  <c r="B21" i="17" s="1"/>
  <c r="O30" i="16"/>
  <c r="O14" i="17"/>
  <c r="O27" i="16"/>
  <c r="O16" i="18" s="1"/>
  <c r="P29" i="14" l="1"/>
  <c r="P22" i="16" s="1"/>
  <c r="P26" i="16" s="1"/>
  <c r="P15" i="18" s="1"/>
  <c r="P28" i="14"/>
  <c r="Q26" i="14" s="1"/>
  <c r="O31" i="16"/>
  <c r="O15" i="17"/>
  <c r="P21" i="16" l="1"/>
  <c r="P25" i="16" s="1"/>
  <c r="P14" i="18" s="1"/>
  <c r="P18" i="18" s="1"/>
  <c r="P24" i="18" s="1"/>
  <c r="P23" i="16"/>
  <c r="P27" i="16" s="1"/>
  <c r="P16" i="18" s="1"/>
  <c r="P13" i="17"/>
  <c r="P29" i="16"/>
  <c r="P10" i="17"/>
  <c r="Q27" i="14"/>
  <c r="P30" i="16"/>
  <c r="P14" i="17"/>
  <c r="P15" i="17"/>
  <c r="P31" i="16" l="1"/>
  <c r="P17" i="17"/>
  <c r="Q29" i="14"/>
  <c r="Q28" i="14"/>
  <c r="Q10" i="17" s="1"/>
  <c r="P18" i="17"/>
  <c r="P19" i="17"/>
  <c r="Q18" i="17" l="1"/>
  <c r="B22" i="17" s="1"/>
  <c r="Q19" i="17"/>
  <c r="B23" i="17" s="1"/>
  <c r="Q22" i="16"/>
  <c r="Q23" i="16"/>
  <c r="Q21" i="16"/>
  <c r="Q26" i="16" l="1"/>
  <c r="Q30" i="16" s="1"/>
  <c r="Q25" i="16"/>
  <c r="Q29" i="16" s="1"/>
  <c r="Q27" i="16"/>
  <c r="Q31" i="16" s="1"/>
  <c r="F4" i="4" l="1"/>
  <c r="F3" i="4"/>
  <c r="Q14" i="18"/>
  <c r="Q13" i="17"/>
  <c r="Q17" i="17" s="1"/>
  <c r="Q16" i="18"/>
  <c r="Q15" i="17"/>
  <c r="Q15" i="18"/>
  <c r="Q14" i="17"/>
  <c r="Q18" i="18" l="1"/>
  <c r="Q24" i="18" s="1"/>
  <c r="V24" i="18" s="1"/>
  <c r="C4" i="4" s="1"/>
  <c r="C5" i="4" l="1"/>
  <c r="G4" i="4"/>
  <c r="G5" i="4" s="1"/>
</calcChain>
</file>

<file path=xl/comments1.xml><?xml version="1.0" encoding="utf-8"?>
<comments xmlns="http://schemas.openxmlformats.org/spreadsheetml/2006/main">
  <authors>
    <author>Автор</author>
  </authors>
  <commentList>
    <comment ref="A2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Налоговая льгота</t>
        </r>
      </text>
    </comment>
  </commentList>
</comments>
</file>

<file path=xl/comments10.xml><?xml version="1.0" encoding="utf-8"?>
<comments xmlns="http://schemas.openxmlformats.org/spreadsheetml/2006/main">
  <authors>
    <author>Автор</author>
  </authors>
  <commentList>
    <comment ref="B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
Введена только 1я очередь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Налоговая льгота</t>
        </r>
      </text>
    </comment>
  </commentList>
</comments>
</file>

<file path=xl/comments11.xml><?xml version="1.0" encoding="utf-8"?>
<comments xmlns="http://schemas.openxmlformats.org/spreadsheetml/2006/main">
  <authors>
    <author>Автор</author>
  </authors>
  <commentList>
    <comment ref="A1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Налоговая льгота</t>
        </r>
      </text>
    </comment>
  </commentList>
</comments>
</file>

<file path=xl/comments12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Net Present Value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Payback Period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Discounted Payback Period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Internal Rate of Return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Profitability Index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Налоговая льгота</t>
        </r>
      </text>
    </comment>
  </commentList>
</comments>
</file>

<file path=xl/comments3.xml><?xml version="1.0" encoding="utf-8"?>
<comments xmlns="http://schemas.openxmlformats.org/spreadsheetml/2006/main">
  <authors>
    <author>Автор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</commentList>
</comments>
</file>

<file path=xl/comments4.xml><?xml version="1.0" encoding="utf-8"?>
<comments xmlns="http://schemas.openxmlformats.org/spreadsheetml/2006/main">
  <authors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Первичная оценка жизнеспособности</t>
        </r>
      </text>
    </comment>
  </commentList>
</comments>
</file>

<file path=xl/comments5.xml><?xml version="1.0" encoding="utf-8"?>
<comments xmlns="http://schemas.openxmlformats.org/spreadsheetml/2006/main">
  <authors>
    <author>Автор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Постановление Правительства РФ от 27 декабря 2010 года № 1172, а также  в Договоре о присоединении к торговой системе оптового рынка</t>
        </r>
      </text>
    </comment>
  </commentList>
</comments>
</file>

<file path=xl/comments6.xml><?xml version="1.0" encoding="utf-8"?>
<comments xmlns="http://schemas.openxmlformats.org/spreadsheetml/2006/main">
  <authors>
    <author>Автор</author>
  </authors>
  <commentLis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Денежные расходы на персонал в месяц</t>
        </r>
      </text>
    </comment>
  </commentList>
</comments>
</file>

<file path=xl/comments7.xml><?xml version="1.0" encoding="utf-8"?>
<comments xmlns="http://schemas.openxmlformats.org/spreadsheetml/2006/main">
  <authors>
    <author>Автор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Земля в муниципальной собственности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Контракт с подрядчиков по результатам тендра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Транзакционные издержки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 блоке 2 ряда по 40 панелей, 14 колонн блоков, 23 шеренги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Панель 250 Вт Centrosolar (Германия) - Солнечные батареи (панели) S-Class Excellent, произведенные в Германии на фабрике Centrosolar Sonnestromfabrik GmbH - надежный и долговечный генератор электроэнергии</t>
        </r>
      </text>
    </comment>
  </commentList>
</comments>
</file>

<file path=xl/comments8.xml><?xml version="1.0" encoding="utf-8"?>
<comments xmlns="http://schemas.openxmlformats.org/spreadsheetml/2006/main">
  <authors>
    <author>Автор</author>
  </authors>
  <commentList>
    <comment ref="A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Под залог имущества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Солнечные панели + улучшения капитального фонда</t>
        </r>
      </text>
    </comment>
  </commentList>
</comments>
</file>

<file path=xl/comments9.xml><?xml version="1.0" encoding="utf-8"?>
<comments xmlns="http://schemas.openxmlformats.org/spreadsheetml/2006/main">
  <authors>
    <author>Автор</author>
  </authors>
  <commentList>
    <comment ref="A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Индексация по уровню инфляции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Стоимость электроэнергии индексируется ниже инфляции</t>
        </r>
      </text>
    </comment>
  </commentList>
</comments>
</file>

<file path=xl/sharedStrings.xml><?xml version="1.0" encoding="utf-8"?>
<sst xmlns="http://schemas.openxmlformats.org/spreadsheetml/2006/main" count="267" uniqueCount="185">
  <si>
    <t>Ключевые предпосылки</t>
  </si>
  <si>
    <t>Данные по Калмыкии</t>
  </si>
  <si>
    <t>Данные по России</t>
  </si>
  <si>
    <t>https://www.energo-konsultant.ru/sprav/energosnabzheni</t>
  </si>
  <si>
    <t>Специалисты 1 категории</t>
  </si>
  <si>
    <t>№ грейда</t>
  </si>
  <si>
    <t>Специалисты 2 категории</t>
  </si>
  <si>
    <t>Сотрудник обслуживания</t>
  </si>
  <si>
    <t>Размер мес. оклада</t>
  </si>
  <si>
    <t>Кол. сотр.</t>
  </si>
  <si>
    <t>NPV</t>
  </si>
  <si>
    <t>IRR</t>
  </si>
  <si>
    <t>Мес.расх.</t>
  </si>
  <si>
    <t>PI</t>
  </si>
  <si>
    <t>Сценарий 1, пессимистичный</t>
  </si>
  <si>
    <t>Сценарий 2, вероятный</t>
  </si>
  <si>
    <t>Сценарий 3, оптимистичный</t>
  </si>
  <si>
    <t>Коэффициент энергетического резерва</t>
  </si>
  <si>
    <t>Расстояние Элиста - Яшкуль</t>
  </si>
  <si>
    <t>90 км</t>
  </si>
  <si>
    <t>Вероятность сценария</t>
  </si>
  <si>
    <t>Совокупные затраты на проект</t>
  </si>
  <si>
    <t>Солнечные панели, тип</t>
  </si>
  <si>
    <t>Цена за ед.</t>
  </si>
  <si>
    <t>Кол-во</t>
  </si>
  <si>
    <t>Стоимость</t>
  </si>
  <si>
    <t>Курс доллара к рублю</t>
  </si>
  <si>
    <t>Курс евро к рублю</t>
  </si>
  <si>
    <t>Наименование проекта ВИЭ</t>
  </si>
  <si>
    <t>Вид генерирующего объекта</t>
  </si>
  <si>
    <t>Плановый год начала поставки мощности</t>
  </si>
  <si>
    <t>Наименование участника оптового рынка</t>
  </si>
  <si>
    <t>пос. Яшкуль, Республика Калмыкия, РФ</t>
  </si>
  <si>
    <t>Объект солнечной генерации</t>
  </si>
  <si>
    <t>Проектная мощность, МВт</t>
  </si>
  <si>
    <t>Местонахождение объекта</t>
  </si>
  <si>
    <t>Синхронизация с ЕЭС РФ</t>
  </si>
  <si>
    <t>Цель проекта</t>
  </si>
  <si>
    <t>Продажа электроэнергии на оптовый рынок (ОРЭМ)</t>
  </si>
  <si>
    <t>Правила оптового рынка электроэнергии</t>
  </si>
  <si>
    <t>Ценовая зона</t>
  </si>
  <si>
    <t>I</t>
  </si>
  <si>
    <t>Средняя цена продажи 1 кВт.ч на ОРЭМ</t>
  </si>
  <si>
    <t>Социальный пакет</t>
  </si>
  <si>
    <t>Взносы на соц. страх.</t>
  </si>
  <si>
    <t>Инвестиционный проект строительства солнечной электростанции "Яшкульская СЭС"</t>
  </si>
  <si>
    <t>Сетевая инфраструктура</t>
  </si>
  <si>
    <t>Земельные работы</t>
  </si>
  <si>
    <t>Проектные работы</t>
  </si>
  <si>
    <t>Контроллерное оборудование</t>
  </si>
  <si>
    <t>Процедуры введения в эксплуатацию</t>
  </si>
  <si>
    <t>Коммерческие и юридические расходы</t>
  </si>
  <si>
    <t>Покупка земли, га</t>
  </si>
  <si>
    <t>Подстанция</t>
  </si>
  <si>
    <t>Строительство подсобных помещений</t>
  </si>
  <si>
    <t>Инверторные станции</t>
  </si>
  <si>
    <t>Коэффициент использования установленной мощности (КИУМ) </t>
  </si>
  <si>
    <t>Тип солнечной батареи</t>
  </si>
  <si>
    <t>Мощность элемента, Вт</t>
  </si>
  <si>
    <t>Количество элементов в блоке</t>
  </si>
  <si>
    <t>Страна происхождения</t>
  </si>
  <si>
    <t>Германия</t>
  </si>
  <si>
    <t>Наименование производителя</t>
  </si>
  <si>
    <t>Centrosolar Sonnestromfabrik GmbH</t>
  </si>
  <si>
    <t>Панель 245 Вт Centrosolar S-Class Excellent</t>
  </si>
  <si>
    <t>Мощность блока, Вт</t>
  </si>
  <si>
    <t>Рядов блоков</t>
  </si>
  <si>
    <t>Колонн блоков</t>
  </si>
  <si>
    <t>Итого блоков</t>
  </si>
  <si>
    <t>Итого мощность станции, Вт</t>
  </si>
  <si>
    <t>Длина станции, м</t>
  </si>
  <si>
    <t>Ширина станции, м</t>
  </si>
  <si>
    <t>Площадь станции, га</t>
  </si>
  <si>
    <t>Общество с ограниченной ответственностью "Яшкульская генерирующая компания" (ООО "ЯшГК")</t>
  </si>
  <si>
    <t>Геометрический рост инфляции, в квартал</t>
  </si>
  <si>
    <t>Себестоимость</t>
  </si>
  <si>
    <t>Валовая прибыль</t>
  </si>
  <si>
    <t>Прочее сальдо</t>
  </si>
  <si>
    <t>Операционная прибыль</t>
  </si>
  <si>
    <t>Налоги</t>
  </si>
  <si>
    <t>Число солнечных дней в году</t>
  </si>
  <si>
    <t>Число дне в году</t>
  </si>
  <si>
    <t>Работа в сутки</t>
  </si>
  <si>
    <t>Часов в год</t>
  </si>
  <si>
    <t>Выработка в год, кВт/ч</t>
  </si>
  <si>
    <t>Итого мощность станции, кВт</t>
  </si>
  <si>
    <t>Годовая выработка, кВт.ч</t>
  </si>
  <si>
    <t>Объем установленной мощности, МВт</t>
  </si>
  <si>
    <t>Фактически генерируемая мощность, МВт</t>
  </si>
  <si>
    <t>Годовая выработка, план кВт/ч</t>
  </si>
  <si>
    <t>Прогноз выручки</t>
  </si>
  <si>
    <t>Реальный рост цен</t>
  </si>
  <si>
    <t>Срок проекта</t>
  </si>
  <si>
    <t>Оптимистичный сценарий</t>
  </si>
  <si>
    <t>Вероятный сценарий</t>
  </si>
  <si>
    <t>Пессимистичный сценарий</t>
  </si>
  <si>
    <t>Итог за месяц</t>
  </si>
  <si>
    <t>Итог за год</t>
  </si>
  <si>
    <t>Реальные показатели</t>
  </si>
  <si>
    <t>Выручка</t>
  </si>
  <si>
    <t>Оплата труда</t>
  </si>
  <si>
    <t>Срок амортизации, лет</t>
  </si>
  <si>
    <t>WACC</t>
  </si>
  <si>
    <t>Rсоб</t>
  </si>
  <si>
    <t>Rкред</t>
  </si>
  <si>
    <t>Собственные средства</t>
  </si>
  <si>
    <t>Краткосрочный кредит</t>
  </si>
  <si>
    <t>Инвестиционный кредит</t>
  </si>
  <si>
    <t>Вес собст.средств</t>
  </si>
  <si>
    <t>Вес заемн.средств</t>
  </si>
  <si>
    <t>Ставка налога на прибыль</t>
  </si>
  <si>
    <t>Плата за кредит</t>
  </si>
  <si>
    <t>Комментарии</t>
  </si>
  <si>
    <t>Инвестиционная фаза</t>
  </si>
  <si>
    <t>Операционная фаза</t>
  </si>
  <si>
    <t>Чистая прибыль</t>
  </si>
  <si>
    <t>Годовая амортизация</t>
  </si>
  <si>
    <t>Опт. Сценарий</t>
  </si>
  <si>
    <t>Реал. Сценарий</t>
  </si>
  <si>
    <t>Песс. Сценарий</t>
  </si>
  <si>
    <t>Ежегодная плата за кредит</t>
  </si>
  <si>
    <t>Прибыль до налогов</t>
  </si>
  <si>
    <t>Рабочие</t>
  </si>
  <si>
    <t>Админ.</t>
  </si>
  <si>
    <t>Менеджер 1 категории</t>
  </si>
  <si>
    <t>Менеджер 2 категории</t>
  </si>
  <si>
    <t>Директор объекта</t>
  </si>
  <si>
    <t>База</t>
  </si>
  <si>
    <t>Строительные работы, включая наладку</t>
  </si>
  <si>
    <t>Промышленный накопитель энергии</t>
  </si>
  <si>
    <t>CashINFLOW</t>
  </si>
  <si>
    <t>CashOUTFLOW</t>
  </si>
  <si>
    <t>CapEx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</si>
  <si>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NWC</t>
    </r>
  </si>
  <si>
    <t>К-т текущего аннуитета</t>
  </si>
  <si>
    <t>Целевой показатель</t>
  </si>
  <si>
    <t>Фактический показатель</t>
  </si>
  <si>
    <t>Амортизация</t>
  </si>
  <si>
    <t>№п/п</t>
  </si>
  <si>
    <t>Срок кредита, лет</t>
  </si>
  <si>
    <t>Условия кредита</t>
  </si>
  <si>
    <t>Тип кредита</t>
  </si>
  <si>
    <t>Инвестиционный</t>
  </si>
  <si>
    <t>Залог</t>
  </si>
  <si>
    <t>ОС</t>
  </si>
  <si>
    <t>Выплаты по кредиту</t>
  </si>
  <si>
    <t>ежегодно</t>
  </si>
  <si>
    <t>Ставка, % годовых</t>
  </si>
  <si>
    <t>Предпосылки</t>
  </si>
  <si>
    <t>Показатель</t>
  </si>
  <si>
    <t>Размер</t>
  </si>
  <si>
    <t>Размер долга</t>
  </si>
  <si>
    <t>Долг</t>
  </si>
  <si>
    <t>Долг + %</t>
  </si>
  <si>
    <t>Погашение долга и проц</t>
  </si>
  <si>
    <t>Количество раундов</t>
  </si>
  <si>
    <t>%% + погаш.долга</t>
  </si>
  <si>
    <t>NetCashFlow</t>
  </si>
  <si>
    <t>20 лет</t>
  </si>
  <si>
    <t>Раунды кредита</t>
  </si>
  <si>
    <t>Фотоэлементов к покупке</t>
  </si>
  <si>
    <t>%% по кредиту</t>
  </si>
  <si>
    <t>2 очереди: первая в 2018 году, вторая -2019</t>
  </si>
  <si>
    <t>%%</t>
  </si>
  <si>
    <t>ROE по энергетике</t>
  </si>
  <si>
    <t>Beta по энергетике</t>
  </si>
  <si>
    <t>Cost of equity</t>
  </si>
  <si>
    <t>MRP в России</t>
  </si>
  <si>
    <t>Country RP в России</t>
  </si>
  <si>
    <t>Rfree в России, 20л</t>
  </si>
  <si>
    <t>Год проекта</t>
  </si>
  <si>
    <t>∆D</t>
  </si>
  <si>
    <t>Коэф-т дисконтирования</t>
  </si>
  <si>
    <t>PP, лет</t>
  </si>
  <si>
    <t>Взвешенный сценарий</t>
  </si>
  <si>
    <t>Сценарии</t>
  </si>
  <si>
    <t>Премии за риск, Дамодаран</t>
  </si>
  <si>
    <t>Итог</t>
  </si>
  <si>
    <t>Прогнозный период, лет</t>
  </si>
  <si>
    <t>-</t>
  </si>
  <si>
    <t>DPP, лет</t>
  </si>
  <si>
    <t>ПОЖ</t>
  </si>
  <si>
    <t>Условия жизнеспособности</t>
  </si>
  <si>
    <t>Количество солнечных дней в году</t>
  </si>
  <si>
    <t>Себестоимость квт-ч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</si>
</sst>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₽&quot;_-;\-* #,##0.00\ &quot;₽&quot;_-;_-* &quot;-&quot;??\ &quot;₽&quot;_-;_-@_-"/>
    <numFmt numFmtId="164" formatCode="#,##0.00\ &quot;₽&quot;"/>
    <numFmt numFmtId="165" formatCode="0.000"/>
    <numFmt numFmtId="166" formatCode="#,##0\ &quot;₽&quot;"/>
    <numFmt numFmtId="167" formatCode="_-* #,##0\ &quot;₽&quot;_-;\-* #,##0\ &quot;₽&quot;_-;_-* &quot;-&quot;??\ &quot;₽&quot;_-;_-@_-"/>
    <numFmt numFmtId="168" formatCode="0.0000%"/>
    <numFmt numFmtId="169" formatCode="0.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7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textRotation="90"/>
    </xf>
    <xf numFmtId="164" fontId="0" fillId="0" borderId="0" xfId="0" applyNumberFormat="1"/>
    <xf numFmtId="0" fontId="0" fillId="0" borderId="0" xfId="0" applyAlignment="1">
      <alignment wrapText="1"/>
    </xf>
    <xf numFmtId="0" fontId="7" fillId="0" borderId="0" xfId="0" applyFont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top" wrapText="1"/>
    </xf>
    <xf numFmtId="9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/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2" fontId="7" fillId="0" borderId="1" xfId="0" applyNumberFormat="1" applyFont="1" applyBorder="1"/>
    <xf numFmtId="0" fontId="0" fillId="4" borderId="0" xfId="0" applyFill="1"/>
    <xf numFmtId="0" fontId="5" fillId="0" borderId="0" xfId="0" applyFont="1"/>
    <xf numFmtId="3" fontId="7" fillId="0" borderId="1" xfId="0" applyNumberFormat="1" applyFont="1" applyBorder="1"/>
    <xf numFmtId="2" fontId="0" fillId="0" borderId="0" xfId="0" applyNumberFormat="1"/>
    <xf numFmtId="3" fontId="0" fillId="0" borderId="0" xfId="0" applyNumberFormat="1"/>
    <xf numFmtId="166" fontId="0" fillId="0" borderId="0" xfId="0" applyNumberFormat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8" borderId="0" xfId="0" applyFill="1"/>
    <xf numFmtId="2" fontId="7" fillId="0" borderId="1" xfId="0" applyNumberFormat="1" applyFont="1" applyFill="1" applyBorder="1"/>
    <xf numFmtId="164" fontId="2" fillId="0" borderId="0" xfId="0" applyNumberFormat="1" applyFont="1" applyAlignment="1">
      <alignment horizontal="center" vertical="center"/>
    </xf>
    <xf numFmtId="0" fontId="2" fillId="0" borderId="1" xfId="0" applyFont="1" applyFill="1" applyBorder="1"/>
    <xf numFmtId="0" fontId="0" fillId="9" borderId="0" xfId="0" applyFill="1"/>
    <xf numFmtId="0" fontId="0" fillId="0" borderId="0" xfId="0" applyAlignment="1">
      <alignment horizontal="right"/>
    </xf>
    <xf numFmtId="166" fontId="0" fillId="4" borderId="0" xfId="0" applyNumberFormat="1" applyFill="1"/>
    <xf numFmtId="166" fontId="0" fillId="7" borderId="0" xfId="0" applyNumberFormat="1" applyFill="1"/>
    <xf numFmtId="166" fontId="0" fillId="6" borderId="0" xfId="0" applyNumberFormat="1" applyFill="1"/>
    <xf numFmtId="166" fontId="0" fillId="8" borderId="0" xfId="0" applyNumberFormat="1" applyFill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10" borderId="0" xfId="0" applyFill="1"/>
    <xf numFmtId="167" fontId="0" fillId="0" borderId="0" xfId="0" applyNumberFormat="1"/>
    <xf numFmtId="0" fontId="2" fillId="9" borderId="0" xfId="0" applyFont="1" applyFill="1" applyAlignment="1">
      <alignment horizontal="center"/>
    </xf>
    <xf numFmtId="0" fontId="0" fillId="0" borderId="0" xfId="0" applyNumberFormat="1"/>
    <xf numFmtId="166" fontId="0" fillId="0" borderId="0" xfId="0" applyNumberFormat="1" applyFill="1"/>
    <xf numFmtId="0" fontId="10" fillId="0" borderId="1" xfId="0" applyFont="1" applyFill="1" applyBorder="1"/>
    <xf numFmtId="166" fontId="0" fillId="0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0" fillId="0" borderId="0" xfId="0" applyFill="1" applyBorder="1"/>
    <xf numFmtId="166" fontId="0" fillId="0" borderId="0" xfId="0" applyNumberFormat="1" applyFill="1" applyBorder="1"/>
    <xf numFmtId="0" fontId="10" fillId="0" borderId="0" xfId="0" applyFont="1" applyFill="1" applyBorder="1"/>
    <xf numFmtId="0" fontId="0" fillId="0" borderId="0" xfId="0" applyFont="1" applyFill="1" applyBorder="1"/>
    <xf numFmtId="166" fontId="0" fillId="0" borderId="0" xfId="0" applyNumberFormat="1" applyFont="1" applyFill="1" applyBorder="1"/>
    <xf numFmtId="0" fontId="0" fillId="0" borderId="1" xfId="0" applyFont="1" applyBorder="1"/>
    <xf numFmtId="166" fontId="0" fillId="10" borderId="0" xfId="0" applyNumberFormat="1" applyFill="1"/>
    <xf numFmtId="0" fontId="0" fillId="10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169" fontId="0" fillId="0" borderId="0" xfId="0" applyNumberFormat="1"/>
    <xf numFmtId="167" fontId="0" fillId="5" borderId="0" xfId="0" applyNumberFormat="1" applyFill="1"/>
    <xf numFmtId="44" fontId="0" fillId="0" borderId="0" xfId="0" applyNumberFormat="1"/>
    <xf numFmtId="0" fontId="2" fillId="0" borderId="0" xfId="0" applyFont="1"/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0" fillId="0" borderId="1" xfId="0" applyFont="1" applyFill="1" applyBorder="1"/>
    <xf numFmtId="10" fontId="0" fillId="0" borderId="1" xfId="0" applyNumberFormat="1" applyFont="1" applyFill="1" applyBorder="1"/>
    <xf numFmtId="168" fontId="0" fillId="0" borderId="1" xfId="0" applyNumberFormat="1" applyFont="1" applyFill="1" applyBorder="1"/>
    <xf numFmtId="10" fontId="13" fillId="0" borderId="1" xfId="1" applyNumberFormat="1" applyFont="1" applyFill="1" applyBorder="1" applyAlignment="1">
      <alignment horizontal="right"/>
    </xf>
    <xf numFmtId="10" fontId="13" fillId="0" borderId="1" xfId="0" applyNumberFormat="1" applyFont="1" applyFill="1" applyBorder="1" applyAlignment="1">
      <alignment horizontal="right"/>
    </xf>
    <xf numFmtId="2" fontId="12" fillId="0" borderId="1" xfId="2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4" fontId="0" fillId="0" borderId="1" xfId="0" applyNumberFormat="1" applyBorder="1"/>
    <xf numFmtId="164" fontId="0" fillId="0" borderId="1" xfId="0" applyNumberFormat="1" applyFill="1" applyBorder="1"/>
    <xf numFmtId="0" fontId="0" fillId="7" borderId="1" xfId="0" applyFill="1" applyBorder="1"/>
    <xf numFmtId="0" fontId="0" fillId="0" borderId="1" xfId="0" applyFill="1" applyBorder="1"/>
    <xf numFmtId="164" fontId="2" fillId="0" borderId="1" xfId="0" applyNumberFormat="1" applyFont="1" applyBorder="1"/>
    <xf numFmtId="166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/>
    </xf>
    <xf numFmtId="0" fontId="2" fillId="11" borderId="0" xfId="0" applyFont="1" applyFill="1" applyAlignment="1">
      <alignment horizontal="center"/>
    </xf>
    <xf numFmtId="0" fontId="8" fillId="12" borderId="0" xfId="0" applyFont="1" applyFill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 applyAlignment="1">
      <alignment textRotation="90"/>
    </xf>
    <xf numFmtId="0" fontId="0" fillId="0" borderId="1" xfId="0" applyBorder="1" applyAlignment="1">
      <alignment horizontal="center" textRotation="90"/>
    </xf>
    <xf numFmtId="0" fontId="0" fillId="0" borderId="1" xfId="0" applyNumberFormat="1" applyBorder="1" applyAlignment="1">
      <alignment horizontal="left" vertical="top"/>
    </xf>
    <xf numFmtId="9" fontId="0" fillId="0" borderId="1" xfId="0" applyNumberFormat="1" applyBorder="1"/>
  </cellXfs>
  <cellStyles count="4">
    <cellStyle name="Обычный" xfId="0" builtinId="0"/>
    <cellStyle name="Обычный 2" xfId="2"/>
    <cellStyle name="Процентный" xfId="1" builtinId="5"/>
    <cellStyle name="Процентный 2" xfId="3"/>
  </cellStyles>
  <dxfs count="13"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#,##0\ &quot;₽&quot;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#,##0\ &quot;₽&quot;"/>
    </dxf>
    <dxf>
      <numFmt numFmtId="13" formatCode="0%"/>
    </dxf>
    <dxf>
      <numFmt numFmtId="13" formatCode="0%"/>
    </dxf>
  </dxfs>
  <tableStyles count="1" defaultTableStyle="TableStyleMedium2" defaultPivotStyle="PivotStyleLight16">
    <tableStyle name="Стиль таблицы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Затраты на проект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2BE-4522-B28C-A1D3CA2C8D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2BE-4522-B28C-A1D3CA2C8D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2BE-4522-B28C-A1D3CA2C8DB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2BE-4522-B28C-A1D3CA2C8DB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2BE-4522-B28C-A1D3CA2C8DB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788-481C-917B-1407A06327C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788-481C-917B-1407A06327C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788-481C-917B-1407A06327C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788-481C-917B-1407A06327C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2BE-4522-B28C-A1D3CA2C8DB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F2BE-4522-B28C-A1D3CA2C8DB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F2BE-4522-B28C-A1D3CA2C8DB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788-481C-917B-1407A06327C7}"/>
              </c:ext>
            </c:extLst>
          </c:dPt>
          <c:dLbls>
            <c:dLbl>
              <c:idx val="5"/>
              <c:layout>
                <c:manualLayout>
                  <c:x val="9.4679092847769125E-2"/>
                  <c:y val="0.1564212052955483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788-481C-917B-1407A06327C7}"/>
                </c:ext>
              </c:extLst>
            </c:dLbl>
            <c:dLbl>
              <c:idx val="6"/>
              <c:layout>
                <c:manualLayout>
                  <c:x val="5.6484477526246621E-2"/>
                  <c:y val="0.2946896919058711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788-481C-917B-1407A06327C7}"/>
                </c:ext>
              </c:extLst>
            </c:dLbl>
            <c:dLbl>
              <c:idx val="7"/>
              <c:layout>
                <c:manualLayout>
                  <c:x val="0.11809834317585302"/>
                  <c:y val="-0.2533169050690179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788-481C-917B-1407A06327C7}"/>
                </c:ext>
              </c:extLst>
            </c:dLbl>
            <c:dLbl>
              <c:idx val="8"/>
              <c:layout>
                <c:manualLayout>
                  <c:x val="-0.13495212024278216"/>
                  <c:y val="0.2112946884084477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1788-481C-917B-1407A06327C7}"/>
                </c:ext>
              </c:extLst>
            </c:dLbl>
            <c:dLbl>
              <c:idx val="12"/>
              <c:layout>
                <c:manualLayout>
                  <c:x val="-0.12514507463910762"/>
                  <c:y val="-4.260028621116736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1788-481C-917B-1407A06327C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'Итоговая смета'!$B$2:$B$14</c:f>
              <c:strCache>
                <c:ptCount val="13"/>
                <c:pt idx="0">
                  <c:v>Проектные работы</c:v>
                </c:pt>
                <c:pt idx="1">
                  <c:v>Покупка земли, га</c:v>
                </c:pt>
                <c:pt idx="2">
                  <c:v>Земельные работы</c:v>
                </c:pt>
                <c:pt idx="3">
                  <c:v>Строительные работы, включая наладку</c:v>
                </c:pt>
                <c:pt idx="4">
                  <c:v>Строительство подсобных помещений</c:v>
                </c:pt>
                <c:pt idx="5">
                  <c:v>Процедуры введения в эксплуатацию</c:v>
                </c:pt>
                <c:pt idx="6">
                  <c:v>Коммерческие и юридические расходы</c:v>
                </c:pt>
                <c:pt idx="7">
                  <c:v>Солнечные панели, тип</c:v>
                </c:pt>
                <c:pt idx="8">
                  <c:v>Инверторные станции</c:v>
                </c:pt>
                <c:pt idx="9">
                  <c:v>Контроллерное оборудование</c:v>
                </c:pt>
                <c:pt idx="10">
                  <c:v>Подстанция</c:v>
                </c:pt>
                <c:pt idx="11">
                  <c:v>Промышленный накопитель энергии</c:v>
                </c:pt>
                <c:pt idx="12">
                  <c:v>Сетевая инфраструктура</c:v>
                </c:pt>
              </c:strCache>
            </c:strRef>
          </c:cat>
          <c:val>
            <c:numRef>
              <c:f>'Итоговая смета'!$E$2:$E$14</c:f>
              <c:numCache>
                <c:formatCode>#\ ##0.00\ "₽"</c:formatCode>
                <c:ptCount val="13"/>
                <c:pt idx="0">
                  <c:v>1500000</c:v>
                </c:pt>
                <c:pt idx="1">
                  <c:v>25200000</c:v>
                </c:pt>
                <c:pt idx="2">
                  <c:v>10000000</c:v>
                </c:pt>
                <c:pt idx="3">
                  <c:v>50000000</c:v>
                </c:pt>
                <c:pt idx="4">
                  <c:v>5000000</c:v>
                </c:pt>
                <c:pt idx="5">
                  <c:v>30000000</c:v>
                </c:pt>
                <c:pt idx="6">
                  <c:v>10000000</c:v>
                </c:pt>
                <c:pt idx="7">
                  <c:v>480000000</c:v>
                </c:pt>
                <c:pt idx="8">
                  <c:v>30000000</c:v>
                </c:pt>
                <c:pt idx="9">
                  <c:v>6000000</c:v>
                </c:pt>
                <c:pt idx="10">
                  <c:v>5000000</c:v>
                </c:pt>
                <c:pt idx="11">
                  <c:v>15000000</c:v>
                </c:pt>
                <c:pt idx="12">
                  <c:v>30000000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8-481C-917B-1407A06327C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0</xdr:row>
      <xdr:rowOff>0</xdr:rowOff>
    </xdr:from>
    <xdr:to>
      <xdr:col>2</xdr:col>
      <xdr:colOff>2619734</xdr:colOff>
      <xdr:row>0</xdr:row>
      <xdr:rowOff>809738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B00198F-88D7-4846-955A-EF5204235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9550" y="0"/>
          <a:ext cx="2572109" cy="809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0</xdr:row>
      <xdr:rowOff>152399</xdr:rowOff>
    </xdr:from>
    <xdr:to>
      <xdr:col>14</xdr:col>
      <xdr:colOff>85725</xdr:colOff>
      <xdr:row>21</xdr:row>
      <xdr:rowOff>47624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CD7F4DB-C579-48A1-8D92-C8DF4093B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C10" totalsRowShown="0">
  <autoFilter ref="A1:C10"/>
  <tableColumns count="3">
    <tableColumn id="1" name="Предпосылки"/>
    <tableColumn id="2" name="Фактический показатель" dataDxfId="12"/>
    <tableColumn id="3" name="Целевой показатель" dataDxfId="1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2:B20" totalsRowShown="0">
  <autoFilter ref="A12:B20"/>
  <tableColumns count="2">
    <tableColumn id="1" name="Условия кредита"/>
    <tableColumn id="2" name="Показатель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F1:G3" totalsRowShown="0">
  <autoFilter ref="F1:G3"/>
  <tableColumns count="2">
    <tableColumn id="1" name="Раунды кредита"/>
    <tableColumn id="2" name="Размер" dataDxfId="10">
      <calculatedColumnFormula>'Денежный поток'!C7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Таблица4" displayName="Таблица4" ref="A1:G5" totalsRowShown="0" headerRowDxfId="9" headerRowBorderDxfId="8" tableBorderDxfId="7">
  <autoFilter ref="A1:G5"/>
  <tableColumns count="7">
    <tableColumn id="1" name="Сценарии" dataDxfId="6"/>
    <tableColumn id="2" name="Вероятность сценария" dataDxfId="5"/>
    <tableColumn id="3" name="NPV" dataDxfId="4"/>
    <tableColumn id="4" name="PP, лет" dataDxfId="3"/>
    <tableColumn id="8" name="DPP, лет" dataDxfId="2"/>
    <tableColumn id="5" name="IRR" dataDxfId="1"/>
    <tableColumn id="6" name="PI" dataDxfId="0"/>
  </tableColumns>
  <tableStyleInfo name="Стиль таблицы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8.vml"/><Relationship Id="rId5" Type="http://schemas.openxmlformats.org/officeDocument/2006/relationships/comments" Target="../comments8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Q28"/>
  <sheetViews>
    <sheetView topLeftCell="A4" workbookViewId="0">
      <selection activeCell="Q21" sqref="Q21"/>
    </sheetView>
  </sheetViews>
  <sheetFormatPr defaultRowHeight="15" x14ac:dyDescent="0.25"/>
  <cols>
    <col min="1" max="1" width="23.5703125" bestFit="1" customWidth="1"/>
    <col min="2" max="2" width="22.85546875" customWidth="1"/>
    <col min="3" max="16" width="15.140625" bestFit="1" customWidth="1"/>
    <col min="17" max="17" width="12.42578125" bestFit="1" customWidth="1"/>
  </cols>
  <sheetData>
    <row r="1" spans="1:16" s="35" customFormat="1" x14ac:dyDescent="0.25">
      <c r="A1" s="35" t="s">
        <v>98</v>
      </c>
      <c r="B1" s="35">
        <v>2018</v>
      </c>
      <c r="C1" s="35">
        <v>2019</v>
      </c>
      <c r="D1" s="35">
        <v>2020</v>
      </c>
      <c r="E1" s="35">
        <v>2021</v>
      </c>
      <c r="F1" s="35">
        <v>2022</v>
      </c>
      <c r="G1" s="35">
        <v>2023</v>
      </c>
      <c r="H1" s="35">
        <v>2024</v>
      </c>
      <c r="I1" s="35">
        <v>2025</v>
      </c>
      <c r="J1" s="35">
        <v>2026</v>
      </c>
      <c r="K1" s="35">
        <v>2027</v>
      </c>
      <c r="L1" s="35">
        <v>2028</v>
      </c>
      <c r="M1" s="35">
        <v>2029</v>
      </c>
      <c r="N1" s="35">
        <v>2030</v>
      </c>
      <c r="O1" s="35">
        <v>2031</v>
      </c>
      <c r="P1" s="35">
        <v>2032</v>
      </c>
    </row>
    <row r="2" spans="1:16" x14ac:dyDescent="0.25">
      <c r="A2" s="36" t="s">
        <v>112</v>
      </c>
      <c r="B2" t="s">
        <v>113</v>
      </c>
      <c r="C2" s="86" t="s">
        <v>114</v>
      </c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1:16" x14ac:dyDescent="0.25">
      <c r="A3" s="5" t="s">
        <v>99</v>
      </c>
    </row>
    <row r="4" spans="1:16" s="21" customFormat="1" x14ac:dyDescent="0.25">
      <c r="A4" s="21" t="s">
        <v>117</v>
      </c>
      <c r="B4" s="37">
        <v>60208848.000000007</v>
      </c>
      <c r="C4" s="37">
        <v>126438580.80000003</v>
      </c>
      <c r="D4" s="37">
        <v>131496124.03200002</v>
      </c>
      <c r="E4" s="37">
        <v>138070930.23360005</v>
      </c>
      <c r="F4" s="37">
        <v>143593767.44294405</v>
      </c>
      <c r="G4" s="37">
        <v>149337518.14066181</v>
      </c>
      <c r="H4" s="37">
        <v>155311018.8662883</v>
      </c>
      <c r="I4" s="37">
        <v>161523459.62093982</v>
      </c>
      <c r="J4" s="37">
        <v>169599632.60198683</v>
      </c>
      <c r="K4" s="37">
        <v>178079614.23208618</v>
      </c>
      <c r="L4" s="37">
        <v>188764391.08601135</v>
      </c>
      <c r="M4" s="37">
        <v>198202610.64031193</v>
      </c>
      <c r="N4" s="37">
        <v>208112741.17232755</v>
      </c>
      <c r="O4" s="37">
        <v>218518378.23094392</v>
      </c>
      <c r="P4" s="37">
        <v>229444297.14249113</v>
      </c>
    </row>
    <row r="5" spans="1:16" s="28" customFormat="1" x14ac:dyDescent="0.25">
      <c r="A5" s="28" t="s">
        <v>118</v>
      </c>
      <c r="B5" s="39">
        <v>55125000</v>
      </c>
      <c r="C5" s="39">
        <v>115762500</v>
      </c>
      <c r="D5" s="39">
        <v>121550625.00000001</v>
      </c>
      <c r="E5" s="39">
        <v>127628156.25000001</v>
      </c>
      <c r="F5" s="39">
        <v>134009564.06250001</v>
      </c>
      <c r="G5" s="39">
        <v>140710042.26562503</v>
      </c>
      <c r="H5" s="39">
        <v>147745544.37890628</v>
      </c>
      <c r="I5" s="39">
        <v>155132821.59785163</v>
      </c>
      <c r="J5" s="39">
        <v>162889462.67774421</v>
      </c>
      <c r="K5" s="39">
        <v>169405041.184854</v>
      </c>
      <c r="L5" s="39">
        <v>176181242.83224818</v>
      </c>
      <c r="M5" s="39">
        <v>183228492.54553813</v>
      </c>
      <c r="N5" s="39">
        <v>192389917.17281502</v>
      </c>
      <c r="O5" s="39">
        <v>202009413.03145579</v>
      </c>
      <c r="P5" s="39">
        <v>212109883.68302858</v>
      </c>
    </row>
    <row r="6" spans="1:16" s="31" customFormat="1" x14ac:dyDescent="0.25">
      <c r="A6" s="31" t="s">
        <v>119</v>
      </c>
      <c r="B6" s="40">
        <v>54075000.000000007</v>
      </c>
      <c r="C6" s="40">
        <v>95481000.000000015</v>
      </c>
      <c r="D6" s="40">
        <v>98345430.000000015</v>
      </c>
      <c r="E6" s="40">
        <v>101295792.90000002</v>
      </c>
      <c r="F6" s="40">
        <v>104334666.68700002</v>
      </c>
      <c r="G6" s="40">
        <v>107464706.68761002</v>
      </c>
      <c r="H6" s="40">
        <v>111763294.95511442</v>
      </c>
      <c r="I6" s="40">
        <v>116233826.75331901</v>
      </c>
      <c r="J6" s="40">
        <v>120883179.82345179</v>
      </c>
      <c r="K6" s="40">
        <v>125718507.01638986</v>
      </c>
      <c r="L6" s="40">
        <v>130747247.29704545</v>
      </c>
      <c r="M6" s="40">
        <v>135977137.18892729</v>
      </c>
      <c r="N6" s="40">
        <v>141416222.67648438</v>
      </c>
      <c r="O6" s="40">
        <v>147072871.58354375</v>
      </c>
      <c r="P6" s="40">
        <v>152955786.44688553</v>
      </c>
    </row>
    <row r="7" spans="1:16" x14ac:dyDescent="0.25">
      <c r="A7" t="s">
        <v>75</v>
      </c>
      <c r="B7" s="26">
        <f>52600000/2+'Итоговая смета'!E2+'Итоговая смета'!E3+'Итоговая смета'!E4+'Итоговая смета'!E8</f>
        <v>73000000</v>
      </c>
      <c r="C7" s="26">
        <v>52600000</v>
      </c>
      <c r="D7" s="26">
        <v>52600000</v>
      </c>
      <c r="E7" s="26">
        <v>52600000</v>
      </c>
      <c r="F7" s="26">
        <v>52600000</v>
      </c>
      <c r="G7" s="26">
        <v>52600000</v>
      </c>
      <c r="H7" s="26">
        <v>52600000</v>
      </c>
      <c r="I7" s="26">
        <v>52600000</v>
      </c>
      <c r="J7" s="26">
        <v>52600000</v>
      </c>
      <c r="K7" s="26">
        <v>52600000</v>
      </c>
      <c r="L7" s="26">
        <f>52600000/2</f>
        <v>26300000</v>
      </c>
      <c r="M7" s="26"/>
    </row>
    <row r="8" spans="1:16" x14ac:dyDescent="0.25">
      <c r="A8" t="s">
        <v>100</v>
      </c>
      <c r="B8" s="26">
        <f>Персонал!F12</f>
        <v>21828000</v>
      </c>
      <c r="C8" s="26">
        <v>40500000</v>
      </c>
      <c r="D8" s="26">
        <v>40500000</v>
      </c>
      <c r="E8" s="26">
        <v>40500000</v>
      </c>
      <c r="F8" s="26">
        <v>40500000</v>
      </c>
      <c r="G8" s="26">
        <v>40500000</v>
      </c>
      <c r="H8" s="26">
        <v>40500000</v>
      </c>
      <c r="I8" s="26">
        <v>40500000</v>
      </c>
      <c r="J8" s="26">
        <v>40500000</v>
      </c>
      <c r="K8" s="26">
        <v>40500000</v>
      </c>
      <c r="L8" s="26">
        <v>40500000</v>
      </c>
      <c r="M8" s="26">
        <v>40500000</v>
      </c>
      <c r="N8" s="26">
        <v>40500000</v>
      </c>
      <c r="O8" s="26">
        <v>40500000</v>
      </c>
      <c r="P8" s="26">
        <v>40500000</v>
      </c>
    </row>
    <row r="9" spans="1:16" x14ac:dyDescent="0.25">
      <c r="A9" s="5" t="s">
        <v>76</v>
      </c>
    </row>
    <row r="10" spans="1:16" s="21" customFormat="1" x14ac:dyDescent="0.25">
      <c r="A10" s="21" t="s">
        <v>117</v>
      </c>
      <c r="B10" s="37">
        <f>B4-B7-B8</f>
        <v>-34619151.999999993</v>
      </c>
      <c r="C10" s="37">
        <f t="shared" ref="C10:P10" si="0">C4-C7-C8</f>
        <v>33338580.800000027</v>
      </c>
      <c r="D10" s="37">
        <f t="shared" si="0"/>
        <v>38396124.03200002</v>
      </c>
      <c r="E10" s="37">
        <f t="shared" si="0"/>
        <v>44970930.23360005</v>
      </c>
      <c r="F10" s="37">
        <f t="shared" si="0"/>
        <v>50493767.44294405</v>
      </c>
      <c r="G10" s="37">
        <f t="shared" si="0"/>
        <v>56237518.140661806</v>
      </c>
      <c r="H10" s="37">
        <f t="shared" si="0"/>
        <v>62211018.866288304</v>
      </c>
      <c r="I10" s="37">
        <f t="shared" si="0"/>
        <v>68423459.620939821</v>
      </c>
      <c r="J10" s="37">
        <f>J4-J7-J8</f>
        <v>76499632.601986825</v>
      </c>
      <c r="K10" s="37">
        <f t="shared" si="0"/>
        <v>84979614.232086182</v>
      </c>
      <c r="L10" s="37">
        <f t="shared" si="0"/>
        <v>121964391.08601135</v>
      </c>
      <c r="M10" s="37">
        <f t="shared" si="0"/>
        <v>157702610.64031193</v>
      </c>
      <c r="N10" s="37">
        <f t="shared" si="0"/>
        <v>167612741.17232755</v>
      </c>
      <c r="O10" s="37">
        <f t="shared" si="0"/>
        <v>178018378.23094392</v>
      </c>
      <c r="P10" s="37">
        <f t="shared" si="0"/>
        <v>188944297.14249113</v>
      </c>
    </row>
    <row r="11" spans="1:16" s="28" customFormat="1" x14ac:dyDescent="0.25">
      <c r="A11" s="28" t="s">
        <v>118</v>
      </c>
      <c r="B11" s="39">
        <f>B5-B7-B8</f>
        <v>-39703000</v>
      </c>
      <c r="C11" s="39">
        <f t="shared" ref="C11:P11" si="1">C5-C7-C8</f>
        <v>22662500</v>
      </c>
      <c r="D11" s="39">
        <f t="shared" si="1"/>
        <v>28450625.000000015</v>
      </c>
      <c r="E11" s="39">
        <f t="shared" si="1"/>
        <v>34528156.250000015</v>
      </c>
      <c r="F11" s="39">
        <f t="shared" si="1"/>
        <v>40909564.062500015</v>
      </c>
      <c r="G11" s="39">
        <f t="shared" si="1"/>
        <v>47610042.26562503</v>
      </c>
      <c r="H11" s="39">
        <f>H5-H7-H8</f>
        <v>54645544.37890628</v>
      </c>
      <c r="I11" s="39">
        <f t="shared" si="1"/>
        <v>62032821.597851634</v>
      </c>
      <c r="J11" s="39">
        <f t="shared" si="1"/>
        <v>69789462.67774421</v>
      </c>
      <c r="K11" s="39">
        <f>K5-K7-K8</f>
        <v>76305041.184854001</v>
      </c>
      <c r="L11" s="39">
        <f t="shared" si="1"/>
        <v>109381242.83224818</v>
      </c>
      <c r="M11" s="39">
        <f t="shared" si="1"/>
        <v>142728492.54553813</v>
      </c>
      <c r="N11" s="39">
        <f t="shared" si="1"/>
        <v>151889917.17281502</v>
      </c>
      <c r="O11" s="39">
        <f t="shared" si="1"/>
        <v>161509413.03145579</v>
      </c>
      <c r="P11" s="39">
        <f t="shared" si="1"/>
        <v>171609883.68302858</v>
      </c>
    </row>
    <row r="12" spans="1:16" s="31" customFormat="1" x14ac:dyDescent="0.25">
      <c r="A12" s="31" t="s">
        <v>119</v>
      </c>
      <c r="B12" s="40">
        <f>B6-B7-B8</f>
        <v>-40752999.999999993</v>
      </c>
      <c r="C12" s="40">
        <f t="shared" ref="C12:P12" si="2">C6-C7-C8</f>
        <v>2381000.0000000149</v>
      </c>
      <c r="D12" s="40">
        <f t="shared" si="2"/>
        <v>5245430.0000000149</v>
      </c>
      <c r="E12" s="40">
        <f t="shared" si="2"/>
        <v>8195792.9000000209</v>
      </c>
      <c r="F12" s="40">
        <f t="shared" si="2"/>
        <v>11234666.687000021</v>
      </c>
      <c r="G12" s="40">
        <f t="shared" si="2"/>
        <v>14364706.687610015</v>
      </c>
      <c r="H12" s="40">
        <f t="shared" si="2"/>
        <v>18663294.955114424</v>
      </c>
      <c r="I12" s="40">
        <f t="shared" si="2"/>
        <v>23133826.75331901</v>
      </c>
      <c r="J12" s="40">
        <f t="shared" si="2"/>
        <v>27783179.823451787</v>
      </c>
      <c r="K12" s="40">
        <f t="shared" si="2"/>
        <v>32618507.016389862</v>
      </c>
      <c r="L12" s="40">
        <f t="shared" si="2"/>
        <v>63947247.297045454</v>
      </c>
      <c r="M12" s="40">
        <f t="shared" si="2"/>
        <v>95477137.188927293</v>
      </c>
      <c r="N12" s="40">
        <f t="shared" si="2"/>
        <v>100916222.67648438</v>
      </c>
      <c r="O12" s="40">
        <f t="shared" si="2"/>
        <v>106572871.58354375</v>
      </c>
      <c r="P12" s="40">
        <f t="shared" si="2"/>
        <v>112455786.44688553</v>
      </c>
    </row>
    <row r="13" spans="1:16" x14ac:dyDescent="0.25">
      <c r="A13" t="s">
        <v>77</v>
      </c>
      <c r="B13" s="26"/>
      <c r="C13" s="26">
        <v>5000000</v>
      </c>
      <c r="D13" s="26">
        <v>5000000</v>
      </c>
      <c r="E13" s="26">
        <v>5000000</v>
      </c>
      <c r="F13" s="26">
        <v>5000000</v>
      </c>
      <c r="G13" s="26">
        <v>5000000</v>
      </c>
      <c r="H13" s="26">
        <v>5000000</v>
      </c>
      <c r="I13" s="26">
        <v>5000000</v>
      </c>
      <c r="J13" s="26">
        <v>5000000</v>
      </c>
      <c r="K13" s="26">
        <v>5000000</v>
      </c>
      <c r="L13" s="26">
        <v>5000000</v>
      </c>
      <c r="M13" s="26">
        <v>5000000</v>
      </c>
      <c r="N13" s="26">
        <v>5000000</v>
      </c>
      <c r="O13" s="26">
        <v>5000000</v>
      </c>
      <c r="P13" s="26">
        <v>5000000</v>
      </c>
    </row>
    <row r="14" spans="1:16" x14ac:dyDescent="0.25">
      <c r="A14" s="5" t="s">
        <v>78</v>
      </c>
    </row>
    <row r="15" spans="1:16" s="21" customFormat="1" x14ac:dyDescent="0.25">
      <c r="A15" s="21" t="s">
        <v>117</v>
      </c>
      <c r="B15" s="37">
        <v>-56791151.999999993</v>
      </c>
      <c r="C15" s="37">
        <v>28338580.800000027</v>
      </c>
      <c r="D15" s="37">
        <v>33396124.03200002</v>
      </c>
      <c r="E15" s="37">
        <v>39970930.23360005</v>
      </c>
      <c r="F15" s="37">
        <v>45493767.44294405</v>
      </c>
      <c r="G15" s="37">
        <v>51237518.140661806</v>
      </c>
      <c r="H15" s="37">
        <v>57211018.866288304</v>
      </c>
      <c r="I15" s="37">
        <v>63423459.620939821</v>
      </c>
      <c r="J15" s="37">
        <v>71499632.601986825</v>
      </c>
      <c r="K15" s="37">
        <v>79979614.232086182</v>
      </c>
      <c r="L15" s="37">
        <v>116964391.08601135</v>
      </c>
      <c r="M15" s="37">
        <v>152702610.64031193</v>
      </c>
      <c r="N15" s="37">
        <v>162612741.17232755</v>
      </c>
      <c r="O15" s="37">
        <v>173018378.23094392</v>
      </c>
      <c r="P15" s="37">
        <v>183944297.14249113</v>
      </c>
    </row>
    <row r="16" spans="1:16" s="28" customFormat="1" x14ac:dyDescent="0.25">
      <c r="A16" s="28" t="s">
        <v>118</v>
      </c>
      <c r="B16" s="39">
        <v>-61875000</v>
      </c>
      <c r="C16" s="39">
        <v>17662500</v>
      </c>
      <c r="D16" s="39">
        <v>23450625.000000015</v>
      </c>
      <c r="E16" s="39">
        <v>29528156.250000015</v>
      </c>
      <c r="F16" s="39">
        <v>35909564.062500015</v>
      </c>
      <c r="G16" s="39">
        <v>42610042.26562503</v>
      </c>
      <c r="H16" s="39">
        <v>49645544.37890628</v>
      </c>
      <c r="I16" s="39">
        <v>57032821.597851634</v>
      </c>
      <c r="J16" s="39">
        <v>64789462.67774421</v>
      </c>
      <c r="K16" s="39">
        <v>71305041.184854001</v>
      </c>
      <c r="L16" s="39">
        <v>104381242.83224818</v>
      </c>
      <c r="M16" s="39">
        <v>137728492.54553813</v>
      </c>
      <c r="N16" s="39">
        <v>146889917.17281502</v>
      </c>
      <c r="O16" s="39">
        <v>156509413.03145579</v>
      </c>
      <c r="P16" s="39">
        <v>166609883.68302858</v>
      </c>
    </row>
    <row r="17" spans="1:17" s="31" customFormat="1" x14ac:dyDescent="0.25">
      <c r="A17" s="31" t="s">
        <v>119</v>
      </c>
      <c r="B17" s="40">
        <v>-62924999.999999993</v>
      </c>
      <c r="C17" s="40">
        <v>-2618999.9999999851</v>
      </c>
      <c r="D17" s="40">
        <v>245430.0000000149</v>
      </c>
      <c r="E17" s="40">
        <v>3195792.9000000209</v>
      </c>
      <c r="F17" s="40">
        <v>6234666.6870000213</v>
      </c>
      <c r="G17" s="40">
        <v>9364706.6876100153</v>
      </c>
      <c r="H17" s="40">
        <v>13663294.955114424</v>
      </c>
      <c r="I17" s="40">
        <v>18133826.75331901</v>
      </c>
      <c r="J17" s="40">
        <v>22783179.823451787</v>
      </c>
      <c r="K17" s="40">
        <v>27618507.016389862</v>
      </c>
      <c r="L17" s="40">
        <v>58947247.297045454</v>
      </c>
      <c r="M17" s="40">
        <v>90477137.188927293</v>
      </c>
      <c r="N17" s="40">
        <v>95916222.676484376</v>
      </c>
      <c r="O17" s="40">
        <v>101572871.58354375</v>
      </c>
      <c r="P17" s="40">
        <v>107455786.44688553</v>
      </c>
    </row>
    <row r="18" spans="1:17" x14ac:dyDescent="0.25">
      <c r="A18" t="s">
        <v>111</v>
      </c>
      <c r="B18" s="26">
        <v>80387104.252339274</v>
      </c>
      <c r="C18" s="26">
        <v>80387104.252339274</v>
      </c>
      <c r="D18" s="26">
        <v>80387104.252339274</v>
      </c>
      <c r="E18" s="26">
        <v>80387104.252339274</v>
      </c>
      <c r="F18" s="26">
        <v>80387104.252339274</v>
      </c>
      <c r="G18" s="26">
        <v>80387104.252339274</v>
      </c>
      <c r="H18" s="26">
        <v>80387104.252339274</v>
      </c>
      <c r="I18" s="26">
        <v>80387104.252339274</v>
      </c>
      <c r="J18" s="26">
        <v>80387104.252339303</v>
      </c>
      <c r="K18" s="26">
        <v>80387104.252339303</v>
      </c>
      <c r="L18" s="26"/>
    </row>
    <row r="19" spans="1:17" x14ac:dyDescent="0.25">
      <c r="A19" s="5" t="s">
        <v>121</v>
      </c>
    </row>
    <row r="20" spans="1:17" s="21" customFormat="1" x14ac:dyDescent="0.25">
      <c r="A20" s="21" t="s">
        <v>117</v>
      </c>
      <c r="B20" s="37">
        <f>B15-B$18</f>
        <v>-137178256.25233927</v>
      </c>
      <c r="C20" s="37">
        <f t="shared" ref="C20:P20" si="3">C15-C$18</f>
        <v>-52048523.452339247</v>
      </c>
      <c r="D20" s="37">
        <f t="shared" si="3"/>
        <v>-46990980.220339254</v>
      </c>
      <c r="E20" s="37">
        <f t="shared" si="3"/>
        <v>-40416174.018739223</v>
      </c>
      <c r="F20" s="37">
        <f t="shared" si="3"/>
        <v>-34893336.809395224</v>
      </c>
      <c r="G20" s="37">
        <f t="shared" si="3"/>
        <v>-29149586.111677468</v>
      </c>
      <c r="H20" s="37">
        <f t="shared" si="3"/>
        <v>-23176085.386050969</v>
      </c>
      <c r="I20" s="37">
        <f t="shared" si="3"/>
        <v>-16963644.631399453</v>
      </c>
      <c r="J20" s="37">
        <f t="shared" si="3"/>
        <v>-8887471.650352478</v>
      </c>
      <c r="K20" s="37">
        <f t="shared" si="3"/>
        <v>-407490.02025312185</v>
      </c>
      <c r="L20" s="37">
        <f t="shared" si="3"/>
        <v>116964391.08601135</v>
      </c>
      <c r="M20" s="37">
        <f t="shared" si="3"/>
        <v>152702610.64031193</v>
      </c>
      <c r="N20" s="37">
        <f t="shared" si="3"/>
        <v>162612741.17232755</v>
      </c>
      <c r="O20" s="37">
        <f t="shared" si="3"/>
        <v>173018378.23094392</v>
      </c>
      <c r="P20" s="37">
        <f t="shared" si="3"/>
        <v>183944297.14249113</v>
      </c>
      <c r="Q20" s="37">
        <f>SUM(C20:M20)</f>
        <v>16733709.425776839</v>
      </c>
    </row>
    <row r="21" spans="1:17" s="28" customFormat="1" x14ac:dyDescent="0.25">
      <c r="A21" s="28" t="s">
        <v>118</v>
      </c>
      <c r="B21" s="39">
        <f t="shared" ref="B21:P21" si="4">B16-B$18</f>
        <v>-142262104.25233927</v>
      </c>
      <c r="C21" s="39">
        <f t="shared" si="4"/>
        <v>-62724604.252339274</v>
      </c>
      <c r="D21" s="39">
        <f t="shared" si="4"/>
        <v>-56936479.252339259</v>
      </c>
      <c r="E21" s="39">
        <f t="shared" si="4"/>
        <v>-50858948.002339259</v>
      </c>
      <c r="F21" s="39">
        <f t="shared" si="4"/>
        <v>-44477540.189839259</v>
      </c>
      <c r="G21" s="39">
        <f t="shared" si="4"/>
        <v>-37777061.986714244</v>
      </c>
      <c r="H21" s="39">
        <f t="shared" si="4"/>
        <v>-30741559.873432994</v>
      </c>
      <c r="I21" s="39">
        <f t="shared" si="4"/>
        <v>-23354282.65448764</v>
      </c>
      <c r="J21" s="39">
        <f t="shared" si="4"/>
        <v>-15597641.574595094</v>
      </c>
      <c r="K21" s="39">
        <f t="shared" si="4"/>
        <v>-9082063.0674853027</v>
      </c>
      <c r="L21" s="39">
        <f t="shared" si="4"/>
        <v>104381242.83224818</v>
      </c>
      <c r="M21" s="39">
        <f t="shared" si="4"/>
        <v>137728492.54553813</v>
      </c>
      <c r="N21" s="39">
        <f t="shared" si="4"/>
        <v>146889917.17281502</v>
      </c>
      <c r="O21" s="39">
        <f t="shared" si="4"/>
        <v>156509413.03145579</v>
      </c>
      <c r="P21" s="39">
        <f t="shared" si="4"/>
        <v>166609883.68302858</v>
      </c>
      <c r="Q21" s="37">
        <f>SUM(C21:M21)</f>
        <v>-89440445.47578606</v>
      </c>
    </row>
    <row r="22" spans="1:17" s="31" customFormat="1" x14ac:dyDescent="0.25">
      <c r="A22" s="31" t="s">
        <v>119</v>
      </c>
      <c r="B22" s="40">
        <f>B17-B$18</f>
        <v>-143312104.25233927</v>
      </c>
      <c r="C22" s="40">
        <f t="shared" ref="C22:P22" si="5">C17-C$18</f>
        <v>-83006104.252339259</v>
      </c>
      <c r="D22" s="40">
        <f t="shared" si="5"/>
        <v>-80141674.252339259</v>
      </c>
      <c r="E22" s="40">
        <f t="shared" si="5"/>
        <v>-77191311.352339253</v>
      </c>
      <c r="F22" s="40">
        <f t="shared" si="5"/>
        <v>-74152437.565339252</v>
      </c>
      <c r="G22" s="40">
        <f t="shared" si="5"/>
        <v>-71022397.564729258</v>
      </c>
      <c r="H22" s="40">
        <f t="shared" si="5"/>
        <v>-66723809.297224849</v>
      </c>
      <c r="I22" s="40">
        <f t="shared" si="5"/>
        <v>-62253277.499020264</v>
      </c>
      <c r="J22" s="40">
        <f t="shared" si="5"/>
        <v>-57603924.428887516</v>
      </c>
      <c r="K22" s="40">
        <f t="shared" si="5"/>
        <v>-52768597.235949442</v>
      </c>
      <c r="L22" s="40">
        <f t="shared" si="5"/>
        <v>58947247.297045454</v>
      </c>
      <c r="M22" s="40">
        <f t="shared" si="5"/>
        <v>90477137.188927293</v>
      </c>
      <c r="N22" s="40">
        <f t="shared" si="5"/>
        <v>95916222.676484376</v>
      </c>
      <c r="O22" s="40">
        <f t="shared" si="5"/>
        <v>101572871.58354375</v>
      </c>
      <c r="P22" s="40">
        <f t="shared" si="5"/>
        <v>107455786.44688553</v>
      </c>
      <c r="Q22" s="37">
        <f>SUM(C22:M22)</f>
        <v>-475439148.96219563</v>
      </c>
    </row>
    <row r="24" spans="1:17" x14ac:dyDescent="0.25">
      <c r="A24" s="5" t="s">
        <v>79</v>
      </c>
    </row>
    <row r="25" spans="1:17" x14ac:dyDescent="0.25">
      <c r="B25" s="26">
        <v>0</v>
      </c>
      <c r="C25" s="26">
        <v>0</v>
      </c>
      <c r="D25" s="26">
        <v>0</v>
      </c>
    </row>
    <row r="26" spans="1:17" x14ac:dyDescent="0.25">
      <c r="A26" s="22"/>
      <c r="B26" s="26">
        <v>0</v>
      </c>
      <c r="C26" s="26">
        <v>0</v>
      </c>
      <c r="D26" s="26">
        <v>0</v>
      </c>
    </row>
    <row r="27" spans="1:17" x14ac:dyDescent="0.25">
      <c r="B27" s="26">
        <v>0</v>
      </c>
      <c r="C27" s="26">
        <v>0</v>
      </c>
      <c r="D27" s="26">
        <v>0</v>
      </c>
    </row>
    <row r="28" spans="1:17" x14ac:dyDescent="0.25">
      <c r="A28" t="s">
        <v>115</v>
      </c>
    </row>
  </sheetData>
  <mergeCells count="1">
    <mergeCell ref="C2:P2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Y16"/>
  <sheetViews>
    <sheetView workbookViewId="0">
      <selection activeCell="B10" sqref="B10"/>
    </sheetView>
  </sheetViews>
  <sheetFormatPr defaultRowHeight="15" outlineLevelRow="1" x14ac:dyDescent="0.25"/>
  <cols>
    <col min="1" max="1" width="26.42578125" customWidth="1"/>
    <col min="2" max="2" width="11.5703125" bestFit="1" customWidth="1"/>
    <col min="3" max="22" width="12.42578125" bestFit="1" customWidth="1"/>
  </cols>
  <sheetData>
    <row r="1" spans="1:25" s="27" customFormat="1" x14ac:dyDescent="0.25">
      <c r="A1" s="29"/>
      <c r="B1" s="41" t="s">
        <v>127</v>
      </c>
      <c r="C1" s="27">
        <v>2018</v>
      </c>
      <c r="D1" s="27">
        <v>2019</v>
      </c>
      <c r="E1" s="27">
        <v>2020</v>
      </c>
      <c r="F1" s="27">
        <v>2021</v>
      </c>
      <c r="G1" s="27">
        <v>2022</v>
      </c>
      <c r="H1" s="27">
        <v>2023</v>
      </c>
      <c r="I1" s="27">
        <v>2024</v>
      </c>
      <c r="J1" s="27">
        <v>2025</v>
      </c>
      <c r="K1" s="27">
        <v>2026</v>
      </c>
      <c r="L1" s="27">
        <v>2027</v>
      </c>
      <c r="M1" s="27">
        <v>2028</v>
      </c>
      <c r="N1" s="27">
        <v>2029</v>
      </c>
      <c r="O1" s="27">
        <v>2030</v>
      </c>
      <c r="P1" s="27">
        <v>2031</v>
      </c>
      <c r="Q1" s="27">
        <v>2032</v>
      </c>
      <c r="R1" s="27">
        <v>2033</v>
      </c>
      <c r="S1" s="27">
        <v>2034</v>
      </c>
      <c r="T1" s="27">
        <v>2035</v>
      </c>
      <c r="U1" s="27">
        <v>2036</v>
      </c>
      <c r="V1" s="27">
        <v>2037</v>
      </c>
    </row>
    <row r="2" spans="1:25" s="21" customFormat="1" x14ac:dyDescent="0.25">
      <c r="A2" s="21" t="s">
        <v>93</v>
      </c>
    </row>
    <row r="3" spans="1:25" outlineLevel="1" x14ac:dyDescent="0.25">
      <c r="A3" s="3" t="s">
        <v>91</v>
      </c>
      <c r="C3" s="8">
        <v>7.0000000000000007E-2</v>
      </c>
      <c r="D3" s="8">
        <v>0.06</v>
      </c>
      <c r="E3" s="8">
        <v>0.05</v>
      </c>
      <c r="F3" s="8">
        <v>0.05</v>
      </c>
      <c r="G3" s="8">
        <v>0.05</v>
      </c>
      <c r="H3" s="8">
        <v>0.05</v>
      </c>
      <c r="I3" s="8">
        <v>0.04</v>
      </c>
      <c r="J3" s="8">
        <v>0.04</v>
      </c>
      <c r="K3" s="8">
        <v>0.05</v>
      </c>
      <c r="L3" s="8">
        <v>0.05</v>
      </c>
      <c r="M3" s="8">
        <v>0.06</v>
      </c>
      <c r="N3" s="8">
        <v>0.05</v>
      </c>
      <c r="O3" s="8">
        <v>0.05</v>
      </c>
      <c r="P3" s="8">
        <v>0.05</v>
      </c>
      <c r="Q3" s="8">
        <v>0.05</v>
      </c>
      <c r="R3" s="8">
        <v>0.05</v>
      </c>
      <c r="S3" s="8">
        <v>0.05</v>
      </c>
      <c r="T3" s="8">
        <v>0.05</v>
      </c>
      <c r="U3" s="8">
        <v>0.05</v>
      </c>
      <c r="V3" s="8">
        <v>0.05</v>
      </c>
    </row>
    <row r="4" spans="1:25" ht="30" outlineLevel="1" x14ac:dyDescent="0.25">
      <c r="A4" s="7" t="s">
        <v>42</v>
      </c>
      <c r="B4" s="33">
        <v>2.5</v>
      </c>
      <c r="C4" s="2">
        <f>B4*(1+C3)</f>
        <v>2.6750000000000003</v>
      </c>
      <c r="D4" s="2">
        <f t="shared" ref="D4:Q4" si="0">C4*(1+D3)</f>
        <v>2.8355000000000006</v>
      </c>
      <c r="E4" s="2">
        <f t="shared" si="0"/>
        <v>2.9772750000000006</v>
      </c>
      <c r="F4" s="2">
        <f t="shared" si="0"/>
        <v>3.1261387500000009</v>
      </c>
      <c r="G4" s="2">
        <f t="shared" si="0"/>
        <v>3.282445687500001</v>
      </c>
      <c r="H4" s="2">
        <f t="shared" si="0"/>
        <v>3.4465679718750013</v>
      </c>
      <c r="I4" s="2">
        <f t="shared" si="0"/>
        <v>3.5844306907500014</v>
      </c>
      <c r="J4" s="2">
        <f t="shared" si="0"/>
        <v>3.7278079183800017</v>
      </c>
      <c r="K4" s="2">
        <f t="shared" si="0"/>
        <v>3.9141983142990018</v>
      </c>
      <c r="L4" s="2">
        <f t="shared" si="0"/>
        <v>4.1099082300139518</v>
      </c>
      <c r="M4" s="2">
        <f t="shared" si="0"/>
        <v>4.3565027238147893</v>
      </c>
      <c r="N4" s="2">
        <f t="shared" si="0"/>
        <v>4.5743278600055293</v>
      </c>
      <c r="O4" s="2">
        <f t="shared" si="0"/>
        <v>4.8030442530058055</v>
      </c>
      <c r="P4" s="2">
        <f t="shared" si="0"/>
        <v>5.0431964656560959</v>
      </c>
      <c r="Q4" s="2">
        <f t="shared" si="0"/>
        <v>5.2953562889389012</v>
      </c>
      <c r="R4" s="2">
        <f t="shared" ref="R4" si="1">Q4*(1+R3)</f>
        <v>5.5601241033858466</v>
      </c>
      <c r="S4" s="2">
        <f t="shared" ref="S4" si="2">R4*(1+S3)</f>
        <v>5.8381303085551393</v>
      </c>
      <c r="T4" s="2">
        <f t="shared" ref="T4" si="3">S4*(1+T3)</f>
        <v>6.1300368239828966</v>
      </c>
      <c r="U4" s="2">
        <f t="shared" ref="U4" si="4">T4*(1+U3)</f>
        <v>6.4365386651820415</v>
      </c>
      <c r="V4" s="2">
        <f t="shared" ref="V4" si="5">U4*(1+V3)</f>
        <v>6.7583655984411442</v>
      </c>
    </row>
    <row r="5" spans="1:25" outlineLevel="1" x14ac:dyDescent="0.25">
      <c r="A5" t="s">
        <v>86</v>
      </c>
      <c r="B5" s="25">
        <f>GenAssump!B18</f>
        <v>43800000</v>
      </c>
      <c r="C5" s="25">
        <f>B5/2</f>
        <v>21900000</v>
      </c>
      <c r="D5" s="25">
        <f>$B$5</f>
        <v>43800000</v>
      </c>
      <c r="E5" s="25">
        <f t="shared" ref="E5:V5" si="6">$B$5</f>
        <v>43800000</v>
      </c>
      <c r="F5" s="25">
        <f t="shared" si="6"/>
        <v>43800000</v>
      </c>
      <c r="G5" s="25">
        <f t="shared" si="6"/>
        <v>43800000</v>
      </c>
      <c r="H5" s="25">
        <f t="shared" si="6"/>
        <v>43800000</v>
      </c>
      <c r="I5" s="25">
        <f t="shared" si="6"/>
        <v>43800000</v>
      </c>
      <c r="J5" s="25">
        <f t="shared" si="6"/>
        <v>43800000</v>
      </c>
      <c r="K5" s="25">
        <f>$B$5</f>
        <v>43800000</v>
      </c>
      <c r="L5" s="25">
        <f t="shared" si="6"/>
        <v>43800000</v>
      </c>
      <c r="M5" s="25">
        <f t="shared" si="6"/>
        <v>43800000</v>
      </c>
      <c r="N5" s="25">
        <f>$B$5</f>
        <v>43800000</v>
      </c>
      <c r="O5" s="25">
        <f t="shared" si="6"/>
        <v>43800000</v>
      </c>
      <c r="P5" s="25">
        <f t="shared" si="6"/>
        <v>43800000</v>
      </c>
      <c r="Q5" s="25">
        <f>$B$5</f>
        <v>43800000</v>
      </c>
      <c r="R5" s="25">
        <f t="shared" si="6"/>
        <v>43800000</v>
      </c>
      <c r="S5" s="25">
        <f t="shared" si="6"/>
        <v>43800000</v>
      </c>
      <c r="T5" s="25">
        <f t="shared" si="6"/>
        <v>43800000</v>
      </c>
      <c r="U5" s="25">
        <f t="shared" si="6"/>
        <v>43800000</v>
      </c>
      <c r="V5" s="25">
        <f t="shared" si="6"/>
        <v>43800000</v>
      </c>
    </row>
    <row r="6" spans="1:25" outlineLevel="1" x14ac:dyDescent="0.25">
      <c r="A6" t="s">
        <v>90</v>
      </c>
      <c r="C6" s="26">
        <f>$C$5*C4</f>
        <v>58582500.000000007</v>
      </c>
      <c r="D6" s="26">
        <f>$D$5*D4</f>
        <v>124194900.00000003</v>
      </c>
      <c r="E6" s="26">
        <f t="shared" ref="E6:Q6" si="7">$D$5*E4</f>
        <v>130404645.00000003</v>
      </c>
      <c r="F6" s="26">
        <f t="shared" si="7"/>
        <v>136924877.25000003</v>
      </c>
      <c r="G6" s="26">
        <f t="shared" si="7"/>
        <v>143771121.11250004</v>
      </c>
      <c r="H6" s="26">
        <f t="shared" si="7"/>
        <v>150959677.16812506</v>
      </c>
      <c r="I6" s="26">
        <f t="shared" si="7"/>
        <v>156998064.25485006</v>
      </c>
      <c r="J6" s="26">
        <f t="shared" si="7"/>
        <v>163277986.82504407</v>
      </c>
      <c r="K6" s="26">
        <f t="shared" si="7"/>
        <v>171441886.16629627</v>
      </c>
      <c r="L6" s="26">
        <f t="shared" si="7"/>
        <v>180013980.47461107</v>
      </c>
      <c r="M6" s="26">
        <f t="shared" si="7"/>
        <v>190814819.30308777</v>
      </c>
      <c r="N6" s="26">
        <f t="shared" si="7"/>
        <v>200355560.26824218</v>
      </c>
      <c r="O6" s="26">
        <f t="shared" si="7"/>
        <v>210373338.28165427</v>
      </c>
      <c r="P6" s="26">
        <f t="shared" si="7"/>
        <v>220892005.195737</v>
      </c>
      <c r="Q6" s="26">
        <f t="shared" si="7"/>
        <v>231936605.45552388</v>
      </c>
      <c r="R6" s="26">
        <f t="shared" ref="R6:V6" si="8">$D$5*R4</f>
        <v>243533435.72830009</v>
      </c>
      <c r="S6" s="26">
        <f t="shared" si="8"/>
        <v>255710107.51471511</v>
      </c>
      <c r="T6" s="26">
        <f t="shared" si="8"/>
        <v>268495612.89045089</v>
      </c>
      <c r="U6" s="26">
        <f t="shared" si="8"/>
        <v>281920393.53497344</v>
      </c>
      <c r="V6" s="26">
        <f t="shared" si="8"/>
        <v>296016413.21172214</v>
      </c>
    </row>
    <row r="7" spans="1:25" s="28" customFormat="1" x14ac:dyDescent="0.25">
      <c r="A7" s="28" t="s">
        <v>94</v>
      </c>
    </row>
    <row r="8" spans="1:25" outlineLevel="1" x14ac:dyDescent="0.25">
      <c r="A8" s="3" t="s">
        <v>91</v>
      </c>
      <c r="C8" s="8">
        <v>0.05</v>
      </c>
      <c r="D8" s="8">
        <v>0.05</v>
      </c>
      <c r="E8" s="8">
        <v>0.05</v>
      </c>
      <c r="F8" s="8">
        <v>0.05</v>
      </c>
      <c r="G8" s="8">
        <v>0.05</v>
      </c>
      <c r="H8" s="8">
        <v>0.05</v>
      </c>
      <c r="I8" s="8">
        <v>0.05</v>
      </c>
      <c r="J8" s="8">
        <v>0.05</v>
      </c>
      <c r="K8" s="8">
        <v>0.05</v>
      </c>
      <c r="L8" s="8">
        <v>0.05</v>
      </c>
      <c r="M8" s="8">
        <v>0.05</v>
      </c>
      <c r="N8" s="8">
        <v>0.05</v>
      </c>
      <c r="O8" s="8">
        <v>0.05</v>
      </c>
      <c r="P8" s="8">
        <v>0.05</v>
      </c>
      <c r="Q8" s="8">
        <v>0.05</v>
      </c>
      <c r="R8" s="8">
        <v>0.05</v>
      </c>
      <c r="S8" s="8">
        <v>0.05</v>
      </c>
      <c r="T8" s="8">
        <v>0.05</v>
      </c>
      <c r="U8" s="8">
        <v>0.05</v>
      </c>
      <c r="V8" s="8">
        <v>0.05</v>
      </c>
    </row>
    <row r="9" spans="1:25" ht="30" outlineLevel="1" x14ac:dyDescent="0.25">
      <c r="A9" s="7" t="s">
        <v>42</v>
      </c>
      <c r="B9" s="33">
        <v>2.5</v>
      </c>
      <c r="C9" s="2">
        <f>B9*(1+C8)</f>
        <v>2.625</v>
      </c>
      <c r="D9" s="2">
        <f t="shared" ref="D9:J9" si="9">C9*(1+D8)</f>
        <v>2.7562500000000001</v>
      </c>
      <c r="E9" s="2">
        <f t="shared" si="9"/>
        <v>2.8940625000000004</v>
      </c>
      <c r="F9" s="2">
        <f t="shared" si="9"/>
        <v>3.0387656250000004</v>
      </c>
      <c r="G9" s="2">
        <f t="shared" si="9"/>
        <v>3.1907039062500004</v>
      </c>
      <c r="H9" s="2">
        <f t="shared" si="9"/>
        <v>3.3502391015625008</v>
      </c>
      <c r="I9" s="2">
        <f t="shared" si="9"/>
        <v>3.517751056640626</v>
      </c>
      <c r="J9" s="2">
        <f t="shared" si="9"/>
        <v>3.6936386094726577</v>
      </c>
      <c r="K9" s="2">
        <f>J9*(1+K8)</f>
        <v>3.8783205399462908</v>
      </c>
      <c r="L9" s="2">
        <f t="shared" ref="L9" si="10">K9*(1+L8)</f>
        <v>4.0722365669436051</v>
      </c>
      <c r="M9" s="2">
        <f t="shared" ref="M9" si="11">L9*(1+M8)</f>
        <v>4.2758483952907858</v>
      </c>
      <c r="N9" s="2">
        <f t="shared" ref="N9" si="12">M9*(1+N8)</f>
        <v>4.4896408150553251</v>
      </c>
      <c r="O9" s="2">
        <f t="shared" ref="O9" si="13">N9*(1+O8)</f>
        <v>4.7141228558080916</v>
      </c>
      <c r="P9" s="2">
        <f t="shared" ref="P9" si="14">O9*(1+P8)</f>
        <v>4.9498289985984965</v>
      </c>
      <c r="Q9" s="2">
        <f t="shared" ref="Q9" si="15">P9*(1+Q8)</f>
        <v>5.1973204485284219</v>
      </c>
      <c r="R9" s="2">
        <f t="shared" ref="R9" si="16">Q9*(1+R8)</f>
        <v>5.4571864709548432</v>
      </c>
      <c r="S9" s="2">
        <f t="shared" ref="S9" si="17">R9*(1+S8)</f>
        <v>5.730045794502586</v>
      </c>
      <c r="T9" s="2">
        <f t="shared" ref="T9" si="18">S9*(1+T8)</f>
        <v>6.0165480842277157</v>
      </c>
      <c r="U9" s="2">
        <f t="shared" ref="U9" si="19">T9*(1+U8)</f>
        <v>6.3173754884391018</v>
      </c>
      <c r="V9" s="2">
        <f t="shared" ref="V9" si="20">U9*(1+V8)</f>
        <v>6.6332442628610568</v>
      </c>
    </row>
    <row r="10" spans="1:25" outlineLevel="1" x14ac:dyDescent="0.25">
      <c r="A10" t="s">
        <v>86</v>
      </c>
      <c r="B10" s="25">
        <f>B5*GenAssump!B14/GenAssump!B13</f>
        <v>36000000</v>
      </c>
      <c r="C10" s="25">
        <f>B10/2</f>
        <v>18000000</v>
      </c>
      <c r="D10" s="25">
        <f>$B$10</f>
        <v>36000000</v>
      </c>
      <c r="E10" s="25">
        <f t="shared" ref="E10:V10" si="21">$B$10</f>
        <v>36000000</v>
      </c>
      <c r="F10" s="25">
        <f t="shared" si="21"/>
        <v>36000000</v>
      </c>
      <c r="G10" s="25">
        <f t="shared" si="21"/>
        <v>36000000</v>
      </c>
      <c r="H10" s="25">
        <f t="shared" si="21"/>
        <v>36000000</v>
      </c>
      <c r="I10" s="25">
        <f t="shared" si="21"/>
        <v>36000000</v>
      </c>
      <c r="J10" s="25">
        <f>$B$10</f>
        <v>36000000</v>
      </c>
      <c r="K10" s="25">
        <f t="shared" si="21"/>
        <v>36000000</v>
      </c>
      <c r="L10" s="25">
        <f t="shared" si="21"/>
        <v>36000000</v>
      </c>
      <c r="M10" s="25">
        <f>$B$10</f>
        <v>36000000</v>
      </c>
      <c r="N10" s="25">
        <f t="shared" si="21"/>
        <v>36000000</v>
      </c>
      <c r="O10" s="25">
        <f t="shared" si="21"/>
        <v>36000000</v>
      </c>
      <c r="P10" s="25">
        <f t="shared" si="21"/>
        <v>36000000</v>
      </c>
      <c r="Q10" s="25">
        <f t="shared" si="21"/>
        <v>36000000</v>
      </c>
      <c r="R10" s="25">
        <f t="shared" si="21"/>
        <v>36000000</v>
      </c>
      <c r="S10" s="25">
        <f t="shared" si="21"/>
        <v>36000000</v>
      </c>
      <c r="T10" s="25">
        <f t="shared" si="21"/>
        <v>36000000</v>
      </c>
      <c r="U10" s="25">
        <f t="shared" si="21"/>
        <v>36000000</v>
      </c>
      <c r="V10" s="25">
        <f t="shared" si="21"/>
        <v>36000000</v>
      </c>
      <c r="W10" s="25"/>
      <c r="X10" s="25"/>
      <c r="Y10" s="25"/>
    </row>
    <row r="11" spans="1:25" outlineLevel="1" x14ac:dyDescent="0.25">
      <c r="A11" t="s">
        <v>90</v>
      </c>
      <c r="C11" s="26">
        <f>C10*C9</f>
        <v>47250000</v>
      </c>
      <c r="D11" s="26">
        <f t="shared" ref="D11:Q11" si="22">D10*D9</f>
        <v>99225000</v>
      </c>
      <c r="E11" s="26">
        <f t="shared" si="22"/>
        <v>104186250.00000001</v>
      </c>
      <c r="F11" s="26">
        <f t="shared" si="22"/>
        <v>109395562.50000001</v>
      </c>
      <c r="G11" s="26">
        <f t="shared" si="22"/>
        <v>114865340.62500001</v>
      </c>
      <c r="H11" s="26">
        <f t="shared" si="22"/>
        <v>120608607.65625003</v>
      </c>
      <c r="I11" s="26">
        <f t="shared" si="22"/>
        <v>126639038.03906254</v>
      </c>
      <c r="J11" s="26">
        <f t="shared" si="22"/>
        <v>132970989.94101568</v>
      </c>
      <c r="K11" s="26">
        <f t="shared" si="22"/>
        <v>139619539.43806648</v>
      </c>
      <c r="L11" s="26">
        <f t="shared" si="22"/>
        <v>146600516.40996978</v>
      </c>
      <c r="M11" s="26">
        <f t="shared" si="22"/>
        <v>153930542.23046827</v>
      </c>
      <c r="N11" s="26">
        <f t="shared" si="22"/>
        <v>161627069.34199169</v>
      </c>
      <c r="O11" s="26">
        <f t="shared" si="22"/>
        <v>169708422.8090913</v>
      </c>
      <c r="P11" s="26">
        <f t="shared" si="22"/>
        <v>178193843.94954586</v>
      </c>
      <c r="Q11" s="26">
        <f t="shared" si="22"/>
        <v>187103536.1470232</v>
      </c>
      <c r="R11" s="26">
        <f t="shared" ref="R11:V11" si="23">R10*R9</f>
        <v>196458712.95437434</v>
      </c>
      <c r="S11" s="26">
        <f t="shared" si="23"/>
        <v>206281648.6020931</v>
      </c>
      <c r="T11" s="26">
        <f t="shared" si="23"/>
        <v>216595731.03219777</v>
      </c>
      <c r="U11" s="26">
        <f t="shared" si="23"/>
        <v>227425517.58380768</v>
      </c>
      <c r="V11" s="26">
        <f t="shared" si="23"/>
        <v>238796793.46299803</v>
      </c>
    </row>
    <row r="12" spans="1:25" s="31" customFormat="1" x14ac:dyDescent="0.25">
      <c r="A12" s="31" t="s">
        <v>95</v>
      </c>
    </row>
    <row r="13" spans="1:25" outlineLevel="1" x14ac:dyDescent="0.25">
      <c r="A13" s="3" t="s">
        <v>91</v>
      </c>
      <c r="C13" s="8">
        <v>0.03</v>
      </c>
      <c r="D13" s="8">
        <v>0.03</v>
      </c>
      <c r="E13" s="8">
        <v>0.03</v>
      </c>
      <c r="F13" s="8">
        <v>0.03</v>
      </c>
      <c r="G13" s="8">
        <v>0.03</v>
      </c>
      <c r="H13" s="8">
        <v>0.03</v>
      </c>
      <c r="I13" s="8">
        <v>0.03</v>
      </c>
      <c r="J13" s="8">
        <v>0.03</v>
      </c>
      <c r="K13" s="8">
        <v>0.03</v>
      </c>
      <c r="L13" s="8">
        <v>0.03</v>
      </c>
      <c r="M13" s="8">
        <v>0.03</v>
      </c>
      <c r="N13" s="8">
        <v>0.03</v>
      </c>
      <c r="O13" s="8">
        <v>0.03</v>
      </c>
      <c r="P13" s="8">
        <v>0.03</v>
      </c>
      <c r="Q13" s="8">
        <v>0.03</v>
      </c>
      <c r="R13" s="8">
        <v>0.03</v>
      </c>
      <c r="S13" s="8">
        <v>0.03</v>
      </c>
      <c r="T13" s="8">
        <v>0.03</v>
      </c>
      <c r="U13" s="8">
        <v>0.03</v>
      </c>
      <c r="V13" s="8">
        <v>0.03</v>
      </c>
    </row>
    <row r="14" spans="1:25" ht="30" outlineLevel="1" x14ac:dyDescent="0.25">
      <c r="A14" s="7" t="s">
        <v>42</v>
      </c>
      <c r="B14" s="33">
        <v>2.5</v>
      </c>
      <c r="C14" s="2">
        <f>B14*(1+C13)</f>
        <v>2.5750000000000002</v>
      </c>
      <c r="D14" s="2">
        <f t="shared" ref="D14:L14" si="24">C14*(1+D13)</f>
        <v>2.6522500000000004</v>
      </c>
      <c r="E14" s="2">
        <f t="shared" si="24"/>
        <v>2.7318175000000005</v>
      </c>
      <c r="F14" s="2">
        <f t="shared" si="24"/>
        <v>2.8137720250000005</v>
      </c>
      <c r="G14" s="2">
        <f t="shared" si="24"/>
        <v>2.8981851857500005</v>
      </c>
      <c r="H14" s="2">
        <f t="shared" si="24"/>
        <v>2.9851307413225006</v>
      </c>
      <c r="I14" s="2">
        <f t="shared" si="24"/>
        <v>3.0746846635621758</v>
      </c>
      <c r="J14" s="2">
        <f t="shared" si="24"/>
        <v>3.1669252034690412</v>
      </c>
      <c r="K14" s="2">
        <f t="shared" si="24"/>
        <v>3.2619329595731124</v>
      </c>
      <c r="L14" s="2">
        <f t="shared" si="24"/>
        <v>3.3597909483603057</v>
      </c>
      <c r="M14" s="2">
        <f>L14*(1+M13)</f>
        <v>3.460584676811115</v>
      </c>
      <c r="N14" s="2">
        <f t="shared" ref="N14" si="25">M14*(1+N13)</f>
        <v>3.5644022171154486</v>
      </c>
      <c r="O14" s="2">
        <f t="shared" ref="O14" si="26">N14*(1+O13)</f>
        <v>3.6713342836289122</v>
      </c>
      <c r="P14" s="2">
        <f t="shared" ref="P14" si="27">O14*(1+P13)</f>
        <v>3.7814743121377798</v>
      </c>
      <c r="Q14" s="2">
        <f>P14*(1+Q13)</f>
        <v>3.8949185415019132</v>
      </c>
      <c r="R14" s="2">
        <f t="shared" ref="R14:S14" si="28">Q14*(1+R13)</f>
        <v>4.0117660977469711</v>
      </c>
      <c r="S14" s="2">
        <f t="shared" si="28"/>
        <v>4.1321190806793799</v>
      </c>
      <c r="T14" s="2">
        <f t="shared" ref="T14:U14" si="29">S14*(1+T13)</f>
        <v>4.2560826530997611</v>
      </c>
      <c r="U14" s="2">
        <f t="shared" si="29"/>
        <v>4.383765132692754</v>
      </c>
      <c r="V14" s="2">
        <f t="shared" ref="V14" si="30">U14*(1+V13)</f>
        <v>4.5152780866735371</v>
      </c>
    </row>
    <row r="15" spans="1:25" outlineLevel="1" x14ac:dyDescent="0.25">
      <c r="A15" t="s">
        <v>86</v>
      </c>
      <c r="B15" s="25">
        <f>B5*0.7</f>
        <v>30659999.999999996</v>
      </c>
      <c r="C15" s="25">
        <f>B15/2</f>
        <v>15329999.999999998</v>
      </c>
      <c r="D15" s="25">
        <f>$B$15</f>
        <v>30659999.999999996</v>
      </c>
      <c r="E15" s="25">
        <f t="shared" ref="E15:V15" si="31">$B$15</f>
        <v>30659999.999999996</v>
      </c>
      <c r="F15" s="25">
        <f t="shared" si="31"/>
        <v>30659999.999999996</v>
      </c>
      <c r="G15" s="25">
        <f t="shared" si="31"/>
        <v>30659999.999999996</v>
      </c>
      <c r="H15" s="25">
        <f t="shared" si="31"/>
        <v>30659999.999999996</v>
      </c>
      <c r="I15" s="25">
        <f t="shared" si="31"/>
        <v>30659999.999999996</v>
      </c>
      <c r="J15" s="25">
        <f>$B$15</f>
        <v>30659999.999999996</v>
      </c>
      <c r="K15" s="25">
        <f t="shared" si="31"/>
        <v>30659999.999999996</v>
      </c>
      <c r="L15" s="25">
        <f t="shared" si="31"/>
        <v>30659999.999999996</v>
      </c>
      <c r="M15" s="25">
        <f>$B$15</f>
        <v>30659999.999999996</v>
      </c>
      <c r="N15" s="25">
        <f t="shared" si="31"/>
        <v>30659999.999999996</v>
      </c>
      <c r="O15" s="25">
        <f t="shared" si="31"/>
        <v>30659999.999999996</v>
      </c>
      <c r="P15" s="25">
        <f t="shared" si="31"/>
        <v>30659999.999999996</v>
      </c>
      <c r="Q15" s="25">
        <f t="shared" si="31"/>
        <v>30659999.999999996</v>
      </c>
      <c r="R15" s="25">
        <f t="shared" si="31"/>
        <v>30659999.999999996</v>
      </c>
      <c r="S15" s="25">
        <f t="shared" si="31"/>
        <v>30659999.999999996</v>
      </c>
      <c r="T15" s="25">
        <f t="shared" si="31"/>
        <v>30659999.999999996</v>
      </c>
      <c r="U15" s="25">
        <f t="shared" si="31"/>
        <v>30659999.999999996</v>
      </c>
      <c r="V15" s="25">
        <f t="shared" si="31"/>
        <v>30659999.999999996</v>
      </c>
    </row>
    <row r="16" spans="1:25" outlineLevel="1" x14ac:dyDescent="0.25">
      <c r="A16" t="s">
        <v>90</v>
      </c>
      <c r="C16" s="26">
        <f>C15*C14</f>
        <v>39474750</v>
      </c>
      <c r="D16" s="26">
        <f t="shared" ref="D16:I16" si="32">D15*D14</f>
        <v>81317985</v>
      </c>
      <c r="E16" s="26">
        <f t="shared" si="32"/>
        <v>83757524.549999997</v>
      </c>
      <c r="F16" s="26">
        <f t="shared" si="32"/>
        <v>86270250.286500007</v>
      </c>
      <c r="G16" s="26">
        <f t="shared" si="32"/>
        <v>88858357.795095012</v>
      </c>
      <c r="H16" s="26">
        <f t="shared" si="32"/>
        <v>91524108.52894786</v>
      </c>
      <c r="I16" s="26">
        <f t="shared" si="32"/>
        <v>94269831.784816295</v>
      </c>
      <c r="J16" s="26">
        <f>J15*J14</f>
        <v>97097926.738360792</v>
      </c>
      <c r="K16" s="26">
        <f t="shared" ref="K16" si="33">K15*K14</f>
        <v>100010864.54051161</v>
      </c>
      <c r="L16" s="26">
        <f t="shared" ref="L16" si="34">L15*L14</f>
        <v>103011190.47672696</v>
      </c>
      <c r="M16" s="26">
        <f t="shared" ref="M16" si="35">M15*M14</f>
        <v>106101526.19102877</v>
      </c>
      <c r="N16" s="26">
        <f t="shared" ref="N16" si="36">N15*N14</f>
        <v>109284571.97675964</v>
      </c>
      <c r="O16" s="26">
        <f>O15*O14</f>
        <v>112563109.13606243</v>
      </c>
      <c r="P16" s="26">
        <f t="shared" ref="P16:V16" si="37">P15*P14</f>
        <v>115940002.41014431</v>
      </c>
      <c r="Q16" s="26">
        <f t="shared" ref="Q16:U16" si="38">Q15*Q14</f>
        <v>119418202.48244864</v>
      </c>
      <c r="R16" s="26">
        <f t="shared" si="37"/>
        <v>123000748.55692212</v>
      </c>
      <c r="S16" s="26">
        <f t="shared" si="38"/>
        <v>126690771.01362978</v>
      </c>
      <c r="T16" s="26">
        <f t="shared" si="37"/>
        <v>130491494.14403866</v>
      </c>
      <c r="U16" s="26">
        <f t="shared" si="38"/>
        <v>134406238.96835983</v>
      </c>
      <c r="V16" s="26">
        <f t="shared" si="37"/>
        <v>138438426.13741064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9"/>
  <dimension ref="A1:AD35"/>
  <sheetViews>
    <sheetView topLeftCell="K1" workbookViewId="0">
      <pane ySplit="2" topLeftCell="A8" activePane="bottomLeft" state="frozen"/>
      <selection pane="bottomLeft" activeCell="V22" sqref="V22"/>
    </sheetView>
  </sheetViews>
  <sheetFormatPr defaultRowHeight="15" x14ac:dyDescent="0.25"/>
  <cols>
    <col min="1" max="1" width="23.5703125" customWidth="1"/>
    <col min="2" max="2" width="22.85546875" customWidth="1"/>
    <col min="3" max="16" width="15.140625" customWidth="1"/>
    <col min="17" max="17" width="12.42578125" customWidth="1"/>
    <col min="18" max="21" width="12.42578125" bestFit="1" customWidth="1"/>
    <col min="22" max="22" width="13.28515625" bestFit="1" customWidth="1"/>
  </cols>
  <sheetData>
    <row r="1" spans="1:30" s="35" customFormat="1" x14ac:dyDescent="0.25">
      <c r="A1" s="35" t="s">
        <v>98</v>
      </c>
      <c r="B1" s="35">
        <v>2018</v>
      </c>
      <c r="C1" s="35">
        <v>2019</v>
      </c>
      <c r="D1" s="35">
        <v>2020</v>
      </c>
      <c r="E1" s="35">
        <v>2021</v>
      </c>
      <c r="F1" s="35">
        <v>2022</v>
      </c>
      <c r="G1" s="35">
        <v>2023</v>
      </c>
      <c r="H1" s="35">
        <v>2024</v>
      </c>
      <c r="I1" s="35">
        <v>2025</v>
      </c>
      <c r="J1" s="35">
        <v>2026</v>
      </c>
      <c r="K1" s="35">
        <v>2027</v>
      </c>
      <c r="L1" s="35">
        <v>2028</v>
      </c>
      <c r="M1" s="35">
        <v>2029</v>
      </c>
      <c r="N1" s="35">
        <v>2030</v>
      </c>
      <c r="O1" s="35">
        <v>2031</v>
      </c>
      <c r="P1" s="35">
        <v>2032</v>
      </c>
      <c r="Q1" s="35">
        <v>2033</v>
      </c>
      <c r="R1" s="35">
        <v>2034</v>
      </c>
      <c r="S1" s="35">
        <v>2035</v>
      </c>
      <c r="T1" s="35">
        <v>2036</v>
      </c>
      <c r="U1" s="35">
        <v>2037</v>
      </c>
    </row>
    <row r="2" spans="1:30" x14ac:dyDescent="0.25">
      <c r="A2" s="36" t="s">
        <v>112</v>
      </c>
      <c r="B2" t="s">
        <v>113</v>
      </c>
      <c r="C2" s="86" t="s">
        <v>114</v>
      </c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1:30" x14ac:dyDescent="0.25">
      <c r="A3" s="5" t="s">
        <v>99</v>
      </c>
    </row>
    <row r="4" spans="1:30" s="21" customFormat="1" x14ac:dyDescent="0.25">
      <c r="A4" s="21" t="s">
        <v>117</v>
      </c>
      <c r="B4" s="37">
        <f>'Прогноз выручки'!C6</f>
        <v>58582500.000000007</v>
      </c>
      <c r="C4" s="37">
        <f>'Прогноз выручки'!D6</f>
        <v>124194900.00000003</v>
      </c>
      <c r="D4" s="37">
        <f>'Прогноз выручки'!E6</f>
        <v>130404645.00000003</v>
      </c>
      <c r="E4" s="37">
        <f>'Прогноз выручки'!F6</f>
        <v>136924877.25000003</v>
      </c>
      <c r="F4" s="37">
        <f>'Прогноз выручки'!G6</f>
        <v>143771121.11250004</v>
      </c>
      <c r="G4" s="37">
        <f>'Прогноз выручки'!H6</f>
        <v>150959677.16812506</v>
      </c>
      <c r="H4" s="37">
        <f>'Прогноз выручки'!I6</f>
        <v>156998064.25485006</v>
      </c>
      <c r="I4" s="37">
        <f>'Прогноз выручки'!J6</f>
        <v>163277986.82504407</v>
      </c>
      <c r="J4" s="37">
        <f>'Прогноз выручки'!K6</f>
        <v>171441886.16629627</v>
      </c>
      <c r="K4" s="37">
        <f>'Прогноз выручки'!L6</f>
        <v>180013980.47461107</v>
      </c>
      <c r="L4" s="37">
        <f>'Прогноз выручки'!M6</f>
        <v>190814819.30308777</v>
      </c>
      <c r="M4" s="37">
        <f>'Прогноз выручки'!N6</f>
        <v>200355560.26824218</v>
      </c>
      <c r="N4" s="37">
        <f>'Прогноз выручки'!O6</f>
        <v>210373338.28165427</v>
      </c>
      <c r="O4" s="37">
        <f>'Прогноз выручки'!P6</f>
        <v>220892005.195737</v>
      </c>
      <c r="P4" s="37">
        <f>'Прогноз выручки'!Q6</f>
        <v>231936605.45552388</v>
      </c>
      <c r="Q4" s="37">
        <f>'Прогноз выручки'!R6</f>
        <v>243533435.72830009</v>
      </c>
      <c r="R4" s="37">
        <f>'Прогноз выручки'!S6</f>
        <v>255710107.51471511</v>
      </c>
      <c r="S4" s="37">
        <f>'Прогноз выручки'!T6</f>
        <v>268495612.89045089</v>
      </c>
      <c r="T4" s="37">
        <f>'Прогноз выручки'!U6</f>
        <v>281920393.53497344</v>
      </c>
      <c r="U4" s="37">
        <f>'Прогноз выручки'!V6</f>
        <v>296016413.21172214</v>
      </c>
      <c r="V4" s="37">
        <f>'Прогноз выручки'!AG6</f>
        <v>0</v>
      </c>
      <c r="W4" s="37">
        <f>'Прогноз выручки'!AH6</f>
        <v>0</v>
      </c>
      <c r="X4" s="37"/>
      <c r="Y4" s="37"/>
      <c r="Z4" s="37"/>
      <c r="AA4" s="37"/>
      <c r="AB4" s="37"/>
      <c r="AC4" s="37"/>
      <c r="AD4" s="37"/>
    </row>
    <row r="5" spans="1:30" s="28" customFormat="1" x14ac:dyDescent="0.25">
      <c r="A5" s="28" t="s">
        <v>118</v>
      </c>
      <c r="B5" s="39">
        <f>'Прогноз выручки'!C11</f>
        <v>47250000</v>
      </c>
      <c r="C5" s="39">
        <f>'Прогноз выручки'!D11</f>
        <v>99225000</v>
      </c>
      <c r="D5" s="39">
        <f>'Прогноз выручки'!E11</f>
        <v>104186250.00000001</v>
      </c>
      <c r="E5" s="39">
        <f>'Прогноз выручки'!F11</f>
        <v>109395562.50000001</v>
      </c>
      <c r="F5" s="39">
        <f>'Прогноз выручки'!G11</f>
        <v>114865340.62500001</v>
      </c>
      <c r="G5" s="39">
        <f>'Прогноз выручки'!H11</f>
        <v>120608607.65625003</v>
      </c>
      <c r="H5" s="39">
        <f>'Прогноз выручки'!I11</f>
        <v>126639038.03906254</v>
      </c>
      <c r="I5" s="39">
        <f>'Прогноз выручки'!J11</f>
        <v>132970989.94101568</v>
      </c>
      <c r="J5" s="39">
        <f>'Прогноз выручки'!K11</f>
        <v>139619539.43806648</v>
      </c>
      <c r="K5" s="39">
        <f>'Прогноз выручки'!L11</f>
        <v>146600516.40996978</v>
      </c>
      <c r="L5" s="39">
        <f>'Прогноз выручки'!M11</f>
        <v>153930542.23046827</v>
      </c>
      <c r="M5" s="39">
        <f>'Прогноз выручки'!N11</f>
        <v>161627069.34199169</v>
      </c>
      <c r="N5" s="39">
        <f>'Прогноз выручки'!O11</f>
        <v>169708422.8090913</v>
      </c>
      <c r="O5" s="39">
        <f>'Прогноз выручки'!P11</f>
        <v>178193843.94954586</v>
      </c>
      <c r="P5" s="39">
        <f>'Прогноз выручки'!Q11</f>
        <v>187103536.1470232</v>
      </c>
      <c r="Q5" s="39">
        <f>'Прогноз выручки'!R11</f>
        <v>196458712.95437434</v>
      </c>
      <c r="R5" s="39">
        <f>'Прогноз выручки'!S11</f>
        <v>206281648.6020931</v>
      </c>
      <c r="S5" s="39">
        <f>'Прогноз выручки'!T11</f>
        <v>216595731.03219777</v>
      </c>
      <c r="T5" s="39">
        <f>'Прогноз выручки'!U11</f>
        <v>227425517.58380768</v>
      </c>
      <c r="U5" s="39">
        <f>'Прогноз выручки'!V11</f>
        <v>238796793.46299803</v>
      </c>
      <c r="V5" s="39"/>
      <c r="W5" s="39"/>
      <c r="X5" s="39"/>
      <c r="Y5" s="39"/>
      <c r="Z5" s="39"/>
      <c r="AA5" s="39"/>
      <c r="AB5" s="39"/>
      <c r="AC5" s="39"/>
      <c r="AD5" s="39"/>
    </row>
    <row r="6" spans="1:30" s="31" customFormat="1" x14ac:dyDescent="0.25">
      <c r="A6" s="31" t="s">
        <v>119</v>
      </c>
      <c r="B6" s="40">
        <f>'Прогноз выручки'!C16</f>
        <v>39474750</v>
      </c>
      <c r="C6" s="40">
        <f>'Прогноз выручки'!D16</f>
        <v>81317985</v>
      </c>
      <c r="D6" s="40">
        <f>'Прогноз выручки'!E16</f>
        <v>83757524.549999997</v>
      </c>
      <c r="E6" s="40">
        <f>'Прогноз выручки'!F16</f>
        <v>86270250.286500007</v>
      </c>
      <c r="F6" s="40">
        <f>'Прогноз выручки'!G16</f>
        <v>88858357.795095012</v>
      </c>
      <c r="G6" s="40">
        <f>'Прогноз выручки'!H16</f>
        <v>91524108.52894786</v>
      </c>
      <c r="H6" s="40">
        <f>'Прогноз выручки'!I16</f>
        <v>94269831.784816295</v>
      </c>
      <c r="I6" s="40">
        <f>'Прогноз выручки'!J16</f>
        <v>97097926.738360792</v>
      </c>
      <c r="J6" s="40">
        <f>'Прогноз выручки'!K16</f>
        <v>100010864.54051161</v>
      </c>
      <c r="K6" s="40">
        <f>'Прогноз выручки'!L16</f>
        <v>103011190.47672696</v>
      </c>
      <c r="L6" s="40">
        <f>'Прогноз выручки'!M16</f>
        <v>106101526.19102877</v>
      </c>
      <c r="M6" s="40">
        <f>'Прогноз выручки'!N16</f>
        <v>109284571.97675964</v>
      </c>
      <c r="N6" s="40">
        <f>'Прогноз выручки'!O16</f>
        <v>112563109.13606243</v>
      </c>
      <c r="O6" s="40">
        <f>'Прогноз выручки'!P16</f>
        <v>115940002.41014431</v>
      </c>
      <c r="P6" s="40">
        <f>'Прогноз выручки'!Q16</f>
        <v>119418202.48244864</v>
      </c>
      <c r="Q6" s="40">
        <f>'Прогноз выручки'!R16</f>
        <v>123000748.55692212</v>
      </c>
      <c r="R6" s="40">
        <f>'Прогноз выручки'!S16</f>
        <v>126690771.01362978</v>
      </c>
      <c r="S6" s="40">
        <f>'Прогноз выручки'!T16</f>
        <v>130491494.14403866</v>
      </c>
      <c r="T6" s="40">
        <f>'Прогноз выручки'!U16</f>
        <v>134406238.96835983</v>
      </c>
      <c r="U6" s="40">
        <f>'Прогноз выручки'!V16</f>
        <v>138438426.13741064</v>
      </c>
      <c r="V6" s="40"/>
      <c r="W6" s="40"/>
      <c r="X6" s="40"/>
      <c r="Y6" s="40"/>
      <c r="Z6" s="40"/>
      <c r="AA6" s="40"/>
      <c r="AB6" s="40"/>
      <c r="AC6" s="40"/>
      <c r="AD6" s="40"/>
    </row>
    <row r="7" spans="1:30" s="29" customFormat="1" x14ac:dyDescent="0.25">
      <c r="A7" s="29" t="s">
        <v>137</v>
      </c>
      <c r="B7" s="47">
        <f>'Итоговая смета'!$E$17/2</f>
        <v>32550000</v>
      </c>
      <c r="C7" s="47">
        <f>'Итоговая смета'!$E$17</f>
        <v>65100000</v>
      </c>
      <c r="D7" s="47">
        <f>'Итоговая смета'!$E$17</f>
        <v>65100000</v>
      </c>
      <c r="E7" s="47">
        <f>'Итоговая смета'!$E$17</f>
        <v>65100000</v>
      </c>
      <c r="F7" s="47">
        <f>'Итоговая смета'!$E$17</f>
        <v>65100000</v>
      </c>
      <c r="G7" s="47">
        <f>'Итоговая смета'!$E$17</f>
        <v>65100000</v>
      </c>
      <c r="H7" s="47">
        <f>'Итоговая смета'!$E$17</f>
        <v>65100000</v>
      </c>
      <c r="I7" s="47">
        <f>'Итоговая смета'!$E$17</f>
        <v>65100000</v>
      </c>
      <c r="J7" s="47">
        <f>'Итоговая смета'!$E$17</f>
        <v>65100000</v>
      </c>
      <c r="K7" s="47">
        <f>'Итоговая смета'!$E$17</f>
        <v>65100000</v>
      </c>
      <c r="L7" s="47">
        <f>B7</f>
        <v>32550000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</row>
    <row r="8" spans="1:30" x14ac:dyDescent="0.25">
      <c r="A8" t="s">
        <v>75</v>
      </c>
      <c r="B8" s="26">
        <f>'Итоговая смета'!E2+'Итоговая смета'!E3+'Итоговая смета'!E4+'Итоговая смета'!E8</f>
        <v>46700000</v>
      </c>
      <c r="C8" s="26">
        <v>5000000</v>
      </c>
      <c r="D8" s="26">
        <v>5000000</v>
      </c>
      <c r="E8" s="26">
        <v>5000000</v>
      </c>
      <c r="F8" s="26">
        <v>5000000</v>
      </c>
      <c r="G8" s="26">
        <v>5000000</v>
      </c>
      <c r="H8" s="26">
        <v>5000000</v>
      </c>
      <c r="I8" s="26">
        <v>5000000</v>
      </c>
      <c r="J8" s="26">
        <v>5000000</v>
      </c>
      <c r="K8" s="26">
        <v>5000000</v>
      </c>
      <c r="L8" s="26">
        <v>5000000</v>
      </c>
      <c r="M8" s="26">
        <v>5000000</v>
      </c>
      <c r="N8" s="26">
        <v>5000000</v>
      </c>
      <c r="O8" s="26">
        <v>5000000</v>
      </c>
      <c r="P8" s="26">
        <v>5000000</v>
      </c>
      <c r="Q8" s="26">
        <v>5000000</v>
      </c>
      <c r="R8" s="26">
        <v>5000000</v>
      </c>
      <c r="S8" s="26">
        <v>5000000</v>
      </c>
      <c r="T8" s="26">
        <v>5000000</v>
      </c>
      <c r="U8" s="26">
        <v>5000000</v>
      </c>
    </row>
    <row r="9" spans="1:30" x14ac:dyDescent="0.25">
      <c r="A9" t="s">
        <v>100</v>
      </c>
      <c r="B9" s="26">
        <f>Персонал!F12</f>
        <v>21828000</v>
      </c>
      <c r="C9" s="26">
        <f>$B$9</f>
        <v>21828000</v>
      </c>
      <c r="D9" s="26">
        <f t="shared" ref="D9:U9" si="0">$B$9</f>
        <v>21828000</v>
      </c>
      <c r="E9" s="26">
        <f t="shared" si="0"/>
        <v>21828000</v>
      </c>
      <c r="F9" s="26">
        <f t="shared" si="0"/>
        <v>21828000</v>
      </c>
      <c r="G9" s="26">
        <f t="shared" si="0"/>
        <v>21828000</v>
      </c>
      <c r="H9" s="26">
        <f t="shared" si="0"/>
        <v>21828000</v>
      </c>
      <c r="I9" s="26">
        <f t="shared" si="0"/>
        <v>21828000</v>
      </c>
      <c r="J9" s="26">
        <f>$B$9</f>
        <v>21828000</v>
      </c>
      <c r="K9" s="26">
        <f t="shared" si="0"/>
        <v>21828000</v>
      </c>
      <c r="L9" s="26">
        <f t="shared" si="0"/>
        <v>21828000</v>
      </c>
      <c r="M9" s="26">
        <f t="shared" si="0"/>
        <v>21828000</v>
      </c>
      <c r="N9" s="26">
        <f t="shared" si="0"/>
        <v>21828000</v>
      </c>
      <c r="O9" s="26">
        <f>$B$9</f>
        <v>21828000</v>
      </c>
      <c r="P9" s="26">
        <f t="shared" si="0"/>
        <v>21828000</v>
      </c>
      <c r="Q9" s="26">
        <f t="shared" si="0"/>
        <v>21828000</v>
      </c>
      <c r="R9" s="26">
        <f t="shared" si="0"/>
        <v>21828000</v>
      </c>
      <c r="S9" s="26">
        <f t="shared" si="0"/>
        <v>21828000</v>
      </c>
      <c r="T9" s="26">
        <f t="shared" si="0"/>
        <v>21828000</v>
      </c>
      <c r="U9" s="26">
        <f t="shared" si="0"/>
        <v>21828000</v>
      </c>
      <c r="V9" s="26"/>
      <c r="W9" s="26"/>
      <c r="X9" s="26"/>
      <c r="Y9" s="26"/>
      <c r="Z9" s="26"/>
      <c r="AA9" s="26"/>
      <c r="AB9" s="26"/>
      <c r="AC9" s="26"/>
      <c r="AD9" s="26"/>
    </row>
    <row r="10" spans="1:30" x14ac:dyDescent="0.25">
      <c r="A10" s="5" t="s">
        <v>76</v>
      </c>
    </row>
    <row r="11" spans="1:30" s="21" customFormat="1" x14ac:dyDescent="0.25">
      <c r="A11" s="21" t="s">
        <v>117</v>
      </c>
      <c r="B11" s="37">
        <f>B4-B8-B9</f>
        <v>-9945499.9999999925</v>
      </c>
      <c r="C11" s="37">
        <f t="shared" ref="C11:P11" si="1">C4-C8-C9</f>
        <v>97366900.00000003</v>
      </c>
      <c r="D11" s="37">
        <f t="shared" si="1"/>
        <v>103576645.00000003</v>
      </c>
      <c r="E11" s="37">
        <f t="shared" si="1"/>
        <v>110096877.25000003</v>
      </c>
      <c r="F11" s="37">
        <f t="shared" si="1"/>
        <v>116943121.11250004</v>
      </c>
      <c r="G11" s="37">
        <f t="shared" si="1"/>
        <v>124131677.16812506</v>
      </c>
      <c r="H11" s="37">
        <f t="shared" si="1"/>
        <v>130170064.25485006</v>
      </c>
      <c r="I11" s="37">
        <f t="shared" si="1"/>
        <v>136449986.82504407</v>
      </c>
      <c r="J11" s="37">
        <f>J4-J8-J9</f>
        <v>144613886.16629627</v>
      </c>
      <c r="K11" s="37">
        <f t="shared" si="1"/>
        <v>153185980.47461107</v>
      </c>
      <c r="L11" s="37">
        <f t="shared" si="1"/>
        <v>163986819.30308777</v>
      </c>
      <c r="M11" s="37">
        <f t="shared" si="1"/>
        <v>173527560.26824218</v>
      </c>
      <c r="N11" s="37">
        <f t="shared" si="1"/>
        <v>183545338.28165427</v>
      </c>
      <c r="O11" s="37">
        <f t="shared" si="1"/>
        <v>194064005.195737</v>
      </c>
      <c r="P11" s="37">
        <f t="shared" si="1"/>
        <v>205108605.45552388</v>
      </c>
      <c r="Q11" s="37">
        <f t="shared" ref="Q11:U11" si="2">Q4-Q8-Q9</f>
        <v>216705435.72830009</v>
      </c>
      <c r="R11" s="37">
        <f t="shared" si="2"/>
        <v>228882107.51471511</v>
      </c>
      <c r="S11" s="37">
        <f t="shared" si="2"/>
        <v>241667612.89045089</v>
      </c>
      <c r="T11" s="37">
        <f t="shared" si="2"/>
        <v>255092393.53497344</v>
      </c>
      <c r="U11" s="37">
        <f t="shared" si="2"/>
        <v>269188413.21172214</v>
      </c>
      <c r="V11" s="37"/>
      <c r="W11" s="37"/>
      <c r="X11" s="37"/>
      <c r="Y11" s="37"/>
      <c r="Z11" s="37"/>
      <c r="AA11" s="37"/>
      <c r="AB11" s="37"/>
      <c r="AC11" s="37"/>
      <c r="AD11" s="37"/>
    </row>
    <row r="12" spans="1:30" s="28" customFormat="1" x14ac:dyDescent="0.25">
      <c r="A12" s="28" t="s">
        <v>118</v>
      </c>
      <c r="B12" s="39">
        <f>B5-B8-B9</f>
        <v>-21278000</v>
      </c>
      <c r="C12" s="39">
        <f t="shared" ref="C12:P12" si="3">C5-C8-C9</f>
        <v>72397000</v>
      </c>
      <c r="D12" s="39">
        <f t="shared" si="3"/>
        <v>77358250.000000015</v>
      </c>
      <c r="E12" s="39">
        <f t="shared" si="3"/>
        <v>82567562.500000015</v>
      </c>
      <c r="F12" s="39">
        <f t="shared" si="3"/>
        <v>88037340.625000015</v>
      </c>
      <c r="G12" s="39">
        <f t="shared" si="3"/>
        <v>93780607.65625003</v>
      </c>
      <c r="H12" s="39">
        <f>H5-H8-H9</f>
        <v>99811038.039062545</v>
      </c>
      <c r="I12" s="39">
        <f t="shared" si="3"/>
        <v>106142989.94101568</v>
      </c>
      <c r="J12" s="39">
        <f t="shared" si="3"/>
        <v>112791539.43806648</v>
      </c>
      <c r="K12" s="39">
        <f>K5-K8-K9</f>
        <v>119772516.40996978</v>
      </c>
      <c r="L12" s="39">
        <f t="shared" si="3"/>
        <v>127102542.23046827</v>
      </c>
      <c r="M12" s="39">
        <f t="shared" si="3"/>
        <v>134799069.34199169</v>
      </c>
      <c r="N12" s="39">
        <f t="shared" si="3"/>
        <v>142880422.8090913</v>
      </c>
      <c r="O12" s="39">
        <f t="shared" si="3"/>
        <v>151365843.94954586</v>
      </c>
      <c r="P12" s="39">
        <f t="shared" si="3"/>
        <v>160275536.1470232</v>
      </c>
      <c r="Q12" s="39">
        <f t="shared" ref="Q12:U12" si="4">Q5-Q8-Q9</f>
        <v>169630712.95437434</v>
      </c>
      <c r="R12" s="39">
        <f t="shared" si="4"/>
        <v>179453648.6020931</v>
      </c>
      <c r="S12" s="39">
        <f t="shared" si="4"/>
        <v>189767731.03219777</v>
      </c>
      <c r="T12" s="39">
        <f t="shared" si="4"/>
        <v>200597517.58380768</v>
      </c>
      <c r="U12" s="39">
        <f t="shared" si="4"/>
        <v>211968793.46299803</v>
      </c>
      <c r="V12" s="39"/>
      <c r="W12" s="39"/>
      <c r="X12" s="39"/>
      <c r="Y12" s="39"/>
      <c r="Z12" s="39"/>
      <c r="AA12" s="39"/>
      <c r="AB12" s="39"/>
      <c r="AC12" s="39"/>
      <c r="AD12" s="39"/>
    </row>
    <row r="13" spans="1:30" s="31" customFormat="1" x14ac:dyDescent="0.25">
      <c r="A13" s="31" t="s">
        <v>119</v>
      </c>
      <c r="B13" s="40">
        <f>B6-B8-B9</f>
        <v>-29053250</v>
      </c>
      <c r="C13" s="40">
        <f t="shared" ref="C13:P13" si="5">C6-C8-C9</f>
        <v>54489985</v>
      </c>
      <c r="D13" s="40">
        <f>D6-D8-D9</f>
        <v>56929524.549999997</v>
      </c>
      <c r="E13" s="40">
        <f t="shared" si="5"/>
        <v>59442250.286500007</v>
      </c>
      <c r="F13" s="40">
        <f t="shared" si="5"/>
        <v>62030357.795095012</v>
      </c>
      <c r="G13" s="40">
        <f t="shared" si="5"/>
        <v>64696108.52894786</v>
      </c>
      <c r="H13" s="40">
        <f t="shared" si="5"/>
        <v>67441831.784816295</v>
      </c>
      <c r="I13" s="40">
        <f t="shared" si="5"/>
        <v>70269926.738360792</v>
      </c>
      <c r="J13" s="40">
        <f t="shared" si="5"/>
        <v>73182864.540511608</v>
      </c>
      <c r="K13" s="40">
        <f t="shared" si="5"/>
        <v>76183190.476726964</v>
      </c>
      <c r="L13" s="40">
        <f t="shared" si="5"/>
        <v>79273526.191028774</v>
      </c>
      <c r="M13" s="40">
        <f t="shared" si="5"/>
        <v>82456571.976759642</v>
      </c>
      <c r="N13" s="40">
        <f t="shared" si="5"/>
        <v>85735109.136062428</v>
      </c>
      <c r="O13" s="40">
        <f t="shared" si="5"/>
        <v>89112002.410144314</v>
      </c>
      <c r="P13" s="40">
        <f t="shared" si="5"/>
        <v>92590202.482448637</v>
      </c>
      <c r="Q13" s="40">
        <f t="shared" ref="Q13:U13" si="6">Q6-Q8-Q9</f>
        <v>96172748.556922123</v>
      </c>
      <c r="R13" s="40">
        <f t="shared" si="6"/>
        <v>99862771.013629779</v>
      </c>
      <c r="S13" s="40">
        <f t="shared" si="6"/>
        <v>103663494.14403866</v>
      </c>
      <c r="T13" s="40">
        <f t="shared" si="6"/>
        <v>107578238.96835983</v>
      </c>
      <c r="U13" s="40">
        <f t="shared" si="6"/>
        <v>111610426.13741064</v>
      </c>
      <c r="V13" s="40"/>
      <c r="W13" s="40"/>
      <c r="X13" s="40"/>
      <c r="Y13" s="40"/>
      <c r="Z13" s="40"/>
      <c r="AA13" s="40"/>
      <c r="AB13" s="40"/>
      <c r="AC13" s="40"/>
      <c r="AD13" s="40"/>
    </row>
    <row r="14" spans="1:30" x14ac:dyDescent="0.25">
      <c r="A14" t="s">
        <v>77</v>
      </c>
      <c r="B14" s="26"/>
      <c r="C14" s="26">
        <v>5000000</v>
      </c>
      <c r="D14" s="26">
        <v>5000000</v>
      </c>
      <c r="E14" s="26">
        <v>5000000</v>
      </c>
      <c r="F14" s="26">
        <v>5000000</v>
      </c>
      <c r="G14" s="26">
        <v>5000000</v>
      </c>
      <c r="H14" s="26">
        <v>5000000</v>
      </c>
      <c r="I14" s="26">
        <v>5000000</v>
      </c>
      <c r="J14" s="26">
        <v>5000000</v>
      </c>
      <c r="K14" s="26">
        <v>5000000</v>
      </c>
      <c r="L14" s="26">
        <v>5000000</v>
      </c>
      <c r="M14" s="26">
        <v>5000000</v>
      </c>
      <c r="N14" s="26">
        <v>5000000</v>
      </c>
      <c r="O14" s="26">
        <v>5000000</v>
      </c>
      <c r="P14" s="26">
        <v>5000000</v>
      </c>
      <c r="Q14" s="26">
        <v>5000000</v>
      </c>
      <c r="R14" s="26">
        <v>5000000</v>
      </c>
      <c r="S14" s="26">
        <v>5000000</v>
      </c>
      <c r="T14" s="26">
        <v>5000000</v>
      </c>
      <c r="U14" s="26">
        <v>5000000</v>
      </c>
      <c r="V14" s="26"/>
      <c r="W14" s="26"/>
      <c r="X14" s="26"/>
      <c r="Y14" s="26"/>
      <c r="Z14" s="26"/>
      <c r="AA14" s="26"/>
      <c r="AB14" s="26"/>
      <c r="AC14" s="26"/>
      <c r="AD14" s="26"/>
    </row>
    <row r="15" spans="1:30" x14ac:dyDescent="0.25">
      <c r="A15" s="5" t="s">
        <v>78</v>
      </c>
    </row>
    <row r="16" spans="1:30" s="21" customFormat="1" x14ac:dyDescent="0.25">
      <c r="A16" s="21" t="s">
        <v>117</v>
      </c>
      <c r="B16" s="37">
        <v>-56791152</v>
      </c>
      <c r="C16" s="37">
        <f>C11-C$14</f>
        <v>92366900.00000003</v>
      </c>
      <c r="D16" s="37">
        <f t="shared" ref="D16:F16" si="7">D11-D$14</f>
        <v>98576645.00000003</v>
      </c>
      <c r="E16" s="37">
        <f t="shared" si="7"/>
        <v>105096877.25000003</v>
      </c>
      <c r="F16" s="37">
        <f t="shared" si="7"/>
        <v>111943121.11250004</v>
      </c>
      <c r="G16" s="37">
        <f>G11-G$14</f>
        <v>119131677.16812506</v>
      </c>
      <c r="H16" s="37">
        <f t="shared" ref="H16:J16" si="8">H11-H$14</f>
        <v>125170064.25485006</v>
      </c>
      <c r="I16" s="37">
        <f t="shared" si="8"/>
        <v>131449986.82504407</v>
      </c>
      <c r="J16" s="37">
        <f t="shared" si="8"/>
        <v>139613886.16629627</v>
      </c>
      <c r="K16" s="37">
        <f>K11-K$14</f>
        <v>148185980.47461107</v>
      </c>
      <c r="L16" s="37">
        <f t="shared" ref="L16:N16" si="9">L11-L$14</f>
        <v>158986819.30308777</v>
      </c>
      <c r="M16" s="37">
        <f t="shared" si="9"/>
        <v>168527560.26824218</v>
      </c>
      <c r="N16" s="37">
        <f t="shared" si="9"/>
        <v>178545338.28165427</v>
      </c>
      <c r="O16" s="37">
        <f>O11-O$14</f>
        <v>189064005.195737</v>
      </c>
      <c r="P16" s="37">
        <f t="shared" ref="P16:Q16" si="10">P11-P$14</f>
        <v>200108605.45552388</v>
      </c>
      <c r="Q16" s="37">
        <f t="shared" si="10"/>
        <v>211705435.72830009</v>
      </c>
      <c r="R16" s="37">
        <f t="shared" ref="R16:U16" si="11">R11-R$14</f>
        <v>223882107.51471511</v>
      </c>
      <c r="S16" s="37">
        <f t="shared" si="11"/>
        <v>236667612.89045089</v>
      </c>
      <c r="T16" s="37">
        <f t="shared" si="11"/>
        <v>250092393.53497344</v>
      </c>
      <c r="U16" s="37">
        <f t="shared" si="11"/>
        <v>264188413.21172214</v>
      </c>
      <c r="V16" s="37"/>
      <c r="W16" s="37"/>
      <c r="X16" s="37"/>
      <c r="Y16" s="37"/>
      <c r="Z16" s="37"/>
      <c r="AA16" s="37"/>
      <c r="AB16" s="37"/>
      <c r="AC16" s="37"/>
      <c r="AD16" s="37"/>
    </row>
    <row r="17" spans="1:30" s="28" customFormat="1" x14ac:dyDescent="0.25">
      <c r="A17" s="28" t="s">
        <v>118</v>
      </c>
      <c r="B17" s="39">
        <v>-61875000</v>
      </c>
      <c r="C17" s="39">
        <f t="shared" ref="C17:F17" si="12">C12-C$14</f>
        <v>67397000</v>
      </c>
      <c r="D17" s="39">
        <f t="shared" si="12"/>
        <v>72358250.000000015</v>
      </c>
      <c r="E17" s="39">
        <f t="shared" si="12"/>
        <v>77567562.500000015</v>
      </c>
      <c r="F17" s="39">
        <f t="shared" si="12"/>
        <v>83037340.625000015</v>
      </c>
      <c r="G17" s="39">
        <f t="shared" ref="G17:N17" si="13">G12-G$14</f>
        <v>88780607.65625003</v>
      </c>
      <c r="H17" s="39">
        <f t="shared" si="13"/>
        <v>94811038.039062545</v>
      </c>
      <c r="I17" s="39">
        <f t="shared" si="13"/>
        <v>101142989.94101568</v>
      </c>
      <c r="J17" s="39">
        <f t="shared" si="13"/>
        <v>107791539.43806648</v>
      </c>
      <c r="K17" s="39">
        <f t="shared" si="13"/>
        <v>114772516.40996978</v>
      </c>
      <c r="L17" s="39">
        <f t="shared" si="13"/>
        <v>122102542.23046827</v>
      </c>
      <c r="M17" s="39">
        <f t="shared" si="13"/>
        <v>129799069.34199169</v>
      </c>
      <c r="N17" s="39">
        <f t="shared" si="13"/>
        <v>137880422.8090913</v>
      </c>
      <c r="O17" s="39">
        <f t="shared" ref="O17:P17" si="14">O12-O$14</f>
        <v>146365843.94954586</v>
      </c>
      <c r="P17" s="39">
        <f t="shared" si="14"/>
        <v>155275536.1470232</v>
      </c>
      <c r="Q17" s="39">
        <f t="shared" ref="Q17:U17" si="15">Q12-Q$14</f>
        <v>164630712.95437434</v>
      </c>
      <c r="R17" s="39">
        <f t="shared" si="15"/>
        <v>174453648.6020931</v>
      </c>
      <c r="S17" s="39">
        <f t="shared" si="15"/>
        <v>184767731.03219777</v>
      </c>
      <c r="T17" s="39">
        <f t="shared" si="15"/>
        <v>195597517.58380768</v>
      </c>
      <c r="U17" s="39">
        <f t="shared" si="15"/>
        <v>206968793.46299803</v>
      </c>
      <c r="V17" s="39"/>
      <c r="W17" s="39"/>
      <c r="X17" s="39"/>
      <c r="Y17" s="39"/>
      <c r="Z17" s="39"/>
      <c r="AA17" s="39"/>
      <c r="AB17" s="39"/>
      <c r="AC17" s="39"/>
      <c r="AD17" s="39"/>
    </row>
    <row r="18" spans="1:30" s="31" customFormat="1" x14ac:dyDescent="0.25">
      <c r="A18" s="31" t="s">
        <v>119</v>
      </c>
      <c r="B18" s="40">
        <f>B13</f>
        <v>-29053250</v>
      </c>
      <c r="C18" s="40">
        <f>C13-C$14</f>
        <v>49489985</v>
      </c>
      <c r="D18" s="40">
        <f>D13-D$14</f>
        <v>51929524.549999997</v>
      </c>
      <c r="E18" s="40">
        <f t="shared" ref="E18:F18" si="16">E13-E$14</f>
        <v>54442250.286500007</v>
      </c>
      <c r="F18" s="40">
        <f t="shared" si="16"/>
        <v>57030357.795095012</v>
      </c>
      <c r="G18" s="40">
        <f>G13-G$14</f>
        <v>59696108.52894786</v>
      </c>
      <c r="H18" s="40">
        <f t="shared" ref="H18:J18" si="17">H13-H$14</f>
        <v>62441831.784816295</v>
      </c>
      <c r="I18" s="40">
        <f t="shared" si="17"/>
        <v>65269926.738360792</v>
      </c>
      <c r="J18" s="40">
        <f t="shared" si="17"/>
        <v>68182864.540511608</v>
      </c>
      <c r="K18" s="40">
        <f>K13-K$14</f>
        <v>71183190.476726964</v>
      </c>
      <c r="L18" s="40">
        <f t="shared" ref="L18:N18" si="18">L13-L$14</f>
        <v>74273526.191028774</v>
      </c>
      <c r="M18" s="40">
        <f t="shared" si="18"/>
        <v>77456571.976759642</v>
      </c>
      <c r="N18" s="40">
        <f t="shared" si="18"/>
        <v>80735109.136062428</v>
      </c>
      <c r="O18" s="40">
        <f>O13-O$14</f>
        <v>84112002.410144314</v>
      </c>
      <c r="P18" s="40">
        <f t="shared" ref="P18:Q18" si="19">P13-P$14</f>
        <v>87590202.482448637</v>
      </c>
      <c r="Q18" s="40">
        <f t="shared" si="19"/>
        <v>91172748.556922123</v>
      </c>
      <c r="R18" s="40">
        <f t="shared" ref="R18:U18" si="20">R13-R$14</f>
        <v>94862771.013629779</v>
      </c>
      <c r="S18" s="40">
        <f t="shared" si="20"/>
        <v>98663494.144038662</v>
      </c>
      <c r="T18" s="40">
        <f t="shared" si="20"/>
        <v>102578238.96835983</v>
      </c>
      <c r="U18" s="40">
        <f t="shared" si="20"/>
        <v>106610426.13741064</v>
      </c>
      <c r="V18" s="40"/>
      <c r="W18" s="40"/>
      <c r="X18" s="40"/>
      <c r="Y18" s="40"/>
      <c r="Z18" s="40"/>
      <c r="AA18" s="40"/>
      <c r="AB18" s="40"/>
      <c r="AC18" s="40"/>
      <c r="AD18" s="40"/>
    </row>
    <row r="19" spans="1:30" x14ac:dyDescent="0.25">
      <c r="A19" t="s">
        <v>161</v>
      </c>
      <c r="B19" s="26">
        <f>Финансирование!B29</f>
        <v>15336000</v>
      </c>
      <c r="C19" s="26">
        <f>Финансирование!C29</f>
        <v>40522103.834388733</v>
      </c>
      <c r="D19" s="26">
        <f>C19</f>
        <v>40522103.834388733</v>
      </c>
      <c r="E19" s="26">
        <f t="shared" ref="E19:U19" si="21">D19</f>
        <v>40522103.834388733</v>
      </c>
      <c r="F19" s="26">
        <f t="shared" si="21"/>
        <v>40522103.834388733</v>
      </c>
      <c r="G19" s="26">
        <f t="shared" si="21"/>
        <v>40522103.834388733</v>
      </c>
      <c r="H19" s="26">
        <f t="shared" si="21"/>
        <v>40522103.834388733</v>
      </c>
      <c r="I19" s="26">
        <f t="shared" si="21"/>
        <v>40522103.834388733</v>
      </c>
      <c r="J19" s="26">
        <f t="shared" si="21"/>
        <v>40522103.834388733</v>
      </c>
      <c r="K19" s="26">
        <f t="shared" si="21"/>
        <v>40522103.834388733</v>
      </c>
      <c r="L19" s="26">
        <f t="shared" si="21"/>
        <v>40522103.834388733</v>
      </c>
      <c r="M19" s="26">
        <f t="shared" si="21"/>
        <v>40522103.834388733</v>
      </c>
      <c r="N19" s="26">
        <f t="shared" si="21"/>
        <v>40522103.834388733</v>
      </c>
      <c r="O19" s="26">
        <f t="shared" si="21"/>
        <v>40522103.834388733</v>
      </c>
      <c r="P19" s="26">
        <f t="shared" si="21"/>
        <v>40522103.834388733</v>
      </c>
      <c r="Q19" s="26">
        <f t="shared" si="21"/>
        <v>40522103.834388733</v>
      </c>
      <c r="R19" s="26">
        <f t="shared" si="21"/>
        <v>40522103.834388733</v>
      </c>
      <c r="S19" s="26">
        <f t="shared" si="21"/>
        <v>40522103.834388733</v>
      </c>
      <c r="T19" s="26">
        <f t="shared" si="21"/>
        <v>40522103.834388733</v>
      </c>
      <c r="U19" s="26">
        <f t="shared" si="21"/>
        <v>40522103.834388733</v>
      </c>
    </row>
    <row r="20" spans="1:30" x14ac:dyDescent="0.25">
      <c r="A20" s="5" t="s">
        <v>121</v>
      </c>
    </row>
    <row r="21" spans="1:30" s="21" customFormat="1" x14ac:dyDescent="0.25">
      <c r="A21" s="21" t="s">
        <v>117</v>
      </c>
      <c r="B21" s="37">
        <f>B16-B$19</f>
        <v>-72127152</v>
      </c>
      <c r="C21" s="37">
        <f>C16-C$19</f>
        <v>51844796.165611297</v>
      </c>
      <c r="D21" s="37">
        <f t="shared" ref="D21:P21" si="22">D16-D$19</f>
        <v>58054541.165611297</v>
      </c>
      <c r="E21" s="37">
        <f t="shared" si="22"/>
        <v>64574773.415611297</v>
      </c>
      <c r="F21" s="37">
        <f t="shared" si="22"/>
        <v>71421017.278111309</v>
      </c>
      <c r="G21" s="37">
        <f t="shared" si="22"/>
        <v>78609573.33373633</v>
      </c>
      <c r="H21" s="37">
        <f t="shared" si="22"/>
        <v>84647960.420461327</v>
      </c>
      <c r="I21" s="37">
        <f t="shared" si="22"/>
        <v>90927882.990655333</v>
      </c>
      <c r="J21" s="37">
        <f t="shared" si="22"/>
        <v>99091782.331907541</v>
      </c>
      <c r="K21" s="37">
        <f t="shared" si="22"/>
        <v>107663876.64022234</v>
      </c>
      <c r="L21" s="37">
        <f>L16-L$19</f>
        <v>118464715.46869904</v>
      </c>
      <c r="M21" s="37">
        <f t="shared" si="22"/>
        <v>128005456.43385345</v>
      </c>
      <c r="N21" s="37">
        <f t="shared" si="22"/>
        <v>138023234.44726554</v>
      </c>
      <c r="O21" s="37">
        <f t="shared" si="22"/>
        <v>148541901.36134827</v>
      </c>
      <c r="P21" s="37">
        <f t="shared" si="22"/>
        <v>159586501.62113515</v>
      </c>
      <c r="Q21" s="37">
        <f t="shared" ref="Q21:U21" si="23">Q16-Q$19</f>
        <v>171183331.89391136</v>
      </c>
      <c r="R21" s="37">
        <f t="shared" si="23"/>
        <v>183360003.68032637</v>
      </c>
      <c r="S21" s="37">
        <f t="shared" si="23"/>
        <v>196145509.05606216</v>
      </c>
      <c r="T21" s="37">
        <f t="shared" si="23"/>
        <v>209570289.70058471</v>
      </c>
      <c r="U21" s="37">
        <f t="shared" si="23"/>
        <v>223666309.3773334</v>
      </c>
      <c r="V21" s="37"/>
      <c r="W21" s="37"/>
      <c r="X21" s="37"/>
      <c r="Y21" s="37"/>
      <c r="Z21" s="37"/>
      <c r="AA21" s="37"/>
      <c r="AB21" s="37"/>
      <c r="AC21" s="37"/>
      <c r="AD21" s="37"/>
    </row>
    <row r="22" spans="1:30" s="28" customFormat="1" x14ac:dyDescent="0.25">
      <c r="A22" s="28" t="s">
        <v>118</v>
      </c>
      <c r="B22" s="39">
        <f>B17-B$19</f>
        <v>-77211000</v>
      </c>
      <c r="C22" s="39">
        <f t="shared" ref="C22:P23" si="24">C17-C$19</f>
        <v>26874896.165611267</v>
      </c>
      <c r="D22" s="39">
        <f t="shared" si="24"/>
        <v>31836146.165611282</v>
      </c>
      <c r="E22" s="39">
        <f t="shared" si="24"/>
        <v>37045458.665611282</v>
      </c>
      <c r="F22" s="39">
        <f t="shared" si="24"/>
        <v>42515236.790611282</v>
      </c>
      <c r="G22" s="39">
        <f t="shared" si="24"/>
        <v>48258503.821861297</v>
      </c>
      <c r="H22" s="39">
        <f t="shared" si="24"/>
        <v>54288934.204673812</v>
      </c>
      <c r="I22" s="39">
        <f t="shared" si="24"/>
        <v>60620886.106626943</v>
      </c>
      <c r="J22" s="39">
        <f t="shared" si="24"/>
        <v>67269435.60367775</v>
      </c>
      <c r="K22" s="39">
        <f t="shared" si="24"/>
        <v>74250412.575581044</v>
      </c>
      <c r="L22" s="39">
        <f t="shared" si="24"/>
        <v>81580438.39607954</v>
      </c>
      <c r="M22" s="39">
        <f t="shared" si="24"/>
        <v>89276965.50760296</v>
      </c>
      <c r="N22" s="39">
        <f t="shared" si="24"/>
        <v>97358318.974702567</v>
      </c>
      <c r="O22" s="39">
        <f t="shared" si="24"/>
        <v>105843740.11515713</v>
      </c>
      <c r="P22" s="39">
        <f t="shared" si="24"/>
        <v>114753432.31263447</v>
      </c>
      <c r="Q22" s="39">
        <f t="shared" ref="Q22:U22" si="25">Q17-Q$19</f>
        <v>124108609.11998561</v>
      </c>
      <c r="R22" s="39">
        <f t="shared" si="25"/>
        <v>133931544.76770437</v>
      </c>
      <c r="S22" s="39">
        <f t="shared" si="25"/>
        <v>144245627.19780904</v>
      </c>
      <c r="T22" s="39">
        <f t="shared" si="25"/>
        <v>155075413.74941894</v>
      </c>
      <c r="U22" s="39">
        <f t="shared" si="25"/>
        <v>166446689.6286093</v>
      </c>
      <c r="V22" s="39"/>
      <c r="W22" s="39"/>
      <c r="X22" s="39"/>
      <c r="Y22" s="39"/>
      <c r="Z22" s="39"/>
      <c r="AA22" s="39"/>
      <c r="AB22" s="39"/>
      <c r="AC22" s="39"/>
      <c r="AD22" s="39"/>
    </row>
    <row r="23" spans="1:30" s="31" customFormat="1" x14ac:dyDescent="0.25">
      <c r="A23" s="31" t="s">
        <v>119</v>
      </c>
      <c r="B23" s="40">
        <f>B18-B$19</f>
        <v>-44389250</v>
      </c>
      <c r="C23" s="40">
        <f t="shared" si="24"/>
        <v>8967881.1656112671</v>
      </c>
      <c r="D23" s="40">
        <f t="shared" si="24"/>
        <v>11407420.715611264</v>
      </c>
      <c r="E23" s="40">
        <f t="shared" si="24"/>
        <v>13920146.452111274</v>
      </c>
      <c r="F23" s="40">
        <f t="shared" si="24"/>
        <v>16508253.960706279</v>
      </c>
      <c r="G23" s="40">
        <f t="shared" si="24"/>
        <v>19174004.694559127</v>
      </c>
      <c r="H23" s="40">
        <f t="shared" si="24"/>
        <v>21919727.950427562</v>
      </c>
      <c r="I23" s="40">
        <f t="shared" si="24"/>
        <v>24747822.903972059</v>
      </c>
      <c r="J23" s="40">
        <f t="shared" si="24"/>
        <v>27660760.706122875</v>
      </c>
      <c r="K23" s="40">
        <f t="shared" si="24"/>
        <v>30661086.642338231</v>
      </c>
      <c r="L23" s="40">
        <f t="shared" si="24"/>
        <v>33751422.356640041</v>
      </c>
      <c r="M23" s="40">
        <f t="shared" si="24"/>
        <v>36934468.142370909</v>
      </c>
      <c r="N23" s="40">
        <f>N18-N$19</f>
        <v>40213005.301673695</v>
      </c>
      <c r="O23" s="40">
        <f t="shared" si="24"/>
        <v>43589898.575755581</v>
      </c>
      <c r="P23" s="40">
        <f t="shared" si="24"/>
        <v>47068098.648059905</v>
      </c>
      <c r="Q23" s="40">
        <f t="shared" ref="Q23:U23" si="26">Q18-Q$19</f>
        <v>50650644.72253339</v>
      </c>
      <c r="R23" s="40">
        <f t="shared" si="26"/>
        <v>54340667.179241046</v>
      </c>
      <c r="S23" s="40">
        <f t="shared" si="26"/>
        <v>58141390.309649929</v>
      </c>
      <c r="T23" s="40">
        <f t="shared" si="26"/>
        <v>62056135.133971095</v>
      </c>
      <c r="U23" s="40">
        <f t="shared" si="26"/>
        <v>66088322.303021908</v>
      </c>
      <c r="V23" s="40"/>
      <c r="W23" s="40"/>
      <c r="X23" s="40"/>
      <c r="Y23" s="40"/>
      <c r="Z23" s="40"/>
      <c r="AA23" s="40"/>
      <c r="AB23" s="40"/>
      <c r="AC23" s="40"/>
      <c r="AD23" s="40"/>
    </row>
    <row r="24" spans="1:30" x14ac:dyDescent="0.25">
      <c r="A24" s="5" t="s">
        <v>79</v>
      </c>
    </row>
    <row r="25" spans="1:30" s="21" customFormat="1" x14ac:dyDescent="0.25">
      <c r="A25" s="37"/>
      <c r="B25" s="37">
        <f t="shared" ref="B25:H25" si="27">IF(B21&lt;0, 0, B21*0.2)</f>
        <v>0</v>
      </c>
      <c r="C25" s="37">
        <f t="shared" si="27"/>
        <v>10368959.233122259</v>
      </c>
      <c r="D25" s="37">
        <f t="shared" si="27"/>
        <v>11610908.233122259</v>
      </c>
      <c r="E25" s="37">
        <f t="shared" si="27"/>
        <v>12914954.68312226</v>
      </c>
      <c r="F25" s="37">
        <f t="shared" si="27"/>
        <v>14284203.455622263</v>
      </c>
      <c r="G25" s="37">
        <f t="shared" si="27"/>
        <v>15721914.666747266</v>
      </c>
      <c r="H25" s="37">
        <f t="shared" si="27"/>
        <v>16929592.084092267</v>
      </c>
      <c r="I25" s="37">
        <f t="shared" ref="I25:K26" si="28">IF(I21&lt;0, 0, I21*0.2)</f>
        <v>18185576.598131068</v>
      </c>
      <c r="J25" s="37">
        <f t="shared" si="28"/>
        <v>19818356.466381509</v>
      </c>
      <c r="K25" s="37">
        <f t="shared" si="28"/>
        <v>21532775.32804447</v>
      </c>
      <c r="L25" s="37">
        <f t="shared" ref="L25:O26" si="29">IF(L21&lt;0, 0, L21*0.2)</f>
        <v>23692943.093739808</v>
      </c>
      <c r="M25" s="37">
        <f t="shared" si="29"/>
        <v>25601091.28677069</v>
      </c>
      <c r="N25" s="37">
        <f t="shared" si="29"/>
        <v>27604646.889453109</v>
      </c>
      <c r="O25" s="37">
        <f t="shared" si="29"/>
        <v>29708380.272269655</v>
      </c>
      <c r="P25" s="37">
        <f>IF(P21&lt;0, 0, P21*0.2)</f>
        <v>31917300.324227031</v>
      </c>
      <c r="Q25" s="37">
        <f t="shared" ref="Q25:U25" si="30">IF(Q21&lt;0, 0, Q21*0.2)</f>
        <v>34236666.378782272</v>
      </c>
      <c r="R25" s="37">
        <f t="shared" si="30"/>
        <v>36672000.736065276</v>
      </c>
      <c r="S25" s="37">
        <f t="shared" si="30"/>
        <v>39229101.811212435</v>
      </c>
      <c r="T25" s="37">
        <f t="shared" si="30"/>
        <v>41914057.940116942</v>
      </c>
      <c r="U25" s="37">
        <f t="shared" si="30"/>
        <v>44733261.875466682</v>
      </c>
      <c r="V25" s="37"/>
      <c r="W25" s="37"/>
      <c r="X25" s="37"/>
      <c r="Y25" s="37"/>
      <c r="Z25" s="37"/>
      <c r="AA25" s="37"/>
      <c r="AB25" s="37"/>
      <c r="AC25" s="37"/>
      <c r="AD25" s="37"/>
    </row>
    <row r="26" spans="1:30" s="30" customFormat="1" x14ac:dyDescent="0.25">
      <c r="A26" s="38"/>
      <c r="B26" s="38">
        <f t="shared" ref="B26:F27" si="31">IF(B22&lt;0, 0, B22*0.2)</f>
        <v>0</v>
      </c>
      <c r="C26" s="38">
        <f t="shared" si="31"/>
        <v>5374979.2331222538</v>
      </c>
      <c r="D26" s="38">
        <f t="shared" si="31"/>
        <v>6367229.2331222566</v>
      </c>
      <c r="E26" s="38">
        <f t="shared" si="31"/>
        <v>7409091.7331222566</v>
      </c>
      <c r="F26" s="38">
        <f t="shared" si="31"/>
        <v>8503047.3581222575</v>
      </c>
      <c r="G26" s="38">
        <f t="shared" ref="G26:H26" si="32">IF(G22&lt;0, 0, G22*0.2)</f>
        <v>9651700.7643722594</v>
      </c>
      <c r="H26" s="38">
        <f t="shared" si="32"/>
        <v>10857786.840934763</v>
      </c>
      <c r="I26" s="38">
        <f t="shared" si="28"/>
        <v>12124177.22132539</v>
      </c>
      <c r="J26" s="38">
        <f t="shared" si="28"/>
        <v>13453887.12073555</v>
      </c>
      <c r="K26" s="38">
        <f t="shared" si="28"/>
        <v>14850082.515116209</v>
      </c>
      <c r="L26" s="38">
        <f t="shared" si="29"/>
        <v>16316087.679215908</v>
      </c>
      <c r="M26" s="38">
        <f t="shared" si="29"/>
        <v>17855393.101520594</v>
      </c>
      <c r="N26" s="38">
        <f t="shared" si="29"/>
        <v>19471663.794940513</v>
      </c>
      <c r="O26" s="38">
        <f t="shared" si="29"/>
        <v>21168748.023031428</v>
      </c>
      <c r="P26" s="38">
        <f t="shared" ref="P26:Q26" si="33">IF(P22&lt;0, 0, P22*0.2)</f>
        <v>22950686.462526895</v>
      </c>
      <c r="Q26" s="38">
        <f t="shared" si="33"/>
        <v>24821721.823997125</v>
      </c>
      <c r="R26" s="38">
        <f t="shared" ref="R26:U26" si="34">IF(R22&lt;0, 0, R22*0.2)</f>
        <v>26786308.953540877</v>
      </c>
      <c r="S26" s="38">
        <f t="shared" si="34"/>
        <v>28849125.43956181</v>
      </c>
      <c r="T26" s="38">
        <f t="shared" si="34"/>
        <v>31015082.74988379</v>
      </c>
      <c r="U26" s="38">
        <f t="shared" si="34"/>
        <v>33289337.925721861</v>
      </c>
      <c r="V26" s="38"/>
      <c r="W26" s="38"/>
      <c r="X26" s="38"/>
      <c r="Y26" s="38"/>
      <c r="Z26" s="38"/>
      <c r="AA26" s="38"/>
      <c r="AB26" s="38"/>
      <c r="AC26" s="38"/>
      <c r="AD26" s="38"/>
    </row>
    <row r="27" spans="1:30" s="31" customFormat="1" x14ac:dyDescent="0.25">
      <c r="A27" s="40"/>
      <c r="B27" s="40">
        <f t="shared" si="31"/>
        <v>0</v>
      </c>
      <c r="C27" s="40">
        <f t="shared" si="31"/>
        <v>1793576.2331222536</v>
      </c>
      <c r="D27" s="40">
        <f t="shared" si="31"/>
        <v>2281484.143122253</v>
      </c>
      <c r="E27" s="40">
        <f t="shared" si="31"/>
        <v>2784029.2904222552</v>
      </c>
      <c r="F27" s="40">
        <f t="shared" si="31"/>
        <v>3301650.7921412559</v>
      </c>
      <c r="G27" s="40">
        <f t="shared" ref="G27" si="35">IF(G23&lt;0, 0, G23*0.2)</f>
        <v>3834800.9389118254</v>
      </c>
      <c r="H27" s="40">
        <f>IF(H23&lt;0, 0, H23*0.2)</f>
        <v>4383945.590085513</v>
      </c>
      <c r="I27" s="40">
        <f t="shared" ref="I27:J27" si="36">IF(I23&lt;0, 0, I23*0.2)</f>
        <v>4949564.5807944117</v>
      </c>
      <c r="J27" s="40">
        <f t="shared" si="36"/>
        <v>5532152.1412245752</v>
      </c>
      <c r="K27" s="40">
        <f>IF(K23&lt;0, 0, K23*0.2)</f>
        <v>6132217.3284676466</v>
      </c>
      <c r="L27" s="40">
        <f t="shared" ref="L27:O27" si="37">IF(L23&lt;0, 0, L23*0.2)</f>
        <v>6750284.4713280089</v>
      </c>
      <c r="M27" s="40">
        <f t="shared" si="37"/>
        <v>7386893.6284741824</v>
      </c>
      <c r="N27" s="40">
        <f t="shared" si="37"/>
        <v>8042601.0603347393</v>
      </c>
      <c r="O27" s="40">
        <f t="shared" si="37"/>
        <v>8717979.7151511163</v>
      </c>
      <c r="P27" s="40">
        <f>IF(P23&lt;0, 0, P23*0.2)</f>
        <v>9413619.7296119817</v>
      </c>
      <c r="Q27" s="40">
        <f t="shared" ref="Q27:U27" si="38">IF(Q23&lt;0, 0, Q23*0.2)</f>
        <v>10130128.944506679</v>
      </c>
      <c r="R27" s="40">
        <f t="shared" si="38"/>
        <v>10868133.43584821</v>
      </c>
      <c r="S27" s="40">
        <f t="shared" si="38"/>
        <v>11628278.061929986</v>
      </c>
      <c r="T27" s="40">
        <f t="shared" si="38"/>
        <v>12411227.026794219</v>
      </c>
      <c r="U27" s="40">
        <f t="shared" si="38"/>
        <v>13217664.460604383</v>
      </c>
      <c r="V27" s="40"/>
      <c r="W27" s="40"/>
      <c r="X27" s="40"/>
      <c r="Y27" s="40"/>
      <c r="Z27" s="40"/>
      <c r="AA27" s="40"/>
      <c r="AB27" s="40"/>
      <c r="AC27" s="40"/>
      <c r="AD27" s="40"/>
    </row>
    <row r="28" spans="1:30" x14ac:dyDescent="0.25">
      <c r="A28" t="s">
        <v>115</v>
      </c>
    </row>
    <row r="29" spans="1:30" s="21" customFormat="1" x14ac:dyDescent="0.25">
      <c r="A29" s="21" t="s">
        <v>117</v>
      </c>
      <c r="B29" s="37">
        <f>B21-B25</f>
        <v>-72127152</v>
      </c>
      <c r="C29" s="37">
        <f t="shared" ref="C29:H29" si="39">C21-C25</f>
        <v>41475836.932489038</v>
      </c>
      <c r="D29" s="37">
        <f t="shared" si="39"/>
        <v>46443632.932489038</v>
      </c>
      <c r="E29" s="37">
        <f t="shared" si="39"/>
        <v>51659818.732489035</v>
      </c>
      <c r="F29" s="37">
        <f t="shared" si="39"/>
        <v>57136813.822489046</v>
      </c>
      <c r="G29" s="37">
        <f t="shared" si="39"/>
        <v>62887658.666989066</v>
      </c>
      <c r="H29" s="37">
        <f t="shared" si="39"/>
        <v>67718368.336369067</v>
      </c>
      <c r="I29" s="37">
        <f>I21-I25</f>
        <v>72742306.392524272</v>
      </c>
      <c r="J29" s="37">
        <f t="shared" ref="J29:K29" si="40">J21-J25</f>
        <v>79273425.865526035</v>
      </c>
      <c r="K29" s="37">
        <f t="shared" si="40"/>
        <v>86131101.312177867</v>
      </c>
      <c r="L29" s="37">
        <f>L21-L25</f>
        <v>94771772.37495923</v>
      </c>
      <c r="M29" s="37">
        <f t="shared" ref="M29:O29" si="41">M21-M25</f>
        <v>102404365.14708276</v>
      </c>
      <c r="N29" s="37">
        <f t="shared" si="41"/>
        <v>110418587.55781242</v>
      </c>
      <c r="O29" s="37">
        <f t="shared" si="41"/>
        <v>118833521.08907862</v>
      </c>
      <c r="P29" s="37">
        <f>P21-P25</f>
        <v>127669201.29690811</v>
      </c>
      <c r="Q29" s="37">
        <f t="shared" ref="Q29:U29" si="42">Q21-Q25</f>
        <v>136946665.51512909</v>
      </c>
      <c r="R29" s="37">
        <f t="shared" si="42"/>
        <v>146688002.9442611</v>
      </c>
      <c r="S29" s="37">
        <f t="shared" si="42"/>
        <v>156916407.24484974</v>
      </c>
      <c r="T29" s="37">
        <f t="shared" si="42"/>
        <v>167656231.76046777</v>
      </c>
      <c r="U29" s="37">
        <f t="shared" si="42"/>
        <v>178933047.50186673</v>
      </c>
      <c r="V29" s="37"/>
      <c r="W29" s="37"/>
      <c r="X29" s="37"/>
      <c r="Y29" s="37"/>
      <c r="Z29" s="37"/>
      <c r="AA29" s="37"/>
      <c r="AB29" s="37"/>
      <c r="AC29" s="37"/>
      <c r="AD29" s="37"/>
    </row>
    <row r="30" spans="1:30" s="28" customFormat="1" x14ac:dyDescent="0.25">
      <c r="A30" s="28" t="s">
        <v>118</v>
      </c>
      <c r="B30" s="39">
        <f t="shared" ref="B30:H31" si="43">B22-B26</f>
        <v>-77211000</v>
      </c>
      <c r="C30" s="39">
        <f t="shared" si="43"/>
        <v>21499916.932489015</v>
      </c>
      <c r="D30" s="39">
        <f t="shared" si="43"/>
        <v>25468916.932489026</v>
      </c>
      <c r="E30" s="39">
        <f t="shared" si="43"/>
        <v>29636366.932489026</v>
      </c>
      <c r="F30" s="39">
        <f t="shared" si="43"/>
        <v>34012189.432489023</v>
      </c>
      <c r="G30" s="39">
        <f t="shared" si="43"/>
        <v>38606803.057489038</v>
      </c>
      <c r="H30" s="39">
        <f t="shared" si="43"/>
        <v>43431147.363739051</v>
      </c>
      <c r="I30" s="39">
        <f t="shared" ref="I30:P30" si="44">I22-I26</f>
        <v>48496708.885301553</v>
      </c>
      <c r="J30" s="39">
        <f t="shared" si="44"/>
        <v>53815548.482942201</v>
      </c>
      <c r="K30" s="39">
        <f t="shared" si="44"/>
        <v>59400330.060464837</v>
      </c>
      <c r="L30" s="39">
        <f t="shared" si="44"/>
        <v>65264350.716863632</v>
      </c>
      <c r="M30" s="39">
        <f t="shared" si="44"/>
        <v>71421572.406082362</v>
      </c>
      <c r="N30" s="39">
        <f t="shared" si="44"/>
        <v>77886655.179762051</v>
      </c>
      <c r="O30" s="39">
        <f t="shared" si="44"/>
        <v>84674992.092125699</v>
      </c>
      <c r="P30" s="39">
        <f t="shared" si="44"/>
        <v>91802745.85010758</v>
      </c>
      <c r="Q30" s="39">
        <f t="shared" ref="Q30:U30" si="45">Q22-Q26</f>
        <v>99286887.295988485</v>
      </c>
      <c r="R30" s="39">
        <f t="shared" si="45"/>
        <v>107145235.81416349</v>
      </c>
      <c r="S30" s="39">
        <f t="shared" si="45"/>
        <v>115396501.75824723</v>
      </c>
      <c r="T30" s="39">
        <f t="shared" si="45"/>
        <v>124060330.99953516</v>
      </c>
      <c r="U30" s="39">
        <f t="shared" si="45"/>
        <v>133157351.70288745</v>
      </c>
      <c r="V30" s="39"/>
      <c r="W30" s="39"/>
      <c r="X30" s="39"/>
      <c r="Y30" s="39"/>
      <c r="Z30" s="39"/>
      <c r="AA30" s="39"/>
      <c r="AB30" s="39"/>
      <c r="AC30" s="39"/>
      <c r="AD30" s="39"/>
    </row>
    <row r="31" spans="1:30" s="31" customFormat="1" x14ac:dyDescent="0.25">
      <c r="A31" s="31" t="s">
        <v>119</v>
      </c>
      <c r="B31" s="40">
        <f t="shared" si="43"/>
        <v>-44389250</v>
      </c>
      <c r="C31" s="40">
        <f t="shared" si="43"/>
        <v>7174304.9324890133</v>
      </c>
      <c r="D31" s="40">
        <f t="shared" si="43"/>
        <v>9125936.572489012</v>
      </c>
      <c r="E31" s="40">
        <f t="shared" si="43"/>
        <v>11136117.161689019</v>
      </c>
      <c r="F31" s="40">
        <f t="shared" si="43"/>
        <v>13206603.168565024</v>
      </c>
      <c r="G31" s="40">
        <f t="shared" si="43"/>
        <v>15339203.755647302</v>
      </c>
      <c r="H31" s="40">
        <f t="shared" si="43"/>
        <v>17535782.360342048</v>
      </c>
      <c r="I31" s="40">
        <f t="shared" ref="I31:P31" si="46">I23-I27</f>
        <v>19798258.323177647</v>
      </c>
      <c r="J31" s="40">
        <f t="shared" si="46"/>
        <v>22128608.564898301</v>
      </c>
      <c r="K31" s="40">
        <f t="shared" si="46"/>
        <v>24528869.313870586</v>
      </c>
      <c r="L31" s="40">
        <f t="shared" si="46"/>
        <v>27001137.885312032</v>
      </c>
      <c r="M31" s="40">
        <f t="shared" si="46"/>
        <v>29547574.513896726</v>
      </c>
      <c r="N31" s="40">
        <f t="shared" si="46"/>
        <v>32170404.241338957</v>
      </c>
      <c r="O31" s="40">
        <f t="shared" si="46"/>
        <v>34871918.860604465</v>
      </c>
      <c r="P31" s="40">
        <f t="shared" si="46"/>
        <v>37654478.918447927</v>
      </c>
      <c r="Q31" s="40">
        <f t="shared" ref="Q31:U31" si="47">Q23-Q27</f>
        <v>40520515.778026715</v>
      </c>
      <c r="R31" s="40">
        <f t="shared" si="47"/>
        <v>43472533.74339284</v>
      </c>
      <c r="S31" s="40">
        <f t="shared" si="47"/>
        <v>46513112.247719944</v>
      </c>
      <c r="T31" s="40">
        <f t="shared" si="47"/>
        <v>49644908.107176878</v>
      </c>
      <c r="U31" s="40">
        <f t="shared" si="47"/>
        <v>52870657.842417523</v>
      </c>
      <c r="V31" s="40"/>
      <c r="W31" s="40"/>
      <c r="X31" s="40"/>
      <c r="Y31" s="40"/>
      <c r="Z31" s="40"/>
      <c r="AA31" s="40"/>
      <c r="AB31" s="40"/>
      <c r="AC31" s="40"/>
      <c r="AD31" s="40"/>
    </row>
    <row r="35" spans="24:30" x14ac:dyDescent="0.25">
      <c r="X35" s="26"/>
      <c r="Y35" s="26"/>
      <c r="Z35" s="26"/>
      <c r="AA35" s="26"/>
      <c r="AB35" s="26"/>
      <c r="AC35" s="26"/>
      <c r="AD35" s="26"/>
    </row>
  </sheetData>
  <mergeCells count="1">
    <mergeCell ref="C2:P2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2"/>
  <dimension ref="A1:AE30"/>
  <sheetViews>
    <sheetView workbookViewId="0">
      <pane ySplit="2" topLeftCell="A3" activePane="bottomLeft" state="frozen"/>
      <selection pane="bottomLeft" activeCell="E35" sqref="E35"/>
    </sheetView>
  </sheetViews>
  <sheetFormatPr defaultRowHeight="15" x14ac:dyDescent="0.25"/>
  <cols>
    <col min="1" max="1" width="23.5703125" customWidth="1"/>
    <col min="2" max="2" width="22.85546875" customWidth="1"/>
    <col min="3" max="16" width="15.140625" customWidth="1"/>
    <col min="17" max="22" width="14" bestFit="1" customWidth="1"/>
    <col min="23" max="31" width="12.42578125" bestFit="1" customWidth="1"/>
    <col min="32" max="32" width="13.28515625" bestFit="1" customWidth="1"/>
  </cols>
  <sheetData>
    <row r="1" spans="1:31" s="45" customFormat="1" x14ac:dyDescent="0.25">
      <c r="A1" s="45" t="s">
        <v>98</v>
      </c>
      <c r="B1" s="45">
        <v>2018</v>
      </c>
      <c r="C1" s="45">
        <v>2019</v>
      </c>
      <c r="D1" s="45">
        <v>2020</v>
      </c>
      <c r="E1" s="45">
        <v>2021</v>
      </c>
      <c r="F1" s="45">
        <v>2022</v>
      </c>
      <c r="G1" s="45">
        <v>2023</v>
      </c>
      <c r="H1" s="45">
        <v>2024</v>
      </c>
      <c r="I1" s="45">
        <v>2025</v>
      </c>
      <c r="J1" s="45">
        <v>2026</v>
      </c>
      <c r="K1" s="45">
        <v>2027</v>
      </c>
      <c r="L1" s="45">
        <v>2028</v>
      </c>
      <c r="M1" s="45">
        <v>2029</v>
      </c>
      <c r="N1" s="45">
        <v>2030</v>
      </c>
      <c r="O1" s="45">
        <v>2031</v>
      </c>
      <c r="P1" s="45">
        <v>2032</v>
      </c>
      <c r="Q1" s="45">
        <v>2033</v>
      </c>
      <c r="R1" s="45">
        <v>2034</v>
      </c>
      <c r="S1" s="45">
        <v>2035</v>
      </c>
      <c r="T1" s="45">
        <v>2036</v>
      </c>
      <c r="U1" s="45">
        <v>2037</v>
      </c>
      <c r="V1" s="45">
        <v>2038</v>
      </c>
      <c r="W1" s="45">
        <v>2039</v>
      </c>
      <c r="X1" s="45">
        <v>2040</v>
      </c>
      <c r="Y1" s="45">
        <v>2041</v>
      </c>
      <c r="Z1" s="45">
        <v>2042</v>
      </c>
      <c r="AA1" s="45">
        <v>2043</v>
      </c>
      <c r="AB1" s="45">
        <v>2044</v>
      </c>
      <c r="AC1" s="45">
        <v>2045</v>
      </c>
      <c r="AD1" s="45">
        <v>2046</v>
      </c>
      <c r="AE1" s="45">
        <v>2047</v>
      </c>
    </row>
    <row r="2" spans="1:31" x14ac:dyDescent="0.25">
      <c r="A2" s="36" t="s">
        <v>112</v>
      </c>
      <c r="B2" s="87" t="s">
        <v>113</v>
      </c>
      <c r="C2" s="87"/>
      <c r="D2" s="88" t="s">
        <v>114</v>
      </c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</row>
    <row r="3" spans="1:31" x14ac:dyDescent="0.25">
      <c r="A3" t="s">
        <v>130</v>
      </c>
    </row>
    <row r="4" spans="1:31" x14ac:dyDescent="0.25">
      <c r="A4" s="21" t="s">
        <v>117</v>
      </c>
      <c r="B4" s="44">
        <f>'Прогноз выручки'!C6</f>
        <v>58582500.000000007</v>
      </c>
      <c r="C4" s="44">
        <f>'Прогноз выручки'!D6</f>
        <v>124194900.00000003</v>
      </c>
      <c r="D4" s="44">
        <f>'Прогноз выручки'!E6</f>
        <v>130404645.00000003</v>
      </c>
      <c r="E4" s="44">
        <f>'Прогноз выручки'!F6</f>
        <v>136924877.25000003</v>
      </c>
      <c r="F4" s="44">
        <f>'Прогноз выручки'!G6</f>
        <v>143771121.11250004</v>
      </c>
      <c r="G4" s="44">
        <f>'Прогноз выручки'!H6</f>
        <v>150959677.16812506</v>
      </c>
      <c r="H4" s="44">
        <f>'Прогноз выручки'!I6</f>
        <v>156998064.25485006</v>
      </c>
      <c r="I4" s="44">
        <f>'Прогноз выручки'!J6</f>
        <v>163277986.82504407</v>
      </c>
      <c r="J4" s="44">
        <f>'Прогноз выручки'!K6</f>
        <v>171441886.16629627</v>
      </c>
      <c r="K4" s="44">
        <f>'Прогноз выручки'!L6</f>
        <v>180013980.47461107</v>
      </c>
      <c r="L4" s="44">
        <f>'Прогноз выручки'!M6</f>
        <v>190814819.30308777</v>
      </c>
      <c r="M4" s="44">
        <f>'Прогноз выручки'!N6</f>
        <v>200355560.26824218</v>
      </c>
      <c r="N4" s="44">
        <f>'Прогноз выручки'!O6</f>
        <v>210373338.28165427</v>
      </c>
      <c r="O4" s="44">
        <f>'Прогноз выручки'!P6</f>
        <v>220892005.195737</v>
      </c>
      <c r="P4" s="44">
        <f>'Прогноз выручки'!Q6</f>
        <v>231936605.45552388</v>
      </c>
      <c r="Q4" s="44">
        <f>'Прогноз выручки'!R6</f>
        <v>243533435.72830009</v>
      </c>
      <c r="R4" s="44">
        <f>'Прогноз выручки'!S6</f>
        <v>255710107.51471511</v>
      </c>
      <c r="S4" s="44">
        <f>'Прогноз выручки'!T6</f>
        <v>268495612.89045089</v>
      </c>
      <c r="T4" s="44">
        <f>'Прогноз выручки'!U6</f>
        <v>281920393.53497344</v>
      </c>
      <c r="U4" s="44">
        <f>'Прогноз выручки'!V6</f>
        <v>296016413.21172214</v>
      </c>
    </row>
    <row r="5" spans="1:31" x14ac:dyDescent="0.25">
      <c r="A5" s="30" t="s">
        <v>118</v>
      </c>
      <c r="B5" s="44">
        <f>'Прогноз выручки'!C11</f>
        <v>47250000</v>
      </c>
      <c r="C5" s="44">
        <f>'Прогноз выручки'!D11</f>
        <v>99225000</v>
      </c>
      <c r="D5" s="44">
        <f>'Прогноз выручки'!E11</f>
        <v>104186250.00000001</v>
      </c>
      <c r="E5" s="44">
        <f>'Прогноз выручки'!F11</f>
        <v>109395562.50000001</v>
      </c>
      <c r="F5" s="44">
        <f>'Прогноз выручки'!G11</f>
        <v>114865340.62500001</v>
      </c>
      <c r="G5" s="44">
        <f>'Прогноз выручки'!H11</f>
        <v>120608607.65625003</v>
      </c>
      <c r="H5" s="44">
        <f>'Прогноз выручки'!I11</f>
        <v>126639038.03906254</v>
      </c>
      <c r="I5" s="44">
        <f>'Прогноз выручки'!J11</f>
        <v>132970989.94101568</v>
      </c>
      <c r="J5" s="44">
        <f>'Прогноз выручки'!K11</f>
        <v>139619539.43806648</v>
      </c>
      <c r="K5" s="44">
        <f>'Прогноз выручки'!L11</f>
        <v>146600516.40996978</v>
      </c>
      <c r="L5" s="44">
        <f>'Прогноз выручки'!M11</f>
        <v>153930542.23046827</v>
      </c>
      <c r="M5" s="44">
        <f>'Прогноз выручки'!N11</f>
        <v>161627069.34199169</v>
      </c>
      <c r="N5" s="44">
        <f>'Прогноз выручки'!O11</f>
        <v>169708422.8090913</v>
      </c>
      <c r="O5" s="44">
        <f>'Прогноз выручки'!P11</f>
        <v>178193843.94954586</v>
      </c>
      <c r="P5" s="44">
        <f>'Прогноз выручки'!Q11</f>
        <v>187103536.1470232</v>
      </c>
      <c r="Q5" s="44">
        <f>'Прогноз выручки'!R11</f>
        <v>196458712.95437434</v>
      </c>
      <c r="R5" s="44">
        <f>'Прогноз выручки'!S11</f>
        <v>206281648.6020931</v>
      </c>
      <c r="S5" s="44">
        <f>'Прогноз выручки'!T11</f>
        <v>216595731.03219777</v>
      </c>
      <c r="T5" s="44">
        <f>'Прогноз выручки'!U11</f>
        <v>227425517.58380768</v>
      </c>
      <c r="U5" s="44">
        <f>'Прогноз выручки'!V11</f>
        <v>238796793.46299803</v>
      </c>
      <c r="V5" s="44"/>
    </row>
    <row r="6" spans="1:31" x14ac:dyDescent="0.25">
      <c r="A6" s="43" t="s">
        <v>119</v>
      </c>
      <c r="B6" s="44">
        <f>'Прогноз выручки'!C16</f>
        <v>39474750</v>
      </c>
      <c r="C6" s="44">
        <f>'Прогноз выручки'!D16</f>
        <v>81317985</v>
      </c>
      <c r="D6" s="44">
        <f>'Прогноз выручки'!E16</f>
        <v>83757524.549999997</v>
      </c>
      <c r="E6" s="44">
        <f>'Прогноз выручки'!F16</f>
        <v>86270250.286500007</v>
      </c>
      <c r="F6" s="44">
        <f>'Прогноз выручки'!G16</f>
        <v>88858357.795095012</v>
      </c>
      <c r="G6" s="44">
        <f>'Прогноз выручки'!H16</f>
        <v>91524108.52894786</v>
      </c>
      <c r="H6" s="44">
        <f>'Прогноз выручки'!I16</f>
        <v>94269831.784816295</v>
      </c>
      <c r="I6" s="44">
        <f>'Прогноз выручки'!J16</f>
        <v>97097926.738360792</v>
      </c>
      <c r="J6" s="44">
        <f>'Прогноз выручки'!K16</f>
        <v>100010864.54051161</v>
      </c>
      <c r="K6" s="44">
        <f>'Прогноз выручки'!L16</f>
        <v>103011190.47672696</v>
      </c>
      <c r="L6" s="44">
        <f>'Прогноз выручки'!M16</f>
        <v>106101526.19102877</v>
      </c>
      <c r="M6" s="44">
        <f>'Прогноз выручки'!N16</f>
        <v>109284571.97675964</v>
      </c>
      <c r="N6" s="44">
        <f>'Прогноз выручки'!O16</f>
        <v>112563109.13606243</v>
      </c>
      <c r="O6" s="44">
        <f>'Прогноз выручки'!P16</f>
        <v>115940002.41014431</v>
      </c>
      <c r="P6" s="44">
        <f>'Прогноз выручки'!Q16</f>
        <v>119418202.48244864</v>
      </c>
      <c r="Q6" s="44">
        <f>'Прогноз выручки'!R16</f>
        <v>123000748.55692212</v>
      </c>
      <c r="R6" s="44">
        <f>'Прогноз выручки'!S16</f>
        <v>126690771.01362978</v>
      </c>
      <c r="S6" s="44">
        <f>'Прогноз выручки'!T16</f>
        <v>130491494.14403866</v>
      </c>
      <c r="T6" s="44">
        <f>'Прогноз выручки'!U16</f>
        <v>134406238.96835983</v>
      </c>
      <c r="U6" s="44">
        <f>'Прогноз выручки'!V16</f>
        <v>138438426.13741064</v>
      </c>
      <c r="V6" s="44"/>
    </row>
    <row r="7" spans="1:31" x14ac:dyDescent="0.25">
      <c r="A7" t="s">
        <v>131</v>
      </c>
    </row>
    <row r="8" spans="1:31" s="44" customFormat="1" x14ac:dyDescent="0.25">
      <c r="A8" s="44" t="s">
        <v>132</v>
      </c>
      <c r="B8" s="44">
        <f>'Итоговая смета'!E2+'Итоговая смета'!E3+'Итоговая смета'!E4+'Итоговая смета'!E5/2+'Итоговая смета'!E6+'Итоговая смета'!E7/2+'Итоговая смета'!E8/2+'Итоговая смета'!E9/2+'Итоговая смета'!E10+'Итоговая смета'!E11+'Итоговая смета'!E12+'Итоговая смета'!E13+'Итоговая смета'!E14</f>
        <v>412700000</v>
      </c>
      <c r="C8" s="44">
        <f>'Итоговая смета'!E5/2+'Итоговая смета'!E7/2+'Итоговая смета'!E8/2+'Итоговая смета'!E9/2</f>
        <v>285000000</v>
      </c>
      <c r="D8" s="26">
        <v>5000000</v>
      </c>
      <c r="E8" s="26">
        <v>5000000</v>
      </c>
      <c r="F8" s="26">
        <v>5000000</v>
      </c>
      <c r="G8" s="26">
        <v>5000000</v>
      </c>
      <c r="H8" s="26">
        <v>5000000</v>
      </c>
      <c r="I8" s="26">
        <v>5000000</v>
      </c>
      <c r="J8" s="26">
        <v>5000000</v>
      </c>
      <c r="K8" s="26">
        <v>5000000</v>
      </c>
      <c r="L8" s="26">
        <v>5000000</v>
      </c>
      <c r="M8" s="26">
        <v>5000000</v>
      </c>
      <c r="N8" s="26">
        <v>5000000</v>
      </c>
      <c r="O8" s="26">
        <v>5000000</v>
      </c>
      <c r="P8" s="26">
        <v>5000000</v>
      </c>
      <c r="Q8" s="26">
        <v>5000000</v>
      </c>
      <c r="R8" s="26">
        <v>5000000</v>
      </c>
      <c r="S8" s="26">
        <v>5000000</v>
      </c>
      <c r="T8" s="26">
        <v>5000000</v>
      </c>
      <c r="U8" s="26">
        <v>5000000</v>
      </c>
    </row>
    <row r="9" spans="1:31" x14ac:dyDescent="0.25">
      <c r="A9" s="22" t="s">
        <v>133</v>
      </c>
      <c r="B9" s="26">
        <v>5000000</v>
      </c>
      <c r="C9" s="26">
        <v>5000000</v>
      </c>
      <c r="D9" s="26">
        <v>5000000</v>
      </c>
      <c r="E9" s="26">
        <v>5000000</v>
      </c>
      <c r="F9" s="26">
        <v>5000000</v>
      </c>
      <c r="G9" s="26">
        <v>5000000</v>
      </c>
      <c r="H9" s="26">
        <v>5000000</v>
      </c>
      <c r="I9" s="26">
        <v>5000000</v>
      </c>
      <c r="J9" s="26">
        <v>5000000</v>
      </c>
      <c r="K9" s="26">
        <v>5000000</v>
      </c>
      <c r="L9" s="26">
        <v>5000000</v>
      </c>
      <c r="M9" s="26">
        <v>5000000</v>
      </c>
      <c r="N9" s="26">
        <v>5000000</v>
      </c>
      <c r="O9" s="26">
        <v>5000000</v>
      </c>
      <c r="P9" s="26">
        <v>5000000</v>
      </c>
      <c r="Q9" s="26">
        <v>5000000</v>
      </c>
      <c r="R9" s="26">
        <v>5000000</v>
      </c>
      <c r="S9" s="26">
        <v>5000000</v>
      </c>
      <c r="T9" s="26">
        <v>5000000</v>
      </c>
      <c r="U9" s="26">
        <v>5000000</v>
      </c>
    </row>
    <row r="10" spans="1:31" x14ac:dyDescent="0.25">
      <c r="A10" t="s">
        <v>163</v>
      </c>
      <c r="B10" s="26">
        <f>Финансирование!B29</f>
        <v>15336000</v>
      </c>
      <c r="C10" s="26">
        <f>Финансирование!C29</f>
        <v>40522103.834388733</v>
      </c>
      <c r="D10" s="26">
        <f>$C$10</f>
        <v>40522103.834388733</v>
      </c>
      <c r="E10" s="26">
        <f t="shared" ref="E10:U10" si="0">$C$10</f>
        <v>40522103.834388733</v>
      </c>
      <c r="F10" s="26">
        <f t="shared" si="0"/>
        <v>40522103.834388733</v>
      </c>
      <c r="G10" s="26">
        <f t="shared" si="0"/>
        <v>40522103.834388733</v>
      </c>
      <c r="H10" s="26">
        <f t="shared" si="0"/>
        <v>40522103.834388733</v>
      </c>
      <c r="I10" s="26">
        <f t="shared" si="0"/>
        <v>40522103.834388733</v>
      </c>
      <c r="J10" s="26">
        <f t="shared" si="0"/>
        <v>40522103.834388733</v>
      </c>
      <c r="K10" s="26">
        <f t="shared" si="0"/>
        <v>40522103.834388733</v>
      </c>
      <c r="L10" s="26">
        <f t="shared" si="0"/>
        <v>40522103.834388733</v>
      </c>
      <c r="M10" s="26">
        <f t="shared" si="0"/>
        <v>40522103.834388733</v>
      </c>
      <c r="N10" s="26">
        <f t="shared" si="0"/>
        <v>40522103.834388733</v>
      </c>
      <c r="O10" s="26">
        <f t="shared" si="0"/>
        <v>40522103.834388733</v>
      </c>
      <c r="P10" s="26">
        <f t="shared" si="0"/>
        <v>40522103.834388733</v>
      </c>
      <c r="Q10" s="26">
        <f t="shared" si="0"/>
        <v>40522103.834388733</v>
      </c>
      <c r="R10" s="26">
        <f>$C$10</f>
        <v>40522103.834388733</v>
      </c>
      <c r="S10" s="26">
        <f t="shared" si="0"/>
        <v>40522103.834388733</v>
      </c>
      <c r="T10" s="26">
        <f t="shared" si="0"/>
        <v>40522103.834388733</v>
      </c>
      <c r="U10" s="26">
        <f t="shared" si="0"/>
        <v>40522103.834388733</v>
      </c>
      <c r="V10" s="26"/>
      <c r="W10" s="26"/>
    </row>
    <row r="11" spans="1:31" x14ac:dyDescent="0.25">
      <c r="A11" t="s">
        <v>100</v>
      </c>
      <c r="B11" s="26">
        <f>Персонал!$F$12</f>
        <v>21828000</v>
      </c>
      <c r="C11" s="26">
        <f>Персонал!$F$12</f>
        <v>21828000</v>
      </c>
      <c r="D11" s="26">
        <f>Персонал!$F$12</f>
        <v>21828000</v>
      </c>
      <c r="E11" s="26">
        <f>Персонал!$F$12</f>
        <v>21828000</v>
      </c>
      <c r="F11" s="26">
        <f>Персонал!$F$12</f>
        <v>21828000</v>
      </c>
      <c r="G11" s="26">
        <f>Персонал!$F$12</f>
        <v>21828000</v>
      </c>
      <c r="H11" s="26">
        <f>Персонал!$F$12</f>
        <v>21828000</v>
      </c>
      <c r="I11" s="26">
        <f>Персонал!$F$12</f>
        <v>21828000</v>
      </c>
      <c r="J11" s="26">
        <f>Персонал!$F$12</f>
        <v>21828000</v>
      </c>
      <c r="K11" s="26">
        <f>Персонал!$F$12</f>
        <v>21828000</v>
      </c>
      <c r="L11" s="26">
        <f>Персонал!$F$12</f>
        <v>21828000</v>
      </c>
      <c r="M11" s="26">
        <f>Персонал!$F$12</f>
        <v>21828000</v>
      </c>
      <c r="N11" s="26">
        <f>Персонал!$F$12</f>
        <v>21828000</v>
      </c>
      <c r="O11" s="26">
        <f>Персонал!$F$12</f>
        <v>21828000</v>
      </c>
      <c r="P11" s="26">
        <f>Персонал!$F$12</f>
        <v>21828000</v>
      </c>
      <c r="Q11" s="26">
        <f>Персонал!$F$12</f>
        <v>21828000</v>
      </c>
      <c r="R11" s="26">
        <f>Персонал!$F$12</f>
        <v>21828000</v>
      </c>
      <c r="S11" s="26">
        <f>Персонал!$F$12</f>
        <v>21828000</v>
      </c>
      <c r="T11" s="26">
        <f>Персонал!$F$12</f>
        <v>21828000</v>
      </c>
      <c r="U11" s="26">
        <f>Персонал!$F$12</f>
        <v>21828000</v>
      </c>
    </row>
    <row r="12" spans="1:31" x14ac:dyDescent="0.25">
      <c r="A12" t="s">
        <v>171</v>
      </c>
      <c r="B12" s="26">
        <f>Финансирование!B26</f>
        <v>127800000</v>
      </c>
      <c r="C12" s="26">
        <f>Финансирование!G3</f>
        <v>285000000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</row>
    <row r="13" spans="1:31" x14ac:dyDescent="0.25">
      <c r="A13" s="5" t="s">
        <v>79</v>
      </c>
    </row>
    <row r="14" spans="1:31" s="21" customFormat="1" x14ac:dyDescent="0.25">
      <c r="A14" s="37"/>
      <c r="B14" s="37">
        <f>Прибыль!B25</f>
        <v>0</v>
      </c>
      <c r="C14" s="37">
        <f>Прибыль!C25</f>
        <v>10368959.233122259</v>
      </c>
      <c r="D14" s="37">
        <f>Прибыль!D25</f>
        <v>11610908.233122259</v>
      </c>
      <c r="E14" s="37">
        <f>Прибыль!E25</f>
        <v>12914954.68312226</v>
      </c>
      <c r="F14" s="37">
        <f>Прибыль!F25</f>
        <v>14284203.455622263</v>
      </c>
      <c r="G14" s="37">
        <f>Прибыль!G25</f>
        <v>15721914.666747266</v>
      </c>
      <c r="H14" s="37">
        <f>Прибыль!H25</f>
        <v>16929592.084092267</v>
      </c>
      <c r="I14" s="37">
        <f>Прибыль!I25</f>
        <v>18185576.598131068</v>
      </c>
      <c r="J14" s="37">
        <f>Прибыль!J25</f>
        <v>19818356.466381509</v>
      </c>
      <c r="K14" s="37">
        <f>Прибыль!K25</f>
        <v>21532775.32804447</v>
      </c>
      <c r="L14" s="37">
        <f>Прибыль!L25</f>
        <v>23692943.093739808</v>
      </c>
      <c r="M14" s="37">
        <f>Прибыль!M25</f>
        <v>25601091.28677069</v>
      </c>
      <c r="N14" s="37">
        <f>Прибыль!N25</f>
        <v>27604646.889453109</v>
      </c>
      <c r="O14" s="37">
        <f>Прибыль!O25</f>
        <v>29708380.272269655</v>
      </c>
      <c r="P14" s="37">
        <f>Прибыль!P25</f>
        <v>31917300.324227031</v>
      </c>
      <c r="Q14" s="37">
        <f>Прибыль!Q25</f>
        <v>34236666.378782272</v>
      </c>
      <c r="R14" s="37">
        <f>Прибыль!R25</f>
        <v>36672000.736065276</v>
      </c>
      <c r="S14" s="37">
        <f>Прибыль!S25</f>
        <v>39229101.811212435</v>
      </c>
      <c r="T14" s="37">
        <f>Прибыль!T25</f>
        <v>41914057.940116942</v>
      </c>
      <c r="U14" s="37">
        <f>Прибыль!U25</f>
        <v>44733261.875466682</v>
      </c>
      <c r="V14" s="37"/>
      <c r="W14" s="37"/>
      <c r="X14" s="37"/>
      <c r="Y14" s="37"/>
      <c r="Z14" s="37"/>
      <c r="AA14" s="37"/>
      <c r="AB14" s="37"/>
      <c r="AC14" s="37"/>
      <c r="AD14" s="37"/>
    </row>
    <row r="15" spans="1:31" s="30" customFormat="1" x14ac:dyDescent="0.25">
      <c r="A15" s="38"/>
      <c r="B15" s="38">
        <f>Прибыль!B26</f>
        <v>0</v>
      </c>
      <c r="C15" s="38">
        <f>Прибыль!C26</f>
        <v>5374979.2331222538</v>
      </c>
      <c r="D15" s="38">
        <f>Прибыль!D26</f>
        <v>6367229.2331222566</v>
      </c>
      <c r="E15" s="38">
        <f>Прибыль!E26</f>
        <v>7409091.7331222566</v>
      </c>
      <c r="F15" s="38">
        <f>Прибыль!F26</f>
        <v>8503047.3581222575</v>
      </c>
      <c r="G15" s="38">
        <f>Прибыль!G26</f>
        <v>9651700.7643722594</v>
      </c>
      <c r="H15" s="38">
        <f>Прибыль!H26</f>
        <v>10857786.840934763</v>
      </c>
      <c r="I15" s="38">
        <f>Прибыль!I26</f>
        <v>12124177.22132539</v>
      </c>
      <c r="J15" s="38">
        <f>Прибыль!J26</f>
        <v>13453887.12073555</v>
      </c>
      <c r="K15" s="38">
        <f>Прибыль!K26</f>
        <v>14850082.515116209</v>
      </c>
      <c r="L15" s="38">
        <f>Прибыль!L26</f>
        <v>16316087.679215908</v>
      </c>
      <c r="M15" s="38">
        <f>Прибыль!M26</f>
        <v>17855393.101520594</v>
      </c>
      <c r="N15" s="38">
        <f>Прибыль!N26</f>
        <v>19471663.794940513</v>
      </c>
      <c r="O15" s="38">
        <f>Прибыль!O26</f>
        <v>21168748.023031428</v>
      </c>
      <c r="P15" s="38">
        <f>Прибыль!P26</f>
        <v>22950686.462526895</v>
      </c>
      <c r="Q15" s="38">
        <f>Прибыль!Q26</f>
        <v>24821721.823997125</v>
      </c>
      <c r="R15" s="38">
        <f>Прибыль!R26</f>
        <v>26786308.953540877</v>
      </c>
      <c r="S15" s="38">
        <f>Прибыль!S26</f>
        <v>28849125.43956181</v>
      </c>
      <c r="T15" s="38">
        <f>Прибыль!T26</f>
        <v>31015082.74988379</v>
      </c>
      <c r="U15" s="38">
        <f>Прибыль!U26</f>
        <v>33289337.925721861</v>
      </c>
      <c r="V15" s="38"/>
      <c r="W15" s="38"/>
      <c r="X15" s="38"/>
      <c r="Y15" s="38"/>
      <c r="Z15" s="38"/>
      <c r="AA15" s="38"/>
      <c r="AB15" s="38"/>
      <c r="AC15" s="38"/>
      <c r="AD15" s="38"/>
    </row>
    <row r="16" spans="1:31" s="43" customFormat="1" x14ac:dyDescent="0.25">
      <c r="A16" s="57"/>
      <c r="B16" s="57">
        <f>Прибыль!B27</f>
        <v>0</v>
      </c>
      <c r="C16" s="57">
        <f>Прибыль!C27</f>
        <v>1793576.2331222536</v>
      </c>
      <c r="D16" s="57">
        <f>Прибыль!D27</f>
        <v>2281484.143122253</v>
      </c>
      <c r="E16" s="57">
        <f>Прибыль!E27</f>
        <v>2784029.2904222552</v>
      </c>
      <c r="F16" s="57">
        <f>Прибыль!F27</f>
        <v>3301650.7921412559</v>
      </c>
      <c r="G16" s="57">
        <f>Прибыль!G27</f>
        <v>3834800.9389118254</v>
      </c>
      <c r="H16" s="57">
        <f>Прибыль!H27</f>
        <v>4383945.590085513</v>
      </c>
      <c r="I16" s="57">
        <f>Прибыль!I27</f>
        <v>4949564.5807944117</v>
      </c>
      <c r="J16" s="57">
        <f>Прибыль!J27</f>
        <v>5532152.1412245752</v>
      </c>
      <c r="K16" s="57">
        <f>Прибыль!K27</f>
        <v>6132217.3284676466</v>
      </c>
      <c r="L16" s="57">
        <f>Прибыль!L27</f>
        <v>6750284.4713280089</v>
      </c>
      <c r="M16" s="57">
        <f>Прибыль!M27</f>
        <v>7386893.6284741824</v>
      </c>
      <c r="N16" s="57">
        <f>Прибыль!N27</f>
        <v>8042601.0603347393</v>
      </c>
      <c r="O16" s="57">
        <f>Прибыль!O27</f>
        <v>8717979.7151511163</v>
      </c>
      <c r="P16" s="57">
        <f>Прибыль!P27</f>
        <v>9413619.7296119817</v>
      </c>
      <c r="Q16" s="57">
        <f>Прибыль!Q27</f>
        <v>10130128.944506679</v>
      </c>
      <c r="R16" s="57">
        <f>Прибыль!R27</f>
        <v>10868133.43584821</v>
      </c>
      <c r="S16" s="57">
        <f>Прибыль!S27</f>
        <v>11628278.061929986</v>
      </c>
      <c r="T16" s="57">
        <f>Прибыль!T27</f>
        <v>12411227.026794219</v>
      </c>
      <c r="U16" s="57">
        <f>Прибыль!U27</f>
        <v>13217664.460604383</v>
      </c>
      <c r="V16" s="57"/>
      <c r="W16" s="57"/>
      <c r="X16" s="57"/>
      <c r="Y16" s="57"/>
      <c r="Z16" s="57"/>
      <c r="AA16" s="57"/>
      <c r="AB16" s="57"/>
      <c r="AC16" s="57"/>
      <c r="AD16" s="57"/>
    </row>
    <row r="17" spans="1:22" x14ac:dyDescent="0.25">
      <c r="A17" t="s">
        <v>157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 spans="1:22" x14ac:dyDescent="0.25">
      <c r="A18" s="21" t="s">
        <v>117</v>
      </c>
      <c r="B18" s="44">
        <f>B4-B8-B9-B10-B11-B14+B12</f>
        <v>-268481500</v>
      </c>
      <c r="C18" s="44">
        <f>C4-C8-C9-C10-C11-C14+C12</f>
        <v>46475836.932489038</v>
      </c>
      <c r="D18" s="44">
        <f>D4-D8-D9-D10-D11-D14+D12</f>
        <v>46443632.932489038</v>
      </c>
      <c r="E18" s="44">
        <f>E4-E8-E9-E10-E11-E14+E12</f>
        <v>51659818.732489035</v>
      </c>
      <c r="F18" s="44">
        <f t="shared" ref="F18:N18" si="1">F4-F8-F9-F10-F11-F14+F12</f>
        <v>57136813.822489046</v>
      </c>
      <c r="G18" s="44">
        <f t="shared" si="1"/>
        <v>62887658.666989066</v>
      </c>
      <c r="H18" s="44">
        <f t="shared" si="1"/>
        <v>67718368.336369067</v>
      </c>
      <c r="I18" s="44">
        <f t="shared" si="1"/>
        <v>72742306.392524272</v>
      </c>
      <c r="J18" s="44">
        <f t="shared" si="1"/>
        <v>79273425.865526035</v>
      </c>
      <c r="K18" s="44">
        <f t="shared" si="1"/>
        <v>86131101.312177867</v>
      </c>
      <c r="L18" s="44">
        <f t="shared" si="1"/>
        <v>94771772.37495923</v>
      </c>
      <c r="M18" s="44">
        <f t="shared" si="1"/>
        <v>102404365.14708276</v>
      </c>
      <c r="N18" s="44">
        <f t="shared" si="1"/>
        <v>110418587.55781242</v>
      </c>
      <c r="O18" s="44">
        <f t="shared" ref="O18:U18" si="2">O4-O8-O9-O10-O11-O14+O12</f>
        <v>118833521.08907862</v>
      </c>
      <c r="P18" s="44">
        <f t="shared" si="2"/>
        <v>127669201.29690811</v>
      </c>
      <c r="Q18" s="44">
        <f t="shared" si="2"/>
        <v>136946665.51512909</v>
      </c>
      <c r="R18" s="44">
        <f t="shared" si="2"/>
        <v>146688002.9442611</v>
      </c>
      <c r="S18" s="44">
        <f t="shared" si="2"/>
        <v>156916407.24484974</v>
      </c>
      <c r="T18" s="44">
        <f t="shared" si="2"/>
        <v>167656231.76046777</v>
      </c>
      <c r="U18" s="44">
        <f t="shared" si="2"/>
        <v>178933047.50186673</v>
      </c>
    </row>
    <row r="19" spans="1:22" x14ac:dyDescent="0.25">
      <c r="A19" s="30" t="s">
        <v>118</v>
      </c>
      <c r="B19" s="44">
        <f>B5-B8-B9-B10-B11+B12</f>
        <v>-279814000</v>
      </c>
      <c r="C19" s="44">
        <f>C5-C8-C9-C10-C11+C12</f>
        <v>31874896.165611267</v>
      </c>
      <c r="D19" s="44">
        <f>D5-D8-D9-D10-D11+D12</f>
        <v>31836146.165611282</v>
      </c>
      <c r="E19" s="44">
        <f>E5-E8-E9-E10-E11+E12</f>
        <v>37045458.665611282</v>
      </c>
      <c r="F19" s="44">
        <f t="shared" ref="F19:N19" si="3">F5-F8-F9-F10-F11+F12</f>
        <v>42515236.790611282</v>
      </c>
      <c r="G19" s="44">
        <f t="shared" si="3"/>
        <v>48258503.821861297</v>
      </c>
      <c r="H19" s="44">
        <f t="shared" si="3"/>
        <v>54288934.204673812</v>
      </c>
      <c r="I19" s="44">
        <f t="shared" si="3"/>
        <v>60620886.106626943</v>
      </c>
      <c r="J19" s="44">
        <f t="shared" si="3"/>
        <v>67269435.60367775</v>
      </c>
      <c r="K19" s="44">
        <f t="shared" si="3"/>
        <v>74250412.575581044</v>
      </c>
      <c r="L19" s="44">
        <f t="shared" si="3"/>
        <v>81580438.39607954</v>
      </c>
      <c r="M19" s="44">
        <f t="shared" si="3"/>
        <v>89276965.50760296</v>
      </c>
      <c r="N19" s="44">
        <f t="shared" si="3"/>
        <v>97358318.974702567</v>
      </c>
      <c r="O19" s="44">
        <f t="shared" ref="O19:U19" si="4">O5-O8-O9-O10-O11+O12</f>
        <v>105843740.11515713</v>
      </c>
      <c r="P19" s="44">
        <f t="shared" si="4"/>
        <v>114753432.31263447</v>
      </c>
      <c r="Q19" s="44">
        <f t="shared" si="4"/>
        <v>124108609.11998561</v>
      </c>
      <c r="R19" s="44">
        <f t="shared" si="4"/>
        <v>133931544.76770437</v>
      </c>
      <c r="S19" s="44">
        <f t="shared" si="4"/>
        <v>144245627.19780904</v>
      </c>
      <c r="T19" s="44">
        <f t="shared" si="4"/>
        <v>155075413.74941894</v>
      </c>
      <c r="U19" s="44">
        <f t="shared" si="4"/>
        <v>166446689.6286093</v>
      </c>
    </row>
    <row r="20" spans="1:22" x14ac:dyDescent="0.25">
      <c r="A20" s="43" t="s">
        <v>119</v>
      </c>
      <c r="B20" s="44">
        <f>B6-B8-B9-B10-B11+B12</f>
        <v>-287589250</v>
      </c>
      <c r="C20" s="44">
        <f>C6-C8-C9-C10-C11+C12</f>
        <v>13967881.165611267</v>
      </c>
      <c r="D20" s="44">
        <f>D6-D8-D9-D10-D11+D12</f>
        <v>11407420.715611264</v>
      </c>
      <c r="E20" s="44">
        <f>E6-E8-E9-E10-E11+E12</f>
        <v>13920146.452111274</v>
      </c>
      <c r="F20" s="44">
        <f t="shared" ref="F20:N20" si="5">F6-F8-F9-F10-F11+F12</f>
        <v>16508253.960706279</v>
      </c>
      <c r="G20" s="44">
        <f t="shared" si="5"/>
        <v>19174004.694559127</v>
      </c>
      <c r="H20" s="44">
        <f t="shared" si="5"/>
        <v>21919727.950427562</v>
      </c>
      <c r="I20" s="44">
        <f t="shared" si="5"/>
        <v>24747822.903972059</v>
      </c>
      <c r="J20" s="44">
        <f t="shared" si="5"/>
        <v>27660760.706122875</v>
      </c>
      <c r="K20" s="44">
        <f t="shared" si="5"/>
        <v>30661086.642338231</v>
      </c>
      <c r="L20" s="44">
        <f t="shared" si="5"/>
        <v>33751422.356640041</v>
      </c>
      <c r="M20" s="44">
        <f t="shared" si="5"/>
        <v>36934468.142370909</v>
      </c>
      <c r="N20" s="44">
        <f t="shared" si="5"/>
        <v>40213005.301673695</v>
      </c>
      <c r="O20" s="44">
        <f t="shared" ref="O20:U20" si="6">O6-O8-O9-O10-O11+O12</f>
        <v>43589898.575755581</v>
      </c>
      <c r="P20" s="44">
        <f t="shared" si="6"/>
        <v>47068098.648059905</v>
      </c>
      <c r="Q20" s="44">
        <f t="shared" si="6"/>
        <v>50650644.72253339</v>
      </c>
      <c r="R20" s="44">
        <f t="shared" si="6"/>
        <v>54340667.179241046</v>
      </c>
      <c r="S20" s="44">
        <f t="shared" si="6"/>
        <v>58141390.309649929</v>
      </c>
      <c r="T20" s="44">
        <f t="shared" si="6"/>
        <v>62056135.133971095</v>
      </c>
      <c r="U20" s="44">
        <f t="shared" si="6"/>
        <v>66088322.303021908</v>
      </c>
    </row>
    <row r="21" spans="1:22" x14ac:dyDescent="0.25">
      <c r="A21" s="5" t="s">
        <v>10</v>
      </c>
    </row>
    <row r="22" spans="1:22" x14ac:dyDescent="0.25">
      <c r="A22" t="s">
        <v>170</v>
      </c>
      <c r="B22" s="46">
        <v>1</v>
      </c>
      <c r="C22" s="46">
        <v>2</v>
      </c>
      <c r="D22" s="46">
        <v>3</v>
      </c>
      <c r="E22" s="46">
        <v>4</v>
      </c>
      <c r="F22" s="46">
        <v>5</v>
      </c>
      <c r="G22" s="46">
        <v>6</v>
      </c>
      <c r="H22" s="46">
        <v>7</v>
      </c>
      <c r="I22" s="46">
        <v>8</v>
      </c>
      <c r="J22" s="46">
        <v>9</v>
      </c>
      <c r="K22" s="46">
        <v>10</v>
      </c>
      <c r="L22" s="46">
        <v>11</v>
      </c>
      <c r="M22" s="46">
        <v>12</v>
      </c>
      <c r="N22" s="46">
        <v>13</v>
      </c>
      <c r="O22" s="46">
        <v>14</v>
      </c>
      <c r="P22" s="46">
        <v>15</v>
      </c>
      <c r="Q22" s="46">
        <v>16</v>
      </c>
      <c r="R22" s="46">
        <v>17</v>
      </c>
      <c r="S22" s="46">
        <v>18</v>
      </c>
      <c r="T22" s="46">
        <v>19</v>
      </c>
      <c r="U22" s="46">
        <v>20</v>
      </c>
    </row>
    <row r="23" spans="1:22" x14ac:dyDescent="0.25">
      <c r="A23" t="s">
        <v>172</v>
      </c>
      <c r="B23" s="46">
        <f>1/(1+Финансирование!$G$8)^'Денежные потоки'!B22</f>
        <v>0.89410295261281225</v>
      </c>
      <c r="C23" s="46">
        <f>1/(1+Финансирование!$B$7)^'Денежные потоки'!C22</f>
        <v>0.74787608052730281</v>
      </c>
      <c r="D23" s="46">
        <f>1/(1+Финансирование!$B$7)^'Денежные потоки'!D22</f>
        <v>0.64676195476781506</v>
      </c>
      <c r="E23" s="46">
        <f>1/(1+Финансирование!$B$7)^'Денежные потоки'!E22</f>
        <v>0.55931863182488062</v>
      </c>
      <c r="F23" s="46">
        <f>1/(1+Финансирование!$B$7)^'Денежные потоки'!F22</f>
        <v>0.48369779576593019</v>
      </c>
      <c r="G23" s="46">
        <f>1/(1+Финансирование!$B$7)^'Денежные потоки'!G22</f>
        <v>0.41830102613508519</v>
      </c>
      <c r="H23" s="46">
        <f>1/(1+Финансирование!$B$7)^'Денежные потоки'!H22</f>
        <v>0.36174601165711967</v>
      </c>
      <c r="I23" s="46">
        <f>1/(1+Финансирование!$B$7)^'Денежные потоки'!I22</f>
        <v>0.31283733190645635</v>
      </c>
      <c r="J23" s="46">
        <f>1/(1+Финансирование!$B$7)^'Денежные потоки'!J22</f>
        <v>0.2705411893445106</v>
      </c>
      <c r="K23" s="46">
        <f>1/(1+Финансирование!$B$7)^'Денежные потоки'!K22</f>
        <v>0.23396355762881951</v>
      </c>
      <c r="L23" s="46">
        <f>1/(1+Финансирование!$B$7)^'Денежные потоки'!L22</f>
        <v>0.20233128430816749</v>
      </c>
      <c r="M23" s="46">
        <f>1/(1+Финансирование!$B$7)^'Денежные потоки'!M22</f>
        <v>0.17497574846566524</v>
      </c>
      <c r="N23" s="46">
        <f>1/(1+Финансирование!$B$7)^'Денежные потоки'!N22</f>
        <v>0.15131872787644765</v>
      </c>
      <c r="O23" s="46">
        <f>1/(1+Финансирование!$B$7)^'Денежные потоки'!O22</f>
        <v>0.13086017694983293</v>
      </c>
      <c r="P23" s="46">
        <f>1/(1+Финансирование!$B$7)^'Денежные потоки'!P22</f>
        <v>0.11316765711461518</v>
      </c>
      <c r="Q23" s="46">
        <f>1/(1+Финансирование!$B$7)^'Денежные потоки'!Q22</f>
        <v>9.7867196234350362E-2</v>
      </c>
      <c r="R23" s="46">
        <f>1/(1+Финансирование!$B$7)^'Денежные потоки'!R22</f>
        <v>8.4635383845336129E-2</v>
      </c>
      <c r="S23" s="46">
        <f>1/(1+Финансирование!$B$7)^'Денежные потоки'!S22</f>
        <v>7.3192535131942349E-2</v>
      </c>
      <c r="T23" s="46">
        <f>1/(1+Финансирование!$B$7)^'Денежные потоки'!T22</f>
        <v>6.3296779144173781E-2</v>
      </c>
      <c r="U23" s="46">
        <f>1/(1+Финансирование!$B$7)^'Денежные потоки'!U22</f>
        <v>5.4738946298333951E-2</v>
      </c>
      <c r="V23" t="s">
        <v>10</v>
      </c>
    </row>
    <row r="24" spans="1:22" x14ac:dyDescent="0.25">
      <c r="A24" s="21" t="s">
        <v>117</v>
      </c>
      <c r="B24" s="44">
        <f>B18*B23</f>
        <v>-240050101.87191674</v>
      </c>
      <c r="C24" s="44">
        <f t="shared" ref="C24:J24" si="7">C18*C23</f>
        <v>34758166.764295965</v>
      </c>
      <c r="D24" s="44">
        <f t="shared" si="7"/>
        <v>30037974.821935482</v>
      </c>
      <c r="E24" s="44">
        <f t="shared" si="7"/>
        <v>28894299.133777104</v>
      </c>
      <c r="F24" s="44">
        <f t="shared" si="7"/>
        <v>27636950.903026283</v>
      </c>
      <c r="G24" s="44">
        <f t="shared" si="7"/>
        <v>26305972.151634511</v>
      </c>
      <c r="H24" s="44">
        <f t="shared" si="7"/>
        <v>24496849.661609288</v>
      </c>
      <c r="I24" s="44">
        <f t="shared" si="7"/>
        <v>22756509.048559256</v>
      </c>
      <c r="J24" s="44">
        <f t="shared" si="7"/>
        <v>21446726.917073302</v>
      </c>
      <c r="K24" s="44">
        <f t="shared" ref="K24" si="8">K18*K23</f>
        <v>20151538.885485418</v>
      </c>
      <c r="L24" s="44">
        <f t="shared" ref="L24" si="9">L18*L23</f>
        <v>19175294.420786809</v>
      </c>
      <c r="M24" s="44">
        <f t="shared" ref="M24" si="10">M18*M23</f>
        <v>17918280.437762089</v>
      </c>
      <c r="N24" s="44">
        <f t="shared" ref="N24" si="11">N18*N23</f>
        <v>16708400.203162326</v>
      </c>
      <c r="O24" s="44">
        <f t="shared" ref="O24" si="12">O18*O23</f>
        <v>15550575.597288532</v>
      </c>
      <c r="P24" s="44">
        <f t="shared" ref="P24" si="13">P18*P23</f>
        <v>14448024.396465281</v>
      </c>
      <c r="Q24" s="44">
        <f t="shared" ref="Q24:R24" si="14">Q18*Q23</f>
        <v>13402586.18760908</v>
      </c>
      <c r="R24" s="44">
        <f t="shared" si="14"/>
        <v>12414995.434693335</v>
      </c>
      <c r="S24" s="44">
        <f t="shared" ref="S24" si="15">S18*S23</f>
        <v>11485109.650046838</v>
      </c>
      <c r="T24" s="44">
        <f t="shared" ref="T24" si="16">T18*T23</f>
        <v>10612099.473886741</v>
      </c>
      <c r="U24" s="44">
        <f t="shared" ref="U24" si="17">U18*U23</f>
        <v>9794606.4782019202</v>
      </c>
      <c r="V24" s="63">
        <f>SUM(B24:U24)</f>
        <v>137944858.69538283</v>
      </c>
    </row>
    <row r="25" spans="1:22" x14ac:dyDescent="0.25">
      <c r="A25" s="30" t="s">
        <v>118</v>
      </c>
      <c r="B25" s="44">
        <f>B19*B23</f>
        <v>-250182523.58240145</v>
      </c>
      <c r="C25" s="44">
        <f t="shared" ref="C25:J25" si="18">C19*C23</f>
        <v>23838472.411552109</v>
      </c>
      <c r="D25" s="44">
        <f t="shared" si="18"/>
        <v>20590408.126344632</v>
      </c>
      <c r="E25" s="44">
        <f t="shared" si="18"/>
        <v>20720215.25617487</v>
      </c>
      <c r="F25" s="44">
        <f t="shared" si="18"/>
        <v>20564526.322085258</v>
      </c>
      <c r="G25" s="44">
        <f t="shared" si="18"/>
        <v>20186581.66842851</v>
      </c>
      <c r="H25" s="44">
        <f t="shared" si="18"/>
        <v>19638805.425656535</v>
      </c>
      <c r="I25" s="44">
        <f t="shared" si="18"/>
        <v>18964476.26740234</v>
      </c>
      <c r="J25" s="44">
        <f t="shared" si="18"/>
        <v>18199153.114752945</v>
      </c>
      <c r="K25" s="44">
        <f t="shared" ref="K25:U25" si="19">K19*K23</f>
        <v>17371890.681590579</v>
      </c>
      <c r="L25" s="44">
        <f t="shared" si="19"/>
        <v>16506274.875102114</v>
      </c>
      <c r="M25" s="44">
        <f t="shared" si="19"/>
        <v>15621303.860436207</v>
      </c>
      <c r="N25" s="44">
        <f t="shared" si="19"/>
        <v>14732136.975441407</v>
      </c>
      <c r="O25" s="44">
        <f t="shared" si="19"/>
        <v>13850730.560501592</v>
      </c>
      <c r="P25" s="44">
        <f t="shared" si="19"/>
        <v>12986377.080681419</v>
      </c>
      <c r="Q25" s="44">
        <f t="shared" si="19"/>
        <v>12146161.603117917</v>
      </c>
      <c r="R25" s="44">
        <f t="shared" si="19"/>
        <v>11335347.700413479</v>
      </c>
      <c r="S25" s="44">
        <f t="shared" si="19"/>
        <v>10557703.136304697</v>
      </c>
      <c r="T25" s="44">
        <f t="shared" si="19"/>
        <v>9815774.2147883419</v>
      </c>
      <c r="U25" s="44">
        <f t="shared" si="19"/>
        <v>9111116.4051159024</v>
      </c>
      <c r="V25" s="63">
        <f t="shared" ref="V25:V26" si="20">SUM(B25:U25)</f>
        <v>56554932.103489369</v>
      </c>
    </row>
    <row r="26" spans="1:22" x14ac:dyDescent="0.25">
      <c r="A26" s="43" t="s">
        <v>119</v>
      </c>
      <c r="B26" s="44">
        <f>B20*B23</f>
        <v>-257134397.56470421</v>
      </c>
      <c r="C26" s="44">
        <f t="shared" ref="C26:J26" si="21">C20*C23</f>
        <v>10446244.219408488</v>
      </c>
      <c r="D26" s="44">
        <f t="shared" si="21"/>
        <v>7377885.7208876088</v>
      </c>
      <c r="E26" s="44">
        <f t="shared" si="21"/>
        <v>7785797.2683968442</v>
      </c>
      <c r="F26" s="44">
        <f t="shared" si="21"/>
        <v>7985006.0527378134</v>
      </c>
      <c r="G26" s="44">
        <f t="shared" si="21"/>
        <v>8020505.838853023</v>
      </c>
      <c r="H26" s="44">
        <f t="shared" si="21"/>
        <v>7929374.1626762608</v>
      </c>
      <c r="I26" s="44">
        <f t="shared" si="21"/>
        <v>7742042.8877721094</v>
      </c>
      <c r="J26" s="44">
        <f t="shared" si="21"/>
        <v>7483375.0996083878</v>
      </c>
      <c r="K26" s="44">
        <f t="shared" ref="K26:U26" si="22">K20*K23</f>
        <v>7173576.9116069293</v>
      </c>
      <c r="L26" s="44">
        <f t="shared" si="22"/>
        <v>6828968.6326463763</v>
      </c>
      <c r="M26" s="44">
        <f t="shared" si="22"/>
        <v>6462636.2073926181</v>
      </c>
      <c r="N26" s="44">
        <f t="shared" si="22"/>
        <v>6084980.8063381081</v>
      </c>
      <c r="O26" s="44">
        <f t="shared" si="22"/>
        <v>5704181.8408486461</v>
      </c>
      <c r="P26" s="44">
        <f t="shared" si="22"/>
        <v>5326586.4488405259</v>
      </c>
      <c r="Q26" s="44">
        <f t="shared" si="22"/>
        <v>4957036.5864565382</v>
      </c>
      <c r="R26" s="44">
        <f t="shared" si="22"/>
        <v>4599143.2251267247</v>
      </c>
      <c r="S26" s="44">
        <f t="shared" si="22"/>
        <v>4255515.7528590253</v>
      </c>
      <c r="T26" s="44">
        <f t="shared" si="22"/>
        <v>3927953.4801159715</v>
      </c>
      <c r="U26" s="44">
        <f t="shared" si="22"/>
        <v>3617605.125492102</v>
      </c>
      <c r="V26" s="63">
        <f t="shared" si="20"/>
        <v>-133425981.2966401</v>
      </c>
    </row>
    <row r="30" spans="1:22" x14ac:dyDescent="0.25">
      <c r="B30" s="44">
        <f>SUM(B20:N20)</f>
        <v>3276750.9921445847</v>
      </c>
    </row>
  </sheetData>
  <mergeCells count="2">
    <mergeCell ref="B2:C2"/>
    <mergeCell ref="D2:U2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0"/>
  <dimension ref="A1:G5"/>
  <sheetViews>
    <sheetView workbookViewId="0">
      <selection activeCell="G2" sqref="G2"/>
    </sheetView>
  </sheetViews>
  <sheetFormatPr defaultRowHeight="15" x14ac:dyDescent="0.25"/>
  <cols>
    <col min="1" max="1" width="16.7109375" customWidth="1"/>
    <col min="2" max="2" width="20" customWidth="1"/>
    <col min="3" max="3" width="13.28515625" bestFit="1" customWidth="1"/>
    <col min="4" max="4" width="13.85546875" bestFit="1" customWidth="1"/>
    <col min="5" max="5" width="13.85546875" customWidth="1"/>
    <col min="6" max="6" width="9.7109375" bestFit="1" customWidth="1"/>
    <col min="7" max="7" width="13.28515625" bestFit="1" customWidth="1"/>
  </cols>
  <sheetData>
    <row r="1" spans="1:7" s="68" customFormat="1" ht="33" customHeight="1" x14ac:dyDescent="0.25">
      <c r="A1" s="66" t="s">
        <v>175</v>
      </c>
      <c r="B1" s="67" t="s">
        <v>20</v>
      </c>
      <c r="C1" s="66" t="s">
        <v>10</v>
      </c>
      <c r="D1" s="66" t="s">
        <v>173</v>
      </c>
      <c r="E1" s="66" t="s">
        <v>180</v>
      </c>
      <c r="F1" s="66" t="s">
        <v>11</v>
      </c>
      <c r="G1" s="66" t="s">
        <v>13</v>
      </c>
    </row>
    <row r="2" spans="1:7" ht="30" x14ac:dyDescent="0.25">
      <c r="A2" s="58" t="s">
        <v>14</v>
      </c>
      <c r="B2" s="17">
        <v>0.15</v>
      </c>
      <c r="C2" s="82">
        <f>'Денежные потоки'!V26</f>
        <v>-133425981.2966401</v>
      </c>
      <c r="D2" s="61">
        <v>13</v>
      </c>
      <c r="E2" s="85" t="s">
        <v>179</v>
      </c>
      <c r="F2" s="83" t="str">
        <f>IF(C2&lt;0, "-", IRR(Прибыль!B31:U31,18%))</f>
        <v>-</v>
      </c>
      <c r="G2" s="17">
        <f>C2/Финансирование!$B$2+1</f>
        <v>0.53167433732313052</v>
      </c>
    </row>
    <row r="3" spans="1:7" ht="30" x14ac:dyDescent="0.25">
      <c r="A3" s="59" t="s">
        <v>15</v>
      </c>
      <c r="B3" s="17">
        <v>0.5</v>
      </c>
      <c r="C3" s="82">
        <f>'Денежные потоки'!V25</f>
        <v>56554932.103489369</v>
      </c>
      <c r="D3" s="61">
        <v>8</v>
      </c>
      <c r="E3" s="61">
        <v>15</v>
      </c>
      <c r="F3" s="83">
        <f>IRR(Прибыль!B30:U30,18%)</f>
        <v>0.41595210387080206</v>
      </c>
      <c r="G3" s="17">
        <f>C3/Финансирование!$B$2+1</f>
        <v>1.198508010191258</v>
      </c>
    </row>
    <row r="4" spans="1:7" ht="30" x14ac:dyDescent="0.25">
      <c r="A4" s="60" t="s">
        <v>16</v>
      </c>
      <c r="B4" s="17">
        <v>0.35</v>
      </c>
      <c r="C4" s="82">
        <f>'Денежные потоки'!V24</f>
        <v>137944858.69538283</v>
      </c>
      <c r="D4" s="61">
        <v>7</v>
      </c>
      <c r="E4" s="61">
        <v>12</v>
      </c>
      <c r="F4" s="83">
        <f>IRR(Прибыль!B29:U29,18%)</f>
        <v>0.68191125447686129</v>
      </c>
      <c r="G4" s="17">
        <f>C4/Финансирование!$B$2+1</f>
        <v>1.484186938207732</v>
      </c>
    </row>
    <row r="5" spans="1:7" ht="30" x14ac:dyDescent="0.25">
      <c r="A5" s="10" t="s">
        <v>174</v>
      </c>
      <c r="B5" s="61">
        <f>SUM(B2:B4)</f>
        <v>1</v>
      </c>
      <c r="C5" s="82">
        <f>$B$2*C2+$B$3*C3+$B$4*C4</f>
        <v>56544269.400632657</v>
      </c>
      <c r="D5" s="84">
        <f>$B$2*D2+$B$3*D3+$B$4*D4</f>
        <v>8.4</v>
      </c>
      <c r="E5" s="82"/>
      <c r="F5" s="82"/>
      <c r="G5" s="84">
        <f t="shared" ref="G5" si="0">$B$2*G2+$B$3*G3+$B$4*G4</f>
        <v>1.1984705840668046</v>
      </c>
    </row>
  </sheetData>
  <pageMargins left="0.7" right="0.7" top="0.75" bottom="0.75" header="0.3" footer="0.3"/>
  <pageSetup paperSize="9" orientation="portrait" horizontalDpi="4294967293" verticalDpi="4294967293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1"/>
  <dimension ref="A1:AE23"/>
  <sheetViews>
    <sheetView workbookViewId="0">
      <pane ySplit="2" topLeftCell="A3" activePane="bottomLeft" state="frozen"/>
      <selection pane="bottomLeft" activeCell="H17" sqref="H17"/>
    </sheetView>
  </sheetViews>
  <sheetFormatPr defaultRowHeight="15" x14ac:dyDescent="0.25"/>
  <cols>
    <col min="1" max="1" width="23.5703125" customWidth="1"/>
    <col min="2" max="2" width="22.85546875" customWidth="1"/>
    <col min="3" max="16" width="15.140625" customWidth="1"/>
    <col min="17" max="21" width="14" bestFit="1" customWidth="1"/>
    <col min="22" max="22" width="12.140625" bestFit="1" customWidth="1"/>
    <col min="23" max="31" width="12.42578125" bestFit="1" customWidth="1"/>
    <col min="32" max="32" width="13.28515625" bestFit="1" customWidth="1"/>
  </cols>
  <sheetData>
    <row r="1" spans="1:31" s="45" customFormat="1" x14ac:dyDescent="0.25">
      <c r="A1" s="45" t="s">
        <v>98</v>
      </c>
      <c r="B1" s="45">
        <v>2018</v>
      </c>
      <c r="C1" s="45">
        <v>2019</v>
      </c>
      <c r="D1" s="45">
        <v>2020</v>
      </c>
      <c r="E1" s="45">
        <v>2021</v>
      </c>
      <c r="F1" s="45">
        <v>2022</v>
      </c>
      <c r="G1" s="45">
        <v>2023</v>
      </c>
      <c r="H1" s="45">
        <v>2024</v>
      </c>
      <c r="I1" s="45">
        <v>2025</v>
      </c>
      <c r="J1" s="45">
        <v>2026</v>
      </c>
      <c r="K1" s="45">
        <v>2027</v>
      </c>
      <c r="L1" s="45">
        <v>2028</v>
      </c>
      <c r="M1" s="45">
        <v>2029</v>
      </c>
      <c r="N1" s="45">
        <v>2030</v>
      </c>
      <c r="O1" s="45">
        <v>2031</v>
      </c>
      <c r="P1" s="45">
        <v>2032</v>
      </c>
      <c r="Q1" s="45">
        <v>2033</v>
      </c>
      <c r="R1" s="45">
        <v>2034</v>
      </c>
      <c r="S1" s="45">
        <v>2035</v>
      </c>
      <c r="T1" s="45">
        <v>2036</v>
      </c>
      <c r="U1" s="45">
        <v>2037</v>
      </c>
      <c r="V1" s="45">
        <v>2038</v>
      </c>
      <c r="W1" s="45">
        <v>2039</v>
      </c>
      <c r="X1" s="45">
        <v>2040</v>
      </c>
      <c r="Y1" s="45">
        <v>2041</v>
      </c>
      <c r="Z1" s="45">
        <v>2042</v>
      </c>
      <c r="AA1" s="45">
        <v>2043</v>
      </c>
      <c r="AB1" s="45">
        <v>2044</v>
      </c>
      <c r="AC1" s="45">
        <v>2045</v>
      </c>
      <c r="AD1" s="45">
        <v>2046</v>
      </c>
      <c r="AE1" s="45">
        <v>2047</v>
      </c>
    </row>
    <row r="2" spans="1:31" x14ac:dyDescent="0.25">
      <c r="A2" s="36" t="s">
        <v>112</v>
      </c>
      <c r="B2" s="87" t="s">
        <v>113</v>
      </c>
      <c r="C2" s="87"/>
      <c r="D2" s="88" t="s">
        <v>114</v>
      </c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</row>
    <row r="3" spans="1:31" x14ac:dyDescent="0.25">
      <c r="A3" t="s">
        <v>130</v>
      </c>
    </row>
    <row r="4" spans="1:31" x14ac:dyDescent="0.25">
      <c r="A4" s="21" t="s">
        <v>117</v>
      </c>
      <c r="B4" s="44">
        <f>'Прогноз выручки'!C6</f>
        <v>58582500.000000007</v>
      </c>
      <c r="C4" s="44">
        <f>'Прогноз выручки'!D6</f>
        <v>124194900.00000003</v>
      </c>
      <c r="D4" s="44">
        <f>'Прогноз выручки'!E6</f>
        <v>130404645.00000003</v>
      </c>
      <c r="E4" s="44">
        <f>'Прогноз выручки'!F6</f>
        <v>136924877.25000003</v>
      </c>
      <c r="F4" s="44">
        <f>'Прогноз выручки'!G6</f>
        <v>143771121.11250004</v>
      </c>
      <c r="G4" s="44">
        <f>'Прогноз выручки'!H6</f>
        <v>150959677.16812506</v>
      </c>
      <c r="H4" s="44">
        <f>'Прогноз выручки'!I6</f>
        <v>156998064.25485006</v>
      </c>
      <c r="I4" s="44">
        <f>'Прогноз выручки'!J6</f>
        <v>163277986.82504407</v>
      </c>
      <c r="J4" s="44">
        <f>'Прогноз выручки'!K6</f>
        <v>171441886.16629627</v>
      </c>
      <c r="K4" s="44">
        <f>'Прогноз выручки'!L6</f>
        <v>180013980.47461107</v>
      </c>
      <c r="L4" s="44">
        <f>'Прогноз выручки'!M6</f>
        <v>190814819.30308777</v>
      </c>
      <c r="M4" s="44">
        <f>'Прогноз выручки'!N6</f>
        <v>200355560.26824218</v>
      </c>
      <c r="N4" s="44">
        <f>'Прогноз выручки'!O6</f>
        <v>210373338.28165427</v>
      </c>
      <c r="O4" s="44">
        <f>'Прогноз выручки'!P6</f>
        <v>220892005.195737</v>
      </c>
      <c r="P4" s="44">
        <f>'Прогноз выручки'!Q6</f>
        <v>231936605.45552388</v>
      </c>
      <c r="Q4" s="44">
        <f>'Прогноз выручки'!R6</f>
        <v>243533435.72830009</v>
      </c>
      <c r="R4" s="44">
        <f>'Прогноз выручки'!S6</f>
        <v>255710107.51471511</v>
      </c>
      <c r="S4" s="44">
        <f>'Прогноз выручки'!T6</f>
        <v>268495612.89045089</v>
      </c>
      <c r="T4" s="44">
        <f>'Прогноз выручки'!U6</f>
        <v>281920393.53497344</v>
      </c>
      <c r="U4" s="44">
        <f>'Прогноз выручки'!V6</f>
        <v>296016413.21172214</v>
      </c>
    </row>
    <row r="5" spans="1:31" x14ac:dyDescent="0.25">
      <c r="A5" s="30" t="s">
        <v>118</v>
      </c>
      <c r="B5" s="44">
        <f>'Прогноз выручки'!C11</f>
        <v>47250000</v>
      </c>
      <c r="C5" s="44">
        <f>'Прогноз выручки'!D11</f>
        <v>99225000</v>
      </c>
      <c r="D5" s="44">
        <f>'Прогноз выручки'!E11</f>
        <v>104186250.00000001</v>
      </c>
      <c r="E5" s="44">
        <f>'Прогноз выручки'!F11</f>
        <v>109395562.50000001</v>
      </c>
      <c r="F5" s="44">
        <f>'Прогноз выручки'!G11</f>
        <v>114865340.62500001</v>
      </c>
      <c r="G5" s="44">
        <f>'Прогноз выручки'!H11</f>
        <v>120608607.65625003</v>
      </c>
      <c r="H5" s="44">
        <f>'Прогноз выручки'!I11</f>
        <v>126639038.03906254</v>
      </c>
      <c r="I5" s="44">
        <f>'Прогноз выручки'!J11</f>
        <v>132970989.94101568</v>
      </c>
      <c r="J5" s="44">
        <f>'Прогноз выручки'!K11</f>
        <v>139619539.43806648</v>
      </c>
      <c r="K5" s="44">
        <f>'Прогноз выручки'!L11</f>
        <v>146600516.40996978</v>
      </c>
      <c r="L5" s="44">
        <f>'Прогноз выручки'!M11</f>
        <v>153930542.23046827</v>
      </c>
      <c r="M5" s="44">
        <f>'Прогноз выручки'!N11</f>
        <v>161627069.34199169</v>
      </c>
      <c r="N5" s="44">
        <f>'Прогноз выручки'!O11</f>
        <v>169708422.8090913</v>
      </c>
      <c r="O5" s="44">
        <f>'Прогноз выручки'!P11</f>
        <v>178193843.94954586</v>
      </c>
      <c r="P5" s="44">
        <f>'Прогноз выручки'!Q11</f>
        <v>187103536.1470232</v>
      </c>
      <c r="Q5" s="44">
        <f>'Прогноз выручки'!R11</f>
        <v>196458712.95437434</v>
      </c>
      <c r="R5" s="44">
        <f>'Прогноз выручки'!S11</f>
        <v>206281648.6020931</v>
      </c>
      <c r="S5" s="44">
        <f>'Прогноз выручки'!T11</f>
        <v>216595731.03219777</v>
      </c>
      <c r="T5" s="44">
        <f>'Прогноз выручки'!U11</f>
        <v>227425517.58380768</v>
      </c>
      <c r="U5" s="44">
        <f>'Прогноз выручки'!V11</f>
        <v>238796793.46299803</v>
      </c>
      <c r="V5" s="44"/>
    </row>
    <row r="6" spans="1:31" x14ac:dyDescent="0.25">
      <c r="A6" s="43" t="s">
        <v>119</v>
      </c>
      <c r="B6" s="44">
        <f>'Прогноз выручки'!C16</f>
        <v>39474750</v>
      </c>
      <c r="C6" s="44">
        <f>'Прогноз выручки'!D16</f>
        <v>81317985</v>
      </c>
      <c r="D6" s="44">
        <f>'Прогноз выручки'!E16</f>
        <v>83757524.549999997</v>
      </c>
      <c r="E6" s="44">
        <f>'Прогноз выручки'!F16</f>
        <v>86270250.286500007</v>
      </c>
      <c r="F6" s="44">
        <f>'Прогноз выручки'!G16</f>
        <v>88858357.795095012</v>
      </c>
      <c r="G6" s="44">
        <f>'Прогноз выручки'!H16</f>
        <v>91524108.52894786</v>
      </c>
      <c r="H6" s="44">
        <f>'Прогноз выручки'!I16</f>
        <v>94269831.784816295</v>
      </c>
      <c r="I6" s="44">
        <f>'Прогноз выручки'!J16</f>
        <v>97097926.738360792</v>
      </c>
      <c r="J6" s="44">
        <f>'Прогноз выручки'!K16</f>
        <v>100010864.54051161</v>
      </c>
      <c r="K6" s="44">
        <f>'Прогноз выручки'!L16</f>
        <v>103011190.47672696</v>
      </c>
      <c r="L6" s="44">
        <f>'Прогноз выручки'!M16</f>
        <v>106101526.19102877</v>
      </c>
      <c r="M6" s="44">
        <f>'Прогноз выручки'!N16</f>
        <v>109284571.97675964</v>
      </c>
      <c r="N6" s="44">
        <f>'Прогноз выручки'!O16</f>
        <v>112563109.13606243</v>
      </c>
      <c r="O6" s="44">
        <f>'Прогноз выручки'!P16</f>
        <v>115940002.41014431</v>
      </c>
      <c r="P6" s="44">
        <f>'Прогноз выручки'!Q16</f>
        <v>119418202.48244864</v>
      </c>
      <c r="Q6" s="44">
        <f>'Прогноз выручки'!R16</f>
        <v>123000748.55692212</v>
      </c>
      <c r="R6" s="44">
        <f>'Прогноз выручки'!S16</f>
        <v>126690771.01362978</v>
      </c>
      <c r="S6" s="44">
        <f>'Прогноз выручки'!T16</f>
        <v>130491494.14403866</v>
      </c>
      <c r="T6" s="44">
        <f>'Прогноз выручки'!U16</f>
        <v>134406238.96835983</v>
      </c>
      <c r="U6" s="44">
        <f>'Прогноз выручки'!V16</f>
        <v>138438426.13741064</v>
      </c>
      <c r="V6" s="44"/>
    </row>
    <row r="7" spans="1:31" x14ac:dyDescent="0.25">
      <c r="A7" t="s">
        <v>131</v>
      </c>
    </row>
    <row r="8" spans="1:31" s="44" customFormat="1" x14ac:dyDescent="0.25">
      <c r="A8" s="44" t="s">
        <v>132</v>
      </c>
      <c r="B8" s="44">
        <f>'Итоговая смета'!E2+'Итоговая смета'!E3+'Итоговая смета'!E4+'Итоговая смета'!E5/2+'Итоговая смета'!E6+'Итоговая смета'!E7/2+'Итоговая смета'!E8/2+'Итоговая смета'!E9/2+'Итоговая смета'!E10+'Итоговая смета'!E11+'Итоговая смета'!E12+'Итоговая смета'!E13+'Итоговая смета'!E14</f>
        <v>412700000</v>
      </c>
      <c r="C8" s="44">
        <f>'Итоговая смета'!E5/2+'Итоговая смета'!E7/2+'Итоговая смета'!E8/2+'Итоговая смета'!E9/2</f>
        <v>285000000</v>
      </c>
      <c r="D8" s="26">
        <v>5000000</v>
      </c>
      <c r="E8" s="26">
        <v>5000000</v>
      </c>
      <c r="F8" s="26">
        <v>5000000</v>
      </c>
      <c r="G8" s="26">
        <v>5000000</v>
      </c>
      <c r="H8" s="26">
        <v>5000000</v>
      </c>
      <c r="I8" s="26">
        <v>5000000</v>
      </c>
      <c r="J8" s="26">
        <v>5000000</v>
      </c>
      <c r="K8" s="26">
        <v>5000000</v>
      </c>
      <c r="L8" s="26">
        <v>5000000</v>
      </c>
      <c r="M8" s="26">
        <v>5000000</v>
      </c>
      <c r="N8" s="26">
        <v>5000000</v>
      </c>
      <c r="O8" s="26">
        <v>5000000</v>
      </c>
      <c r="P8" s="26">
        <v>5000000</v>
      </c>
      <c r="Q8" s="26">
        <v>5000000</v>
      </c>
      <c r="R8" s="26">
        <v>5000000</v>
      </c>
      <c r="S8" s="26">
        <v>5000000</v>
      </c>
      <c r="T8" s="26">
        <v>5000000</v>
      </c>
      <c r="U8" s="26">
        <v>5000000</v>
      </c>
    </row>
    <row r="9" spans="1:31" x14ac:dyDescent="0.25">
      <c r="A9" s="22" t="s">
        <v>133</v>
      </c>
      <c r="B9" s="26">
        <v>5000000</v>
      </c>
      <c r="C9" s="26">
        <v>5000000</v>
      </c>
      <c r="D9" s="26">
        <v>5000000</v>
      </c>
      <c r="E9" s="26">
        <v>5000000</v>
      </c>
      <c r="F9" s="26">
        <v>5000000</v>
      </c>
      <c r="G9" s="26">
        <v>5000000</v>
      </c>
      <c r="H9" s="26">
        <v>5000000</v>
      </c>
      <c r="I9" s="26">
        <v>5000000</v>
      </c>
      <c r="J9" s="26">
        <v>5000000</v>
      </c>
      <c r="K9" s="26">
        <v>5000000</v>
      </c>
      <c r="L9" s="26">
        <v>5000000</v>
      </c>
      <c r="M9" s="26">
        <v>5000000</v>
      </c>
      <c r="N9" s="26">
        <v>5000000</v>
      </c>
      <c r="O9" s="26">
        <v>5000000</v>
      </c>
      <c r="P9" s="26">
        <v>5000000</v>
      </c>
      <c r="Q9" s="26">
        <v>5000000</v>
      </c>
      <c r="R9" s="26">
        <v>5000000</v>
      </c>
      <c r="S9" s="26">
        <v>5000000</v>
      </c>
      <c r="T9" s="26">
        <v>5000000</v>
      </c>
      <c r="U9" s="26">
        <v>5000000</v>
      </c>
    </row>
    <row r="10" spans="1:31" x14ac:dyDescent="0.25">
      <c r="A10" t="s">
        <v>156</v>
      </c>
      <c r="B10" s="26">
        <f>Финансирование!B28</f>
        <v>90451801.380094096</v>
      </c>
      <c r="C10" s="26">
        <f>Финансирование!C28</f>
        <v>82133481.80997178</v>
      </c>
      <c r="D10" s="26">
        <f>Финансирование!D28</f>
        <v>82133481.80997178</v>
      </c>
      <c r="E10" s="26">
        <f>Финансирование!E28</f>
        <v>82133481.80997178</v>
      </c>
      <c r="F10" s="26">
        <f>Финансирование!F28</f>
        <v>82133481.80997178</v>
      </c>
      <c r="G10" s="26">
        <f>Финансирование!G28</f>
        <v>82133481.80997178</v>
      </c>
      <c r="H10" s="26">
        <f>Финансирование!H28</f>
        <v>82133481.80997178</v>
      </c>
      <c r="I10" s="26">
        <f>Финансирование!I28</f>
        <v>82133481.80997178</v>
      </c>
      <c r="J10" s="26">
        <f>Финансирование!J28</f>
        <v>0</v>
      </c>
      <c r="K10" s="26">
        <f>Финансирование!K28</f>
        <v>0</v>
      </c>
      <c r="L10" s="26">
        <f>Финансирование!L28</f>
        <v>0</v>
      </c>
      <c r="M10" s="26">
        <f>Финансирование!M28</f>
        <v>0</v>
      </c>
      <c r="N10" s="26">
        <f>Финансирование!N28</f>
        <v>0</v>
      </c>
      <c r="O10" s="26">
        <f>Финансирование!O28</f>
        <v>0</v>
      </c>
      <c r="P10" s="26">
        <f>Финансирование!P28</f>
        <v>0</v>
      </c>
      <c r="Q10" s="26">
        <f>Финансирование!Q28</f>
        <v>0</v>
      </c>
      <c r="R10" s="26">
        <f>Финансирование!R28</f>
        <v>0</v>
      </c>
      <c r="S10" s="26">
        <f>Финансирование!S28</f>
        <v>0</v>
      </c>
      <c r="T10" s="26">
        <f>Финансирование!T28</f>
        <v>0</v>
      </c>
      <c r="U10" s="26">
        <f>Финансирование!U28</f>
        <v>0</v>
      </c>
    </row>
    <row r="11" spans="1:31" x14ac:dyDescent="0.25">
      <c r="A11" t="s">
        <v>100</v>
      </c>
      <c r="B11" s="26">
        <f>Персонал!$F$12</f>
        <v>21828000</v>
      </c>
      <c r="C11" s="26">
        <f>Персонал!$F$12</f>
        <v>21828000</v>
      </c>
      <c r="D11" s="26">
        <f>Персонал!$F$12</f>
        <v>21828000</v>
      </c>
      <c r="E11" s="26">
        <f>Персонал!$F$12</f>
        <v>21828000</v>
      </c>
      <c r="F11" s="26">
        <f>Персонал!$F$12</f>
        <v>21828000</v>
      </c>
      <c r="G11" s="26">
        <f>Персонал!$F$12</f>
        <v>21828000</v>
      </c>
      <c r="H11" s="26">
        <f>Персонал!$F$12</f>
        <v>21828000</v>
      </c>
      <c r="I11" s="26">
        <f>Персонал!$F$12</f>
        <v>21828000</v>
      </c>
      <c r="J11" s="26">
        <f>Персонал!$F$12</f>
        <v>21828000</v>
      </c>
      <c r="K11" s="26">
        <f>Персонал!$F$12</f>
        <v>21828000</v>
      </c>
      <c r="L11" s="26">
        <f>Персонал!$F$12</f>
        <v>21828000</v>
      </c>
      <c r="M11" s="26">
        <f>Персонал!$F$12</f>
        <v>21828000</v>
      </c>
      <c r="N11" s="26">
        <f>Персонал!$F$12</f>
        <v>21828000</v>
      </c>
      <c r="O11" s="26">
        <f>Персонал!$F$12</f>
        <v>21828000</v>
      </c>
      <c r="P11" s="26">
        <f>Персонал!$F$12</f>
        <v>21828000</v>
      </c>
      <c r="Q11" s="26">
        <f>Персонал!$F$12</f>
        <v>21828000</v>
      </c>
      <c r="R11" s="26">
        <f>Персонал!$F$12</f>
        <v>21828000</v>
      </c>
      <c r="S11" s="26">
        <f>Персонал!$F$12</f>
        <v>21828000</v>
      </c>
      <c r="T11" s="26">
        <f>Персонал!$F$12</f>
        <v>21828000</v>
      </c>
      <c r="U11" s="26">
        <f>Персонал!$F$12</f>
        <v>21828000</v>
      </c>
    </row>
    <row r="12" spans="1:31" x14ac:dyDescent="0.25">
      <c r="A12" s="5" t="s">
        <v>79</v>
      </c>
    </row>
    <row r="13" spans="1:31" s="21" customFormat="1" x14ac:dyDescent="0.25">
      <c r="A13" s="37"/>
      <c r="B13" s="37">
        <f>Прибыль!B25</f>
        <v>0</v>
      </c>
      <c r="C13" s="37">
        <f>Прибыль!C25</f>
        <v>10368959.233122259</v>
      </c>
      <c r="D13" s="37">
        <f>Прибыль!D25</f>
        <v>11610908.233122259</v>
      </c>
      <c r="E13" s="37">
        <f>Прибыль!E25</f>
        <v>12914954.68312226</v>
      </c>
      <c r="F13" s="37">
        <f>Прибыль!F25</f>
        <v>14284203.455622263</v>
      </c>
      <c r="G13" s="37">
        <f>Прибыль!G25</f>
        <v>15721914.666747266</v>
      </c>
      <c r="H13" s="37">
        <f>Прибыль!H25</f>
        <v>16929592.084092267</v>
      </c>
      <c r="I13" s="37">
        <f>Прибыль!I25</f>
        <v>18185576.598131068</v>
      </c>
      <c r="J13" s="37">
        <f>Прибыль!J25</f>
        <v>19818356.466381509</v>
      </c>
      <c r="K13" s="37">
        <f>Прибыль!K25</f>
        <v>21532775.32804447</v>
      </c>
      <c r="L13" s="37">
        <f>Прибыль!L25</f>
        <v>23692943.093739808</v>
      </c>
      <c r="M13" s="37">
        <f>Прибыль!M25</f>
        <v>25601091.28677069</v>
      </c>
      <c r="N13" s="37">
        <f>Прибыль!N25</f>
        <v>27604646.889453109</v>
      </c>
      <c r="O13" s="37">
        <f>Прибыль!O25</f>
        <v>29708380.272269655</v>
      </c>
      <c r="P13" s="37">
        <f>Прибыль!P25</f>
        <v>31917300.324227031</v>
      </c>
      <c r="Q13" s="37">
        <f>Прибыль!Q25</f>
        <v>34236666.378782272</v>
      </c>
      <c r="R13" s="37">
        <f>Прибыль!R25</f>
        <v>36672000.736065276</v>
      </c>
      <c r="S13" s="37">
        <f>Прибыль!S25</f>
        <v>39229101.811212435</v>
      </c>
      <c r="T13" s="37">
        <f>Прибыль!T25</f>
        <v>41914057.940116942</v>
      </c>
      <c r="U13" s="37">
        <f>Прибыль!U25</f>
        <v>44733261.875466682</v>
      </c>
      <c r="V13" s="37"/>
      <c r="W13" s="37"/>
      <c r="X13" s="37"/>
      <c r="Y13" s="37"/>
      <c r="Z13" s="37"/>
      <c r="AA13" s="37"/>
      <c r="AB13" s="37"/>
      <c r="AC13" s="37"/>
      <c r="AD13" s="37"/>
    </row>
    <row r="14" spans="1:31" s="30" customFormat="1" x14ac:dyDescent="0.25">
      <c r="A14" s="38"/>
      <c r="B14" s="38">
        <f>Прибыль!B26</f>
        <v>0</v>
      </c>
      <c r="C14" s="38">
        <f>Прибыль!C26</f>
        <v>5374979.2331222538</v>
      </c>
      <c r="D14" s="38">
        <f>Прибыль!D26</f>
        <v>6367229.2331222566</v>
      </c>
      <c r="E14" s="38">
        <f>Прибыль!E26</f>
        <v>7409091.7331222566</v>
      </c>
      <c r="F14" s="38">
        <f>Прибыль!F26</f>
        <v>8503047.3581222575</v>
      </c>
      <c r="G14" s="38">
        <f>Прибыль!G26</f>
        <v>9651700.7643722594</v>
      </c>
      <c r="H14" s="38">
        <f>Прибыль!H26</f>
        <v>10857786.840934763</v>
      </c>
      <c r="I14" s="38">
        <f>Прибыль!I26</f>
        <v>12124177.22132539</v>
      </c>
      <c r="J14" s="38">
        <f>Прибыль!J26</f>
        <v>13453887.12073555</v>
      </c>
      <c r="K14" s="38">
        <f>Прибыль!K26</f>
        <v>14850082.515116209</v>
      </c>
      <c r="L14" s="38">
        <f>Прибыль!L26</f>
        <v>16316087.679215908</v>
      </c>
      <c r="M14" s="38">
        <f>Прибыль!M26</f>
        <v>17855393.101520594</v>
      </c>
      <c r="N14" s="38">
        <f>Прибыль!N26</f>
        <v>19471663.794940513</v>
      </c>
      <c r="O14" s="38">
        <f>Прибыль!O26</f>
        <v>21168748.023031428</v>
      </c>
      <c r="P14" s="38">
        <f>Прибыль!P26</f>
        <v>22950686.462526895</v>
      </c>
      <c r="Q14" s="38">
        <f>Прибыль!Q26</f>
        <v>24821721.823997125</v>
      </c>
      <c r="R14" s="38">
        <f>Прибыль!R26</f>
        <v>26786308.953540877</v>
      </c>
      <c r="S14" s="38">
        <f>Прибыль!S26</f>
        <v>28849125.43956181</v>
      </c>
      <c r="T14" s="38">
        <f>Прибыль!T26</f>
        <v>31015082.74988379</v>
      </c>
      <c r="U14" s="38">
        <f>Прибыль!U26</f>
        <v>33289337.925721861</v>
      </c>
      <c r="V14" s="38"/>
      <c r="W14" s="38"/>
      <c r="X14" s="38"/>
      <c r="Y14" s="38"/>
      <c r="Z14" s="38"/>
      <c r="AA14" s="38"/>
      <c r="AB14" s="38"/>
      <c r="AC14" s="38"/>
      <c r="AD14" s="38"/>
    </row>
    <row r="15" spans="1:31" s="43" customFormat="1" x14ac:dyDescent="0.25">
      <c r="A15" s="57"/>
      <c r="B15" s="57">
        <f>Прибыль!B27</f>
        <v>0</v>
      </c>
      <c r="C15" s="57">
        <f>Прибыль!C27</f>
        <v>1793576.2331222536</v>
      </c>
      <c r="D15" s="57">
        <f>Прибыль!D27</f>
        <v>2281484.143122253</v>
      </c>
      <c r="E15" s="57">
        <f>Прибыль!E27</f>
        <v>2784029.2904222552</v>
      </c>
      <c r="F15" s="57">
        <f>Прибыль!F27</f>
        <v>3301650.7921412559</v>
      </c>
      <c r="G15" s="57">
        <f>Прибыль!G27</f>
        <v>3834800.9389118254</v>
      </c>
      <c r="H15" s="57">
        <f>Прибыль!H27</f>
        <v>4383945.590085513</v>
      </c>
      <c r="I15" s="57">
        <f>Прибыль!I27</f>
        <v>4949564.5807944117</v>
      </c>
      <c r="J15" s="57">
        <f>Прибыль!J27</f>
        <v>5532152.1412245752</v>
      </c>
      <c r="K15" s="57">
        <f>Прибыль!K27</f>
        <v>6132217.3284676466</v>
      </c>
      <c r="L15" s="57">
        <f>Прибыль!L27</f>
        <v>6750284.4713280089</v>
      </c>
      <c r="M15" s="57">
        <f>Прибыль!M27</f>
        <v>7386893.6284741824</v>
      </c>
      <c r="N15" s="57">
        <f>Прибыль!N27</f>
        <v>8042601.0603347393</v>
      </c>
      <c r="O15" s="57">
        <f>Прибыль!O27</f>
        <v>8717979.7151511163</v>
      </c>
      <c r="P15" s="57">
        <f>Прибыль!P27</f>
        <v>9413619.7296119817</v>
      </c>
      <c r="Q15" s="57">
        <f>Прибыль!Q27</f>
        <v>10130128.944506679</v>
      </c>
      <c r="R15" s="57">
        <f>Прибыль!R27</f>
        <v>10868133.43584821</v>
      </c>
      <c r="S15" s="57">
        <f>Прибыль!S27</f>
        <v>11628278.061929986</v>
      </c>
      <c r="T15" s="57">
        <f>Прибыль!T27</f>
        <v>12411227.026794219</v>
      </c>
      <c r="U15" s="57">
        <f>Прибыль!U27</f>
        <v>13217664.460604383</v>
      </c>
      <c r="V15" s="57"/>
      <c r="W15" s="57"/>
      <c r="X15" s="57"/>
      <c r="Y15" s="57"/>
      <c r="Z15" s="57"/>
      <c r="AA15" s="57"/>
      <c r="AB15" s="57"/>
      <c r="AC15" s="57"/>
      <c r="AD15" s="57"/>
    </row>
    <row r="16" spans="1:31" x14ac:dyDescent="0.25">
      <c r="A16" t="s">
        <v>157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</row>
    <row r="17" spans="1:21" x14ac:dyDescent="0.25">
      <c r="A17" s="21" t="s">
        <v>117</v>
      </c>
      <c r="B17" s="44">
        <f>B4-B8-B9-B10-B11-B13</f>
        <v>-471397301.38009411</v>
      </c>
      <c r="C17" s="44">
        <f t="shared" ref="C17:U17" si="0">C4-C8-C9-C10-C11-C13</f>
        <v>-280135541.04309404</v>
      </c>
      <c r="D17" s="44">
        <f t="shared" si="0"/>
        <v>4832254.9569059908</v>
      </c>
      <c r="E17" s="44">
        <f t="shared" si="0"/>
        <v>10048440.75690599</v>
      </c>
      <c r="F17" s="44">
        <f t="shared" si="0"/>
        <v>15525435.846905999</v>
      </c>
      <c r="G17" s="44">
        <f t="shared" si="0"/>
        <v>21276280.691406019</v>
      </c>
      <c r="H17" s="44">
        <f t="shared" si="0"/>
        <v>26106990.360786013</v>
      </c>
      <c r="I17" s="44">
        <f t="shared" si="0"/>
        <v>31130928.416941218</v>
      </c>
      <c r="J17" s="44">
        <f t="shared" si="0"/>
        <v>119795529.69991477</v>
      </c>
      <c r="K17" s="44">
        <f t="shared" si="0"/>
        <v>126653205.1465666</v>
      </c>
      <c r="L17" s="44">
        <f>L4-L8-L9-L10-L11-L13</f>
        <v>135293876.20934796</v>
      </c>
      <c r="M17" s="44">
        <f t="shared" si="0"/>
        <v>142926468.98147148</v>
      </c>
      <c r="N17" s="44">
        <f t="shared" si="0"/>
        <v>150940691.39220116</v>
      </c>
      <c r="O17" s="44">
        <f t="shared" si="0"/>
        <v>159355624.92346734</v>
      </c>
      <c r="P17" s="44">
        <f t="shared" si="0"/>
        <v>168191305.13129684</v>
      </c>
      <c r="Q17" s="44">
        <f t="shared" si="0"/>
        <v>177468769.34951782</v>
      </c>
      <c r="R17" s="44">
        <f t="shared" si="0"/>
        <v>187210106.77864984</v>
      </c>
      <c r="S17" s="44">
        <f t="shared" si="0"/>
        <v>197438511.07923847</v>
      </c>
      <c r="T17" s="44">
        <f t="shared" si="0"/>
        <v>208178335.5948565</v>
      </c>
      <c r="U17" s="44">
        <f t="shared" si="0"/>
        <v>219455151.33625546</v>
      </c>
    </row>
    <row r="18" spans="1:21" x14ac:dyDescent="0.25">
      <c r="A18" s="30" t="s">
        <v>118</v>
      </c>
      <c r="B18" s="44">
        <f t="shared" ref="B18:U18" si="1">B5-B8-B9-B10-B11</f>
        <v>-482729801.38009411</v>
      </c>
      <c r="C18" s="44">
        <f t="shared" si="1"/>
        <v>-294736481.80997181</v>
      </c>
      <c r="D18" s="44">
        <f t="shared" si="1"/>
        <v>-9775231.8099717647</v>
      </c>
      <c r="E18" s="44">
        <f t="shared" si="1"/>
        <v>-4565919.3099717647</v>
      </c>
      <c r="F18" s="44">
        <f t="shared" si="1"/>
        <v>903858.81502823532</v>
      </c>
      <c r="G18" s="44">
        <f t="shared" si="1"/>
        <v>6647125.8462782502</v>
      </c>
      <c r="H18" s="44">
        <f t="shared" si="1"/>
        <v>12677556.229090765</v>
      </c>
      <c r="I18" s="44">
        <f t="shared" si="1"/>
        <v>19009508.131043896</v>
      </c>
      <c r="J18" s="44">
        <f t="shared" si="1"/>
        <v>107791539.43806648</v>
      </c>
      <c r="K18" s="44">
        <f t="shared" si="1"/>
        <v>114772516.40996978</v>
      </c>
      <c r="L18" s="44">
        <f t="shared" si="1"/>
        <v>122102542.23046827</v>
      </c>
      <c r="M18" s="44">
        <f t="shared" si="1"/>
        <v>129799069.34199169</v>
      </c>
      <c r="N18" s="44">
        <f t="shared" si="1"/>
        <v>137880422.8090913</v>
      </c>
      <c r="O18" s="44">
        <f t="shared" si="1"/>
        <v>146365843.94954586</v>
      </c>
      <c r="P18" s="44">
        <f t="shared" si="1"/>
        <v>155275536.1470232</v>
      </c>
      <c r="Q18" s="44">
        <f t="shared" si="1"/>
        <v>164630712.95437434</v>
      </c>
      <c r="R18" s="44">
        <f t="shared" si="1"/>
        <v>174453648.6020931</v>
      </c>
      <c r="S18" s="44">
        <f t="shared" si="1"/>
        <v>184767731.03219777</v>
      </c>
      <c r="T18" s="44">
        <f t="shared" si="1"/>
        <v>195597517.58380768</v>
      </c>
      <c r="U18" s="44">
        <f t="shared" si="1"/>
        <v>206968793.46299803</v>
      </c>
    </row>
    <row r="19" spans="1:21" x14ac:dyDescent="0.25">
      <c r="A19" s="43" t="s">
        <v>119</v>
      </c>
      <c r="B19" s="44">
        <f t="shared" ref="B19:U19" si="2">B6-B8-B9-B10-B11</f>
        <v>-490505051.38009411</v>
      </c>
      <c r="C19" s="44">
        <f t="shared" si="2"/>
        <v>-312643496.80997181</v>
      </c>
      <c r="D19" s="44">
        <f t="shared" si="2"/>
        <v>-30203957.259971783</v>
      </c>
      <c r="E19" s="44">
        <f t="shared" si="2"/>
        <v>-27691231.523471773</v>
      </c>
      <c r="F19" s="44">
        <f t="shared" si="2"/>
        <v>-25103124.014876768</v>
      </c>
      <c r="G19" s="44">
        <f t="shared" si="2"/>
        <v>-22437373.28102392</v>
      </c>
      <c r="H19" s="44">
        <f t="shared" si="2"/>
        <v>-19691650.025155485</v>
      </c>
      <c r="I19" s="44">
        <f t="shared" si="2"/>
        <v>-16863555.071610987</v>
      </c>
      <c r="J19" s="44">
        <f t="shared" si="2"/>
        <v>68182864.540511608</v>
      </c>
      <c r="K19" s="44">
        <f t="shared" si="2"/>
        <v>71183190.476726964</v>
      </c>
      <c r="L19" s="44">
        <f t="shared" si="2"/>
        <v>74273526.191028774</v>
      </c>
      <c r="M19" s="44">
        <f t="shared" si="2"/>
        <v>77456571.976759642</v>
      </c>
      <c r="N19" s="44">
        <f t="shared" si="2"/>
        <v>80735109.136062428</v>
      </c>
      <c r="O19" s="44">
        <f t="shared" si="2"/>
        <v>84112002.410144314</v>
      </c>
      <c r="P19" s="44">
        <f t="shared" si="2"/>
        <v>87590202.482448637</v>
      </c>
      <c r="Q19" s="44">
        <f t="shared" si="2"/>
        <v>91172748.556922123</v>
      </c>
      <c r="R19" s="44">
        <f t="shared" si="2"/>
        <v>94862771.013629779</v>
      </c>
      <c r="S19" s="44">
        <f t="shared" si="2"/>
        <v>98663494.144038662</v>
      </c>
      <c r="T19" s="44">
        <f t="shared" si="2"/>
        <v>102578238.96835983</v>
      </c>
      <c r="U19" s="44">
        <f t="shared" si="2"/>
        <v>106610426.13741064</v>
      </c>
    </row>
    <row r="21" spans="1:21" x14ac:dyDescent="0.25">
      <c r="B21" s="44">
        <f>C17+B17+D17+E17+F17+G17+H17+I17+J17+K17+L17+M17+N17+O17</f>
        <v>192352884.95963213</v>
      </c>
      <c r="D21" s="44"/>
    </row>
    <row r="22" spans="1:21" x14ac:dyDescent="0.25">
      <c r="B22" s="44">
        <f>SUM(B18:Q18)</f>
        <v>326048797.99196255</v>
      </c>
    </row>
    <row r="23" spans="1:21" x14ac:dyDescent="0.25">
      <c r="B23" s="44">
        <f>SUM(B19:U19)</f>
        <v>92281706.667867169</v>
      </c>
    </row>
  </sheetData>
  <mergeCells count="2">
    <mergeCell ref="B2:C2"/>
    <mergeCell ref="D2:U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/>
  <dimension ref="A1:B17"/>
  <sheetViews>
    <sheetView tabSelected="1" workbookViewId="0">
      <selection activeCell="C16" sqref="C16"/>
    </sheetView>
  </sheetViews>
  <sheetFormatPr defaultRowHeight="15" outlineLevelRow="1" x14ac:dyDescent="0.25"/>
  <cols>
    <col min="1" max="1" width="63.5703125" bestFit="1" customWidth="1"/>
    <col min="2" max="2" width="53.140625" customWidth="1"/>
    <col min="3" max="3" width="52" customWidth="1"/>
  </cols>
  <sheetData>
    <row r="1" spans="1:2" ht="68.25" customHeight="1" outlineLevel="1" x14ac:dyDescent="0.25">
      <c r="A1" s="14" t="s">
        <v>31</v>
      </c>
      <c r="B1" s="15" t="s">
        <v>73</v>
      </c>
    </row>
    <row r="2" spans="1:2" ht="30" outlineLevel="1" x14ac:dyDescent="0.25">
      <c r="A2" s="14" t="s">
        <v>28</v>
      </c>
      <c r="B2" s="15" t="s">
        <v>45</v>
      </c>
    </row>
    <row r="3" spans="1:2" outlineLevel="1" x14ac:dyDescent="0.25">
      <c r="A3" s="14" t="s">
        <v>35</v>
      </c>
      <c r="B3" s="16" t="s">
        <v>32</v>
      </c>
    </row>
    <row r="4" spans="1:2" outlineLevel="1" x14ac:dyDescent="0.25">
      <c r="A4" s="14" t="s">
        <v>29</v>
      </c>
      <c r="B4" s="6" t="s">
        <v>33</v>
      </c>
    </row>
    <row r="5" spans="1:2" outlineLevel="1" x14ac:dyDescent="0.25">
      <c r="A5" s="14" t="s">
        <v>30</v>
      </c>
      <c r="B5" s="6">
        <v>2018</v>
      </c>
    </row>
    <row r="6" spans="1:2" outlineLevel="1" x14ac:dyDescent="0.25">
      <c r="A6" s="14" t="s">
        <v>87</v>
      </c>
      <c r="B6" s="17">
        <f>'Генерирующий компонент'!B10/1000000</f>
        <v>10</v>
      </c>
    </row>
    <row r="7" spans="1:2" outlineLevel="1" x14ac:dyDescent="0.25">
      <c r="A7" s="14" t="s">
        <v>37</v>
      </c>
      <c r="B7" s="18" t="s">
        <v>38</v>
      </c>
    </row>
    <row r="8" spans="1:2" x14ac:dyDescent="0.25">
      <c r="A8" s="19" t="s">
        <v>18</v>
      </c>
      <c r="B8" s="16" t="s">
        <v>19</v>
      </c>
    </row>
    <row r="9" spans="1:2" x14ac:dyDescent="0.25">
      <c r="A9" s="19" t="s">
        <v>34</v>
      </c>
      <c r="B9" s="20">
        <f>B6</f>
        <v>10</v>
      </c>
    </row>
    <row r="10" spans="1:2" x14ac:dyDescent="0.25">
      <c r="A10" s="19" t="s">
        <v>70</v>
      </c>
      <c r="B10" s="9">
        <v>360</v>
      </c>
    </row>
    <row r="11" spans="1:2" x14ac:dyDescent="0.25">
      <c r="A11" s="19" t="s">
        <v>71</v>
      </c>
      <c r="B11" s="9">
        <v>700</v>
      </c>
    </row>
    <row r="12" spans="1:2" x14ac:dyDescent="0.25">
      <c r="A12" s="19" t="s">
        <v>72</v>
      </c>
      <c r="B12" s="9">
        <f>B10*B11/10000</f>
        <v>25.2</v>
      </c>
    </row>
    <row r="13" spans="1:2" x14ac:dyDescent="0.25">
      <c r="A13" s="19" t="s">
        <v>56</v>
      </c>
      <c r="B13" s="32">
        <f>GenAssump!B16/(24*GenAssump!B13)</f>
        <v>0.5</v>
      </c>
    </row>
    <row r="14" spans="1:2" x14ac:dyDescent="0.25">
      <c r="A14" s="19" t="s">
        <v>17</v>
      </c>
      <c r="B14" s="32">
        <f>1-B13</f>
        <v>0.5</v>
      </c>
    </row>
    <row r="15" spans="1:2" x14ac:dyDescent="0.25">
      <c r="A15" s="19" t="s">
        <v>88</v>
      </c>
      <c r="B15" s="20">
        <f>B6*B13</f>
        <v>5</v>
      </c>
    </row>
    <row r="16" spans="1:2" x14ac:dyDescent="0.25">
      <c r="A16" s="19" t="s">
        <v>89</v>
      </c>
      <c r="B16" s="23">
        <f>B6*1000*GenAssump!B16</f>
        <v>43800000</v>
      </c>
    </row>
    <row r="17" spans="1:2" x14ac:dyDescent="0.25">
      <c r="A17" s="19" t="s">
        <v>92</v>
      </c>
      <c r="B17" s="9" t="s">
        <v>158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B4"/>
  <sheetViews>
    <sheetView workbookViewId="0">
      <selection activeCell="A6" sqref="A6"/>
    </sheetView>
  </sheetViews>
  <sheetFormatPr defaultRowHeight="15" x14ac:dyDescent="0.25"/>
  <cols>
    <col min="2" max="2" width="33.5703125" bestFit="1" customWidth="1"/>
  </cols>
  <sheetData>
    <row r="1" spans="1:2" x14ac:dyDescent="0.25">
      <c r="B1" s="65" t="s">
        <v>181</v>
      </c>
    </row>
    <row r="2" spans="1:2" x14ac:dyDescent="0.25">
      <c r="A2" t="s">
        <v>138</v>
      </c>
      <c r="B2" t="s">
        <v>182</v>
      </c>
    </row>
    <row r="3" spans="1:2" x14ac:dyDescent="0.25">
      <c r="A3">
        <v>1</v>
      </c>
      <c r="B3" t="s">
        <v>183</v>
      </c>
    </row>
    <row r="4" spans="1:2" x14ac:dyDescent="0.25">
      <c r="A4">
        <v>2</v>
      </c>
      <c r="B4" t="s">
        <v>184</v>
      </c>
    </row>
  </sheetData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B18"/>
  <sheetViews>
    <sheetView workbookViewId="0">
      <selection activeCell="B18" sqref="B18"/>
    </sheetView>
  </sheetViews>
  <sheetFormatPr defaultRowHeight="15" x14ac:dyDescent="0.25"/>
  <cols>
    <col min="1" max="1" width="55.28515625" style="4" bestFit="1" customWidth="1"/>
    <col min="2" max="2" width="11.5703125" style="4" bestFit="1" customWidth="1"/>
    <col min="3" max="4" width="9.7109375" style="4" customWidth="1"/>
    <col min="5" max="16384" width="9.140625" style="4"/>
  </cols>
  <sheetData>
    <row r="1" spans="1:2" x14ac:dyDescent="0.25">
      <c r="A1" s="92" t="s">
        <v>0</v>
      </c>
      <c r="B1" s="92"/>
    </row>
    <row r="2" spans="1:2" x14ac:dyDescent="0.25">
      <c r="A2" s="89" t="s">
        <v>74</v>
      </c>
      <c r="B2" s="89"/>
    </row>
    <row r="3" spans="1:2" x14ac:dyDescent="0.25">
      <c r="A3" s="89" t="s">
        <v>1</v>
      </c>
      <c r="B3" s="89"/>
    </row>
    <row r="4" spans="1:2" x14ac:dyDescent="0.25">
      <c r="A4" s="89" t="s">
        <v>2</v>
      </c>
      <c r="B4" s="89"/>
    </row>
    <row r="5" spans="1:2" x14ac:dyDescent="0.25">
      <c r="A5" s="89" t="s">
        <v>3</v>
      </c>
      <c r="B5" s="89"/>
    </row>
    <row r="6" spans="1:2" x14ac:dyDescent="0.25">
      <c r="A6" s="93" t="s">
        <v>162</v>
      </c>
      <c r="B6" s="89"/>
    </row>
    <row r="7" spans="1:2" x14ac:dyDescent="0.25">
      <c r="A7" s="89" t="s">
        <v>36</v>
      </c>
      <c r="B7" s="89"/>
    </row>
    <row r="8" spans="1:2" x14ac:dyDescent="0.25">
      <c r="A8" s="89" t="s">
        <v>26</v>
      </c>
      <c r="B8" s="89"/>
    </row>
    <row r="9" spans="1:2" x14ac:dyDescent="0.25">
      <c r="A9" s="90" t="s">
        <v>27</v>
      </c>
      <c r="B9" s="90"/>
    </row>
    <row r="10" spans="1:2" x14ac:dyDescent="0.25">
      <c r="A10" s="91" t="s">
        <v>39</v>
      </c>
      <c r="B10" s="91"/>
    </row>
    <row r="11" spans="1:2" x14ac:dyDescent="0.25">
      <c r="A11" s="16" t="s">
        <v>40</v>
      </c>
      <c r="B11" s="9" t="s">
        <v>41</v>
      </c>
    </row>
    <row r="12" spans="1:2" x14ac:dyDescent="0.25">
      <c r="A12" s="56" t="s">
        <v>178</v>
      </c>
      <c r="B12" s="56" t="s">
        <v>158</v>
      </c>
    </row>
    <row r="13" spans="1:2" x14ac:dyDescent="0.25">
      <c r="A13" s="56" t="s">
        <v>81</v>
      </c>
      <c r="B13" s="16">
        <v>365</v>
      </c>
    </row>
    <row r="14" spans="1:2" x14ac:dyDescent="0.25">
      <c r="A14" s="56" t="s">
        <v>80</v>
      </c>
      <c r="B14" s="16">
        <v>300</v>
      </c>
    </row>
    <row r="15" spans="1:2" x14ac:dyDescent="0.25">
      <c r="A15" s="56" t="s">
        <v>82</v>
      </c>
      <c r="B15" s="16"/>
    </row>
    <row r="16" spans="1:2" x14ac:dyDescent="0.25">
      <c r="A16" s="56" t="s">
        <v>83</v>
      </c>
      <c r="B16" s="16">
        <f>12*365</f>
        <v>4380</v>
      </c>
    </row>
    <row r="17" spans="1:2" x14ac:dyDescent="0.25">
      <c r="A17" s="56" t="s">
        <v>85</v>
      </c>
      <c r="B17" s="16">
        <f>'Генерирующий компонент'!B10/1000</f>
        <v>10000</v>
      </c>
    </row>
    <row r="18" spans="1:2" x14ac:dyDescent="0.25">
      <c r="A18" s="56" t="s">
        <v>84</v>
      </c>
      <c r="B18" s="23">
        <f>B17*B16</f>
        <v>43800000</v>
      </c>
    </row>
  </sheetData>
  <mergeCells count="10">
    <mergeCell ref="A7:B7"/>
    <mergeCell ref="A8:B8"/>
    <mergeCell ref="A9:B9"/>
    <mergeCell ref="A10:B10"/>
    <mergeCell ref="A1:B1"/>
    <mergeCell ref="A2:B2"/>
    <mergeCell ref="A3:B3"/>
    <mergeCell ref="A4:B4"/>
    <mergeCell ref="A5:B5"/>
    <mergeCell ref="A6:B6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E12"/>
  <sheetViews>
    <sheetView workbookViewId="0">
      <selection activeCell="B3" sqref="B3"/>
    </sheetView>
  </sheetViews>
  <sheetFormatPr defaultRowHeight="15" x14ac:dyDescent="0.25"/>
  <cols>
    <col min="1" max="1" width="30.140625" bestFit="1" customWidth="1"/>
    <col min="2" max="2" width="34.28515625" bestFit="1" customWidth="1"/>
    <col min="5" max="5" width="16.5703125" bestFit="1" customWidth="1"/>
  </cols>
  <sheetData>
    <row r="1" spans="1:5" ht="30" x14ac:dyDescent="0.25">
      <c r="A1" s="13" t="s">
        <v>57</v>
      </c>
      <c r="B1" s="10" t="s">
        <v>64</v>
      </c>
    </row>
    <row r="2" spans="1:5" x14ac:dyDescent="0.25">
      <c r="A2" s="13" t="s">
        <v>60</v>
      </c>
      <c r="B2" s="10" t="s">
        <v>61</v>
      </c>
    </row>
    <row r="3" spans="1:5" x14ac:dyDescent="0.25">
      <c r="A3" s="13" t="s">
        <v>62</v>
      </c>
      <c r="B3" s="10" t="s">
        <v>63</v>
      </c>
    </row>
    <row r="4" spans="1:5" x14ac:dyDescent="0.25">
      <c r="A4" s="13" t="s">
        <v>58</v>
      </c>
      <c r="B4" s="11">
        <v>250</v>
      </c>
    </row>
    <row r="5" spans="1:5" x14ac:dyDescent="0.25">
      <c r="A5" s="13" t="s">
        <v>59</v>
      </c>
      <c r="B5" s="9">
        <v>100</v>
      </c>
    </row>
    <row r="6" spans="1:5" x14ac:dyDescent="0.25">
      <c r="A6" s="13" t="s">
        <v>65</v>
      </c>
      <c r="B6" s="11">
        <f>B4*B5</f>
        <v>25000</v>
      </c>
    </row>
    <row r="7" spans="1:5" x14ac:dyDescent="0.25">
      <c r="A7" s="13" t="s">
        <v>67</v>
      </c>
      <c r="B7" s="9">
        <v>16</v>
      </c>
    </row>
    <row r="8" spans="1:5" x14ac:dyDescent="0.25">
      <c r="A8" s="13" t="s">
        <v>66</v>
      </c>
      <c r="B8" s="9">
        <v>25</v>
      </c>
      <c r="E8" s="64"/>
    </row>
    <row r="9" spans="1:5" x14ac:dyDescent="0.25">
      <c r="A9" s="13" t="s">
        <v>68</v>
      </c>
      <c r="B9" s="9">
        <f>B7*B8</f>
        <v>400</v>
      </c>
      <c r="E9" s="64"/>
    </row>
    <row r="10" spans="1:5" x14ac:dyDescent="0.25">
      <c r="A10" s="13" t="s">
        <v>69</v>
      </c>
      <c r="B10" s="12">
        <f>B6*B9</f>
        <v>10000000</v>
      </c>
    </row>
    <row r="11" spans="1:5" x14ac:dyDescent="0.25">
      <c r="A11" s="34" t="s">
        <v>101</v>
      </c>
      <c r="B11" s="9">
        <v>10</v>
      </c>
    </row>
    <row r="12" spans="1:5" x14ac:dyDescent="0.25">
      <c r="A12" s="34" t="s">
        <v>160</v>
      </c>
      <c r="B12" s="9">
        <f>B9*B5</f>
        <v>40000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F12"/>
  <sheetViews>
    <sheetView workbookViewId="0">
      <selection activeCell="L9" sqref="L9"/>
    </sheetView>
  </sheetViews>
  <sheetFormatPr defaultRowHeight="15" x14ac:dyDescent="0.25"/>
  <cols>
    <col min="1" max="1" width="9.140625" style="1"/>
    <col min="2" max="2" width="24.7109375" bestFit="1" customWidth="1"/>
    <col min="3" max="3" width="9.85546875" bestFit="1" customWidth="1"/>
    <col min="4" max="4" width="19.5703125" bestFit="1" customWidth="1"/>
    <col min="5" max="5" width="10" bestFit="1" customWidth="1"/>
    <col min="6" max="6" width="14.140625" bestFit="1" customWidth="1"/>
  </cols>
  <sheetData>
    <row r="1" spans="1:6" x14ac:dyDescent="0.25">
      <c r="A1" s="95"/>
      <c r="B1" s="9"/>
      <c r="C1" s="9" t="s">
        <v>5</v>
      </c>
      <c r="D1" s="9" t="s">
        <v>8</v>
      </c>
      <c r="E1" s="9" t="s">
        <v>9</v>
      </c>
      <c r="F1" s="9" t="s">
        <v>12</v>
      </c>
    </row>
    <row r="2" spans="1:6" x14ac:dyDescent="0.25">
      <c r="A2" s="95"/>
      <c r="B2" s="9" t="s">
        <v>7</v>
      </c>
      <c r="C2" s="9">
        <v>0</v>
      </c>
      <c r="D2" s="77">
        <v>20000</v>
      </c>
      <c r="E2" s="9">
        <v>5</v>
      </c>
      <c r="F2" s="77">
        <f>D2*E2</f>
        <v>100000</v>
      </c>
    </row>
    <row r="3" spans="1:6" x14ac:dyDescent="0.25">
      <c r="A3" s="96" t="s">
        <v>122</v>
      </c>
      <c r="B3" s="9" t="s">
        <v>6</v>
      </c>
      <c r="C3" s="9">
        <v>1</v>
      </c>
      <c r="D3" s="77">
        <v>23000</v>
      </c>
      <c r="E3" s="9">
        <v>20</v>
      </c>
      <c r="F3" s="77">
        <f t="shared" ref="F3:F7" si="0">D3*E3</f>
        <v>460000</v>
      </c>
    </row>
    <row r="4" spans="1:6" x14ac:dyDescent="0.25">
      <c r="A4" s="96"/>
      <c r="B4" s="9" t="s">
        <v>4</v>
      </c>
      <c r="C4" s="9">
        <v>2</v>
      </c>
      <c r="D4" s="77">
        <v>25000</v>
      </c>
      <c r="E4" s="9">
        <v>10</v>
      </c>
      <c r="F4" s="77">
        <f t="shared" si="0"/>
        <v>250000</v>
      </c>
    </row>
    <row r="5" spans="1:6" x14ac:dyDescent="0.25">
      <c r="A5" s="96" t="s">
        <v>123</v>
      </c>
      <c r="B5" s="9" t="s">
        <v>125</v>
      </c>
      <c r="C5" s="9">
        <v>3</v>
      </c>
      <c r="D5" s="77">
        <v>40000</v>
      </c>
      <c r="E5" s="9">
        <v>6</v>
      </c>
      <c r="F5" s="77">
        <f t="shared" si="0"/>
        <v>240000</v>
      </c>
    </row>
    <row r="6" spans="1:6" x14ac:dyDescent="0.25">
      <c r="A6" s="96"/>
      <c r="B6" s="9" t="s">
        <v>124</v>
      </c>
      <c r="C6" s="9">
        <v>4</v>
      </c>
      <c r="D6" s="77">
        <v>50000</v>
      </c>
      <c r="E6" s="9">
        <v>2</v>
      </c>
      <c r="F6" s="77">
        <f t="shared" si="0"/>
        <v>100000</v>
      </c>
    </row>
    <row r="7" spans="1:6" x14ac:dyDescent="0.25">
      <c r="A7" s="96"/>
      <c r="B7" s="9" t="s">
        <v>126</v>
      </c>
      <c r="C7" s="9">
        <v>5</v>
      </c>
      <c r="D7" s="77">
        <v>80000</v>
      </c>
      <c r="E7" s="9">
        <v>1</v>
      </c>
      <c r="F7" s="77">
        <f t="shared" si="0"/>
        <v>80000</v>
      </c>
    </row>
    <row r="8" spans="1:6" x14ac:dyDescent="0.25">
      <c r="A8" s="95"/>
      <c r="B8" s="9"/>
      <c r="C8" s="9"/>
      <c r="D8" s="9"/>
      <c r="E8" s="97">
        <f>SUM(E2:E7)</f>
        <v>44</v>
      </c>
      <c r="F8" s="77">
        <f>SUM(F2:F7)</f>
        <v>1230000</v>
      </c>
    </row>
    <row r="9" spans="1:6" x14ac:dyDescent="0.25">
      <c r="A9" s="95"/>
      <c r="B9" s="9" t="s">
        <v>43</v>
      </c>
      <c r="C9" s="9"/>
      <c r="D9" s="77">
        <v>5000</v>
      </c>
      <c r="E9" s="97">
        <f>E8</f>
        <v>44</v>
      </c>
      <c r="F9" s="77">
        <f>D9*E8</f>
        <v>220000</v>
      </c>
    </row>
    <row r="10" spans="1:6" x14ac:dyDescent="0.25">
      <c r="A10" s="95"/>
      <c r="B10" s="9" t="s">
        <v>44</v>
      </c>
      <c r="C10" s="9"/>
      <c r="D10" s="98">
        <v>0.3</v>
      </c>
      <c r="E10" s="9"/>
      <c r="F10" s="77">
        <f>F8*D10</f>
        <v>369000</v>
      </c>
    </row>
    <row r="11" spans="1:6" x14ac:dyDescent="0.25">
      <c r="A11" s="95"/>
      <c r="B11" s="9" t="s">
        <v>96</v>
      </c>
      <c r="C11" s="9"/>
      <c r="D11" s="9"/>
      <c r="E11" s="9"/>
      <c r="F11" s="77">
        <f>F8+F10+F9</f>
        <v>1819000</v>
      </c>
    </row>
    <row r="12" spans="1:6" x14ac:dyDescent="0.25">
      <c r="A12" s="95"/>
      <c r="B12" s="9" t="s">
        <v>97</v>
      </c>
      <c r="C12" s="9"/>
      <c r="D12" s="9"/>
      <c r="E12" s="9"/>
      <c r="F12" s="77">
        <f>F11*12</f>
        <v>21828000</v>
      </c>
    </row>
  </sheetData>
  <mergeCells count="2">
    <mergeCell ref="A3:A4"/>
    <mergeCell ref="A5:A7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17"/>
  <sheetViews>
    <sheetView workbookViewId="0">
      <selection activeCell="B29" sqref="B29"/>
    </sheetView>
  </sheetViews>
  <sheetFormatPr defaultRowHeight="15" x14ac:dyDescent="0.25"/>
  <cols>
    <col min="2" max="2" width="38.28515625" bestFit="1" customWidth="1"/>
    <col min="3" max="3" width="14.140625" bestFit="1" customWidth="1"/>
    <col min="5" max="5" width="15.140625" bestFit="1" customWidth="1"/>
  </cols>
  <sheetData>
    <row r="1" spans="1:5" s="42" customFormat="1" x14ac:dyDescent="0.25">
      <c r="A1" s="75" t="s">
        <v>138</v>
      </c>
      <c r="B1" s="75" t="s">
        <v>21</v>
      </c>
      <c r="C1" s="75" t="s">
        <v>23</v>
      </c>
      <c r="D1" s="75" t="s">
        <v>24</v>
      </c>
      <c r="E1" s="75" t="s">
        <v>25</v>
      </c>
    </row>
    <row r="2" spans="1:5" x14ac:dyDescent="0.25">
      <c r="A2" s="9">
        <v>1</v>
      </c>
      <c r="B2" s="76" t="s">
        <v>48</v>
      </c>
      <c r="C2" s="77">
        <v>1500000</v>
      </c>
      <c r="D2" s="9">
        <v>1</v>
      </c>
      <c r="E2" s="77">
        <f t="shared" ref="E2:E8" si="0">C2*D2</f>
        <v>1500000</v>
      </c>
    </row>
    <row r="3" spans="1:5" x14ac:dyDescent="0.25">
      <c r="A3" s="9">
        <v>2</v>
      </c>
      <c r="B3" s="76" t="s">
        <v>52</v>
      </c>
      <c r="C3" s="77">
        <v>1000000</v>
      </c>
      <c r="D3" s="9">
        <v>25.2</v>
      </c>
      <c r="E3" s="78">
        <f t="shared" si="0"/>
        <v>25200000</v>
      </c>
    </row>
    <row r="4" spans="1:5" x14ac:dyDescent="0.25">
      <c r="A4" s="9">
        <v>3</v>
      </c>
      <c r="B4" s="76" t="s">
        <v>47</v>
      </c>
      <c r="C4" s="77">
        <v>10000000</v>
      </c>
      <c r="D4" s="9">
        <v>1</v>
      </c>
      <c r="E4" s="77">
        <f t="shared" si="0"/>
        <v>10000000</v>
      </c>
    </row>
    <row r="5" spans="1:5" x14ac:dyDescent="0.25">
      <c r="A5" s="79">
        <v>4</v>
      </c>
      <c r="B5" s="9" t="s">
        <v>128</v>
      </c>
      <c r="C5" s="77">
        <v>50000000</v>
      </c>
      <c r="D5" s="9">
        <v>1</v>
      </c>
      <c r="E5" s="77">
        <f t="shared" si="0"/>
        <v>50000000</v>
      </c>
    </row>
    <row r="6" spans="1:5" x14ac:dyDescent="0.25">
      <c r="A6" s="79">
        <v>5</v>
      </c>
      <c r="B6" s="76" t="s">
        <v>54</v>
      </c>
      <c r="C6" s="77">
        <v>5000000</v>
      </c>
      <c r="D6" s="9">
        <v>1</v>
      </c>
      <c r="E6" s="77">
        <f t="shared" si="0"/>
        <v>5000000</v>
      </c>
    </row>
    <row r="7" spans="1:5" x14ac:dyDescent="0.25">
      <c r="A7" s="79">
        <v>6</v>
      </c>
      <c r="B7" s="80" t="s">
        <v>50</v>
      </c>
      <c r="C7" s="77">
        <v>30000000</v>
      </c>
      <c r="D7" s="9">
        <v>1</v>
      </c>
      <c r="E7" s="77">
        <f t="shared" si="0"/>
        <v>30000000</v>
      </c>
    </row>
    <row r="8" spans="1:5" x14ac:dyDescent="0.25">
      <c r="A8" s="9">
        <v>7</v>
      </c>
      <c r="B8" s="9" t="s">
        <v>51</v>
      </c>
      <c r="C8" s="77">
        <v>10000000</v>
      </c>
      <c r="D8" s="9">
        <v>1</v>
      </c>
      <c r="E8" s="77">
        <f t="shared" si="0"/>
        <v>10000000</v>
      </c>
    </row>
    <row r="9" spans="1:5" x14ac:dyDescent="0.25">
      <c r="A9" s="79">
        <v>8</v>
      </c>
      <c r="B9" s="9" t="s">
        <v>22</v>
      </c>
      <c r="C9" s="77">
        <v>12000</v>
      </c>
      <c r="D9" s="9">
        <f>'Генерирующий компонент'!B12</f>
        <v>40000</v>
      </c>
      <c r="E9" s="77">
        <f>C9*D9</f>
        <v>480000000</v>
      </c>
    </row>
    <row r="10" spans="1:5" x14ac:dyDescent="0.25">
      <c r="A10" s="79">
        <v>9</v>
      </c>
      <c r="B10" s="9" t="s">
        <v>55</v>
      </c>
      <c r="C10" s="77">
        <v>3000000</v>
      </c>
      <c r="D10" s="9">
        <v>10</v>
      </c>
      <c r="E10" s="77">
        <f t="shared" ref="E10:E14" si="1">C10*D10</f>
        <v>30000000</v>
      </c>
    </row>
    <row r="11" spans="1:5" x14ac:dyDescent="0.25">
      <c r="A11" s="79">
        <v>10</v>
      </c>
      <c r="B11" s="9" t="s">
        <v>49</v>
      </c>
      <c r="C11" s="77">
        <v>2000000</v>
      </c>
      <c r="D11" s="9">
        <v>3</v>
      </c>
      <c r="E11" s="77">
        <f t="shared" si="1"/>
        <v>6000000</v>
      </c>
    </row>
    <row r="12" spans="1:5" x14ac:dyDescent="0.25">
      <c r="A12" s="79">
        <v>11</v>
      </c>
      <c r="B12" s="9" t="s">
        <v>53</v>
      </c>
      <c r="C12" s="77">
        <v>5000000</v>
      </c>
      <c r="D12" s="9">
        <v>1</v>
      </c>
      <c r="E12" s="77">
        <f t="shared" si="1"/>
        <v>5000000</v>
      </c>
    </row>
    <row r="13" spans="1:5" x14ac:dyDescent="0.25">
      <c r="A13" s="79">
        <v>12</v>
      </c>
      <c r="B13" s="9" t="s">
        <v>129</v>
      </c>
      <c r="C13" s="77">
        <v>15000000</v>
      </c>
      <c r="D13" s="9">
        <v>1</v>
      </c>
      <c r="E13" s="77">
        <f t="shared" si="1"/>
        <v>15000000</v>
      </c>
    </row>
    <row r="14" spans="1:5" x14ac:dyDescent="0.25">
      <c r="A14" s="79">
        <v>13</v>
      </c>
      <c r="B14" s="9" t="s">
        <v>46</v>
      </c>
      <c r="C14" s="77">
        <v>30000000</v>
      </c>
      <c r="D14" s="9">
        <v>1</v>
      </c>
      <c r="E14" s="77">
        <f t="shared" si="1"/>
        <v>30000000</v>
      </c>
    </row>
    <row r="15" spans="1:5" s="65" customFormat="1" x14ac:dyDescent="0.25">
      <c r="A15" s="13"/>
      <c r="B15" s="13" t="s">
        <v>177</v>
      </c>
      <c r="C15" s="13"/>
      <c r="D15" s="13"/>
      <c r="E15" s="81">
        <f>SUM(E2:E14)</f>
        <v>697700000</v>
      </c>
    </row>
    <row r="17" spans="2:5" x14ac:dyDescent="0.25">
      <c r="B17" t="s">
        <v>116</v>
      </c>
      <c r="E17" s="2">
        <f>(E5+E6+SUM(E9:E14)+E7)/'Генерирующий компонент'!B11</f>
        <v>65100000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Q29"/>
  <sheetViews>
    <sheetView zoomScale="80" zoomScaleNormal="80" workbookViewId="0">
      <selection activeCell="C26" sqref="C26"/>
    </sheetView>
  </sheetViews>
  <sheetFormatPr defaultRowHeight="15" x14ac:dyDescent="0.25"/>
  <cols>
    <col min="1" max="1" width="25.140625" bestFit="1" customWidth="1"/>
    <col min="2" max="2" width="25.5703125" customWidth="1"/>
    <col min="3" max="3" width="22" customWidth="1"/>
    <col min="4" max="5" width="13.5703125" bestFit="1" customWidth="1"/>
    <col min="6" max="6" width="18.5703125" bestFit="1" customWidth="1"/>
    <col min="7" max="7" width="14.7109375" bestFit="1" customWidth="1"/>
    <col min="8" max="8" width="13.85546875" bestFit="1" customWidth="1"/>
    <col min="9" max="9" width="12.140625" customWidth="1"/>
    <col min="10" max="10" width="12.42578125" bestFit="1" customWidth="1"/>
    <col min="11" max="12" width="11.42578125" bestFit="1" customWidth="1"/>
    <col min="13" max="13" width="12.140625" bestFit="1" customWidth="1"/>
    <col min="14" max="17" width="13.28515625" bestFit="1" customWidth="1"/>
  </cols>
  <sheetData>
    <row r="1" spans="1:10" x14ac:dyDescent="0.25">
      <c r="A1" s="5" t="s">
        <v>148</v>
      </c>
      <c r="B1" t="s">
        <v>136</v>
      </c>
      <c r="C1" t="s">
        <v>135</v>
      </c>
      <c r="F1" t="s">
        <v>159</v>
      </c>
      <c r="G1" t="s">
        <v>150</v>
      </c>
    </row>
    <row r="2" spans="1:10" x14ac:dyDescent="0.25">
      <c r="A2" t="s">
        <v>105</v>
      </c>
      <c r="B2" s="26">
        <f>'Итоговая смета'!E15-Финансирование!B4</f>
        <v>284900000</v>
      </c>
      <c r="F2">
        <v>2018</v>
      </c>
      <c r="G2" s="26">
        <f>'Денежный поток'!B8-Таблица1[[#This Row],[Фактический показатель]]</f>
        <v>127800000</v>
      </c>
    </row>
    <row r="3" spans="1:10" x14ac:dyDescent="0.25">
      <c r="A3" t="s">
        <v>106</v>
      </c>
      <c r="B3" s="26">
        <f>Персонал!F12</f>
        <v>21828000</v>
      </c>
      <c r="F3">
        <v>2019</v>
      </c>
      <c r="G3" s="26">
        <f>'Денежный поток'!C8</f>
        <v>285000000</v>
      </c>
    </row>
    <row r="4" spans="1:10" x14ac:dyDescent="0.25">
      <c r="A4" t="s">
        <v>107</v>
      </c>
      <c r="B4" s="26">
        <f>('Итоговая смета'!E9+'Итоговая смета'!E10+'Итоговая смета'!E11)*0.8</f>
        <v>412800000</v>
      </c>
      <c r="F4" s="51"/>
      <c r="G4" s="52"/>
      <c r="H4" s="51"/>
      <c r="I4" s="51"/>
      <c r="J4" s="51"/>
    </row>
    <row r="5" spans="1:10" x14ac:dyDescent="0.25">
      <c r="A5" t="s">
        <v>108</v>
      </c>
      <c r="B5" s="24">
        <f>B2/'Итоговая смета'!E15</f>
        <v>0.40834169413788163</v>
      </c>
      <c r="C5">
        <v>0.2</v>
      </c>
      <c r="F5" s="53"/>
      <c r="G5" s="53"/>
      <c r="H5" s="53"/>
      <c r="I5" s="53"/>
      <c r="J5" s="51"/>
    </row>
    <row r="6" spans="1:10" x14ac:dyDescent="0.25">
      <c r="A6" t="s">
        <v>109</v>
      </c>
      <c r="B6" s="24">
        <f>1-B5</f>
        <v>0.59165830586211832</v>
      </c>
      <c r="C6">
        <v>0.8</v>
      </c>
      <c r="F6" s="54"/>
      <c r="G6" s="55"/>
      <c r="H6" s="55"/>
      <c r="I6" s="55"/>
      <c r="J6" s="51"/>
    </row>
    <row r="7" spans="1:10" x14ac:dyDescent="0.25">
      <c r="A7" t="s">
        <v>103</v>
      </c>
      <c r="B7" s="62">
        <f>G11+G12*G9</f>
        <v>0.15633901316255888</v>
      </c>
      <c r="C7" s="8">
        <v>0.18</v>
      </c>
      <c r="F7" s="94" t="s">
        <v>176</v>
      </c>
      <c r="G7" s="94"/>
      <c r="H7" s="55"/>
      <c r="I7" s="55"/>
      <c r="J7" s="51"/>
    </row>
    <row r="8" spans="1:10" x14ac:dyDescent="0.25">
      <c r="A8" t="s">
        <v>104</v>
      </c>
      <c r="B8" s="8">
        <v>0.12</v>
      </c>
      <c r="C8" s="8">
        <v>0.13</v>
      </c>
      <c r="F8" s="69" t="s">
        <v>164</v>
      </c>
      <c r="G8" s="71">
        <v>0.11843943371143981</v>
      </c>
      <c r="H8" s="55"/>
      <c r="I8" s="55"/>
      <c r="J8" s="51"/>
    </row>
    <row r="9" spans="1:10" x14ac:dyDescent="0.25">
      <c r="A9" t="s">
        <v>110</v>
      </c>
      <c r="B9" s="8">
        <v>0.2</v>
      </c>
      <c r="C9" s="8">
        <v>0.2</v>
      </c>
      <c r="F9" s="69" t="s">
        <v>165</v>
      </c>
      <c r="G9" s="74">
        <v>0.81299818000000001</v>
      </c>
      <c r="H9" s="55"/>
      <c r="I9" s="55"/>
      <c r="J9" s="51"/>
    </row>
    <row r="10" spans="1:10" x14ac:dyDescent="0.25">
      <c r="A10" t="s">
        <v>102</v>
      </c>
      <c r="B10">
        <f>B5*B7+B6*B8*(1-B9)</f>
        <v>0.12063893485740723</v>
      </c>
      <c r="C10">
        <f>C5*C7+C6*C8*(1-C9)</f>
        <v>0.1192</v>
      </c>
      <c r="F10" s="69" t="s">
        <v>166</v>
      </c>
      <c r="G10" s="70">
        <v>8.9599999999999999E-2</v>
      </c>
      <c r="H10" s="55"/>
      <c r="I10" s="55"/>
      <c r="J10" s="51"/>
    </row>
    <row r="11" spans="1:10" x14ac:dyDescent="0.25">
      <c r="F11" s="69" t="s">
        <v>169</v>
      </c>
      <c r="G11" s="70">
        <v>8.1199999999999994E-2</v>
      </c>
      <c r="H11" s="55"/>
      <c r="I11" s="55"/>
      <c r="J11" s="51"/>
    </row>
    <row r="12" spans="1:10" x14ac:dyDescent="0.25">
      <c r="A12" s="5" t="s">
        <v>140</v>
      </c>
      <c r="B12" t="s">
        <v>149</v>
      </c>
      <c r="F12" s="69" t="s">
        <v>167</v>
      </c>
      <c r="G12" s="72">
        <v>9.2422117307272317E-2</v>
      </c>
      <c r="H12" s="55"/>
      <c r="I12" s="55"/>
      <c r="J12" s="51"/>
    </row>
    <row r="13" spans="1:10" x14ac:dyDescent="0.25">
      <c r="A13" t="s">
        <v>141</v>
      </c>
      <c r="B13" t="s">
        <v>142</v>
      </c>
      <c r="F13" s="69" t="s">
        <v>168</v>
      </c>
      <c r="G13" s="73">
        <v>3.5522117307272325E-2</v>
      </c>
      <c r="H13" s="55"/>
      <c r="I13" s="55"/>
      <c r="J13" s="51"/>
    </row>
    <row r="14" spans="1:10" x14ac:dyDescent="0.25">
      <c r="A14" t="s">
        <v>143</v>
      </c>
      <c r="B14" t="s">
        <v>144</v>
      </c>
      <c r="F14" s="54"/>
      <c r="H14" s="55"/>
      <c r="I14" s="55"/>
      <c r="J14" s="51"/>
    </row>
    <row r="15" spans="1:10" x14ac:dyDescent="0.25">
      <c r="A15" t="s">
        <v>139</v>
      </c>
      <c r="B15">
        <v>7</v>
      </c>
      <c r="F15" s="54"/>
      <c r="G15" s="55"/>
      <c r="H15" s="55"/>
      <c r="I15" s="55"/>
      <c r="J15" s="51"/>
    </row>
    <row r="16" spans="1:10" x14ac:dyDescent="0.25">
      <c r="A16" t="s">
        <v>145</v>
      </c>
      <c r="B16" s="26" t="s">
        <v>146</v>
      </c>
      <c r="F16" s="54"/>
      <c r="G16" s="55"/>
      <c r="H16" s="55"/>
      <c r="I16" s="55"/>
      <c r="J16" s="51"/>
    </row>
    <row r="17" spans="1:17" x14ac:dyDescent="0.25">
      <c r="A17" t="s">
        <v>147</v>
      </c>
      <c r="B17" s="8">
        <v>0.12</v>
      </c>
      <c r="F17" s="54"/>
      <c r="G17" s="55"/>
      <c r="H17" s="55"/>
      <c r="I17" s="55"/>
      <c r="J17" s="51"/>
    </row>
    <row r="18" spans="1:17" x14ac:dyDescent="0.25">
      <c r="A18" t="s">
        <v>134</v>
      </c>
      <c r="B18" s="46">
        <f>1/B8-1/(B8*(1+B8)^B15)</f>
        <v>4.5637565388592218</v>
      </c>
      <c r="F18" s="54"/>
      <c r="G18" s="55"/>
      <c r="H18" s="55"/>
      <c r="I18" s="55"/>
      <c r="J18" s="51"/>
    </row>
    <row r="19" spans="1:17" x14ac:dyDescent="0.25">
      <c r="A19" t="s">
        <v>120</v>
      </c>
      <c r="B19" s="26">
        <f>B4/B18</f>
        <v>90451801.380094096</v>
      </c>
      <c r="F19" s="54"/>
      <c r="G19" s="55"/>
      <c r="H19" s="55"/>
      <c r="I19" s="55"/>
      <c r="J19" s="51"/>
    </row>
    <row r="20" spans="1:17" x14ac:dyDescent="0.25">
      <c r="A20" t="s">
        <v>155</v>
      </c>
      <c r="B20">
        <v>2</v>
      </c>
      <c r="F20" s="54"/>
      <c r="G20" s="55"/>
      <c r="H20" s="55"/>
      <c r="I20" s="55"/>
      <c r="J20" s="51"/>
    </row>
    <row r="21" spans="1:17" x14ac:dyDescent="0.25">
      <c r="F21" s="54"/>
      <c r="G21" s="55"/>
      <c r="H21" s="55"/>
      <c r="I21" s="55"/>
      <c r="J21" s="51"/>
    </row>
    <row r="22" spans="1:17" x14ac:dyDescent="0.25">
      <c r="B22" s="46">
        <f>1/B8-1/(B8*(1+B8)^(B15-1))</f>
        <v>4.1114073235223279</v>
      </c>
      <c r="F22" s="51"/>
      <c r="G22" s="52"/>
      <c r="H22" s="52"/>
      <c r="I22" s="52"/>
      <c r="J22" s="51"/>
    </row>
    <row r="23" spans="1:17" x14ac:dyDescent="0.25">
      <c r="F23" s="51"/>
      <c r="G23" s="52"/>
      <c r="H23" s="52"/>
      <c r="I23" s="52"/>
      <c r="J23" s="51"/>
    </row>
    <row r="24" spans="1:17" x14ac:dyDescent="0.25">
      <c r="B24" s="2"/>
      <c r="G24" s="26"/>
      <c r="H24" s="26"/>
      <c r="I24" s="26"/>
    </row>
    <row r="25" spans="1:17" x14ac:dyDescent="0.25">
      <c r="A25" s="50" t="s">
        <v>151</v>
      </c>
      <c r="B25" s="50">
        <v>2018</v>
      </c>
      <c r="C25" s="50">
        <v>2019</v>
      </c>
      <c r="D25" s="50">
        <v>2020</v>
      </c>
      <c r="E25" s="50">
        <v>2021</v>
      </c>
      <c r="F25" s="50">
        <v>2022</v>
      </c>
      <c r="G25" s="50">
        <v>2023</v>
      </c>
      <c r="H25" s="50">
        <v>2024</v>
      </c>
      <c r="I25" s="50">
        <v>2025</v>
      </c>
      <c r="J25" s="50">
        <v>2026</v>
      </c>
      <c r="K25" s="50">
        <v>2027</v>
      </c>
      <c r="L25" s="50">
        <v>2028</v>
      </c>
      <c r="M25" s="50">
        <v>2029</v>
      </c>
      <c r="N25" s="50">
        <v>2030</v>
      </c>
      <c r="O25" s="50">
        <v>2031</v>
      </c>
      <c r="P25" s="50">
        <v>2032</v>
      </c>
      <c r="Q25" s="50">
        <v>2033</v>
      </c>
    </row>
    <row r="26" spans="1:17" x14ac:dyDescent="0.25">
      <c r="A26" s="48" t="s">
        <v>152</v>
      </c>
      <c r="B26" s="49">
        <f>G2</f>
        <v>127800000</v>
      </c>
      <c r="C26" s="49">
        <f>G3-B28+B27</f>
        <v>337684198.61990589</v>
      </c>
      <c r="D26" s="49">
        <f>IF(C27-C28 &lt; 0, 0, C27-C28)</f>
        <v>296072820.64432287</v>
      </c>
      <c r="E26" s="49">
        <f t="shared" ref="E26:Q26" si="0">IF(D27-D28 &lt; 0, 0, D27-D28)</f>
        <v>249468077.31166986</v>
      </c>
      <c r="F26" s="49">
        <f t="shared" si="0"/>
        <v>197270764.77909848</v>
      </c>
      <c r="G26" s="49">
        <f t="shared" si="0"/>
        <v>138809774.74261853</v>
      </c>
      <c r="H26" s="49">
        <f t="shared" si="0"/>
        <v>73333465.901760995</v>
      </c>
      <c r="I26" s="49">
        <f t="shared" si="0"/>
        <v>5.3644180297851563E-7</v>
      </c>
      <c r="J26" s="49">
        <f t="shared" si="0"/>
        <v>0</v>
      </c>
      <c r="K26" s="49">
        <f t="shared" si="0"/>
        <v>0</v>
      </c>
      <c r="L26" s="49">
        <f>IF(K27-K28 &lt; 0, 0, K27-K28)</f>
        <v>0</v>
      </c>
      <c r="M26" s="49">
        <f t="shared" si="0"/>
        <v>0</v>
      </c>
      <c r="N26" s="49">
        <f t="shared" si="0"/>
        <v>0</v>
      </c>
      <c r="O26" s="49">
        <f t="shared" si="0"/>
        <v>0</v>
      </c>
      <c r="P26" s="49">
        <f t="shared" si="0"/>
        <v>0</v>
      </c>
      <c r="Q26" s="49">
        <f t="shared" si="0"/>
        <v>0</v>
      </c>
    </row>
    <row r="27" spans="1:17" x14ac:dyDescent="0.25">
      <c r="A27" s="48" t="s">
        <v>153</v>
      </c>
      <c r="B27" s="49">
        <f>B26*(1+$B$17)</f>
        <v>143136000</v>
      </c>
      <c r="C27" s="49">
        <f t="shared" ref="C27:H27" si="1">C26*(1+$B$17)</f>
        <v>378206302.45429462</v>
      </c>
      <c r="D27" s="49">
        <f t="shared" si="1"/>
        <v>331601559.12164164</v>
      </c>
      <c r="E27" s="49">
        <f t="shared" si="1"/>
        <v>279404246.58907026</v>
      </c>
      <c r="F27" s="49">
        <f t="shared" si="1"/>
        <v>220943256.55259031</v>
      </c>
      <c r="G27" s="49">
        <f t="shared" si="1"/>
        <v>155466947.71173277</v>
      </c>
      <c r="H27" s="49">
        <f t="shared" si="1"/>
        <v>82133481.809972316</v>
      </c>
      <c r="I27" s="49">
        <f t="shared" ref="I27" si="2">I26*(1+$B$17)</f>
        <v>6.0081481933593761E-7</v>
      </c>
      <c r="J27" s="49">
        <f t="shared" ref="J27" si="3">J26*(1+$B$17)</f>
        <v>0</v>
      </c>
      <c r="K27" s="49">
        <f t="shared" ref="K27" si="4">K26*(1+$B$17)</f>
        <v>0</v>
      </c>
      <c r="L27" s="49">
        <f t="shared" ref="L27" si="5">L26*(1+$B$17)</f>
        <v>0</v>
      </c>
      <c r="M27" s="49">
        <f t="shared" ref="M27:N27" si="6">M26*(1+$B$17)</f>
        <v>0</v>
      </c>
      <c r="N27" s="49">
        <f t="shared" si="6"/>
        <v>0</v>
      </c>
      <c r="O27" s="49">
        <f t="shared" ref="O27" si="7">O26*(1+$B$17)</f>
        <v>0</v>
      </c>
      <c r="P27" s="49">
        <f t="shared" ref="P27" si="8">P26*(1+$B$17)</f>
        <v>0</v>
      </c>
      <c r="Q27" s="49">
        <f t="shared" ref="Q27" si="9">Q26*(1+$B$17)</f>
        <v>0</v>
      </c>
    </row>
    <row r="28" spans="1:17" x14ac:dyDescent="0.25">
      <c r="A28" s="48" t="s">
        <v>154</v>
      </c>
      <c r="B28" s="49">
        <f>B19</f>
        <v>90451801.380094096</v>
      </c>
      <c r="C28" s="49">
        <f>IF(C26=0, 0, C26/B22)</f>
        <v>82133481.80997178</v>
      </c>
      <c r="D28" s="49">
        <f>IF(D27&lt;=0,0,$C$28)</f>
        <v>82133481.80997178</v>
      </c>
      <c r="E28" s="49">
        <f t="shared" ref="E28:J28" si="10">IF(E27&lt;=0,0,$C$28)</f>
        <v>82133481.80997178</v>
      </c>
      <c r="F28" s="49">
        <f t="shared" si="10"/>
        <v>82133481.80997178</v>
      </c>
      <c r="G28" s="49">
        <f t="shared" si="10"/>
        <v>82133481.80997178</v>
      </c>
      <c r="H28" s="49">
        <f t="shared" si="10"/>
        <v>82133481.80997178</v>
      </c>
      <c r="I28" s="49">
        <f t="shared" si="10"/>
        <v>82133481.80997178</v>
      </c>
      <c r="J28" s="49">
        <f t="shared" si="10"/>
        <v>0</v>
      </c>
      <c r="K28" s="49">
        <f t="shared" ref="K28" si="11">IF(K27&lt;=0,0,$C$28)</f>
        <v>0</v>
      </c>
      <c r="L28" s="49">
        <f t="shared" ref="L28" si="12">IF(L27&lt;=0,0,$C$28)</f>
        <v>0</v>
      </c>
      <c r="M28" s="49">
        <f t="shared" ref="M28" si="13">IF(M27&lt;=0,0,$C$28)</f>
        <v>0</v>
      </c>
      <c r="N28" s="49">
        <f t="shared" ref="N28" si="14">IF(N27&lt;=0,0,$C$28)</f>
        <v>0</v>
      </c>
      <c r="O28" s="49">
        <f t="shared" ref="O28:P28" si="15">IF(O27&lt;=0,0,$C$28)</f>
        <v>0</v>
      </c>
      <c r="P28" s="49">
        <f t="shared" si="15"/>
        <v>0</v>
      </c>
      <c r="Q28" s="49">
        <f>IF(Q27&lt;=0,0,$C$28)</f>
        <v>0</v>
      </c>
    </row>
    <row r="29" spans="1:17" x14ac:dyDescent="0.25">
      <c r="A29" s="53" t="s">
        <v>161</v>
      </c>
      <c r="B29" s="26">
        <f>B27-B26</f>
        <v>15336000</v>
      </c>
      <c r="C29" s="26">
        <f t="shared" ref="C29:Q29" si="16">C27-C26</f>
        <v>40522103.834388733</v>
      </c>
      <c r="D29" s="26">
        <f t="shared" si="16"/>
        <v>35528738.477318764</v>
      </c>
      <c r="E29" s="26">
        <f t="shared" si="16"/>
        <v>29936169.277400404</v>
      </c>
      <c r="F29" s="26">
        <f t="shared" si="16"/>
        <v>23672491.77349183</v>
      </c>
      <c r="G29" s="26">
        <f>G27-G26</f>
        <v>16657172.969114244</v>
      </c>
      <c r="H29" s="26">
        <f t="shared" si="16"/>
        <v>8800015.9082113206</v>
      </c>
      <c r="I29" s="26">
        <f t="shared" si="16"/>
        <v>6.4373016357421985E-8</v>
      </c>
      <c r="J29" s="26">
        <f t="shared" si="16"/>
        <v>0</v>
      </c>
      <c r="K29" s="26">
        <f t="shared" si="16"/>
        <v>0</v>
      </c>
      <c r="L29" s="26">
        <f t="shared" si="16"/>
        <v>0</v>
      </c>
      <c r="M29" s="26">
        <f t="shared" si="16"/>
        <v>0</v>
      </c>
      <c r="N29" s="26">
        <f t="shared" si="16"/>
        <v>0</v>
      </c>
      <c r="O29" s="26">
        <f t="shared" si="16"/>
        <v>0</v>
      </c>
      <c r="P29" s="26">
        <f t="shared" si="16"/>
        <v>0</v>
      </c>
      <c r="Q29" s="26">
        <f t="shared" si="16"/>
        <v>0</v>
      </c>
    </row>
  </sheetData>
  <mergeCells count="1">
    <mergeCell ref="F7:G7"/>
  </mergeCells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Учредительная инф-ия</vt:lpstr>
      <vt:lpstr>GenAssump</vt:lpstr>
      <vt:lpstr>Генерирующий компонент</vt:lpstr>
      <vt:lpstr>Персонал</vt:lpstr>
      <vt:lpstr>Итоговая смета</vt:lpstr>
      <vt:lpstr>Финансирование</vt:lpstr>
      <vt:lpstr>Прогноз выручки</vt:lpstr>
      <vt:lpstr>Прибыль</vt:lpstr>
      <vt:lpstr>Денежные потоки</vt:lpstr>
      <vt:lpstr>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2018-12-07T11:12:44Z</dcterms:modified>
</cp:coreProperties>
</file>