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codeName="ЭтаКнига"/>
  <xr:revisionPtr revIDLastSave="0" documentId="8_{FF1DF813-2B0C-4ACF-80AA-469FBA597848}" xr6:coauthVersionLast="31" xr6:coauthVersionMax="31" xr10:uidLastSave="{00000000-0000-0000-0000-000000000000}"/>
  <bookViews>
    <workbookView xWindow="0" yWindow="0" windowWidth="23040" windowHeight="9072" firstSheet="2" activeTab="7" xr2:uid="{00000000-000D-0000-FFFF-FFFF00000000}"/>
  </bookViews>
  <sheets>
    <sheet name="CashFlow" sheetId="4" state="veryHidden" r:id="rId1"/>
    <sheet name="СтарьЁ" sheetId="3" state="veryHidden" r:id="rId2"/>
    <sheet name="Gen. assum." sheetId="2" r:id="rId3"/>
    <sheet name="BS" sheetId="5" r:id="rId4"/>
    <sheet name="Hurdle rate" sheetId="1" r:id="rId5"/>
    <sheet name="TaxDeduct." sheetId="8" r:id="rId6"/>
    <sheet name="Investment" sheetId="6" r:id="rId7"/>
    <sheet name="NPV" sheetId="7" r:id="rId8"/>
  </sheets>
  <calcPr calcId="179017" calcOnSave="0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B1" i="8"/>
  <c r="C1" i="8"/>
  <c r="D1" i="8"/>
  <c r="A2" i="8"/>
  <c r="B2" i="8"/>
  <c r="C2" i="8"/>
  <c r="D2" i="8"/>
  <c r="A4" i="8"/>
  <c r="A7" i="8"/>
  <c r="C7" i="8"/>
  <c r="D7" i="8"/>
  <c r="A8" i="8"/>
  <c r="C8" i="8"/>
  <c r="D8" i="8"/>
  <c r="A9" i="8"/>
  <c r="C9" i="8"/>
  <c r="D9" i="8"/>
  <c r="A10" i="8"/>
  <c r="C10" i="8"/>
  <c r="D10" i="8"/>
  <c r="A11" i="8"/>
  <c r="A12" i="8"/>
  <c r="E5" i="7"/>
  <c r="F5" i="7"/>
  <c r="G5" i="7"/>
  <c r="H5" i="7"/>
  <c r="I5" i="7"/>
  <c r="J5" i="7"/>
  <c r="K5" i="7"/>
  <c r="L5" i="7"/>
  <c r="M5" i="7"/>
  <c r="N5" i="7"/>
  <c r="A14" i="6"/>
  <c r="B14" i="6"/>
  <c r="C14" i="6"/>
  <c r="D14" i="6"/>
  <c r="A15" i="6"/>
  <c r="B15" i="6"/>
  <c r="C15" i="6"/>
  <c r="D15" i="6"/>
  <c r="A16" i="6"/>
  <c r="B16" i="6"/>
  <c r="C16" i="6"/>
  <c r="D16" i="6"/>
  <c r="A17" i="6"/>
  <c r="B17" i="6"/>
  <c r="A18" i="6"/>
  <c r="A19" i="6"/>
  <c r="C19" i="6"/>
  <c r="D19" i="6"/>
  <c r="A20" i="6"/>
  <c r="C20" i="6"/>
  <c r="D20" i="6"/>
  <c r="A21" i="6"/>
  <c r="C21" i="6"/>
  <c r="D21" i="6"/>
  <c r="A22" i="6"/>
  <c r="C22" i="6"/>
  <c r="D22" i="6"/>
  <c r="A23" i="6"/>
  <c r="A24" i="6"/>
  <c r="B12" i="7"/>
  <c r="B24" i="6" s="1"/>
  <c r="C11" i="7"/>
  <c r="C23" i="6" s="1"/>
  <c r="D11" i="7"/>
  <c r="D23" i="6" s="1"/>
  <c r="B11" i="7"/>
  <c r="B23" i="6" s="1"/>
  <c r="C6" i="7"/>
  <c r="C18" i="6" s="1"/>
  <c r="D6" i="7"/>
  <c r="D18" i="6" s="1"/>
  <c r="B6" i="7"/>
  <c r="B18" i="6" s="1"/>
  <c r="D4" i="6"/>
  <c r="C12" i="7" s="1"/>
  <c r="D3" i="6"/>
  <c r="C24" i="6" l="1"/>
  <c r="C12" i="8"/>
  <c r="D12" i="7"/>
  <c r="D24" i="6" s="1"/>
  <c r="C4" i="8"/>
  <c r="C11" i="8"/>
  <c r="C6" i="8" s="1"/>
  <c r="C13" i="8" s="1"/>
  <c r="C16" i="7" s="1"/>
  <c r="B12" i="8"/>
  <c r="B11" i="8"/>
  <c r="B4" i="8"/>
  <c r="D11" i="8"/>
  <c r="D4" i="8"/>
  <c r="D5" i="7"/>
  <c r="D17" i="6" s="1"/>
  <c r="C5" i="7"/>
  <c r="C17" i="6" s="1"/>
  <c r="B17" i="1"/>
  <c r="D7" i="6"/>
  <c r="B8" i="7" s="1"/>
  <c r="D8" i="6"/>
  <c r="B9" i="7" s="1"/>
  <c r="D9" i="6"/>
  <c r="B10" i="7" s="1"/>
  <c r="D6" i="6"/>
  <c r="D2" i="6"/>
  <c r="D12" i="8" l="1"/>
  <c r="B20" i="6"/>
  <c r="B8" i="8"/>
  <c r="D6" i="8"/>
  <c r="D13" i="8" s="1"/>
  <c r="D16" i="7" s="1"/>
  <c r="B22" i="6"/>
  <c r="B10" i="8"/>
  <c r="B21" i="6"/>
  <c r="B9" i="8"/>
  <c r="B7" i="7"/>
  <c r="B7" i="8" s="1"/>
  <c r="D10" i="6"/>
  <c r="C25" i="6"/>
  <c r="D25" i="6"/>
  <c r="B6" i="8" l="1"/>
  <c r="B13" i="8" s="1"/>
  <c r="B16" i="7" s="1"/>
  <c r="B19" i="6"/>
  <c r="B25" i="6" s="1"/>
  <c r="B26" i="6" s="1"/>
  <c r="B2" i="2" s="1"/>
  <c r="B5" i="7"/>
  <c r="I7" i="3"/>
  <c r="L7" i="3"/>
  <c r="O7" i="3"/>
  <c r="R7" i="3"/>
  <c r="U7" i="3"/>
  <c r="X7" i="3"/>
  <c r="AA7" i="3"/>
  <c r="AD7" i="3"/>
  <c r="AG7" i="3"/>
  <c r="AJ7" i="3"/>
  <c r="F7" i="3"/>
  <c r="C7" i="3"/>
  <c r="B4" i="3"/>
  <c r="C15" i="7" l="1"/>
  <c r="C14" i="7" s="1"/>
  <c r="C18" i="7" s="1"/>
  <c r="C19" i="7" s="1"/>
  <c r="G15" i="7"/>
  <c r="G14" i="7" s="1"/>
  <c r="G18" i="7" s="1"/>
  <c r="G19" i="7" s="1"/>
  <c r="K15" i="7"/>
  <c r="K14" i="7" s="1"/>
  <c r="K18" i="7" s="1"/>
  <c r="K19" i="7" s="1"/>
  <c r="B15" i="7"/>
  <c r="B14" i="7" s="1"/>
  <c r="B18" i="7" s="1"/>
  <c r="B19" i="7" s="1"/>
  <c r="B23" i="7" s="1"/>
  <c r="E15" i="7"/>
  <c r="E14" i="7" s="1"/>
  <c r="E18" i="7" s="1"/>
  <c r="E19" i="7" s="1"/>
  <c r="I15" i="7"/>
  <c r="I14" i="7" s="1"/>
  <c r="I18" i="7" s="1"/>
  <c r="I19" i="7" s="1"/>
  <c r="J15" i="7"/>
  <c r="J14" i="7" s="1"/>
  <c r="J18" i="7" s="1"/>
  <c r="J19" i="7" s="1"/>
  <c r="D15" i="7"/>
  <c r="D14" i="7" s="1"/>
  <c r="D18" i="7" s="1"/>
  <c r="D19" i="7" s="1"/>
  <c r="H15" i="7"/>
  <c r="H14" i="7" s="1"/>
  <c r="H18" i="7" s="1"/>
  <c r="H19" i="7" s="1"/>
  <c r="L15" i="7"/>
  <c r="L14" i="7" s="1"/>
  <c r="L18" i="7" s="1"/>
  <c r="L19" i="7" s="1"/>
  <c r="M15" i="7"/>
  <c r="M14" i="7" s="1"/>
  <c r="M18" i="7" s="1"/>
  <c r="M19" i="7" s="1"/>
  <c r="F15" i="7"/>
  <c r="F14" i="7" s="1"/>
  <c r="F18" i="7" s="1"/>
  <c r="F19" i="7" s="1"/>
  <c r="N15" i="7"/>
  <c r="N14" i="7" s="1"/>
  <c r="N18" i="7" s="1"/>
  <c r="N19" i="7" s="1"/>
  <c r="C4" i="3"/>
  <c r="D4" i="3" s="1"/>
  <c r="E4" i="3" s="1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B20" i="7" l="1"/>
  <c r="B24" i="7" s="1"/>
  <c r="AA5" i="3"/>
  <c r="AA6" i="3" s="1"/>
  <c r="AA8" i="3" s="1"/>
  <c r="R5" i="3"/>
  <c r="R6" i="3" s="1"/>
  <c r="R8" i="3" s="1"/>
  <c r="F5" i="3"/>
  <c r="F6" i="3" s="1"/>
  <c r="F8" i="3" s="1"/>
  <c r="X5" i="3"/>
  <c r="X6" i="3" s="1"/>
  <c r="X8" i="3" s="1"/>
  <c r="U5" i="3"/>
  <c r="U6" i="3" s="1"/>
  <c r="U8" i="3" s="1"/>
  <c r="AD5" i="3"/>
  <c r="AD6" i="3" s="1"/>
  <c r="AD8" i="3" s="1"/>
  <c r="AH4" i="3"/>
  <c r="L5" i="3"/>
  <c r="L6" i="3" s="1"/>
  <c r="L8" i="3" s="1"/>
  <c r="I5" i="3"/>
  <c r="I6" i="3" s="1"/>
  <c r="I8" i="3" s="1"/>
  <c r="O5" i="3"/>
  <c r="O6" i="3" s="1"/>
  <c r="O8" i="3" s="1"/>
  <c r="C5" i="3"/>
  <c r="C6" i="3" s="1"/>
  <c r="C8" i="3" s="1"/>
  <c r="AI4" i="3" l="1"/>
  <c r="AJ4" i="3" l="1"/>
  <c r="AK4" i="3" s="1"/>
  <c r="AL4" i="3" s="1"/>
  <c r="AG5" i="3"/>
  <c r="AG6" i="3" s="1"/>
  <c r="AJ5" i="3" l="1"/>
  <c r="AJ6" i="3" s="1"/>
  <c r="AJ8" i="3" s="1"/>
  <c r="AG8" i="3"/>
  <c r="B9" i="3" s="1"/>
  <c r="B10" i="3" s="1"/>
  <c r="AM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4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Хоть в рублях, хоть в тугриках, наша задача - посчитать отношение NPV к первоначальной стоимости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4" authorId="0" shapeId="0" xr:uid="{D1A86509-A7AE-4018-9C52-FA2AC3A142F9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жизненный цикл товара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3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ЭТО У НОРМАЛЬНЫХ ЛЮДЕЙ</t>
        </r>
      </text>
    </comment>
    <comment ref="A7" authorId="0" shapeId="0" xr:uid="{C100649F-3E42-4BB4-BFA3-E033E7D099A9}">
      <text>
        <r>
          <rPr>
            <b/>
            <sz val="9"/>
            <color indexed="81"/>
            <rFont val="Tahoma"/>
            <family val="2"/>
            <charset val="204"/>
          </rPr>
          <t>Lex:</t>
        </r>
        <r>
          <rPr>
            <sz val="9"/>
            <color indexed="81"/>
            <rFont val="Tahoma"/>
            <family val="2"/>
            <charset val="204"/>
          </rPr>
          <t xml:space="preserve">
Предоставляет генеральный партнёр  - ВТБ</t>
        </r>
      </text>
    </comment>
  </commentList>
</comments>
</file>

<file path=xl/sharedStrings.xml><?xml version="1.0" encoding="utf-8"?>
<sst xmlns="http://schemas.openxmlformats.org/spreadsheetml/2006/main" count="162" uniqueCount="150">
  <si>
    <t>Beta</t>
  </si>
  <si>
    <t>D/E Ratio</t>
  </si>
  <si>
    <t>Наименование показателя</t>
  </si>
  <si>
    <t>Код</t>
  </si>
  <si>
    <t>АКТИВ</t>
  </si>
  <si>
    <t>I. ВНЕОБОРОТНЫЕ АКТИВЫ</t>
  </si>
  <si>
    <t>Нематериальные активы</t>
  </si>
  <si>
    <t>Результаты исследований и разработок</t>
  </si>
  <si>
    <t>Нематериальные поисковые активы</t>
  </si>
  <si>
    <t>Материальные поисковые активы</t>
  </si>
  <si>
    <t>Основные средства</t>
  </si>
  <si>
    <t>Доходные вложения в материальные ценности</t>
  </si>
  <si>
    <t>Финансовые вложения</t>
  </si>
  <si>
    <t>Отложенные налоговые активы</t>
  </si>
  <si>
    <t>Прочие внеоборотные активы</t>
  </si>
  <si>
    <t>Итого по разделу I</t>
  </si>
  <si>
    <t>II. 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</si>
  <si>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</si>
  <si>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</si>
  <si>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</si>
  <si>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Финансовые вложения (за исключением денежных эквивалентов)</t>
  </si>
  <si>
    <t>Денежные средства и денежные эквиваленты</t>
  </si>
  <si>
    <t>Прочие оборотные активы</t>
  </si>
  <si>
    <t>Итого по разделу II</t>
  </si>
  <si>
    <t>БАЛАНС</t>
  </si>
  <si>
    <t>ПАССИВ</t>
  </si>
  <si>
    <r>
      <t>III. КАПИТАЛ И РЕЗЕРВЫ</t>
    </r>
    <r>
      <rPr>
        <sz val="10"/>
        <color theme="1"/>
        <rFont val="Times New Roman"/>
        <family val="1"/>
        <charset val="204"/>
      </rPr>
      <t xml:space="preserve"> </t>
    </r>
  </si>
  <si>
    <t>Уставный капитал (складочный капитал, уставный фонд, вклады товарищей)</t>
  </si>
  <si>
    <t>Собственные акции, выкупленные у акционеров</t>
  </si>
  <si>
    <t>Переоценка внеоборотных активов</t>
  </si>
  <si>
    <t>Добавочный капитал (без переоценки)</t>
  </si>
  <si>
    <t>Резервный капитал</t>
  </si>
  <si>
    <t>Нераспределенная прибыль (непокрытый убыток)</t>
  </si>
  <si>
    <t>Итого по разделу III</t>
  </si>
  <si>
    <t>IV. ДОЛГОСРОЧНЫЕ ОБЯЗАТЕЛЬСТВА</t>
  </si>
  <si>
    <t>Заемные средства</t>
  </si>
  <si>
    <t>Отложенные налоговые обязательства</t>
  </si>
  <si>
    <t>Оценочные  обязательства</t>
  </si>
  <si>
    <t>Прочие обязательства</t>
  </si>
  <si>
    <t>Итого по разделу IV</t>
  </si>
  <si>
    <t>V. КРАТКОСРОЧНЫЕ ОБЯЗАТЕЛЬСТВА</t>
  </si>
  <si>
    <t>Кредиторская задолженность</t>
  </si>
  <si>
    <t>Доходы будущих периодов</t>
  </si>
  <si>
    <t>Оценочные обязательства</t>
  </si>
  <si>
    <t>Итого по разделу V</t>
  </si>
  <si>
    <t>Итог 2015</t>
  </si>
  <si>
    <t>На 31 декабря 2014</t>
  </si>
  <si>
    <t>HurdleRate</t>
  </si>
  <si>
    <t>Месяц1</t>
  </si>
  <si>
    <t>Месяц2</t>
  </si>
  <si>
    <t>Месяц3</t>
  </si>
  <si>
    <t>Месяц4</t>
  </si>
  <si>
    <t>Месяц5</t>
  </si>
  <si>
    <t>Месяц6</t>
  </si>
  <si>
    <t>Месяц7</t>
  </si>
  <si>
    <t>Месяц8</t>
  </si>
  <si>
    <t>Месяц9</t>
  </si>
  <si>
    <t>Месяц10</t>
  </si>
  <si>
    <t>Месяц11</t>
  </si>
  <si>
    <t>Месяц12</t>
  </si>
  <si>
    <t>Месяц13</t>
  </si>
  <si>
    <t>Месяц14</t>
  </si>
  <si>
    <t>Месяц15</t>
  </si>
  <si>
    <t>Месяц16</t>
  </si>
  <si>
    <t>Месяц17</t>
  </si>
  <si>
    <t>Месяц18</t>
  </si>
  <si>
    <t>Месяц19</t>
  </si>
  <si>
    <t>Месяц20</t>
  </si>
  <si>
    <t>Месяц21</t>
  </si>
  <si>
    <t>Месяц22</t>
  </si>
  <si>
    <t>Месяц23</t>
  </si>
  <si>
    <t>Месяц24</t>
  </si>
  <si>
    <t>Месяц25</t>
  </si>
  <si>
    <t>Месяц26</t>
  </si>
  <si>
    <t>Месяц27</t>
  </si>
  <si>
    <t>Месяц28</t>
  </si>
  <si>
    <t>Месяц29</t>
  </si>
  <si>
    <t>Месяц30</t>
  </si>
  <si>
    <t>Месяц31</t>
  </si>
  <si>
    <t>Месяц32</t>
  </si>
  <si>
    <t>Месяц33</t>
  </si>
  <si>
    <t>Месяц34</t>
  </si>
  <si>
    <t>Месяц35</t>
  </si>
  <si>
    <t>Месяц36</t>
  </si>
  <si>
    <t>Год1</t>
  </si>
  <si>
    <t>Год2</t>
  </si>
  <si>
    <t>Год3</t>
  </si>
  <si>
    <t>Остаточная стоимость</t>
  </si>
  <si>
    <t>Среднегодовая стоимость</t>
  </si>
  <si>
    <t>Сумма налога</t>
  </si>
  <si>
    <t>Коэф-т дисконта</t>
  </si>
  <si>
    <t>№квартала</t>
  </si>
  <si>
    <t>PV налоговой льготы</t>
  </si>
  <si>
    <t>NPV налоговой льготы</t>
  </si>
  <si>
    <t>NPV/Первонач. ст-ть</t>
  </si>
  <si>
    <t>Предпосылки</t>
  </si>
  <si>
    <t>Оценка</t>
  </si>
  <si>
    <t>Год</t>
  </si>
  <si>
    <t>Месяц</t>
  </si>
  <si>
    <t>Периодичность выплат роялти в год</t>
  </si>
  <si>
    <t>Инвестиционная фаза</t>
  </si>
  <si>
    <t>Операционная фаза</t>
  </si>
  <si>
    <t>3 года</t>
  </si>
  <si>
    <t>10 лет</t>
  </si>
  <si>
    <t>Увеличение оборачиваемости</t>
  </si>
  <si>
    <t>ML для 3D-камер</t>
  </si>
  <si>
    <t>ML для ПО</t>
  </si>
  <si>
    <t>Количество</t>
  </si>
  <si>
    <t>Промышленные 3D-камеры</t>
  </si>
  <si>
    <t>Стоимость за ед.</t>
  </si>
  <si>
    <t>Разработчики ПО</t>
  </si>
  <si>
    <t>Дизайнер</t>
  </si>
  <si>
    <t>Аналитик</t>
  </si>
  <si>
    <t>Тестировщик</t>
  </si>
  <si>
    <t>Годовое использование</t>
  </si>
  <si>
    <t>Месяцев в году</t>
  </si>
  <si>
    <t>Проектное финансирование</t>
  </si>
  <si>
    <t>№года</t>
  </si>
  <si>
    <t>CashOutFlow</t>
  </si>
  <si>
    <t>Отраслевой размер роялти к ст-ти, в год</t>
  </si>
  <si>
    <t>Структура финансирования</t>
  </si>
  <si>
    <t>Собственных средств</t>
  </si>
  <si>
    <t>Ставка налога на прибыль</t>
  </si>
  <si>
    <t>Заёмные средства</t>
  </si>
  <si>
    <t>Стоимость соб. капитала</t>
  </si>
  <si>
    <t>Стоимость заёмного капитала</t>
  </si>
  <si>
    <t>WACC</t>
  </si>
  <si>
    <t>NetCashFlow per year</t>
  </si>
  <si>
    <t>NPV</t>
  </si>
  <si>
    <t>Лет внедрения</t>
  </si>
  <si>
    <t>Специалисты</t>
  </si>
  <si>
    <t>Итог по специалистам</t>
  </si>
  <si>
    <t>CashInFlow</t>
  </si>
  <si>
    <t>Роялти</t>
  </si>
  <si>
    <t>Экономия налога на прибыль</t>
  </si>
  <si>
    <t>PV</t>
  </si>
  <si>
    <t>Agr.PV</t>
  </si>
  <si>
    <t>Размер роялти в год</t>
  </si>
  <si>
    <t>PVoNCF</t>
  </si>
  <si>
    <t>Итог</t>
  </si>
  <si>
    <t>Налоговая экономия</t>
  </si>
  <si>
    <t>В соответствии с ЖЦТ</t>
  </si>
  <si>
    <t>Параметры соб. капитала</t>
  </si>
  <si>
    <t>Количество лицензиатов</t>
  </si>
  <si>
    <t>PP</t>
  </si>
  <si>
    <t>DPP</t>
  </si>
  <si>
    <t>IRR</t>
  </si>
  <si>
    <t>RI</t>
  </si>
  <si>
    <t>7 лет</t>
  </si>
  <si>
    <t>8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</si>
</sst>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00000"/>
    <numFmt numFmtId="165" formatCode="#,##0\ &quot;₽&quot;"/>
    <numFmt numFmtId="166" formatCode="0.0%"/>
    <numFmt numFmtId="167" formatCode="0.0000"/>
  </numFmts>
  <fonts count="10" x14ac:knownFonts="1">
    <font>
      <sz val="11"/>
      <color theme="1"/>
      <name val="Calibri"/>
      <family val="2"/>
      <scheme val="minor"/>
    </font>
    <font>
      <sz val="10"/>
      <name val="Verdana"/>
      <family val="2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00008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2" borderId="1" xfId="0" applyNumberFormat="1" applyFont="1" applyFill="1" applyBorder="1" applyAlignment="1">
      <alignment horizontal="center"/>
    </xf>
    <xf numFmtId="10" fontId="1" fillId="2" borderId="1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4" fillId="0" borderId="3" xfId="0" applyFont="1" applyBorder="1" applyAlignment="1">
      <alignment vertical="center" wrapText="1"/>
    </xf>
    <xf numFmtId="3" fontId="2" fillId="0" borderId="4" xfId="0" applyNumberFormat="1" applyFont="1" applyBorder="1" applyAlignment="1">
      <alignment horizontal="justify" vertical="center" wrapText="1"/>
    </xf>
    <xf numFmtId="3" fontId="2" fillId="0" borderId="4" xfId="0" applyNumberFormat="1" applyFont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9" fontId="0" fillId="0" borderId="0" xfId="0" applyNumberFormat="1"/>
    <xf numFmtId="0" fontId="5" fillId="0" borderId="0" xfId="0" applyFont="1" applyAlignment="1">
      <alignment horizontal="left"/>
    </xf>
    <xf numFmtId="10" fontId="0" fillId="0" borderId="0" xfId="0" applyNumberFormat="1"/>
    <xf numFmtId="0" fontId="0" fillId="0" borderId="1" xfId="0" applyBorder="1"/>
    <xf numFmtId="0" fontId="5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5" xfId="0" applyBorder="1" applyAlignment="1">
      <alignment wrapText="1"/>
    </xf>
    <xf numFmtId="0" fontId="5" fillId="0" borderId="6" xfId="0" applyFont="1" applyBorder="1" applyAlignment="1">
      <alignment horizontal="left"/>
    </xf>
    <xf numFmtId="0" fontId="0" fillId="0" borderId="7" xfId="0" applyBorder="1"/>
    <xf numFmtId="0" fontId="0" fillId="0" borderId="6" xfId="0" applyBorder="1"/>
    <xf numFmtId="0" fontId="0" fillId="3" borderId="1" xfId="0" applyFill="1" applyBorder="1"/>
    <xf numFmtId="10" fontId="0" fillId="3" borderId="0" xfId="0" applyNumberFormat="1" applyFill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6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8" xfId="0" applyFont="1" applyBorder="1" applyAlignment="1">
      <alignment horizontal="right"/>
    </xf>
    <xf numFmtId="0" fontId="0" fillId="0" borderId="8" xfId="0" applyBorder="1"/>
    <xf numFmtId="165" fontId="0" fillId="0" borderId="8" xfId="0" applyNumberFormat="1" applyBorder="1"/>
    <xf numFmtId="0" fontId="5" fillId="4" borderId="0" xfId="0" applyFont="1" applyFill="1" applyAlignment="1">
      <alignment horizontal="right"/>
    </xf>
    <xf numFmtId="165" fontId="0" fillId="4" borderId="0" xfId="0" applyNumberFormat="1" applyFill="1"/>
    <xf numFmtId="165" fontId="0" fillId="0" borderId="1" xfId="0" applyNumberFormat="1" applyBorder="1"/>
    <xf numFmtId="0" fontId="5" fillId="0" borderId="1" xfId="0" applyFont="1" applyBorder="1" applyAlignment="1">
      <alignment horizontal="right"/>
    </xf>
    <xf numFmtId="0" fontId="8" fillId="5" borderId="0" xfId="0" applyFont="1" applyFill="1" applyAlignment="1">
      <alignment horizontal="center" vertical="center"/>
    </xf>
    <xf numFmtId="165" fontId="8" fillId="5" borderId="0" xfId="0" applyNumberFormat="1" applyFont="1" applyFill="1" applyAlignment="1">
      <alignment horizontal="center" vertical="center"/>
    </xf>
    <xf numFmtId="0" fontId="5" fillId="0" borderId="7" xfId="0" applyFont="1" applyBorder="1" applyAlignment="1">
      <alignment horizontal="right"/>
    </xf>
    <xf numFmtId="165" fontId="0" fillId="0" borderId="7" xfId="0" applyNumberFormat="1" applyBorder="1"/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6" borderId="0" xfId="0" applyFill="1"/>
    <xf numFmtId="165" fontId="0" fillId="6" borderId="0" xfId="0" applyNumberFormat="1" applyFill="1"/>
    <xf numFmtId="0" fontId="5" fillId="7" borderId="7" xfId="0" applyFont="1" applyFill="1" applyBorder="1"/>
    <xf numFmtId="0" fontId="0" fillId="8" borderId="0" xfId="0" applyFill="1"/>
    <xf numFmtId="165" fontId="0" fillId="8" borderId="0" xfId="0" applyNumberFormat="1" applyFill="1" applyAlignment="1">
      <alignment horizontal="right"/>
    </xf>
    <xf numFmtId="9" fontId="0" fillId="8" borderId="0" xfId="0" applyNumberFormat="1" applyFill="1" applyAlignment="1">
      <alignment horizontal="right"/>
    </xf>
    <xf numFmtId="167" fontId="0" fillId="8" borderId="0" xfId="0" applyNumberFormat="1" applyFill="1" applyAlignment="1">
      <alignment horizontal="righ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1:B10" totalsRowShown="0">
  <autoFilter ref="A1:B10" xr:uid="{00000000-0009-0000-0100-000002000000}"/>
  <tableColumns count="2">
    <tableColumn id="1" xr3:uid="{00000000-0010-0000-0000-000001000000}" name="Предпосылки"/>
    <tableColumn id="2" xr3:uid="{00000000-0010-0000-0000-000002000000}" name="Оценка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3"/>
  <dimension ref="A1"/>
  <sheetViews>
    <sheetView workbookViewId="0">
      <selection activeCell="H17" sqref="H17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AM12"/>
  <sheetViews>
    <sheetView topLeftCell="Y1" workbookViewId="0">
      <selection activeCell="C7" sqref="C7:E7"/>
    </sheetView>
  </sheetViews>
  <sheetFormatPr defaultRowHeight="14.4" x14ac:dyDescent="0.3"/>
  <cols>
    <col min="1" max="1" width="22" bestFit="1" customWidth="1"/>
    <col min="2" max="38" width="12.33203125" bestFit="1" customWidth="1"/>
    <col min="39" max="39" width="10.88671875" bestFit="1" customWidth="1"/>
  </cols>
  <sheetData>
    <row r="1" spans="1:39" x14ac:dyDescent="0.3">
      <c r="A1" s="20" t="s">
        <v>97</v>
      </c>
      <c r="B1" s="17"/>
      <c r="C1" s="54" t="s">
        <v>84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 t="s">
        <v>85</v>
      </c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 t="s">
        <v>86</v>
      </c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9" x14ac:dyDescent="0.3">
      <c r="A2" s="20" t="s">
        <v>91</v>
      </c>
      <c r="B2" s="17"/>
      <c r="C2" s="55">
        <v>1</v>
      </c>
      <c r="D2" s="55"/>
      <c r="E2" s="55"/>
      <c r="F2" s="55">
        <v>2</v>
      </c>
      <c r="G2" s="55"/>
      <c r="H2" s="55"/>
      <c r="I2" s="55">
        <v>3</v>
      </c>
      <c r="J2" s="55"/>
      <c r="K2" s="55"/>
      <c r="L2" s="55">
        <v>4</v>
      </c>
      <c r="M2" s="55"/>
      <c r="N2" s="55"/>
      <c r="O2" s="55">
        <v>5</v>
      </c>
      <c r="P2" s="55"/>
      <c r="Q2" s="55"/>
      <c r="R2" s="55">
        <v>6</v>
      </c>
      <c r="S2" s="55"/>
      <c r="T2" s="55"/>
      <c r="U2" s="55">
        <v>7</v>
      </c>
      <c r="V2" s="55"/>
      <c r="W2" s="55"/>
      <c r="X2" s="55">
        <v>8</v>
      </c>
      <c r="Y2" s="55"/>
      <c r="Z2" s="55"/>
      <c r="AA2" s="55">
        <v>9</v>
      </c>
      <c r="AB2" s="55"/>
      <c r="AC2" s="55"/>
      <c r="AD2" s="55">
        <v>10</v>
      </c>
      <c r="AE2" s="55"/>
      <c r="AF2" s="55"/>
      <c r="AG2" s="55">
        <v>11</v>
      </c>
      <c r="AH2" s="55"/>
      <c r="AI2" s="55"/>
      <c r="AJ2" s="55">
        <v>12</v>
      </c>
      <c r="AK2" s="55"/>
      <c r="AL2" s="55"/>
    </row>
    <row r="3" spans="1:39" ht="15" thickBot="1" x14ac:dyDescent="0.35">
      <c r="A3" s="23" t="s">
        <v>98</v>
      </c>
      <c r="B3" s="24"/>
      <c r="C3" s="25" t="s">
        <v>48</v>
      </c>
      <c r="D3" s="25" t="s">
        <v>49</v>
      </c>
      <c r="E3" s="25" t="s">
        <v>50</v>
      </c>
      <c r="F3" s="25" t="s">
        <v>51</v>
      </c>
      <c r="G3" s="25" t="s">
        <v>52</v>
      </c>
      <c r="H3" s="25" t="s">
        <v>53</v>
      </c>
      <c r="I3" s="25" t="s">
        <v>54</v>
      </c>
      <c r="J3" s="25" t="s">
        <v>55</v>
      </c>
      <c r="K3" s="25" t="s">
        <v>56</v>
      </c>
      <c r="L3" s="25" t="s">
        <v>57</v>
      </c>
      <c r="M3" s="25" t="s">
        <v>58</v>
      </c>
      <c r="N3" s="25" t="s">
        <v>59</v>
      </c>
      <c r="O3" s="25" t="s">
        <v>60</v>
      </c>
      <c r="P3" s="25" t="s">
        <v>61</v>
      </c>
      <c r="Q3" s="25" t="s">
        <v>62</v>
      </c>
      <c r="R3" s="25" t="s">
        <v>63</v>
      </c>
      <c r="S3" s="25" t="s">
        <v>64</v>
      </c>
      <c r="T3" s="25" t="s">
        <v>65</v>
      </c>
      <c r="U3" s="25" t="s">
        <v>66</v>
      </c>
      <c r="V3" s="25" t="s">
        <v>67</v>
      </c>
      <c r="W3" s="25" t="s">
        <v>68</v>
      </c>
      <c r="X3" s="25" t="s">
        <v>69</v>
      </c>
      <c r="Y3" s="25" t="s">
        <v>70</v>
      </c>
      <c r="Z3" s="25" t="s">
        <v>71</v>
      </c>
      <c r="AA3" s="25" t="s">
        <v>72</v>
      </c>
      <c r="AB3" s="25" t="s">
        <v>73</v>
      </c>
      <c r="AC3" s="25" t="s">
        <v>74</v>
      </c>
      <c r="AD3" s="25" t="s">
        <v>75</v>
      </c>
      <c r="AE3" s="25" t="s">
        <v>76</v>
      </c>
      <c r="AF3" s="25" t="s">
        <v>77</v>
      </c>
      <c r="AG3" s="25" t="s">
        <v>78</v>
      </c>
      <c r="AH3" s="25" t="s">
        <v>79</v>
      </c>
      <c r="AI3" s="25" t="s">
        <v>80</v>
      </c>
      <c r="AJ3" s="25" t="s">
        <v>81</v>
      </c>
      <c r="AK3" s="25" t="s">
        <v>82</v>
      </c>
      <c r="AL3" s="25" t="s">
        <v>83</v>
      </c>
    </row>
    <row r="4" spans="1:39" ht="31.5" customHeight="1" x14ac:dyDescent="0.3">
      <c r="A4" s="22" t="s">
        <v>87</v>
      </c>
      <c r="B4" s="15" t="e">
        <f>'Gen. assum.'!#REF!</f>
        <v>#REF!</v>
      </c>
      <c r="C4" s="15" t="e">
        <f>B4-($B$4*'Gen. assum.'!#REF!)</f>
        <v>#REF!</v>
      </c>
      <c r="D4" s="15" t="e">
        <f>C4-($B$4*'Gen. assum.'!#REF!)</f>
        <v>#REF!</v>
      </c>
      <c r="E4" s="15" t="e">
        <f>D4-($B$4*'Gen. assum.'!#REF!)</f>
        <v>#REF!</v>
      </c>
      <c r="F4" s="15" t="e">
        <f>E4-($B$4*'Gen. assum.'!#REF!)</f>
        <v>#REF!</v>
      </c>
      <c r="G4" s="15" t="e">
        <f>F4-($B$4*'Gen. assum.'!#REF!)</f>
        <v>#REF!</v>
      </c>
      <c r="H4" s="15" t="e">
        <f>G4-($B$4*'Gen. assum.'!#REF!)</f>
        <v>#REF!</v>
      </c>
      <c r="I4" s="15" t="e">
        <f>H4-($B$4*'Gen. assum.'!#REF!)</f>
        <v>#REF!</v>
      </c>
      <c r="J4" s="15" t="e">
        <f>I4-($B$4*'Gen. assum.'!#REF!)</f>
        <v>#REF!</v>
      </c>
      <c r="K4" s="15" t="e">
        <f>J4-($B$4*'Gen. assum.'!#REF!)</f>
        <v>#REF!</v>
      </c>
      <c r="L4" s="15" t="e">
        <f>K4-($B$4*'Gen. assum.'!#REF!)</f>
        <v>#REF!</v>
      </c>
      <c r="M4" s="15" t="e">
        <f>L4-($B$4*'Gen. assum.'!#REF!)</f>
        <v>#REF!</v>
      </c>
      <c r="N4" s="15" t="e">
        <f>M4-($B$4*'Gen. assum.'!#REF!)</f>
        <v>#REF!</v>
      </c>
      <c r="O4" s="15" t="e">
        <f>N4-($B$4*'Gen. assum.'!#REF!)</f>
        <v>#REF!</v>
      </c>
      <c r="P4" s="15" t="e">
        <f>O4-($B$4*'Gen. assum.'!#REF!)</f>
        <v>#REF!</v>
      </c>
      <c r="Q4" s="15" t="e">
        <f>P4-($B$4*'Gen. assum.'!#REF!)</f>
        <v>#REF!</v>
      </c>
      <c r="R4" s="15" t="e">
        <f>Q4-($B$4*'Gen. assum.'!#REF!)</f>
        <v>#REF!</v>
      </c>
      <c r="S4" s="15" t="e">
        <f>R4-($B$4*'Gen. assum.'!#REF!)</f>
        <v>#REF!</v>
      </c>
      <c r="T4" s="15" t="e">
        <f>S4-($B$4*'Gen. assum.'!#REF!)</f>
        <v>#REF!</v>
      </c>
      <c r="U4" s="15" t="e">
        <f>T4-($B$4*'Gen. assum.'!#REF!)</f>
        <v>#REF!</v>
      </c>
      <c r="V4" s="15" t="e">
        <f>U4-($B$4*'Gen. assum.'!#REF!)</f>
        <v>#REF!</v>
      </c>
      <c r="W4" s="15" t="e">
        <f>V4-($B$4*'Gen. assum.'!#REF!)</f>
        <v>#REF!</v>
      </c>
      <c r="X4" s="15" t="e">
        <f>W4-($B$4*'Gen. assum.'!#REF!)</f>
        <v>#REF!</v>
      </c>
      <c r="Y4" s="15" t="e">
        <f>X4-($B$4*'Gen. assum.'!#REF!)</f>
        <v>#REF!</v>
      </c>
      <c r="Z4" s="15" t="e">
        <f>Y4-($B$4*'Gen. assum.'!#REF!)</f>
        <v>#REF!</v>
      </c>
      <c r="AA4" s="15" t="e">
        <f>Z4-($B$4*'Gen. assum.'!#REF!)</f>
        <v>#REF!</v>
      </c>
      <c r="AB4" s="15" t="e">
        <f>AA4-($B$4*'Gen. assum.'!#REF!)</f>
        <v>#REF!</v>
      </c>
      <c r="AC4" s="15" t="e">
        <f>AB4-($B$4*'Gen. assum.'!#REF!)</f>
        <v>#REF!</v>
      </c>
      <c r="AD4" s="15" t="e">
        <f>AC4-($B$4*'Gen. assum.'!#REF!)</f>
        <v>#REF!</v>
      </c>
      <c r="AE4" s="15" t="e">
        <f>AD4-($B$4*'Gen. assum.'!#REF!)</f>
        <v>#REF!</v>
      </c>
      <c r="AF4" s="15" t="e">
        <f>AE4-($B$4*'Gen. assum.'!#REF!)</f>
        <v>#REF!</v>
      </c>
      <c r="AG4" s="15" t="e">
        <f>AF4-($B$4*'Gen. assum.'!#REF!)</f>
        <v>#REF!</v>
      </c>
      <c r="AH4" s="15" t="e">
        <f>AG4-($B$4*'Gen. assum.'!#REF!)</f>
        <v>#REF!</v>
      </c>
      <c r="AI4" s="15" t="e">
        <f>AH4-($B$4*'Gen. assum.'!#REF!)</f>
        <v>#REF!</v>
      </c>
      <c r="AJ4" s="15" t="e">
        <f>AI4-($B$4*'Gen. assum.'!#REF!)</f>
        <v>#REF!</v>
      </c>
      <c r="AK4" s="15" t="e">
        <f>AJ4-($B$4*'Gen. assum.'!#REF!)</f>
        <v>#REF!</v>
      </c>
      <c r="AL4" s="15" t="e">
        <f>AK4-($B$4*'Gen. assum.'!#REF!)</f>
        <v>#REF!</v>
      </c>
    </row>
    <row r="5" spans="1:39" ht="28.8" x14ac:dyDescent="0.3">
      <c r="A5" s="21" t="s">
        <v>88</v>
      </c>
      <c r="C5" s="56" t="e">
        <f>(B4+C4+D4+E4)/4</f>
        <v>#REF!</v>
      </c>
      <c r="D5" s="56"/>
      <c r="E5" s="56"/>
      <c r="F5" s="56" t="e">
        <f t="shared" ref="F5" si="0">(E4+F4+G4+H4)/4</f>
        <v>#REF!</v>
      </c>
      <c r="G5" s="56"/>
      <c r="H5" s="56"/>
      <c r="I5" s="56" t="e">
        <f>(H4+I4+J4+K4)/4</f>
        <v>#REF!</v>
      </c>
      <c r="J5" s="56"/>
      <c r="K5" s="56"/>
      <c r="L5" s="56" t="e">
        <f t="shared" ref="L5" si="1">(K4+L4+M4+N4)/4</f>
        <v>#REF!</v>
      </c>
      <c r="M5" s="56"/>
      <c r="N5" s="56"/>
      <c r="O5" s="56" t="e">
        <f t="shared" ref="O5" si="2">(N4+O4+P4+Q4)/4</f>
        <v>#REF!</v>
      </c>
      <c r="P5" s="56"/>
      <c r="Q5" s="56"/>
      <c r="R5" s="56" t="e">
        <f t="shared" ref="R5" si="3">(Q4+R4+S4+T4)/4</f>
        <v>#REF!</v>
      </c>
      <c r="S5" s="56"/>
      <c r="T5" s="56"/>
      <c r="U5" s="56" t="e">
        <f t="shared" ref="U5" si="4">(T4+U4+V4+W4)/4</f>
        <v>#REF!</v>
      </c>
      <c r="V5" s="56"/>
      <c r="W5" s="56"/>
      <c r="X5" s="56" t="e">
        <f t="shared" ref="X5" si="5">(W4+X4+Y4+Z4)/4</f>
        <v>#REF!</v>
      </c>
      <c r="Y5" s="56"/>
      <c r="Z5" s="56"/>
      <c r="AA5" s="56" t="e">
        <f t="shared" ref="AA5" si="6">(Z4+AA4+AB4+AC4)/4</f>
        <v>#REF!</v>
      </c>
      <c r="AB5" s="56"/>
      <c r="AC5" s="56"/>
      <c r="AD5" s="56" t="e">
        <f t="shared" ref="AD5" si="7">(AC4+AD4+AE4+AF4)/4</f>
        <v>#REF!</v>
      </c>
      <c r="AE5" s="56"/>
      <c r="AF5" s="56"/>
      <c r="AG5" s="56" t="e">
        <f t="shared" ref="AG5" si="8">(AF4+AG4+AH4+AI4)/4</f>
        <v>#REF!</v>
      </c>
      <c r="AH5" s="56"/>
      <c r="AI5" s="56"/>
      <c r="AJ5" s="56" t="e">
        <f t="shared" ref="AJ5" si="9">(AI4+AJ4+AK4+AL4)/4</f>
        <v>#REF!</v>
      </c>
      <c r="AK5" s="56"/>
      <c r="AL5" s="56"/>
    </row>
    <row r="6" spans="1:39" x14ac:dyDescent="0.3">
      <c r="A6" s="19" t="s">
        <v>89</v>
      </c>
      <c r="C6" s="57" t="e">
        <f>C5*('Gen. assum.'!#REF!/4)</f>
        <v>#REF!</v>
      </c>
      <c r="D6" s="57"/>
      <c r="E6" s="57"/>
      <c r="F6" s="57" t="e">
        <f>F5*('Gen. assum.'!#REF!/4)</f>
        <v>#REF!</v>
      </c>
      <c r="G6" s="57"/>
      <c r="H6" s="57"/>
      <c r="I6" s="57" t="e">
        <f>I5*('Gen. assum.'!#REF!/4)</f>
        <v>#REF!</v>
      </c>
      <c r="J6" s="57"/>
      <c r="K6" s="57"/>
      <c r="L6" s="57" t="e">
        <f>L5*('Gen. assum.'!#REF!/4)</f>
        <v>#REF!</v>
      </c>
      <c r="M6" s="57"/>
      <c r="N6" s="57"/>
      <c r="O6" s="57" t="e">
        <f>O5*('Gen. assum.'!#REF!/4)</f>
        <v>#REF!</v>
      </c>
      <c r="P6" s="57"/>
      <c r="Q6" s="57"/>
      <c r="R6" s="57" t="e">
        <f>R5*('Gen. assum.'!#REF!/4)</f>
        <v>#REF!</v>
      </c>
      <c r="S6" s="57"/>
      <c r="T6" s="57"/>
      <c r="U6" s="57" t="e">
        <f>U5*('Gen. assum.'!#REF!/4)</f>
        <v>#REF!</v>
      </c>
      <c r="V6" s="57"/>
      <c r="W6" s="57"/>
      <c r="X6" s="57" t="e">
        <f>X5*('Gen. assum.'!#REF!/4)</f>
        <v>#REF!</v>
      </c>
      <c r="Y6" s="57"/>
      <c r="Z6" s="57"/>
      <c r="AA6" s="57" t="e">
        <f>AA5*('Gen. assum.'!#REF!/4)</f>
        <v>#REF!</v>
      </c>
      <c r="AB6" s="57"/>
      <c r="AC6" s="57"/>
      <c r="AD6" s="57" t="e">
        <f>AD5*('Gen. assum.'!#REF!/4)</f>
        <v>#REF!</v>
      </c>
      <c r="AE6" s="57"/>
      <c r="AF6" s="57"/>
      <c r="AG6" s="57" t="e">
        <f>AG5*('Gen. assum.'!#REF!/4)</f>
        <v>#REF!</v>
      </c>
      <c r="AH6" s="57"/>
      <c r="AI6" s="57"/>
      <c r="AJ6" s="57" t="e">
        <f>AJ5*('Gen. assum.'!#REF!/4)</f>
        <v>#REF!</v>
      </c>
      <c r="AK6" s="57"/>
      <c r="AL6" s="57"/>
      <c r="AM6" s="15" t="e">
        <f>SUM(C6:AL6)</f>
        <v>#REF!</v>
      </c>
    </row>
    <row r="7" spans="1:39" x14ac:dyDescent="0.3">
      <c r="A7" s="19" t="s">
        <v>90</v>
      </c>
      <c r="C7" s="58">
        <f>1/(1+'Hurdle rate'!$B$4/4)^СтарьЁ!C2</f>
        <v>0.95693779904306231</v>
      </c>
      <c r="D7" s="58"/>
      <c r="E7" s="58"/>
      <c r="F7" s="58">
        <f>1/(1+'Hurdle rate'!$B$4/4)^СтарьЁ!F2</f>
        <v>0.91572995123738021</v>
      </c>
      <c r="G7" s="58"/>
      <c r="H7" s="58"/>
      <c r="I7" s="58">
        <f>1/(1+'Hurdle rate'!$B$4/4)^СтарьЁ!I2</f>
        <v>0.87629660405490928</v>
      </c>
      <c r="J7" s="58"/>
      <c r="K7" s="58"/>
      <c r="L7" s="58">
        <f>1/(1+'Hurdle rate'!$B$4/4)^СтарьЁ!L2</f>
        <v>0.83856134359321488</v>
      </c>
      <c r="M7" s="58"/>
      <c r="N7" s="58"/>
      <c r="O7" s="58">
        <f>1/(1+'Hurdle rate'!$B$4/4)^СтарьЁ!O2</f>
        <v>0.80245104650068411</v>
      </c>
      <c r="P7" s="58"/>
      <c r="Q7" s="58"/>
      <c r="R7" s="58">
        <f>1/(1+'Hurdle rate'!$B$4/4)^СтарьЁ!R2</f>
        <v>0.76789573827816682</v>
      </c>
      <c r="S7" s="58"/>
      <c r="T7" s="58"/>
      <c r="U7" s="58">
        <f>1/(1+'Hurdle rate'!$B$4/4)^СтарьЁ!U2</f>
        <v>0.73482845768245619</v>
      </c>
      <c r="V7" s="58"/>
      <c r="W7" s="58"/>
      <c r="X7" s="58">
        <f>1/(1+'Hurdle rate'!$B$4/4)^СтарьЁ!X2</f>
        <v>0.70318512696885782</v>
      </c>
      <c r="Y7" s="58"/>
      <c r="Z7" s="58"/>
      <c r="AA7" s="58">
        <f>1/(1+'Hurdle rate'!$B$4/4)^СтарьЁ!AA2</f>
        <v>0.67290442772139514</v>
      </c>
      <c r="AB7" s="58"/>
      <c r="AC7" s="58"/>
      <c r="AD7" s="58">
        <f>1/(1+'Hurdle rate'!$B$4/4)^СтарьЁ!AD2</f>
        <v>0.64392768203004325</v>
      </c>
      <c r="AE7" s="58"/>
      <c r="AF7" s="58"/>
      <c r="AG7" s="58">
        <f>1/(1+'Hurdle rate'!$B$4/4)^СтарьЁ!AG2</f>
        <v>0.61619873878473042</v>
      </c>
      <c r="AH7" s="58"/>
      <c r="AI7" s="58"/>
      <c r="AJ7" s="58">
        <f>1/(1+'Hurdle rate'!$B$4/4)^СтарьЁ!AJ2</f>
        <v>0.58966386486577083</v>
      </c>
      <c r="AK7" s="58"/>
      <c r="AL7" s="58"/>
    </row>
    <row r="8" spans="1:39" x14ac:dyDescent="0.3">
      <c r="A8" s="19" t="s">
        <v>92</v>
      </c>
      <c r="C8" s="57" t="e">
        <f>C6*C7</f>
        <v>#REF!</v>
      </c>
      <c r="D8" s="57"/>
      <c r="E8" s="57"/>
      <c r="F8" s="57" t="e">
        <f t="shared" ref="F8" si="10">F6*F7</f>
        <v>#REF!</v>
      </c>
      <c r="G8" s="57"/>
      <c r="H8" s="57"/>
      <c r="I8" s="57" t="e">
        <f t="shared" ref="I8" si="11">I6*I7</f>
        <v>#REF!</v>
      </c>
      <c r="J8" s="57"/>
      <c r="K8" s="57"/>
      <c r="L8" s="57" t="e">
        <f t="shared" ref="L8" si="12">L6*L7</f>
        <v>#REF!</v>
      </c>
      <c r="M8" s="57"/>
      <c r="N8" s="57"/>
      <c r="O8" s="57" t="e">
        <f t="shared" ref="O8" si="13">O6*O7</f>
        <v>#REF!</v>
      </c>
      <c r="P8" s="57"/>
      <c r="Q8" s="57"/>
      <c r="R8" s="57" t="e">
        <f t="shared" ref="R8" si="14">R6*R7</f>
        <v>#REF!</v>
      </c>
      <c r="S8" s="57"/>
      <c r="T8" s="57"/>
      <c r="U8" s="57" t="e">
        <f t="shared" ref="U8" si="15">U6*U7</f>
        <v>#REF!</v>
      </c>
      <c r="V8" s="57"/>
      <c r="W8" s="57"/>
      <c r="X8" s="57" t="e">
        <f t="shared" ref="X8" si="16">X6*X7</f>
        <v>#REF!</v>
      </c>
      <c r="Y8" s="57"/>
      <c r="Z8" s="57"/>
      <c r="AA8" s="57" t="e">
        <f t="shared" ref="AA8" si="17">AA6*AA7</f>
        <v>#REF!</v>
      </c>
      <c r="AB8" s="57"/>
      <c r="AC8" s="57"/>
      <c r="AD8" s="57" t="e">
        <f t="shared" ref="AD8" si="18">AD6*AD7</f>
        <v>#REF!</v>
      </c>
      <c r="AE8" s="57"/>
      <c r="AF8" s="57"/>
      <c r="AG8" s="57" t="e">
        <f t="shared" ref="AG8" si="19">AG6*AG7</f>
        <v>#REF!</v>
      </c>
      <c r="AH8" s="57"/>
      <c r="AI8" s="57"/>
      <c r="AJ8" s="57" t="e">
        <f t="shared" ref="AJ8" si="20">AJ6*AJ7</f>
        <v>#REF!</v>
      </c>
      <c r="AK8" s="57"/>
      <c r="AL8" s="57"/>
    </row>
    <row r="9" spans="1:39" x14ac:dyDescent="0.3">
      <c r="A9" s="19" t="s">
        <v>93</v>
      </c>
      <c r="B9" s="15" t="e">
        <f>SUM(C8:AL8)</f>
        <v>#REF!</v>
      </c>
    </row>
    <row r="10" spans="1:39" x14ac:dyDescent="0.3">
      <c r="A10" s="26" t="s">
        <v>94</v>
      </c>
      <c r="B10" s="27" t="e">
        <f>B9/B4</f>
        <v>#REF!</v>
      </c>
    </row>
    <row r="11" spans="1:39" x14ac:dyDescent="0.3">
      <c r="AG11" s="15"/>
    </row>
    <row r="12" spans="1:39" x14ac:dyDescent="0.3">
      <c r="AG12" s="15"/>
    </row>
  </sheetData>
  <mergeCells count="63">
    <mergeCell ref="AJ8:AL8"/>
    <mergeCell ref="C8:E8"/>
    <mergeCell ref="F8:H8"/>
    <mergeCell ref="I8:K8"/>
    <mergeCell ref="L8:N8"/>
    <mergeCell ref="O8:Q8"/>
    <mergeCell ref="R8:T8"/>
    <mergeCell ref="U8:W8"/>
    <mergeCell ref="X8:Z8"/>
    <mergeCell ref="AA8:AC8"/>
    <mergeCell ref="AD8:AF8"/>
    <mergeCell ref="AG8:AI8"/>
    <mergeCell ref="AJ7:AL7"/>
    <mergeCell ref="C7:E7"/>
    <mergeCell ref="F7:H7"/>
    <mergeCell ref="I7:K7"/>
    <mergeCell ref="L7:N7"/>
    <mergeCell ref="O7:Q7"/>
    <mergeCell ref="R7:T7"/>
    <mergeCell ref="U7:W7"/>
    <mergeCell ref="X7:Z7"/>
    <mergeCell ref="AA7:AC7"/>
    <mergeCell ref="AD7:AF7"/>
    <mergeCell ref="AG7:AI7"/>
    <mergeCell ref="AJ6:AL6"/>
    <mergeCell ref="C6:E6"/>
    <mergeCell ref="F6:H6"/>
    <mergeCell ref="I6:K6"/>
    <mergeCell ref="L6:N6"/>
    <mergeCell ref="O6:Q6"/>
    <mergeCell ref="R6:T6"/>
    <mergeCell ref="U6:W6"/>
    <mergeCell ref="X6:Z6"/>
    <mergeCell ref="AA6:AC6"/>
    <mergeCell ref="AD6:AF6"/>
    <mergeCell ref="AG6:AI6"/>
    <mergeCell ref="AJ5:AL5"/>
    <mergeCell ref="C5:E5"/>
    <mergeCell ref="F5:H5"/>
    <mergeCell ref="I5:K5"/>
    <mergeCell ref="L5:N5"/>
    <mergeCell ref="O5:Q5"/>
    <mergeCell ref="R5:T5"/>
    <mergeCell ref="U5:W5"/>
    <mergeCell ref="X5:Z5"/>
    <mergeCell ref="AA5:AC5"/>
    <mergeCell ref="AD5:AF5"/>
    <mergeCell ref="AG5:AI5"/>
    <mergeCell ref="C1:N1"/>
    <mergeCell ref="O1:Z1"/>
    <mergeCell ref="AA1:AL1"/>
    <mergeCell ref="AJ2:AL2"/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"/>
  <dimension ref="A1:B10"/>
  <sheetViews>
    <sheetView workbookViewId="0">
      <selection activeCell="F7" sqref="F7"/>
    </sheetView>
  </sheetViews>
  <sheetFormatPr defaultRowHeight="14.4" x14ac:dyDescent="0.3"/>
  <cols>
    <col min="1" max="1" width="38.33203125" customWidth="1"/>
    <col min="2" max="2" width="26" customWidth="1"/>
  </cols>
  <sheetData>
    <row r="1" spans="1:2" x14ac:dyDescent="0.3">
      <c r="A1" t="s">
        <v>95</v>
      </c>
      <c r="B1" t="s">
        <v>96</v>
      </c>
    </row>
    <row r="2" spans="1:2" x14ac:dyDescent="0.3">
      <c r="A2" t="s">
        <v>137</v>
      </c>
      <c r="B2" s="28">
        <f>B9*Investment!B26</f>
        <v>2964541.7543601738</v>
      </c>
    </row>
    <row r="3" spans="1:2" x14ac:dyDescent="0.3">
      <c r="A3" t="s">
        <v>99</v>
      </c>
      <c r="B3">
        <v>1</v>
      </c>
    </row>
    <row r="4" spans="1:2" x14ac:dyDescent="0.3">
      <c r="A4" s="30" t="s">
        <v>143</v>
      </c>
      <c r="B4" t="s">
        <v>141</v>
      </c>
    </row>
    <row r="5" spans="1:2" x14ac:dyDescent="0.3">
      <c r="A5" t="s">
        <v>100</v>
      </c>
      <c r="B5" t="s">
        <v>102</v>
      </c>
    </row>
    <row r="6" spans="1:2" x14ac:dyDescent="0.3">
      <c r="A6" t="s">
        <v>101</v>
      </c>
      <c r="B6" t="s">
        <v>103</v>
      </c>
    </row>
    <row r="7" spans="1:2" x14ac:dyDescent="0.3">
      <c r="A7" t="s">
        <v>104</v>
      </c>
      <c r="B7" s="16">
        <v>0.15</v>
      </c>
    </row>
    <row r="8" spans="1:2" x14ac:dyDescent="0.3">
      <c r="A8" t="s">
        <v>115</v>
      </c>
      <c r="B8">
        <v>12</v>
      </c>
    </row>
    <row r="9" spans="1:2" x14ac:dyDescent="0.3">
      <c r="A9" t="s">
        <v>119</v>
      </c>
      <c r="B9" s="18">
        <v>0.04</v>
      </c>
    </row>
    <row r="10" spans="1:2" x14ac:dyDescent="0.3">
      <c r="A10" t="s">
        <v>122</v>
      </c>
      <c r="B10" s="16">
        <v>0.2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5"/>
  <dimension ref="A1:D47"/>
  <sheetViews>
    <sheetView workbookViewId="0">
      <selection activeCell="C33" sqref="C33"/>
    </sheetView>
  </sheetViews>
  <sheetFormatPr defaultRowHeight="14.4" x14ac:dyDescent="0.3"/>
  <cols>
    <col min="1" max="1" width="27.6640625" customWidth="1"/>
    <col min="2" max="2" width="4.44140625" bestFit="1" customWidth="1"/>
    <col min="3" max="3" width="23" customWidth="1"/>
    <col min="4" max="4" width="13.109375" customWidth="1"/>
  </cols>
  <sheetData>
    <row r="1" spans="1:4" ht="48" customHeight="1" x14ac:dyDescent="0.3">
      <c r="A1" s="59" t="s">
        <v>2</v>
      </c>
      <c r="B1" s="59" t="s">
        <v>3</v>
      </c>
      <c r="C1" s="59" t="s">
        <v>45</v>
      </c>
      <c r="D1" s="59" t="s">
        <v>46</v>
      </c>
    </row>
    <row r="2" spans="1:4" ht="15" thickBot="1" x14ac:dyDescent="0.35">
      <c r="A2" s="60"/>
      <c r="B2" s="60"/>
      <c r="C2" s="60"/>
      <c r="D2" s="60"/>
    </row>
    <row r="3" spans="1:4" ht="15" thickBot="1" x14ac:dyDescent="0.35">
      <c r="A3" s="4">
        <v>1</v>
      </c>
      <c r="B3" s="3">
        <v>2</v>
      </c>
      <c r="C3" s="3">
        <v>3</v>
      </c>
      <c r="D3" s="3">
        <v>4</v>
      </c>
    </row>
    <row r="4" spans="1:4" ht="15" thickBot="1" x14ac:dyDescent="0.35">
      <c r="A4" s="5" t="s">
        <v>4</v>
      </c>
      <c r="B4" s="6"/>
      <c r="C4" s="11"/>
      <c r="D4" s="11"/>
    </row>
    <row r="5" spans="1:4" ht="27" thickBot="1" x14ac:dyDescent="0.35">
      <c r="A5" s="5" t="s">
        <v>5</v>
      </c>
      <c r="B5" s="6"/>
      <c r="C5" s="11"/>
      <c r="D5" s="11"/>
    </row>
    <row r="6" spans="1:4" ht="15" thickBot="1" x14ac:dyDescent="0.35">
      <c r="A6" s="7" t="s">
        <v>6</v>
      </c>
      <c r="B6" s="6">
        <v>1110</v>
      </c>
      <c r="C6" s="12">
        <v>1516</v>
      </c>
      <c r="D6" s="12">
        <v>1937</v>
      </c>
    </row>
    <row r="7" spans="1:4" ht="27" thickBot="1" x14ac:dyDescent="0.35">
      <c r="A7" s="7" t="s">
        <v>7</v>
      </c>
      <c r="B7" s="6">
        <v>1120</v>
      </c>
      <c r="C7" s="12">
        <v>0</v>
      </c>
      <c r="D7" s="12">
        <v>0</v>
      </c>
    </row>
    <row r="8" spans="1:4" ht="27" thickBot="1" x14ac:dyDescent="0.35">
      <c r="A8" s="8" t="s">
        <v>8</v>
      </c>
      <c r="B8" s="6">
        <v>1130</v>
      </c>
      <c r="C8" s="12">
        <v>0</v>
      </c>
      <c r="D8" s="12">
        <v>0</v>
      </c>
    </row>
    <row r="9" spans="1:4" ht="27" thickBot="1" x14ac:dyDescent="0.35">
      <c r="A9" s="7" t="s">
        <v>9</v>
      </c>
      <c r="B9" s="6">
        <v>1140</v>
      </c>
      <c r="C9" s="12">
        <v>0</v>
      </c>
      <c r="D9" s="12">
        <v>0</v>
      </c>
    </row>
    <row r="10" spans="1:4" ht="15" thickBot="1" x14ac:dyDescent="0.35">
      <c r="A10" s="7" t="s">
        <v>10</v>
      </c>
      <c r="B10" s="6">
        <v>1150</v>
      </c>
      <c r="C10" s="12">
        <v>1080400</v>
      </c>
      <c r="D10" s="12">
        <v>1464767</v>
      </c>
    </row>
    <row r="11" spans="1:4" ht="27" thickBot="1" x14ac:dyDescent="0.35">
      <c r="A11" s="8" t="s">
        <v>11</v>
      </c>
      <c r="B11" s="9">
        <v>1160</v>
      </c>
      <c r="C11" s="12">
        <v>0</v>
      </c>
      <c r="D11" s="12">
        <v>0</v>
      </c>
    </row>
    <row r="12" spans="1:4" ht="15" thickBot="1" x14ac:dyDescent="0.35">
      <c r="A12" s="7" t="s">
        <v>12</v>
      </c>
      <c r="B12" s="9">
        <v>1170</v>
      </c>
      <c r="C12" s="12">
        <v>22255899</v>
      </c>
      <c r="D12" s="12">
        <v>28546725</v>
      </c>
    </row>
    <row r="13" spans="1:4" ht="15" thickBot="1" x14ac:dyDescent="0.35">
      <c r="A13" s="7" t="s">
        <v>13</v>
      </c>
      <c r="B13" s="9">
        <v>1180</v>
      </c>
      <c r="C13" s="12">
        <v>384</v>
      </c>
      <c r="D13" s="12">
        <v>43</v>
      </c>
    </row>
    <row r="14" spans="1:4" ht="15" thickBot="1" x14ac:dyDescent="0.35">
      <c r="A14" s="7" t="s">
        <v>14</v>
      </c>
      <c r="B14" s="9">
        <v>1190</v>
      </c>
      <c r="C14" s="12">
        <v>16901353</v>
      </c>
      <c r="D14" s="12">
        <v>16601345</v>
      </c>
    </row>
    <row r="15" spans="1:4" ht="15" thickBot="1" x14ac:dyDescent="0.35">
      <c r="A15" s="7" t="s">
        <v>15</v>
      </c>
      <c r="B15" s="9">
        <v>1100</v>
      </c>
      <c r="C15" s="12">
        <v>40239552</v>
      </c>
      <c r="D15" s="12">
        <v>46614817</v>
      </c>
    </row>
    <row r="16" spans="1:4" ht="15" thickBot="1" x14ac:dyDescent="0.35">
      <c r="A16" s="5" t="s">
        <v>16</v>
      </c>
      <c r="B16" s="9"/>
      <c r="C16" s="12"/>
      <c r="D16" s="12"/>
    </row>
    <row r="17" spans="1:4" ht="15" thickBot="1" x14ac:dyDescent="0.35">
      <c r="A17" s="7" t="s">
        <v>17</v>
      </c>
      <c r="B17" s="9">
        <v>1210</v>
      </c>
      <c r="C17" s="12">
        <v>2542473</v>
      </c>
      <c r="D17" s="12">
        <v>377252</v>
      </c>
    </row>
    <row r="18" spans="1:4" ht="40.200000000000003" thickBot="1" x14ac:dyDescent="0.35">
      <c r="A18" s="8" t="s">
        <v>18</v>
      </c>
      <c r="B18" s="9">
        <v>1220</v>
      </c>
      <c r="C18" s="12">
        <v>1496780</v>
      </c>
      <c r="D18" s="12">
        <v>1137914</v>
      </c>
    </row>
    <row r="19" spans="1:4" ht="15" thickBot="1" x14ac:dyDescent="0.35">
      <c r="A19" s="7" t="s">
        <v>19</v>
      </c>
      <c r="B19" s="9">
        <v>1230</v>
      </c>
      <c r="C19" s="12">
        <v>12889204</v>
      </c>
      <c r="D19" s="12">
        <v>9114303</v>
      </c>
    </row>
    <row r="20" spans="1:4" ht="40.200000000000003" thickBot="1" x14ac:dyDescent="0.35">
      <c r="A20" s="8" t="s">
        <v>20</v>
      </c>
      <c r="B20" s="9">
        <v>1240</v>
      </c>
      <c r="C20" s="12">
        <v>9838754</v>
      </c>
      <c r="D20" s="12">
        <v>5707656</v>
      </c>
    </row>
    <row r="21" spans="1:4" ht="27" thickBot="1" x14ac:dyDescent="0.35">
      <c r="A21" s="8" t="s">
        <v>21</v>
      </c>
      <c r="B21" s="9">
        <v>1250</v>
      </c>
      <c r="C21" s="12">
        <v>159401</v>
      </c>
      <c r="D21" s="12">
        <v>144161</v>
      </c>
    </row>
    <row r="22" spans="1:4" ht="15" thickBot="1" x14ac:dyDescent="0.35">
      <c r="A22" s="7" t="s">
        <v>22</v>
      </c>
      <c r="B22" s="9">
        <v>1260</v>
      </c>
      <c r="C22" s="12">
        <v>554272</v>
      </c>
      <c r="D22" s="12">
        <v>133328</v>
      </c>
    </row>
    <row r="23" spans="1:4" ht="15" thickBot="1" x14ac:dyDescent="0.35">
      <c r="A23" s="7" t="s">
        <v>23</v>
      </c>
      <c r="B23" s="9">
        <v>1200</v>
      </c>
      <c r="C23" s="12">
        <v>27480884</v>
      </c>
      <c r="D23" s="12">
        <v>16614614</v>
      </c>
    </row>
    <row r="24" spans="1:4" ht="15" thickBot="1" x14ac:dyDescent="0.35">
      <c r="A24" s="7" t="s">
        <v>24</v>
      </c>
      <c r="B24" s="9">
        <v>1600</v>
      </c>
      <c r="C24" s="12">
        <v>67720436</v>
      </c>
      <c r="D24" s="12">
        <v>63229431</v>
      </c>
    </row>
    <row r="25" spans="1:4" ht="15" thickBot="1" x14ac:dyDescent="0.35">
      <c r="A25" s="5" t="s">
        <v>25</v>
      </c>
      <c r="B25" s="6"/>
      <c r="C25" s="12"/>
      <c r="D25" s="12"/>
    </row>
    <row r="26" spans="1:4" ht="15" thickBot="1" x14ac:dyDescent="0.35">
      <c r="A26" s="5" t="s">
        <v>26</v>
      </c>
      <c r="B26" s="6"/>
      <c r="C26" s="12"/>
      <c r="D26" s="12"/>
    </row>
    <row r="27" spans="1:4" ht="40.200000000000003" thickBot="1" x14ac:dyDescent="0.35">
      <c r="A27" s="8" t="s">
        <v>27</v>
      </c>
      <c r="B27" s="9">
        <v>1310</v>
      </c>
      <c r="C27" s="12">
        <v>1000</v>
      </c>
      <c r="D27" s="12">
        <v>1000</v>
      </c>
    </row>
    <row r="28" spans="1:4" ht="27" thickBot="1" x14ac:dyDescent="0.35">
      <c r="A28" s="8" t="s">
        <v>28</v>
      </c>
      <c r="B28" s="9">
        <v>1320</v>
      </c>
      <c r="C28" s="12">
        <v>0</v>
      </c>
      <c r="D28" s="12">
        <v>0</v>
      </c>
    </row>
    <row r="29" spans="1:4" ht="27" thickBot="1" x14ac:dyDescent="0.35">
      <c r="A29" s="7" t="s">
        <v>29</v>
      </c>
      <c r="B29" s="9">
        <v>1340</v>
      </c>
      <c r="C29" s="12">
        <v>0</v>
      </c>
      <c r="D29" s="12">
        <v>0</v>
      </c>
    </row>
    <row r="30" spans="1:4" ht="27" thickBot="1" x14ac:dyDescent="0.35">
      <c r="A30" s="7" t="s">
        <v>30</v>
      </c>
      <c r="B30" s="9">
        <v>1350</v>
      </c>
      <c r="C30" s="12">
        <v>0</v>
      </c>
      <c r="D30" s="12">
        <v>0</v>
      </c>
    </row>
    <row r="31" spans="1:4" ht="15" thickBot="1" x14ac:dyDescent="0.35">
      <c r="A31" s="7" t="s">
        <v>31</v>
      </c>
      <c r="B31" s="9">
        <v>1360</v>
      </c>
      <c r="C31" s="12">
        <v>150</v>
      </c>
      <c r="D31" s="12">
        <v>150</v>
      </c>
    </row>
    <row r="32" spans="1:4" ht="27" thickBot="1" x14ac:dyDescent="0.35">
      <c r="A32" s="8" t="s">
        <v>32</v>
      </c>
      <c r="B32" s="9">
        <v>1370</v>
      </c>
      <c r="C32" s="12">
        <v>57186</v>
      </c>
      <c r="D32" s="12">
        <v>29031</v>
      </c>
    </row>
    <row r="33" spans="1:4" ht="15" thickBot="1" x14ac:dyDescent="0.35">
      <c r="A33" s="7" t="s">
        <v>33</v>
      </c>
      <c r="B33" s="9">
        <v>1300</v>
      </c>
      <c r="C33" s="13">
        <v>58336</v>
      </c>
      <c r="D33" s="12">
        <v>30181</v>
      </c>
    </row>
    <row r="34" spans="1:4" ht="27" thickBot="1" x14ac:dyDescent="0.35">
      <c r="A34" s="10" t="s">
        <v>34</v>
      </c>
      <c r="B34" s="9"/>
      <c r="C34" s="12"/>
      <c r="D34" s="12"/>
    </row>
    <row r="35" spans="1:4" ht="15" thickBot="1" x14ac:dyDescent="0.35">
      <c r="A35" s="7" t="s">
        <v>35</v>
      </c>
      <c r="B35" s="9">
        <v>1410</v>
      </c>
      <c r="C35" s="12">
        <v>48710044</v>
      </c>
      <c r="D35" s="12">
        <v>41877865</v>
      </c>
    </row>
    <row r="36" spans="1:4" ht="27" thickBot="1" x14ac:dyDescent="0.35">
      <c r="A36" s="7" t="s">
        <v>36</v>
      </c>
      <c r="B36" s="9">
        <v>1420</v>
      </c>
      <c r="C36" s="12">
        <v>0</v>
      </c>
      <c r="D36" s="12">
        <v>0</v>
      </c>
    </row>
    <row r="37" spans="1:4" ht="15" thickBot="1" x14ac:dyDescent="0.35">
      <c r="A37" s="7" t="s">
        <v>37</v>
      </c>
      <c r="B37" s="9">
        <v>1430</v>
      </c>
      <c r="C37" s="12">
        <v>0</v>
      </c>
      <c r="D37" s="12">
        <v>0</v>
      </c>
    </row>
    <row r="38" spans="1:4" ht="15" thickBot="1" x14ac:dyDescent="0.35">
      <c r="A38" s="7" t="s">
        <v>38</v>
      </c>
      <c r="B38" s="9">
        <v>1450</v>
      </c>
      <c r="C38" s="12">
        <v>15474399</v>
      </c>
      <c r="D38" s="12">
        <v>7199012</v>
      </c>
    </row>
    <row r="39" spans="1:4" ht="15" thickBot="1" x14ac:dyDescent="0.35">
      <c r="A39" s="7" t="s">
        <v>39</v>
      </c>
      <c r="B39" s="9">
        <v>1400</v>
      </c>
      <c r="C39" s="13">
        <v>64184443</v>
      </c>
      <c r="D39" s="12">
        <v>49076877</v>
      </c>
    </row>
    <row r="40" spans="1:4" ht="27" thickBot="1" x14ac:dyDescent="0.35">
      <c r="A40" s="10" t="s">
        <v>40</v>
      </c>
      <c r="B40" s="9"/>
      <c r="C40" s="12"/>
      <c r="D40" s="12"/>
    </row>
    <row r="41" spans="1:4" ht="15" thickBot="1" x14ac:dyDescent="0.35">
      <c r="A41" s="7" t="s">
        <v>35</v>
      </c>
      <c r="B41" s="9">
        <v>1510</v>
      </c>
      <c r="C41" s="12">
        <v>0</v>
      </c>
      <c r="D41" s="12">
        <v>9583207</v>
      </c>
    </row>
    <row r="42" spans="1:4" ht="15" thickBot="1" x14ac:dyDescent="0.35">
      <c r="A42" s="7" t="s">
        <v>41</v>
      </c>
      <c r="B42" s="9">
        <v>1520</v>
      </c>
      <c r="C42" s="12">
        <v>3368471</v>
      </c>
      <c r="D42" s="12">
        <v>2463890</v>
      </c>
    </row>
    <row r="43" spans="1:4" ht="15" thickBot="1" x14ac:dyDescent="0.35">
      <c r="A43" s="7" t="s">
        <v>42</v>
      </c>
      <c r="B43" s="9">
        <v>1530</v>
      </c>
      <c r="C43" s="12">
        <v>0</v>
      </c>
      <c r="D43" s="12">
        <v>0</v>
      </c>
    </row>
    <row r="44" spans="1:4" ht="15" thickBot="1" x14ac:dyDescent="0.35">
      <c r="A44" s="7" t="s">
        <v>43</v>
      </c>
      <c r="B44" s="9">
        <v>1540</v>
      </c>
      <c r="C44" s="12">
        <v>0</v>
      </c>
      <c r="D44" s="12">
        <v>0</v>
      </c>
    </row>
    <row r="45" spans="1:4" ht="15" thickBot="1" x14ac:dyDescent="0.35">
      <c r="A45" s="7" t="s">
        <v>38</v>
      </c>
      <c r="B45" s="9">
        <v>1550</v>
      </c>
      <c r="C45" s="12">
        <v>109186</v>
      </c>
      <c r="D45" s="12">
        <v>2075276</v>
      </c>
    </row>
    <row r="46" spans="1:4" ht="15" thickBot="1" x14ac:dyDescent="0.35">
      <c r="A46" s="7" t="s">
        <v>44</v>
      </c>
      <c r="B46" s="9">
        <v>1500</v>
      </c>
      <c r="C46" s="13">
        <v>3477657</v>
      </c>
      <c r="D46" s="14">
        <v>14122373</v>
      </c>
    </row>
    <row r="47" spans="1:4" ht="15" thickBot="1" x14ac:dyDescent="0.35">
      <c r="A47" s="7" t="s">
        <v>24</v>
      </c>
      <c r="B47" s="9">
        <v>1700</v>
      </c>
      <c r="C47" s="12">
        <v>67720436</v>
      </c>
      <c r="D47" s="12">
        <v>63229431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2"/>
  <dimension ref="A1:B17"/>
  <sheetViews>
    <sheetView workbookViewId="0">
      <selection activeCell="A7" sqref="A7"/>
    </sheetView>
  </sheetViews>
  <sheetFormatPr defaultRowHeight="14.4" x14ac:dyDescent="0.3"/>
  <cols>
    <col min="1" max="1" width="28.88671875" bestFit="1" customWidth="1"/>
  </cols>
  <sheetData>
    <row r="1" spans="1:2" x14ac:dyDescent="0.3">
      <c r="A1" t="s">
        <v>142</v>
      </c>
    </row>
    <row r="2" spans="1:2" x14ac:dyDescent="0.3">
      <c r="A2" t="s">
        <v>0</v>
      </c>
      <c r="B2" s="1">
        <v>1.0863447690000001</v>
      </c>
    </row>
    <row r="3" spans="1:2" x14ac:dyDescent="0.3">
      <c r="A3" t="s">
        <v>1</v>
      </c>
      <c r="B3" s="2">
        <v>1.1464342168591548</v>
      </c>
    </row>
    <row r="4" spans="1:2" x14ac:dyDescent="0.3">
      <c r="A4" t="s">
        <v>47</v>
      </c>
      <c r="B4" s="16">
        <v>0.18</v>
      </c>
    </row>
    <row r="7" spans="1:2" x14ac:dyDescent="0.3">
      <c r="A7" t="s">
        <v>116</v>
      </c>
    </row>
    <row r="12" spans="1:2" x14ac:dyDescent="0.3">
      <c r="A12" t="s">
        <v>120</v>
      </c>
    </row>
    <row r="13" spans="1:2" x14ac:dyDescent="0.3">
      <c r="A13" t="s">
        <v>121</v>
      </c>
      <c r="B13" s="16">
        <v>0</v>
      </c>
    </row>
    <row r="14" spans="1:2" x14ac:dyDescent="0.3">
      <c r="A14" t="s">
        <v>123</v>
      </c>
      <c r="B14" s="16">
        <v>1</v>
      </c>
    </row>
    <row r="15" spans="1:2" x14ac:dyDescent="0.3">
      <c r="A15" t="s">
        <v>124</v>
      </c>
      <c r="B15" s="16">
        <v>0.18</v>
      </c>
    </row>
    <row r="16" spans="1:2" x14ac:dyDescent="0.3">
      <c r="A16" t="s">
        <v>125</v>
      </c>
      <c r="B16" s="16">
        <v>0.12</v>
      </c>
    </row>
    <row r="17" spans="1:2" x14ac:dyDescent="0.3">
      <c r="A17" t="s">
        <v>126</v>
      </c>
      <c r="B17" s="31">
        <f>B13*B15+B14*B16*(1-'Gen. assum.'!B10)</f>
        <v>9.6000000000000002E-2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C594-4753-4A24-A885-B94BD28B6CDB}">
  <sheetPr codeName="Лист6"/>
  <dimension ref="A1:D13"/>
  <sheetViews>
    <sheetView workbookViewId="0">
      <selection activeCell="D13" sqref="D13"/>
    </sheetView>
  </sheetViews>
  <sheetFormatPr defaultRowHeight="14.4" x14ac:dyDescent="0.3"/>
  <cols>
    <col min="1" max="1" width="32.6640625" customWidth="1"/>
    <col min="2" max="4" width="11.44140625" bestFit="1" customWidth="1"/>
  </cols>
  <sheetData>
    <row r="1" spans="1:4" x14ac:dyDescent="0.3">
      <c r="A1" t="str">
        <f>NPV!A1</f>
        <v>Год</v>
      </c>
      <c r="B1">
        <f>NPV!B1</f>
        <v>2018</v>
      </c>
      <c r="C1">
        <f>NPV!C1</f>
        <v>2019</v>
      </c>
      <c r="D1">
        <f>NPV!D1</f>
        <v>2020</v>
      </c>
    </row>
    <row r="2" spans="1:4" x14ac:dyDescent="0.3">
      <c r="A2" t="str">
        <f>NPV!A2</f>
        <v>№года</v>
      </c>
      <c r="B2" s="29">
        <f>NPV!B2</f>
        <v>1</v>
      </c>
      <c r="C2" s="29">
        <f>NPV!C2</f>
        <v>2</v>
      </c>
      <c r="D2" s="29">
        <f>NPV!D2</f>
        <v>3</v>
      </c>
    </row>
    <row r="3" spans="1:4" x14ac:dyDescent="0.3">
      <c r="A3" s="30"/>
      <c r="B3" s="30"/>
      <c r="C3" s="30"/>
      <c r="D3" s="30"/>
    </row>
    <row r="4" spans="1:4" x14ac:dyDescent="0.3">
      <c r="A4" t="str">
        <f>NPV!A6</f>
        <v>Промышленные 3D-камеры</v>
      </c>
      <c r="B4" s="28">
        <f>NPV!B6</f>
        <v>800000</v>
      </c>
      <c r="C4" s="28">
        <f>NPV!C6</f>
        <v>800000</v>
      </c>
      <c r="D4" s="28">
        <f>NPV!D6</f>
        <v>800000</v>
      </c>
    </row>
    <row r="6" spans="1:4" ht="15" thickBot="1" x14ac:dyDescent="0.35">
      <c r="A6" s="43" t="s">
        <v>139</v>
      </c>
      <c r="B6" s="44">
        <f>SUM(B7:B12)</f>
        <v>33516000</v>
      </c>
      <c r="C6" s="44">
        <f t="shared" ref="C6:D6" si="0">SUM(C7:C12)</f>
        <v>24000000</v>
      </c>
      <c r="D6" s="44">
        <f t="shared" si="0"/>
        <v>24000000</v>
      </c>
    </row>
    <row r="7" spans="1:4" x14ac:dyDescent="0.3">
      <c r="A7" t="str">
        <f>NPV!A7</f>
        <v>Разработчики ПО</v>
      </c>
      <c r="B7" s="28">
        <f>NPV!B7</f>
        <v>5616000</v>
      </c>
      <c r="C7" s="28">
        <f>NPV!C7</f>
        <v>0</v>
      </c>
      <c r="D7" s="28">
        <f>NPV!D7</f>
        <v>0</v>
      </c>
    </row>
    <row r="8" spans="1:4" x14ac:dyDescent="0.3">
      <c r="A8" t="str">
        <f>NPV!A8</f>
        <v>Дизайнер</v>
      </c>
      <c r="B8" s="28">
        <f>NPV!B8</f>
        <v>1404000</v>
      </c>
      <c r="C8" s="28">
        <f>NPV!C8</f>
        <v>0</v>
      </c>
      <c r="D8" s="28">
        <f>NPV!D8</f>
        <v>0</v>
      </c>
    </row>
    <row r="9" spans="1:4" x14ac:dyDescent="0.3">
      <c r="A9" t="str">
        <f>NPV!A9</f>
        <v>Аналитик</v>
      </c>
      <c r="B9" s="28">
        <f>NPV!B9</f>
        <v>1560000</v>
      </c>
      <c r="C9" s="28">
        <f>NPV!C9</f>
        <v>0</v>
      </c>
      <c r="D9" s="28">
        <f>NPV!D9</f>
        <v>0</v>
      </c>
    </row>
    <row r="10" spans="1:4" x14ac:dyDescent="0.3">
      <c r="A10" t="str">
        <f>NPV!A10</f>
        <v>Тестировщик</v>
      </c>
      <c r="B10" s="28">
        <f>NPV!B10</f>
        <v>936000</v>
      </c>
      <c r="C10" s="28">
        <f>NPV!C10</f>
        <v>0</v>
      </c>
      <c r="D10" s="28">
        <f>NPV!D10</f>
        <v>0</v>
      </c>
    </row>
    <row r="11" spans="1:4" x14ac:dyDescent="0.3">
      <c r="A11" t="str">
        <f>NPV!A11</f>
        <v>ML для 3D-камер</v>
      </c>
      <c r="B11" s="28">
        <f>NPV!B11</f>
        <v>12000000</v>
      </c>
      <c r="C11" s="28">
        <f>NPV!C11</f>
        <v>12000000</v>
      </c>
      <c r="D11" s="28">
        <f>NPV!D11</f>
        <v>12000000</v>
      </c>
    </row>
    <row r="12" spans="1:4" s="24" customFormat="1" ht="15" thickBot="1" x14ac:dyDescent="0.35">
      <c r="A12" s="24" t="str">
        <f>NPV!A12</f>
        <v>ML для ПО</v>
      </c>
      <c r="B12" s="44">
        <f>NPV!B12</f>
        <v>12000000</v>
      </c>
      <c r="C12" s="44">
        <f>NPV!C12</f>
        <v>12000000</v>
      </c>
      <c r="D12" s="44">
        <f>NPV!D12</f>
        <v>12000000</v>
      </c>
    </row>
    <row r="13" spans="1:4" x14ac:dyDescent="0.3">
      <c r="A13" t="s">
        <v>140</v>
      </c>
      <c r="B13" s="28">
        <f>B6*0.5*0.2</f>
        <v>3351600</v>
      </c>
      <c r="C13" s="28">
        <f t="shared" ref="C13:D13" si="1">C6*0.5*0.2</f>
        <v>2400000</v>
      </c>
      <c r="D13" s="28">
        <f t="shared" si="1"/>
        <v>2400000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90DC-6D4E-4570-83FE-9742FA4A9442}">
  <sheetPr codeName="Лист7"/>
  <dimension ref="A1:N26"/>
  <sheetViews>
    <sheetView zoomScale="80" zoomScaleNormal="80" workbookViewId="0">
      <selection activeCell="E22" sqref="E22"/>
    </sheetView>
  </sheetViews>
  <sheetFormatPr defaultRowHeight="14.4" x14ac:dyDescent="0.3"/>
  <cols>
    <col min="1" max="1" width="36.33203125" bestFit="1" customWidth="1"/>
    <col min="2" max="2" width="12.44140625" bestFit="1" customWidth="1"/>
    <col min="3" max="3" width="16.33203125" bestFit="1" customWidth="1"/>
    <col min="4" max="4" width="23.33203125" bestFit="1" customWidth="1"/>
    <col min="5" max="5" width="14.88671875" bestFit="1" customWidth="1"/>
  </cols>
  <sheetData>
    <row r="1" spans="1:5" x14ac:dyDescent="0.3">
      <c r="A1" s="19"/>
      <c r="B1" s="19" t="s">
        <v>107</v>
      </c>
      <c r="C1" s="19" t="s">
        <v>109</v>
      </c>
      <c r="D1" s="19" t="s">
        <v>114</v>
      </c>
      <c r="E1" s="19" t="s">
        <v>129</v>
      </c>
    </row>
    <row r="2" spans="1:5" x14ac:dyDescent="0.3">
      <c r="A2" s="19" t="s">
        <v>108</v>
      </c>
      <c r="B2" s="19">
        <v>12</v>
      </c>
      <c r="C2" s="39">
        <v>200000</v>
      </c>
      <c r="D2" s="39">
        <f>C2*B2</f>
        <v>2400000</v>
      </c>
      <c r="E2" s="19">
        <v>3</v>
      </c>
    </row>
    <row r="3" spans="1:5" x14ac:dyDescent="0.3">
      <c r="A3" s="19" t="s">
        <v>105</v>
      </c>
      <c r="B3" s="19">
        <v>1</v>
      </c>
      <c r="C3" s="39">
        <v>12000000</v>
      </c>
      <c r="D3" s="39">
        <f>B3*C3</f>
        <v>12000000</v>
      </c>
      <c r="E3" s="19">
        <v>3</v>
      </c>
    </row>
    <row r="4" spans="1:5" x14ac:dyDescent="0.3">
      <c r="A4" s="19" t="s">
        <v>106</v>
      </c>
      <c r="B4" s="19">
        <v>1</v>
      </c>
      <c r="C4" s="39">
        <v>12000000</v>
      </c>
      <c r="D4" s="39">
        <f>B4*C4</f>
        <v>12000000</v>
      </c>
      <c r="E4" s="19">
        <v>3</v>
      </c>
    </row>
    <row r="5" spans="1:5" x14ac:dyDescent="0.3">
      <c r="A5" s="40" t="s">
        <v>130</v>
      </c>
      <c r="B5" s="19"/>
      <c r="C5" s="39"/>
      <c r="D5" s="39"/>
      <c r="E5" s="19"/>
    </row>
    <row r="6" spans="1:5" ht="15" customHeight="1" x14ac:dyDescent="0.3">
      <c r="A6" s="19" t="s">
        <v>110</v>
      </c>
      <c r="B6" s="19">
        <v>3</v>
      </c>
      <c r="C6" s="39">
        <v>120000</v>
      </c>
      <c r="D6" s="39">
        <f>B6*C6*1.3*'Gen. assum.'!$B$8</f>
        <v>5616000</v>
      </c>
      <c r="E6" s="19">
        <v>1</v>
      </c>
    </row>
    <row r="7" spans="1:5" x14ac:dyDescent="0.3">
      <c r="A7" s="19" t="s">
        <v>111</v>
      </c>
      <c r="B7" s="19">
        <v>1</v>
      </c>
      <c r="C7" s="39">
        <v>90000</v>
      </c>
      <c r="D7" s="39">
        <f>B7*C7*1.3*'Gen. assum.'!$B$8</f>
        <v>1404000</v>
      </c>
      <c r="E7" s="19">
        <v>1</v>
      </c>
    </row>
    <row r="8" spans="1:5" x14ac:dyDescent="0.3">
      <c r="A8" s="19" t="s">
        <v>112</v>
      </c>
      <c r="B8" s="19">
        <v>1</v>
      </c>
      <c r="C8" s="39">
        <v>100000</v>
      </c>
      <c r="D8" s="39">
        <f>B8*C8*1.3*'Gen. assum.'!$B$8</f>
        <v>1560000</v>
      </c>
      <c r="E8" s="19">
        <v>1</v>
      </c>
    </row>
    <row r="9" spans="1:5" x14ac:dyDescent="0.3">
      <c r="A9" s="19" t="s">
        <v>113</v>
      </c>
      <c r="B9" s="19">
        <v>1</v>
      </c>
      <c r="C9" s="39">
        <v>60000</v>
      </c>
      <c r="D9" s="39">
        <f>B9*C9*1.3*'Gen. assum.'!$B$8</f>
        <v>936000</v>
      </c>
      <c r="E9" s="19">
        <v>1</v>
      </c>
    </row>
    <row r="10" spans="1:5" x14ac:dyDescent="0.3">
      <c r="A10" s="40" t="s">
        <v>131</v>
      </c>
      <c r="B10" s="19"/>
      <c r="C10" s="19"/>
      <c r="D10" s="39">
        <f>SUM(D6:D9)</f>
        <v>9516000</v>
      </c>
      <c r="E10" s="19"/>
    </row>
    <row r="14" spans="1:5" x14ac:dyDescent="0.3">
      <c r="A14" t="str">
        <f>NPV!A1</f>
        <v>Год</v>
      </c>
      <c r="B14">
        <f>NPV!B1</f>
        <v>2018</v>
      </c>
      <c r="C14">
        <f>NPV!C1</f>
        <v>2019</v>
      </c>
      <c r="D14">
        <f>NPV!D1</f>
        <v>2020</v>
      </c>
    </row>
    <row r="15" spans="1:5" x14ac:dyDescent="0.3">
      <c r="A15" t="str">
        <f>NPV!A2</f>
        <v>№года</v>
      </c>
      <c r="B15" s="29">
        <f>NPV!B2</f>
        <v>1</v>
      </c>
      <c r="C15" s="29">
        <f>NPV!C2</f>
        <v>2</v>
      </c>
      <c r="D15" s="29">
        <f>NPV!D2</f>
        <v>3</v>
      </c>
    </row>
    <row r="16" spans="1:5" x14ac:dyDescent="0.3">
      <c r="A16" s="30" t="str">
        <f>NPV!A3</f>
        <v>Количество лицензиатов</v>
      </c>
      <c r="B16" s="30">
        <f>NPV!B3</f>
        <v>0</v>
      </c>
      <c r="C16" s="30">
        <f>NPV!C3</f>
        <v>0</v>
      </c>
      <c r="D16" s="30">
        <f>NPV!D3</f>
        <v>0</v>
      </c>
    </row>
    <row r="17" spans="1:14" x14ac:dyDescent="0.3">
      <c r="A17" s="34" t="str">
        <f>NPV!A5</f>
        <v>CashOutFlow</v>
      </c>
      <c r="B17" s="35" t="e">
        <f>NPV!#REF!</f>
        <v>#REF!</v>
      </c>
      <c r="C17" s="35">
        <f>NPV!C5</f>
        <v>24800000</v>
      </c>
      <c r="D17" s="35">
        <f>NPV!D5</f>
        <v>24800000</v>
      </c>
    </row>
    <row r="18" spans="1:14" x14ac:dyDescent="0.3">
      <c r="A18" t="str">
        <f>NPV!A6</f>
        <v>Промышленные 3D-камеры</v>
      </c>
      <c r="B18" s="28">
        <f>NPV!B6</f>
        <v>800000</v>
      </c>
      <c r="C18" s="28">
        <f>NPV!C6</f>
        <v>800000</v>
      </c>
      <c r="D18" s="28">
        <f>NPV!D6</f>
        <v>800000</v>
      </c>
    </row>
    <row r="19" spans="1:14" x14ac:dyDescent="0.3">
      <c r="A19" t="str">
        <f>NPV!A7</f>
        <v>Разработчики ПО</v>
      </c>
      <c r="B19" s="28">
        <f>NPV!B7</f>
        <v>5616000</v>
      </c>
      <c r="C19" s="28">
        <f>NPV!C7</f>
        <v>0</v>
      </c>
      <c r="D19" s="28">
        <f>NPV!D7</f>
        <v>0</v>
      </c>
      <c r="K19" s="28"/>
      <c r="L19" s="28"/>
      <c r="M19" s="28"/>
      <c r="N19" s="28"/>
    </row>
    <row r="20" spans="1:14" x14ac:dyDescent="0.3">
      <c r="A20" t="str">
        <f>NPV!A8</f>
        <v>Дизайнер</v>
      </c>
      <c r="B20" s="28">
        <f>NPV!B8</f>
        <v>1404000</v>
      </c>
      <c r="C20" s="28">
        <f>NPV!C8</f>
        <v>0</v>
      </c>
      <c r="D20" s="28">
        <f>NPV!D8</f>
        <v>0</v>
      </c>
      <c r="K20" s="28"/>
      <c r="L20" s="28"/>
      <c r="M20" s="28"/>
      <c r="N20" s="28"/>
    </row>
    <row r="21" spans="1:14" x14ac:dyDescent="0.3">
      <c r="A21" t="str">
        <f>NPV!A9</f>
        <v>Аналитик</v>
      </c>
      <c r="B21" s="28">
        <f>NPV!B9</f>
        <v>1560000</v>
      </c>
      <c r="C21" s="28">
        <f>NPV!C9</f>
        <v>0</v>
      </c>
      <c r="D21" s="28">
        <f>NPV!D9</f>
        <v>0</v>
      </c>
      <c r="L21" s="28"/>
      <c r="M21" s="28"/>
      <c r="N21" s="28"/>
    </row>
    <row r="22" spans="1:14" x14ac:dyDescent="0.3">
      <c r="A22" t="str">
        <f>NPV!A10</f>
        <v>Тестировщик</v>
      </c>
      <c r="B22" s="28">
        <f>NPV!B10</f>
        <v>936000</v>
      </c>
      <c r="C22" s="28">
        <f>NPV!C10</f>
        <v>0</v>
      </c>
      <c r="D22" s="28">
        <f>NPV!D10</f>
        <v>0</v>
      </c>
      <c r="L22" s="28"/>
      <c r="M22" s="28"/>
      <c r="N22" s="28"/>
    </row>
    <row r="23" spans="1:14" x14ac:dyDescent="0.3">
      <c r="A23" t="str">
        <f>NPV!A11</f>
        <v>ML для 3D-камер</v>
      </c>
      <c r="B23" s="28">
        <f>NPV!B11</f>
        <v>12000000</v>
      </c>
      <c r="C23" s="28">
        <f>NPV!C11</f>
        <v>12000000</v>
      </c>
      <c r="D23" s="28">
        <f>NPV!D11</f>
        <v>12000000</v>
      </c>
      <c r="K23" s="28"/>
      <c r="L23" s="28"/>
      <c r="M23" s="28"/>
      <c r="N23" s="28"/>
    </row>
    <row r="24" spans="1:14" x14ac:dyDescent="0.3">
      <c r="A24" s="35" t="str">
        <f>NPV!A12</f>
        <v>ML для ПО</v>
      </c>
      <c r="B24" s="36">
        <f>NPV!B12</f>
        <v>12000000</v>
      </c>
      <c r="C24" s="36">
        <f>NPV!C12</f>
        <v>12000000</v>
      </c>
      <c r="D24" s="36">
        <f>NPV!D12</f>
        <v>12000000</v>
      </c>
    </row>
    <row r="25" spans="1:14" x14ac:dyDescent="0.3">
      <c r="A25" s="33" t="s">
        <v>135</v>
      </c>
      <c r="B25" s="28">
        <f>SUM(B18:B24)/(1+'Hurdle rate'!$B$17)^(Investment!B15-0.5)</f>
        <v>32778674.080147825</v>
      </c>
      <c r="C25" s="28">
        <f>SUM(C18:C24)/(1+'Hurdle rate'!$B$17)^(Investment!C15-0.5)</f>
        <v>21614034.960699793</v>
      </c>
      <c r="D25" s="28">
        <f>SUM(D18:D24)/(1+'Hurdle rate'!$B$17)^(Investment!D15-0.5)</f>
        <v>19720834.818156742</v>
      </c>
    </row>
    <row r="26" spans="1:14" x14ac:dyDescent="0.3">
      <c r="A26" s="37" t="s">
        <v>136</v>
      </c>
      <c r="B26" s="38">
        <f>SUM(B25:D25)</f>
        <v>74113543.859004349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81E2-1EDB-4CB0-BE86-9CBB4F9B2350}">
  <sheetPr codeName="Лист8"/>
  <dimension ref="A1:N24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2" sqref="E22"/>
    </sheetView>
  </sheetViews>
  <sheetFormatPr defaultRowHeight="14.4" x14ac:dyDescent="0.3"/>
  <cols>
    <col min="1" max="1" width="28.44140625" bestFit="1" customWidth="1"/>
    <col min="2" max="2" width="13.5546875" bestFit="1" customWidth="1"/>
    <col min="3" max="4" width="13.109375" bestFit="1" customWidth="1"/>
    <col min="5" max="5" width="11.44140625" bestFit="1" customWidth="1"/>
    <col min="6" max="14" width="12.5546875" bestFit="1" customWidth="1"/>
  </cols>
  <sheetData>
    <row r="1" spans="1:14" s="49" customFormat="1" ht="15" thickBot="1" x14ac:dyDescent="0.35">
      <c r="A1" s="49" t="s">
        <v>97</v>
      </c>
      <c r="B1" s="49">
        <v>2018</v>
      </c>
      <c r="C1" s="49">
        <v>2019</v>
      </c>
      <c r="D1" s="49">
        <v>2020</v>
      </c>
      <c r="E1" s="49">
        <v>2021</v>
      </c>
      <c r="F1" s="49">
        <v>2022</v>
      </c>
      <c r="G1" s="49">
        <v>2023</v>
      </c>
      <c r="H1" s="49">
        <v>2024</v>
      </c>
      <c r="I1" s="49">
        <v>2025</v>
      </c>
      <c r="J1" s="49">
        <v>2026</v>
      </c>
      <c r="K1" s="49">
        <v>2027</v>
      </c>
      <c r="L1" s="49">
        <v>2028</v>
      </c>
      <c r="M1" s="49">
        <v>2029</v>
      </c>
      <c r="N1" s="49">
        <v>2030</v>
      </c>
    </row>
    <row r="2" spans="1:14" x14ac:dyDescent="0.3">
      <c r="A2" t="s">
        <v>117</v>
      </c>
      <c r="B2" s="29">
        <v>1</v>
      </c>
      <c r="C2" s="29">
        <v>2</v>
      </c>
      <c r="D2" s="29">
        <v>3</v>
      </c>
      <c r="E2" s="29">
        <v>4</v>
      </c>
      <c r="F2" s="29">
        <v>5</v>
      </c>
      <c r="G2" s="29">
        <v>6</v>
      </c>
      <c r="H2" s="29">
        <v>7</v>
      </c>
      <c r="I2" s="29">
        <v>8</v>
      </c>
      <c r="J2" s="29">
        <v>9</v>
      </c>
      <c r="K2" s="29">
        <v>10</v>
      </c>
      <c r="L2" s="29">
        <v>11</v>
      </c>
      <c r="M2" s="29">
        <v>12</v>
      </c>
      <c r="N2" s="29">
        <v>13</v>
      </c>
    </row>
    <row r="3" spans="1:14" s="30" customFormat="1" x14ac:dyDescent="0.3">
      <c r="A3" s="30" t="s">
        <v>143</v>
      </c>
      <c r="B3" s="45">
        <v>0</v>
      </c>
      <c r="C3" s="45">
        <v>0</v>
      </c>
      <c r="D3" s="45">
        <v>0</v>
      </c>
      <c r="E3" s="45">
        <v>3</v>
      </c>
      <c r="F3" s="45">
        <v>6</v>
      </c>
      <c r="G3" s="45">
        <v>10</v>
      </c>
      <c r="H3" s="45">
        <v>15</v>
      </c>
      <c r="I3" s="45">
        <v>20</v>
      </c>
      <c r="J3" s="45">
        <v>20</v>
      </c>
      <c r="K3" s="45">
        <v>18</v>
      </c>
      <c r="L3" s="45">
        <v>16</v>
      </c>
      <c r="M3" s="45">
        <v>14</v>
      </c>
      <c r="N3" s="45">
        <v>8</v>
      </c>
    </row>
    <row r="4" spans="1:14" s="46" customFormat="1" x14ac:dyDescent="0.3"/>
    <row r="5" spans="1:14" s="24" customFormat="1" ht="15" thickBot="1" x14ac:dyDescent="0.35">
      <c r="A5" s="43" t="s">
        <v>118</v>
      </c>
      <c r="B5" s="44">
        <f>SUM(B6:B12)</f>
        <v>34316000</v>
      </c>
      <c r="C5" s="44">
        <f t="shared" ref="C5:N5" si="0">SUM(C6:C12)</f>
        <v>24800000</v>
      </c>
      <c r="D5" s="44">
        <f t="shared" si="0"/>
        <v>24800000</v>
      </c>
      <c r="E5" s="44">
        <f t="shared" si="0"/>
        <v>0</v>
      </c>
      <c r="F5" s="44">
        <f t="shared" si="0"/>
        <v>0</v>
      </c>
      <c r="G5" s="44">
        <f t="shared" si="0"/>
        <v>0</v>
      </c>
      <c r="H5" s="44">
        <f t="shared" si="0"/>
        <v>0</v>
      </c>
      <c r="I5" s="44">
        <f t="shared" si="0"/>
        <v>0</v>
      </c>
      <c r="J5" s="44">
        <f t="shared" si="0"/>
        <v>0</v>
      </c>
      <c r="K5" s="44">
        <f t="shared" si="0"/>
        <v>0</v>
      </c>
      <c r="L5" s="44">
        <f t="shared" si="0"/>
        <v>0</v>
      </c>
      <c r="M5" s="44">
        <f t="shared" si="0"/>
        <v>0</v>
      </c>
      <c r="N5" s="44">
        <f t="shared" si="0"/>
        <v>0</v>
      </c>
    </row>
    <row r="6" spans="1:14" x14ac:dyDescent="0.3">
      <c r="A6" t="s">
        <v>108</v>
      </c>
      <c r="B6" s="28">
        <f>Investment!$C$2*4</f>
        <v>800000</v>
      </c>
      <c r="C6" s="28">
        <f>Investment!$C$2*4</f>
        <v>800000</v>
      </c>
      <c r="D6" s="28">
        <f>Investment!$C$2*4</f>
        <v>800000</v>
      </c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 x14ac:dyDescent="0.3">
      <c r="A7" t="s">
        <v>110</v>
      </c>
      <c r="B7" s="28">
        <f>Investment!D6</f>
        <v>5616000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x14ac:dyDescent="0.3">
      <c r="A8" t="s">
        <v>111</v>
      </c>
      <c r="B8" s="28">
        <f>Investment!D7</f>
        <v>1404000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x14ac:dyDescent="0.3">
      <c r="A9" t="s">
        <v>112</v>
      </c>
      <c r="B9" s="28">
        <f>Investment!D8</f>
        <v>1560000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x14ac:dyDescent="0.3">
      <c r="A10" t="s">
        <v>113</v>
      </c>
      <c r="B10" s="28">
        <f>Investment!D9</f>
        <v>936000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</row>
    <row r="11" spans="1:14" x14ac:dyDescent="0.3">
      <c r="A11" t="s">
        <v>105</v>
      </c>
      <c r="B11" s="28">
        <f>Investment!$C$3</f>
        <v>12000000</v>
      </c>
      <c r="C11" s="28">
        <f>Investment!$C$3</f>
        <v>12000000</v>
      </c>
      <c r="D11" s="28">
        <f>Investment!$C$3</f>
        <v>12000000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x14ac:dyDescent="0.3">
      <c r="A12" t="s">
        <v>106</v>
      </c>
      <c r="B12" s="28">
        <f>Investment!$D$4</f>
        <v>12000000</v>
      </c>
      <c r="C12" s="28">
        <f>Investment!$D$4</f>
        <v>12000000</v>
      </c>
      <c r="D12" s="28">
        <f>Investment!$D$4</f>
        <v>12000000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</row>
    <row r="13" spans="1:14" s="47" customFormat="1" x14ac:dyDescent="0.3"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s="24" customFormat="1" ht="15" thickBot="1" x14ac:dyDescent="0.35">
      <c r="A14" s="43" t="s">
        <v>132</v>
      </c>
      <c r="B14" s="44">
        <f t="shared" ref="B14:N14" si="1">SUM(B15:B16)</f>
        <v>3351600</v>
      </c>
      <c r="C14" s="44">
        <f t="shared" si="1"/>
        <v>2400000</v>
      </c>
      <c r="D14" s="44">
        <f t="shared" si="1"/>
        <v>2400000</v>
      </c>
      <c r="E14" s="44">
        <f t="shared" si="1"/>
        <v>8893625.2630805224</v>
      </c>
      <c r="F14" s="44">
        <f t="shared" si="1"/>
        <v>17787250.526161045</v>
      </c>
      <c r="G14" s="44">
        <f t="shared" si="1"/>
        <v>29645417.543601736</v>
      </c>
      <c r="H14" s="44">
        <f t="shared" si="1"/>
        <v>44468126.315402605</v>
      </c>
      <c r="I14" s="44">
        <f t="shared" si="1"/>
        <v>59290835.087203473</v>
      </c>
      <c r="J14" s="44">
        <f t="shared" si="1"/>
        <v>59290835.087203473</v>
      </c>
      <c r="K14" s="44">
        <f t="shared" si="1"/>
        <v>53361751.578483127</v>
      </c>
      <c r="L14" s="44">
        <f t="shared" si="1"/>
        <v>47432668.069762781</v>
      </c>
      <c r="M14" s="44">
        <f t="shared" si="1"/>
        <v>41503584.561042435</v>
      </c>
      <c r="N14" s="44">
        <f t="shared" si="1"/>
        <v>23716334.034881391</v>
      </c>
    </row>
    <row r="15" spans="1:14" x14ac:dyDescent="0.3">
      <c r="A15" t="s">
        <v>133</v>
      </c>
      <c r="B15" s="28">
        <f>'Gen. assum.'!$B$2*B3</f>
        <v>0</v>
      </c>
      <c r="C15" s="28">
        <f>'Gen. assum.'!$B$2*C3</f>
        <v>0</v>
      </c>
      <c r="D15" s="28">
        <f>'Gen. assum.'!$B$2*D3</f>
        <v>0</v>
      </c>
      <c r="E15" s="28">
        <f>'Gen. assum.'!$B$2*E3</f>
        <v>8893625.2630805224</v>
      </c>
      <c r="F15" s="28">
        <f>'Gen. assum.'!$B$2*F3</f>
        <v>17787250.526161045</v>
      </c>
      <c r="G15" s="28">
        <f>'Gen. assum.'!$B$2*G3</f>
        <v>29645417.543601736</v>
      </c>
      <c r="H15" s="28">
        <f>'Gen. assum.'!$B$2*H3</f>
        <v>44468126.315402605</v>
      </c>
      <c r="I15" s="28">
        <f>'Gen. assum.'!$B$2*I3</f>
        <v>59290835.087203473</v>
      </c>
      <c r="J15" s="28">
        <f>'Gen. assum.'!$B$2*J3</f>
        <v>59290835.087203473</v>
      </c>
      <c r="K15" s="28">
        <f>'Gen. assum.'!$B$2*K3</f>
        <v>53361751.578483127</v>
      </c>
      <c r="L15" s="28">
        <f>'Gen. assum.'!$B$2*L3</f>
        <v>47432668.069762781</v>
      </c>
      <c r="M15" s="28">
        <f>'Gen. assum.'!$B$2*M3</f>
        <v>41503584.561042435</v>
      </c>
      <c r="N15" s="28">
        <f>'Gen. assum.'!$B$2*N3</f>
        <v>23716334.034881391</v>
      </c>
    </row>
    <row r="16" spans="1:14" x14ac:dyDescent="0.3">
      <c r="A16" t="s">
        <v>134</v>
      </c>
      <c r="B16" s="28">
        <f>TaxDeduct.!B13</f>
        <v>3351600</v>
      </c>
      <c r="C16" s="28">
        <f>TaxDeduct.!C13</f>
        <v>2400000</v>
      </c>
      <c r="D16" s="28">
        <f>TaxDeduct.!D13</f>
        <v>2400000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</row>
    <row r="17" spans="1:14" s="47" customFormat="1" x14ac:dyDescent="0.3"/>
    <row r="18" spans="1:14" x14ac:dyDescent="0.3">
      <c r="A18" s="32" t="s">
        <v>127</v>
      </c>
      <c r="B18" s="28">
        <f>B14-B5</f>
        <v>-30964400</v>
      </c>
      <c r="C18" s="28">
        <f t="shared" ref="C18:N18" si="2">C14-C5</f>
        <v>-22400000</v>
      </c>
      <c r="D18" s="28">
        <f t="shared" si="2"/>
        <v>-22400000</v>
      </c>
      <c r="E18" s="28">
        <f t="shared" si="2"/>
        <v>8893625.2630805224</v>
      </c>
      <c r="F18" s="28">
        <f t="shared" si="2"/>
        <v>17787250.526161045</v>
      </c>
      <c r="G18" s="28">
        <f t="shared" si="2"/>
        <v>29645417.543601736</v>
      </c>
      <c r="H18" s="28">
        <f t="shared" si="2"/>
        <v>44468126.315402605</v>
      </c>
      <c r="I18" s="28">
        <f t="shared" si="2"/>
        <v>59290835.087203473</v>
      </c>
      <c r="J18" s="28">
        <f t="shared" si="2"/>
        <v>59290835.087203473</v>
      </c>
      <c r="K18" s="28">
        <f t="shared" si="2"/>
        <v>53361751.578483127</v>
      </c>
      <c r="L18" s="28">
        <f t="shared" si="2"/>
        <v>47432668.069762781</v>
      </c>
      <c r="M18" s="28">
        <f t="shared" si="2"/>
        <v>41503584.561042435</v>
      </c>
      <c r="N18" s="28">
        <f t="shared" si="2"/>
        <v>23716334.034881391</v>
      </c>
    </row>
    <row r="19" spans="1:14" x14ac:dyDescent="0.3">
      <c r="A19" s="32" t="s">
        <v>138</v>
      </c>
      <c r="B19" s="28">
        <f>B18/(1+'Hurdle rate'!$B$17)^(B2-0.5)</f>
        <v>-29577222.744123127</v>
      </c>
      <c r="C19" s="28">
        <f>C18/(1+'Hurdle rate'!$B$17)^(C2-0.5)</f>
        <v>-19522354.158051427</v>
      </c>
      <c r="D19" s="28">
        <f>D18/(1+'Hurdle rate'!$B$17)^(D2-0.5)</f>
        <v>-17812366.932528671</v>
      </c>
      <c r="E19" s="28">
        <f>E18/(1+'Hurdle rate'!$B$17)^(E2-0.5)</f>
        <v>6452706.1288776184</v>
      </c>
      <c r="F19" s="28">
        <f>F18/(1+'Hurdle rate'!$B$17)^(F2-0.5)</f>
        <v>11775011.184083244</v>
      </c>
      <c r="G19" s="28">
        <f>G18/(1+'Hurdle rate'!$B$17)^(G2-0.5)</f>
        <v>17906038.905236073</v>
      </c>
      <c r="H19" s="28">
        <f>H18/(1+'Hurdle rate'!$B$17)^(H2-0.5)</f>
        <v>24506440.107531119</v>
      </c>
      <c r="I19" s="28">
        <f>I18/(1+'Hurdle rate'!$B$17)^(I2-0.5)</f>
        <v>29813187.478748318</v>
      </c>
      <c r="J19" s="28">
        <f>J18/(1+'Hurdle rate'!$B$17)^(J2-0.5)</f>
        <v>27201813.39301854</v>
      </c>
      <c r="K19" s="28">
        <f>K18/(1+'Hurdle rate'!$B$17)^(K2-0.5)</f>
        <v>22337255.523464125</v>
      </c>
      <c r="L19" s="28">
        <f>L18/(1+'Hurdle rate'!$B$17)^(L2-0.5)</f>
        <v>18116184.528356954</v>
      </c>
      <c r="M19" s="28">
        <f>M18/(1+'Hurdle rate'!$B$17)^(M2-0.5)</f>
        <v>14463194.764883514</v>
      </c>
      <c r="N19" s="28">
        <f>N18/(1+'Hurdle rate'!$B$17)^(N2-0.5)</f>
        <v>7540768.9076556396</v>
      </c>
    </row>
    <row r="20" spans="1:14" x14ac:dyDescent="0.3">
      <c r="A20" s="41" t="s">
        <v>128</v>
      </c>
      <c r="B20" s="42">
        <f>SUM(B19:N19)</f>
        <v>113200657.08715193</v>
      </c>
    </row>
    <row r="21" spans="1:14" x14ac:dyDescent="0.3">
      <c r="A21" s="50" t="s">
        <v>144</v>
      </c>
      <c r="B21" s="51" t="s">
        <v>148</v>
      </c>
    </row>
    <row r="22" spans="1:14" x14ac:dyDescent="0.3">
      <c r="A22" s="50" t="s">
        <v>145</v>
      </c>
      <c r="B22" s="51" t="s">
        <v>149</v>
      </c>
    </row>
    <row r="23" spans="1:14" x14ac:dyDescent="0.3">
      <c r="A23" s="50" t="s">
        <v>146</v>
      </c>
      <c r="B23" s="52">
        <f>IRR(B19:N19, 0.9)</f>
        <v>0.16790140332201497</v>
      </c>
    </row>
    <row r="24" spans="1:14" x14ac:dyDescent="0.3">
      <c r="A24" s="50" t="s">
        <v>147</v>
      </c>
      <c r="B24" s="53">
        <f>B20/Investment!B26+1</f>
        <v>2.5273950103169804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Gen. assum.</vt:lpstr>
      <vt:lpstr>BS</vt:lpstr>
      <vt:lpstr>Hurdle rate</vt:lpstr>
      <vt:lpstr>TaxDeduct.</vt:lpstr>
      <vt:lpstr>Investment</vt:lpstr>
      <vt:lpstr>NPV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2018-12-05T12:22:10Z</dcterms:modified>
</cp:coreProperties>
</file>