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061eb18e1e83c7/Рабочий стол/operation managment/project/"/>
    </mc:Choice>
  </mc:AlternateContent>
  <xr:revisionPtr revIDLastSave="28" documentId="8_{09A149EC-4C25-4768-82CE-6243F1E27914}" xr6:coauthVersionLast="47" xr6:coauthVersionMax="47" xr10:uidLastSave="{ED6CB313-FBAD-4184-B7D8-8F7DC6EE0666}"/>
  <bookViews>
    <workbookView xWindow="-108" yWindow="-108" windowWidth="23256" windowHeight="12456" activeTab="3" xr2:uid="{C82ABC69-7B4F-154D-B2C8-95A915693611}"/>
  </bookViews>
  <sheets>
    <sheet name="Malpensa Case- OpM" sheetId="1" r:id="rId1"/>
    <sheet name="Question1" sheetId="3" r:id="rId2"/>
    <sheet name="Question2" sheetId="13" r:id="rId3"/>
    <sheet name="Question3" sheetId="17" r:id="rId4"/>
    <sheet name="Question 4" sheetId="14" r:id="rId5"/>
    <sheet name="Question 4 from Flavio" sheetId="18" r:id="rId6"/>
    <sheet name="Question5" sheetId="15" r:id="rId7"/>
    <sheet name="Question6" sheetId="10" r:id="rId8"/>
    <sheet name="Question7" sheetId="11" r:id="rId9"/>
    <sheet name="Question 8" sheetId="19" r:id="rId10"/>
    <sheet name="Question9" sheetId="2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3" i="17" l="1"/>
  <c r="T44" i="17"/>
  <c r="T45" i="17"/>
  <c r="T46" i="17"/>
  <c r="T47" i="17"/>
  <c r="T48" i="17"/>
  <c r="T49" i="17"/>
  <c r="T50" i="17"/>
  <c r="T51" i="17"/>
  <c r="T52" i="17"/>
  <c r="T53" i="17"/>
  <c r="T54" i="17"/>
  <c r="T55" i="17"/>
  <c r="T56" i="17"/>
  <c r="T57" i="17"/>
  <c r="T58" i="17"/>
  <c r="T59" i="17"/>
  <c r="T60" i="17"/>
  <c r="T61" i="17"/>
  <c r="T62" i="17"/>
  <c r="T63" i="17"/>
  <c r="T64" i="17"/>
  <c r="T65" i="17"/>
  <c r="T66" i="17"/>
  <c r="T67" i="17"/>
  <c r="T68" i="17"/>
  <c r="T69" i="17"/>
  <c r="T70" i="17"/>
  <c r="T71" i="17"/>
  <c r="T72" i="17"/>
  <c r="T73" i="17"/>
  <c r="T74" i="17"/>
  <c r="T75" i="17"/>
  <c r="S16" i="18"/>
  <c r="Q16" i="18"/>
  <c r="O16" i="18"/>
  <c r="N16" i="18"/>
  <c r="M16" i="18"/>
  <c r="L16" i="18"/>
  <c r="U15" i="18"/>
  <c r="T15" i="18"/>
  <c r="S15" i="18"/>
  <c r="R15" i="18"/>
  <c r="Q15" i="18"/>
  <c r="P15" i="18"/>
  <c r="O15" i="18"/>
  <c r="N15" i="18"/>
  <c r="M15" i="18"/>
  <c r="L15" i="18"/>
  <c r="K15" i="18"/>
  <c r="U13" i="18"/>
  <c r="T13" i="18"/>
  <c r="S13" i="18"/>
  <c r="R13" i="18"/>
  <c r="Q13" i="18"/>
  <c r="P13" i="18"/>
  <c r="O13" i="18"/>
  <c r="N13" i="18"/>
  <c r="M13" i="18"/>
  <c r="L13" i="18"/>
  <c r="K13" i="18"/>
  <c r="K9" i="18"/>
  <c r="L9" i="18"/>
  <c r="M9" i="18"/>
  <c r="N9" i="18"/>
  <c r="O9" i="18"/>
  <c r="P9" i="18"/>
  <c r="Q9" i="18"/>
  <c r="R9" i="18"/>
  <c r="S9" i="18"/>
  <c r="T9" i="18"/>
  <c r="U9" i="18"/>
  <c r="Y31" i="18"/>
  <c r="X88" i="18"/>
  <c r="X87" i="18"/>
  <c r="X86" i="18"/>
  <c r="X85" i="18"/>
  <c r="X84" i="18"/>
  <c r="F84" i="18"/>
  <c r="G84" i="18" s="1"/>
  <c r="X83" i="18"/>
  <c r="X82" i="18"/>
  <c r="X81" i="18"/>
  <c r="X80" i="18"/>
  <c r="X79" i="18"/>
  <c r="X78" i="18"/>
  <c r="X77" i="18"/>
  <c r="X76" i="18"/>
  <c r="X75" i="18"/>
  <c r="X74" i="18"/>
  <c r="X73" i="18"/>
  <c r="X72" i="18"/>
  <c r="X71" i="18"/>
  <c r="X70" i="18"/>
  <c r="F70" i="18"/>
  <c r="G70" i="18" s="1"/>
  <c r="X69" i="18"/>
  <c r="X68" i="18"/>
  <c r="X67" i="18"/>
  <c r="X66" i="18"/>
  <c r="F66" i="18"/>
  <c r="G66" i="18" s="1"/>
  <c r="X65" i="18"/>
  <c r="X64" i="18"/>
  <c r="F64" i="18"/>
  <c r="G64" i="18" s="1"/>
  <c r="X63" i="18"/>
  <c r="X62" i="18"/>
  <c r="X61" i="18"/>
  <c r="X60" i="18"/>
  <c r="F60" i="18"/>
  <c r="G60" i="18" s="1"/>
  <c r="X59" i="18"/>
  <c r="X58" i="18"/>
  <c r="X57" i="18"/>
  <c r="F54" i="18"/>
  <c r="G54" i="18" s="1"/>
  <c r="G48" i="18"/>
  <c r="F48" i="18"/>
  <c r="F42" i="18"/>
  <c r="G42" i="18" s="1"/>
  <c r="G36" i="18"/>
  <c r="F36" i="18"/>
  <c r="F34" i="18"/>
  <c r="G34" i="18" s="1"/>
  <c r="G30" i="18"/>
  <c r="F30" i="18"/>
  <c r="F28" i="18"/>
  <c r="G28" i="18" s="1"/>
  <c r="S23" i="18"/>
  <c r="R23" i="18"/>
  <c r="Q23" i="18"/>
  <c r="P23" i="18"/>
  <c r="O23" i="18"/>
  <c r="N23" i="18"/>
  <c r="M23" i="18"/>
  <c r="L23" i="18"/>
  <c r="K23" i="18"/>
  <c r="G18" i="18"/>
  <c r="F18" i="18"/>
  <c r="G10" i="18"/>
  <c r="F10" i="18"/>
  <c r="C5" i="18"/>
  <c r="G4" i="18"/>
  <c r="F4" i="18"/>
  <c r="C4" i="18"/>
  <c r="C3" i="18"/>
  <c r="F76" i="18" s="1"/>
  <c r="G76" i="18" s="1"/>
  <c r="Y32" i="18" l="1"/>
  <c r="Y27" i="18"/>
  <c r="Y30" i="18"/>
  <c r="Y29" i="18"/>
  <c r="Y90" i="18"/>
  <c r="AA82" i="18" s="1"/>
  <c r="F24" i="18"/>
  <c r="G24" i="18" s="1"/>
  <c r="F40" i="18"/>
  <c r="G40" i="18" s="1"/>
  <c r="F46" i="18"/>
  <c r="G46" i="18" s="1"/>
  <c r="F52" i="18"/>
  <c r="G52" i="18" s="1"/>
  <c r="F58" i="18"/>
  <c r="G58" i="18" s="1"/>
  <c r="F78" i="18"/>
  <c r="G78" i="18" s="1"/>
  <c r="F82" i="18"/>
  <c r="G82" i="18" s="1"/>
  <c r="F12" i="18"/>
  <c r="G12" i="18" s="1"/>
  <c r="F22" i="18"/>
  <c r="G22" i="18" s="1"/>
  <c r="F6" i="18"/>
  <c r="G6" i="18" s="1"/>
  <c r="F15" i="18"/>
  <c r="G15" i="18" s="1"/>
  <c r="F72" i="18"/>
  <c r="G72" i="18" s="1"/>
  <c r="AA62" i="18" l="1"/>
  <c r="AA58" i="18"/>
  <c r="AA86" i="18"/>
  <c r="AA78" i="18"/>
  <c r="Y28" i="18"/>
  <c r="Y34" i="18"/>
  <c r="Y24" i="18"/>
  <c r="Y23" i="18"/>
  <c r="AA74" i="18"/>
  <c r="AA66" i="18"/>
  <c r="AA84" i="18"/>
  <c r="AA68" i="18"/>
  <c r="AA64" i="18"/>
  <c r="AA60" i="18"/>
  <c r="AA70" i="18"/>
  <c r="AA88" i="18"/>
  <c r="AA80" i="18"/>
  <c r="AA76" i="18"/>
  <c r="AA72" i="18"/>
  <c r="Y26" i="18" l="1"/>
  <c r="Y25" i="18"/>
  <c r="Z77" i="18" s="1" a="1"/>
  <c r="Z77" i="18" s="1"/>
  <c r="AB77" i="18" s="1"/>
  <c r="Z78" i="18" a="1"/>
  <c r="Z78" i="18" s="1"/>
  <c r="AB78" i="18" s="1"/>
  <c r="Z67" i="18" a="1"/>
  <c r="Z67" i="18" s="1"/>
  <c r="AB67" i="18" s="1"/>
  <c r="Z75" i="18" a="1"/>
  <c r="Z75" i="18" s="1"/>
  <c r="AB75" i="18" s="1"/>
  <c r="Z84" i="18" a="1"/>
  <c r="Z84" i="18" s="1"/>
  <c r="AB84" i="18" s="1"/>
  <c r="Z57" i="18" a="1"/>
  <c r="Z57" i="18" s="1"/>
  <c r="AB57" i="18" s="1"/>
  <c r="Z87" i="18" l="1" a="1"/>
  <c r="Z87" i="18" s="1"/>
  <c r="AB87" i="18" s="1"/>
  <c r="Z62" i="18" a="1"/>
  <c r="Z62" i="18" s="1"/>
  <c r="AB62" i="18" s="1"/>
  <c r="Z64" i="18" a="1"/>
  <c r="Z64" i="18" s="1"/>
  <c r="AB64" i="18" s="1"/>
  <c r="Z76" i="18" a="1"/>
  <c r="Z76" i="18" s="1"/>
  <c r="AB76" i="18" s="1"/>
  <c r="Z70" i="18" a="1"/>
  <c r="Z70" i="18" s="1"/>
  <c r="AB70" i="18" s="1"/>
  <c r="Z74" i="18" a="1"/>
  <c r="Z74" i="18" s="1"/>
  <c r="AB74" i="18" s="1"/>
  <c r="Z63" i="18" a="1"/>
  <c r="Z63" i="18" s="1"/>
  <c r="AB63" i="18" s="1"/>
  <c r="Z82" i="18" a="1"/>
  <c r="Z82" i="18" s="1"/>
  <c r="AB82" i="18" s="1"/>
  <c r="Z60" i="18" a="1"/>
  <c r="Z60" i="18" s="1"/>
  <c r="AB60" i="18" s="1"/>
  <c r="Z61" i="18" a="1"/>
  <c r="Z61" i="18" s="1"/>
  <c r="AB61" i="18" s="1"/>
  <c r="Z80" i="18" a="1"/>
  <c r="Z80" i="18" s="1"/>
  <c r="AB80" i="18" s="1"/>
  <c r="Z86" i="18" a="1"/>
  <c r="Z86" i="18" s="1"/>
  <c r="AB86" i="18" s="1"/>
  <c r="Z81" i="18" a="1"/>
  <c r="Z81" i="18" s="1"/>
  <c r="AB81" i="18" s="1"/>
  <c r="Z71" i="18" a="1"/>
  <c r="Z71" i="18" s="1"/>
  <c r="AB71" i="18" s="1"/>
  <c r="Z59" i="18" a="1"/>
  <c r="Z59" i="18" s="1"/>
  <c r="AB59" i="18" s="1"/>
  <c r="Z79" i="18" a="1"/>
  <c r="Z79" i="18" s="1"/>
  <c r="AB79" i="18" s="1"/>
  <c r="Z88" i="18" a="1"/>
  <c r="Z88" i="18" s="1"/>
  <c r="AB88" i="18" s="1"/>
  <c r="Z85" i="18" a="1"/>
  <c r="Z85" i="18" s="1"/>
  <c r="AB85" i="18" s="1"/>
  <c r="Z73" i="18" a="1"/>
  <c r="Z73" i="18" s="1"/>
  <c r="AB73" i="18" s="1"/>
  <c r="Z68" i="18" a="1"/>
  <c r="Z68" i="18" s="1"/>
  <c r="AB68" i="18" s="1"/>
  <c r="Z58" i="18" a="1"/>
  <c r="Z58" i="18" s="1"/>
  <c r="AB58" i="18" s="1"/>
  <c r="Z69" i="18" a="1"/>
  <c r="Z69" i="18" s="1"/>
  <c r="AB69" i="18" s="1"/>
  <c r="Z72" i="18" a="1"/>
  <c r="Z72" i="18" s="1"/>
  <c r="AB72" i="18" s="1"/>
  <c r="Z83" i="18" a="1"/>
  <c r="Z83" i="18" s="1"/>
  <c r="AB83" i="18" s="1"/>
  <c r="Z65" i="18" a="1"/>
  <c r="Z65" i="18" s="1"/>
  <c r="AB65" i="18" s="1"/>
  <c r="Z66" i="18" a="1"/>
  <c r="Z66" i="18" s="1"/>
  <c r="AB66" i="18" s="1"/>
  <c r="AB92" i="18" l="1"/>
  <c r="U74" i="17" l="1" a="1"/>
  <c r="U74" i="17" s="1"/>
  <c r="S74" i="17"/>
  <c r="U73" i="17" a="1"/>
  <c r="U73" i="17" s="1"/>
  <c r="W73" i="17" s="1"/>
  <c r="S73" i="17"/>
  <c r="U72" i="17" a="1"/>
  <c r="U72" i="17" s="1"/>
  <c r="S72" i="17"/>
  <c r="W71" i="17"/>
  <c r="U71" i="17" a="1"/>
  <c r="U71" i="17" s="1"/>
  <c r="S71" i="17"/>
  <c r="U70" i="17" a="1"/>
  <c r="U70" i="17" s="1"/>
  <c r="S70" i="17"/>
  <c r="U69" i="17" a="1"/>
  <c r="U69" i="17" s="1"/>
  <c r="W69" i="17" s="1"/>
  <c r="S69" i="17"/>
  <c r="U68" i="17"/>
  <c r="U68" i="17" a="1"/>
  <c r="S68" i="17"/>
  <c r="U67" i="17" a="1"/>
  <c r="U67" i="17" s="1"/>
  <c r="W67" i="17" s="1"/>
  <c r="S67" i="17"/>
  <c r="U66" i="17" a="1"/>
  <c r="U66" i="17" s="1"/>
  <c r="S66" i="17"/>
  <c r="U65" i="17" a="1"/>
  <c r="U65" i="17" s="1"/>
  <c r="W65" i="17" s="1"/>
  <c r="S65" i="17"/>
  <c r="U64" i="17" a="1"/>
  <c r="U64" i="17" s="1"/>
  <c r="S64" i="17"/>
  <c r="U63" i="17" a="1"/>
  <c r="U63" i="17" s="1"/>
  <c r="W63" i="17" s="1"/>
  <c r="S63" i="17"/>
  <c r="U62" i="17" a="1"/>
  <c r="U62" i="17" s="1"/>
  <c r="S62" i="17"/>
  <c r="W61" i="17"/>
  <c r="U61" i="17" a="1"/>
  <c r="U61" i="17" s="1"/>
  <c r="S61" i="17"/>
  <c r="U60" i="17" a="1"/>
  <c r="U60" i="17" s="1"/>
  <c r="S60" i="17"/>
  <c r="U59" i="17" a="1"/>
  <c r="U59" i="17" s="1"/>
  <c r="W59" i="17" s="1"/>
  <c r="S59" i="17"/>
  <c r="U58" i="17" a="1"/>
  <c r="U58" i="17" s="1"/>
  <c r="S58" i="17"/>
  <c r="U57" i="17" a="1"/>
  <c r="U57" i="17" s="1"/>
  <c r="W57" i="17" s="1"/>
  <c r="S57" i="17"/>
  <c r="U56" i="17" a="1"/>
  <c r="U56" i="17" s="1"/>
  <c r="S56" i="17"/>
  <c r="W55" i="17"/>
  <c r="U55" i="17" a="1"/>
  <c r="U55" i="17" s="1"/>
  <c r="S55" i="17"/>
  <c r="U54" i="17" a="1"/>
  <c r="U54" i="17" s="1"/>
  <c r="S54" i="17"/>
  <c r="U53" i="17" a="1"/>
  <c r="U53" i="17" s="1"/>
  <c r="W53" i="17" s="1"/>
  <c r="S53" i="17"/>
  <c r="U52" i="17"/>
  <c r="U52" i="17" a="1"/>
  <c r="S52" i="17"/>
  <c r="U51" i="17" a="1"/>
  <c r="U51" i="17" s="1"/>
  <c r="W51" i="17" s="1"/>
  <c r="S51" i="17"/>
  <c r="U50" i="17" a="1"/>
  <c r="U50" i="17" s="1"/>
  <c r="S50" i="17"/>
  <c r="U49" i="17" a="1"/>
  <c r="U49" i="17" s="1"/>
  <c r="W49" i="17" s="1"/>
  <c r="S49" i="17"/>
  <c r="U48" i="17" a="1"/>
  <c r="U48" i="17" s="1"/>
  <c r="S48" i="17"/>
  <c r="U47" i="17" a="1"/>
  <c r="U47" i="17" s="1"/>
  <c r="W47" i="17" s="1"/>
  <c r="S47" i="17"/>
  <c r="U46" i="17" a="1"/>
  <c r="U46" i="17" s="1"/>
  <c r="S46" i="17"/>
  <c r="W45" i="17"/>
  <c r="U45" i="17" a="1"/>
  <c r="U45" i="17" s="1"/>
  <c r="S45" i="17"/>
  <c r="U44" i="17" a="1"/>
  <c r="U44" i="17" s="1"/>
  <c r="S44" i="17"/>
  <c r="T76" i="17" s="1"/>
  <c r="V66" i="17" s="1"/>
  <c r="S43" i="17"/>
  <c r="N9" i="17"/>
  <c r="M9" i="17"/>
  <c r="L9" i="17"/>
  <c r="K9" i="17"/>
  <c r="J9" i="17"/>
  <c r="I9" i="17"/>
  <c r="H9" i="17"/>
  <c r="G9" i="17"/>
  <c r="F9" i="17"/>
  <c r="BE101" i="15"/>
  <c r="BD101" i="15"/>
  <c r="BD107" i="15"/>
  <c r="BC101" i="15"/>
  <c r="AY107" i="15"/>
  <c r="AX107" i="15"/>
  <c r="AW107" i="15"/>
  <c r="AW108" i="15" s="1"/>
  <c r="AV107" i="15"/>
  <c r="AU107" i="15"/>
  <c r="AU108" i="15" s="1"/>
  <c r="AT107" i="15"/>
  <c r="AS107" i="15"/>
  <c r="AS108" i="15" s="1"/>
  <c r="AR107" i="15"/>
  <c r="AR108" i="15" s="1"/>
  <c r="AQ107" i="15"/>
  <c r="AQ108" i="15" s="1"/>
  <c r="AP107" i="15"/>
  <c r="AP108" i="15" s="1"/>
  <c r="AO107" i="15"/>
  <c r="AY105" i="15"/>
  <c r="AX105" i="15"/>
  <c r="AW105" i="15"/>
  <c r="AV105" i="15"/>
  <c r="AU105" i="15"/>
  <c r="AT105" i="15"/>
  <c r="AS105" i="15"/>
  <c r="AR105" i="15"/>
  <c r="AQ105" i="15"/>
  <c r="AO105" i="15"/>
  <c r="O103" i="15"/>
  <c r="Q103" i="15" s="1"/>
  <c r="M103" i="15"/>
  <c r="K103" i="15"/>
  <c r="O102" i="15"/>
  <c r="Q102" i="15" s="1"/>
  <c r="X97" i="15" s="1"/>
  <c r="M102" i="15"/>
  <c r="K102" i="15"/>
  <c r="BH101" i="15"/>
  <c r="BH105" i="15" s="1"/>
  <c r="Q101" i="15"/>
  <c r="O100" i="15"/>
  <c r="Q100" i="15" s="1"/>
  <c r="M100" i="15"/>
  <c r="O99" i="15"/>
  <c r="M99" i="15"/>
  <c r="Q99" i="15" s="1"/>
  <c r="Q98" i="15"/>
  <c r="Q97" i="15"/>
  <c r="O97" i="15"/>
  <c r="M97" i="15"/>
  <c r="K97" i="15"/>
  <c r="Q96" i="15"/>
  <c r="O96" i="15"/>
  <c r="M96" i="15"/>
  <c r="K96" i="15"/>
  <c r="Q95" i="15"/>
  <c r="K95" i="15"/>
  <c r="Q94" i="15"/>
  <c r="K94" i="15"/>
  <c r="AH86" i="15"/>
  <c r="AH84" i="15"/>
  <c r="AH80" i="15"/>
  <c r="AH78" i="15"/>
  <c r="AH74" i="15"/>
  <c r="AH72" i="15"/>
  <c r="AH68" i="15"/>
  <c r="AH60" i="15"/>
  <c r="AH56" i="15"/>
  <c r="AH54" i="15"/>
  <c r="AH50" i="15"/>
  <c r="AH48" i="15"/>
  <c r="AH44" i="15"/>
  <c r="AH36" i="15"/>
  <c r="AH32" i="15"/>
  <c r="AH30" i="15"/>
  <c r="AH26" i="15"/>
  <c r="AH24" i="15"/>
  <c r="AH20" i="15"/>
  <c r="AH18" i="15"/>
  <c r="AH14" i="15"/>
  <c r="AH12" i="15"/>
  <c r="AH8" i="15"/>
  <c r="AD7" i="15"/>
  <c r="BI101" i="15" s="1"/>
  <c r="AH6" i="15"/>
  <c r="AD6" i="15"/>
  <c r="BJ101" i="15" s="1"/>
  <c r="AD5" i="15"/>
  <c r="BF101" i="15" s="1"/>
  <c r="V56" i="17" l="1"/>
  <c r="W56" i="17" s="1"/>
  <c r="V58" i="17"/>
  <c r="V60" i="17"/>
  <c r="W68" i="17"/>
  <c r="V72" i="17"/>
  <c r="W72" i="17" s="1"/>
  <c r="V74" i="17"/>
  <c r="V46" i="17"/>
  <c r="W46" i="17" s="1"/>
  <c r="V48" i="17"/>
  <c r="W48" i="17" s="1"/>
  <c r="V64" i="17"/>
  <c r="V68" i="17"/>
  <c r="V62" i="17"/>
  <c r="W62" i="17" s="1"/>
  <c r="W60" i="17"/>
  <c r="W52" i="17"/>
  <c r="W58" i="17"/>
  <c r="W64" i="17"/>
  <c r="W66" i="17"/>
  <c r="W74" i="17"/>
  <c r="V50" i="17"/>
  <c r="W50" i="17" s="1"/>
  <c r="V54" i="17"/>
  <c r="W54" i="17" s="1"/>
  <c r="V70" i="17"/>
  <c r="W70" i="17" s="1"/>
  <c r="U43" i="17" a="1"/>
  <c r="U43" i="17" s="1"/>
  <c r="W43" i="17" s="1"/>
  <c r="V52" i="17"/>
  <c r="V44" i="17"/>
  <c r="W44" i="17" s="1"/>
  <c r="BI107" i="15"/>
  <c r="BI108" i="15" s="1"/>
  <c r="BI105" i="15"/>
  <c r="BF107" i="15"/>
  <c r="BF108" i="15" s="1"/>
  <c r="BF105" i="15"/>
  <c r="BJ107" i="15"/>
  <c r="BJ105" i="15"/>
  <c r="BD108" i="15"/>
  <c r="BE107" i="15"/>
  <c r="BE105" i="15" s="1"/>
  <c r="BM101" i="15"/>
  <c r="BG101" i="15"/>
  <c r="BK101" i="15"/>
  <c r="AP105" i="15"/>
  <c r="BL101" i="15"/>
  <c r="BH107" i="15"/>
  <c r="AD8" i="15"/>
  <c r="W78" i="17" l="1"/>
  <c r="BG107" i="15"/>
  <c r="BG108" i="15" s="1"/>
  <c r="BG105" i="15"/>
  <c r="BL105" i="15"/>
  <c r="BL107" i="15"/>
  <c r="BC105" i="15"/>
  <c r="BC107" i="15"/>
  <c r="BM107" i="15"/>
  <c r="BM105" i="15"/>
  <c r="BK105" i="15"/>
  <c r="BK107" i="15"/>
  <c r="BK108" i="15" s="1"/>
  <c r="BD105" i="15"/>
  <c r="BE108" i="15"/>
  <c r="G14" i="13" l="1"/>
  <c r="F15" i="13"/>
  <c r="E15" i="13"/>
  <c r="BD108" i="14" l="1"/>
  <c r="BD109" i="14" s="1"/>
  <c r="BH108" i="14"/>
  <c r="BH106" i="14"/>
  <c r="O103" i="14"/>
  <c r="M103" i="14"/>
  <c r="K103" i="14"/>
  <c r="O102" i="14"/>
  <c r="M102" i="14"/>
  <c r="K102" i="14"/>
  <c r="Q101" i="14"/>
  <c r="O100" i="14"/>
  <c r="M100" i="14"/>
  <c r="O99" i="14"/>
  <c r="M99" i="14"/>
  <c r="Q98" i="14"/>
  <c r="O97" i="14"/>
  <c r="M97" i="14"/>
  <c r="K97" i="14"/>
  <c r="O96" i="14"/>
  <c r="M96" i="14"/>
  <c r="K96" i="14"/>
  <c r="K95" i="14"/>
  <c r="Q95" i="14" s="1"/>
  <c r="K94" i="14"/>
  <c r="Q94" i="14" s="1"/>
  <c r="AH78" i="14"/>
  <c r="AH36" i="14"/>
  <c r="AH32" i="14"/>
  <c r="AH30" i="14"/>
  <c r="AH26" i="14"/>
  <c r="AH24" i="14"/>
  <c r="AH20" i="14"/>
  <c r="AH18" i="14"/>
  <c r="AH14" i="14"/>
  <c r="AH12" i="14"/>
  <c r="AH8" i="14"/>
  <c r="AD7" i="14"/>
  <c r="AH6" i="14"/>
  <c r="AD6" i="14"/>
  <c r="AD5" i="14"/>
  <c r="BE102" i="14" l="1"/>
  <c r="Q97" i="14"/>
  <c r="Q100" i="14"/>
  <c r="Q102" i="14"/>
  <c r="Q103" i="14"/>
  <c r="AD8" i="14"/>
  <c r="BI102" i="14"/>
  <c r="BI108" i="14" s="1"/>
  <c r="BI109" i="14" s="1"/>
  <c r="Q96" i="14"/>
  <c r="BC102" i="14"/>
  <c r="BG102" i="14"/>
  <c r="BL102" i="14"/>
  <c r="BM102" i="14"/>
  <c r="BE108" i="14"/>
  <c r="BE109" i="14" s="1"/>
  <c r="BJ102" i="14"/>
  <c r="Q99" i="14"/>
  <c r="BF102" i="14"/>
  <c r="BK102" i="14"/>
  <c r="BK106" i="14" s="1"/>
  <c r="X97" i="14" l="1"/>
  <c r="BI106" i="14"/>
  <c r="BE106" i="14"/>
  <c r="BF108" i="14"/>
  <c r="BF109" i="14" s="1"/>
  <c r="BF106" i="14"/>
  <c r="BC108" i="14"/>
  <c r="BC106" i="14"/>
  <c r="BG108" i="14"/>
  <c r="BG109" i="14" s="1"/>
  <c r="BG106" i="14"/>
  <c r="BD106" i="14"/>
  <c r="BK108" i="14"/>
  <c r="BK109" i="14" s="1"/>
  <c r="BM108" i="14"/>
  <c r="BM106" i="14"/>
  <c r="BJ106" i="14"/>
  <c r="BJ108" i="14"/>
  <c r="BL108" i="14"/>
  <c r="BL106" i="14"/>
  <c r="L12" i="13" l="1"/>
  <c r="J12" i="13"/>
  <c r="H12" i="13"/>
  <c r="G12" i="13"/>
  <c r="D12" i="13"/>
  <c r="N12" i="13"/>
  <c r="M12" i="13"/>
  <c r="K12" i="13"/>
  <c r="I12" i="13"/>
  <c r="M14" i="13"/>
  <c r="N14" i="13"/>
  <c r="K14" i="13"/>
  <c r="L14" i="13"/>
  <c r="L15" i="13" s="1"/>
  <c r="I14" i="13"/>
  <c r="J14" i="13"/>
  <c r="J15" i="13" s="1"/>
  <c r="G15" i="13"/>
  <c r="H14" i="13"/>
  <c r="H15" i="13" s="1"/>
  <c r="E14" i="13"/>
  <c r="F14" i="13"/>
  <c r="F12" i="13" s="1"/>
  <c r="D14" i="13"/>
  <c r="C20" i="10"/>
  <c r="C11" i="10"/>
  <c r="E12" i="13" l="1"/>
  <c r="O103" i="3"/>
  <c r="M103" i="3"/>
  <c r="K103" i="3"/>
  <c r="O102" i="3"/>
  <c r="M102" i="3"/>
  <c r="K102" i="3"/>
  <c r="Q101" i="3"/>
  <c r="O100" i="3"/>
  <c r="M100" i="3"/>
  <c r="Q100" i="3"/>
  <c r="O99" i="3"/>
  <c r="M99" i="3"/>
  <c r="Q98" i="3"/>
  <c r="O97" i="3"/>
  <c r="M97" i="3"/>
  <c r="K97" i="3"/>
  <c r="Q97" i="3"/>
  <c r="O96" i="3"/>
  <c r="M96" i="3"/>
  <c r="K96" i="3"/>
  <c r="Q96" i="3"/>
  <c r="K95" i="3"/>
  <c r="Q95" i="3"/>
  <c r="K94" i="3"/>
  <c r="Q94" i="3"/>
  <c r="AH32" i="3"/>
  <c r="AH30" i="3"/>
  <c r="AH26" i="3"/>
  <c r="AH24" i="3"/>
  <c r="AH20" i="3"/>
  <c r="AH18" i="3"/>
  <c r="AH14" i="3"/>
  <c r="AH12" i="3"/>
  <c r="AH8" i="3"/>
  <c r="AD7" i="3"/>
  <c r="AH6" i="3"/>
  <c r="AD6" i="3"/>
  <c r="AD5" i="3"/>
  <c r="Q99" i="3"/>
  <c r="Q103" i="3"/>
  <c r="Q102" i="3"/>
  <c r="X9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<sst xmlns="http://schemas.openxmlformats.org/spreadsheetml/2006/main" count="1127" uniqueCount="329">
  <si>
    <t xml:space="preserve">Carolina </t>
  </si>
  <si>
    <t>Trotta</t>
  </si>
  <si>
    <t xml:space="preserve">Isabella </t>
  </si>
  <si>
    <t>Spinardi</t>
  </si>
  <si>
    <t>QUESTION 1</t>
  </si>
  <si>
    <t>Class of passenger</t>
  </si>
  <si>
    <t xml:space="preserve">Number of passengers </t>
  </si>
  <si>
    <t>A</t>
  </si>
  <si>
    <t>a</t>
  </si>
  <si>
    <t>CHECK IN       (single, MM5)</t>
  </si>
  <si>
    <t>SECURITY CHECK  (single, MM1,     non-preemptive A)</t>
  </si>
  <si>
    <t>ID CHECK - DOM (multiple, MM1x5)</t>
  </si>
  <si>
    <t>B</t>
  </si>
  <si>
    <t>INPUT NODE</t>
  </si>
  <si>
    <t>100%(A+B)+ 10%(A+B)</t>
  </si>
  <si>
    <t>100%*(12000+24000)+10%(12000+24000)</t>
  </si>
  <si>
    <t>C</t>
  </si>
  <si>
    <t>Computation</t>
  </si>
  <si>
    <t xml:space="preserve">Value </t>
  </si>
  <si>
    <t>Input I</t>
  </si>
  <si>
    <t>OUTPUT NODE</t>
  </si>
  <si>
    <t>110%(A+B)</t>
  </si>
  <si>
    <t>110%*(12000+24000)</t>
  </si>
  <si>
    <t>b</t>
  </si>
  <si>
    <t>ID CHECK - INT (multiple, MM1x5)</t>
  </si>
  <si>
    <t>100%(A+B) + 10%(A+B)</t>
  </si>
  <si>
    <t>100%*(12000+24000) + 10%(12000+24000)</t>
  </si>
  <si>
    <t>c</t>
  </si>
  <si>
    <t>100%(A+B)+100%(C)+15%(A+B+C)</t>
  </si>
  <si>
    <t>100%*(12000+24000)+100%*44000+15%*(12000+24000+44000)</t>
  </si>
  <si>
    <t>115%(A+B+C)</t>
  </si>
  <si>
    <t>115%*(12000+24000+44000)</t>
  </si>
  <si>
    <t>d</t>
  </si>
  <si>
    <t xml:space="preserve">INPUT NODE </t>
  </si>
  <si>
    <t>115%(12000+24000+44000)</t>
  </si>
  <si>
    <t xml:space="preserve">OUTPUT NODE </t>
  </si>
  <si>
    <t>100%(A+B+C)+15%(A+B+C)</t>
  </si>
  <si>
    <t>100%*(12000+24000+44000)+15%(12000+24000+44000)</t>
  </si>
  <si>
    <t>e</t>
  </si>
  <si>
    <t>100%(A+B+C)</t>
  </si>
  <si>
    <t>100%*(12000+24000+44000)</t>
  </si>
  <si>
    <t>60%(A+B+C)+40%(A+B+C)</t>
  </si>
  <si>
    <t>60%*(12000+24000+44000)+40%*(12000+24000+44000)</t>
  </si>
  <si>
    <t>LOUNGE         (single, MM2)</t>
  </si>
  <si>
    <t>FAST FOOD (multiple, MM1x12)</t>
  </si>
  <si>
    <t>RESTAURANT    (single, MM4)</t>
  </si>
  <si>
    <t>f</t>
  </si>
  <si>
    <t>RESTROOM (LOUNGE)</t>
  </si>
  <si>
    <t>40%(A+B+C) + 60%(A+B+C)</t>
  </si>
  <si>
    <t>40%*(12000+24000+44000)+60%*(12000+24000+44000)</t>
  </si>
  <si>
    <t>g</t>
  </si>
  <si>
    <t>100%A+80%(B+C)+20%(B+C)</t>
  </si>
  <si>
    <t>100%*12000+80%*(24000+44000)+20%*(24000+44000)</t>
  </si>
  <si>
    <t>h</t>
  </si>
  <si>
    <t>100%A+20%A</t>
  </si>
  <si>
    <t>100%*12000+20%*12000</t>
  </si>
  <si>
    <t>120%A</t>
  </si>
  <si>
    <t>120%*12000</t>
  </si>
  <si>
    <t>RELAXATION AREA FREE (multiple, MM1x5)</t>
  </si>
  <si>
    <t xml:space="preserve">i </t>
  </si>
  <si>
    <t>l</t>
  </si>
  <si>
    <t>100%*1200+20%*(24000+44000)+80%*(24000+44000)</t>
  </si>
  <si>
    <t>100%*(80000)</t>
  </si>
  <si>
    <t>m</t>
  </si>
  <si>
    <t>BOARDING - DOM (single, MM3)</t>
  </si>
  <si>
    <t>BOARDING - INT    (single, MM3)</t>
  </si>
  <si>
    <t>n</t>
  </si>
  <si>
    <t>60%(A+B+C)</t>
  </si>
  <si>
    <t>60%*(12000+24000+44000)</t>
  </si>
  <si>
    <t>3%[60%(A+B+C)]+97%[60%(A+B+C)]</t>
  </si>
  <si>
    <t>3%*[60%*(12000+24000+44000)]+97%*[60%*(12000+24000+44000)]</t>
  </si>
  <si>
    <t>o</t>
  </si>
  <si>
    <t>40%(A+B+C)</t>
  </si>
  <si>
    <t>40%*(12000+24000+44000)</t>
  </si>
  <si>
    <t>5%[40%(A+B+C)]+95%[40%(A+B+C)]</t>
  </si>
  <si>
    <t>5%*[40%*(12000+24000+44000)]+95%*[40%*(12000+24000+44000)]</t>
  </si>
  <si>
    <t>p</t>
  </si>
  <si>
    <t xml:space="preserve">95%[40%(A+B+C)] + 97%[60%(A+B+C)] </t>
  </si>
  <si>
    <t xml:space="preserve">95%*[40%*(12000+24000+44000)] + 97%*[60%*(12000+24000+44000)] </t>
  </si>
  <si>
    <t>Output O</t>
  </si>
  <si>
    <t xml:space="preserve">NUMBER OF INPUT PASSENGERS FOR EACH STAGE </t>
  </si>
  <si>
    <t>STAGE</t>
  </si>
  <si>
    <t>Input passengers of Class A</t>
  </si>
  <si>
    <t>Input passengers of Class B</t>
  </si>
  <si>
    <t>input passengers of Class C</t>
  </si>
  <si>
    <t xml:space="preserve">TOTAL passengers  </t>
  </si>
  <si>
    <t>CHECK IN</t>
  </si>
  <si>
    <t xml:space="preserve">SECURITY </t>
  </si>
  <si>
    <t>ID CHECK - DOM</t>
  </si>
  <si>
    <t>ID CHECK - INT</t>
  </si>
  <si>
    <t>VALUE OF THE OUTPUT</t>
  </si>
  <si>
    <t>LOUNGE</t>
  </si>
  <si>
    <t>FAST FOOD</t>
  </si>
  <si>
    <t>RESTOURANT</t>
  </si>
  <si>
    <t xml:space="preserve">RELAXATION AREA </t>
  </si>
  <si>
    <t>BOARDING - DOM</t>
  </si>
  <si>
    <t>BOARDING - INT</t>
  </si>
  <si>
    <t xml:space="preserve">Shynar </t>
  </si>
  <si>
    <t>Suleimenova</t>
  </si>
  <si>
    <t xml:space="preserve">Flavio </t>
  </si>
  <si>
    <t>Mancosu</t>
  </si>
  <si>
    <t>Queue Type</t>
  </si>
  <si>
    <t>single, MM5</t>
  </si>
  <si>
    <t>single, MM1 + non preemptive (A)</t>
  </si>
  <si>
    <t>multiple, MM1x5</t>
  </si>
  <si>
    <t>multiple, MM1x12</t>
  </si>
  <si>
    <t>single, MM4</t>
  </si>
  <si>
    <t>single, MM2</t>
  </si>
  <si>
    <t>single, MM3</t>
  </si>
  <si>
    <t>Lq</t>
  </si>
  <si>
    <t>Ws</t>
  </si>
  <si>
    <t>RELAXATION AREA</t>
  </si>
  <si>
    <t>GROUP 13</t>
  </si>
  <si>
    <t>Ws [min]</t>
  </si>
  <si>
    <t>TOTAL WS</t>
  </si>
  <si>
    <t>QUESTION 3</t>
  </si>
  <si>
    <t>carolina.trotta@mail.polimi.it</t>
  </si>
  <si>
    <t>isabella.spinardi@mail.polimi.it</t>
  </si>
  <si>
    <t>favio.mancosu@mail.polimi.it</t>
  </si>
  <si>
    <t>shynar.suleimenova@mail.polimi.it</t>
  </si>
  <si>
    <t>computation</t>
  </si>
  <si>
    <t>Value</t>
  </si>
  <si>
    <t>Text</t>
  </si>
  <si>
    <t xml:space="preserve">𝝆 </t>
  </si>
  <si>
    <t xml:space="preserve">CHECK-IN </t>
  </si>
  <si>
    <t>ID CHECK- DOM</t>
  </si>
  <si>
    <t>ID CHECK-INT</t>
  </si>
  <si>
    <t xml:space="preserve">RESTAURANT </t>
  </si>
  <si>
    <t>BOARDING- DOM</t>
  </si>
  <si>
    <t>BOARDING-INT</t>
  </si>
  <si>
    <t>λ/µ</t>
  </si>
  <si>
    <t>ANSWER QUESTION 6</t>
  </si>
  <si>
    <t>Formula to compute the Cu</t>
  </si>
  <si>
    <t>Cu Value</t>
  </si>
  <si>
    <t>Formula to compute Co</t>
  </si>
  <si>
    <t>Co Value</t>
  </si>
  <si>
    <t>Formula to compute PL</t>
  </si>
  <si>
    <t>PLEASE INDICATE ALL THE STEPS AND
 THE PARAMETERS NEEDED TO ARRIVE TO THE ANSWER</t>
  </si>
  <si>
    <t>PL final value</t>
  </si>
  <si>
    <t>μ = 30</t>
  </si>
  <si>
    <t>σ = 5</t>
  </si>
  <si>
    <t xml:space="preserve">μ + Zα x σ
</t>
  </si>
  <si>
    <t xml:space="preserve">Business Class Ticket </t>
  </si>
  <si>
    <t xml:space="preserve">Economy Class Ticket </t>
  </si>
  <si>
    <t>Business Costs  (10+3+2)</t>
  </si>
  <si>
    <t>Economy Costs (2 + 4)</t>
  </si>
  <si>
    <t>Economy Revenues  (0,10 x (30-20))</t>
  </si>
  <si>
    <t xml:space="preserve">Business Costs </t>
  </si>
  <si>
    <t xml:space="preserve">Passengers Revenues </t>
  </si>
  <si>
    <t xml:space="preserve">Economy Costs </t>
  </si>
  <si>
    <t>snacks not paid in advance</t>
  </si>
  <si>
    <t>Meal Revenues</t>
  </si>
  <si>
    <t>P (X1 ≤ S1) ≤ Cu / (Cu + Co) = 140 / (140 + 163) = 0.4620462</t>
  </si>
  <si>
    <t>Zα = -0.1 (Normal Distribution Table)</t>
  </si>
  <si>
    <t>PL = μ + Zα x σ = 30 - 0.1x 5 = 29.5</t>
  </si>
  <si>
    <t>Costs Value</t>
  </si>
  <si>
    <t>Revenues Value</t>
  </si>
  <si>
    <t>Formula to Compute Revenues</t>
  </si>
  <si>
    <t>Formula to Compute Costs</t>
  </si>
  <si>
    <t>Demand Calculation</t>
  </si>
  <si>
    <t>Break-Even Point: Revenues = Costs (R = C)</t>
  </si>
  <si>
    <t>Demand Final Value</t>
  </si>
  <si>
    <t>S=30</t>
  </si>
  <si>
    <t>SECURITY A</t>
  </si>
  <si>
    <t>SECURITY B-C</t>
  </si>
  <si>
    <r>
      <t xml:space="preserve">µ </t>
    </r>
    <r>
      <rPr>
        <sz val="14"/>
        <color rgb="FF000000"/>
        <rFont val="Calibri"/>
        <family val="2"/>
        <scheme val="minor"/>
      </rPr>
      <t>[passengers/min]</t>
    </r>
  </si>
  <si>
    <r>
      <t xml:space="preserve">λ </t>
    </r>
    <r>
      <rPr>
        <sz val="14"/>
        <color rgb="FF000000"/>
        <rFont val="Calibri"/>
        <family val="2"/>
        <scheme val="minor"/>
      </rPr>
      <t>[passengers/min]</t>
    </r>
  </si>
  <si>
    <r>
      <t xml:space="preserve">Ws </t>
    </r>
    <r>
      <rPr>
        <sz val="14"/>
        <color rgb="FF000000"/>
        <rFont val="Calibri"/>
        <family val="2"/>
        <scheme val="minor"/>
      </rPr>
      <t>[min]</t>
    </r>
  </si>
  <si>
    <t>#server</t>
  </si>
  <si>
    <t>C=1</t>
  </si>
  <si>
    <t>c=2</t>
  </si>
  <si>
    <t>c=3</t>
  </si>
  <si>
    <t>C=4</t>
  </si>
  <si>
    <t>c=5</t>
  </si>
  <si>
    <t>C=6</t>
  </si>
  <si>
    <t>c=7</t>
  </si>
  <si>
    <t>c=8</t>
  </si>
  <si>
    <t>0.15</t>
  </si>
  <si>
    <t>0.001</t>
  </si>
  <si>
    <t>0.20</t>
  </si>
  <si>
    <t>0.25</t>
  </si>
  <si>
    <t>0.35</t>
  </si>
  <si>
    <t>0.40</t>
  </si>
  <si>
    <t>0.60</t>
  </si>
  <si>
    <t>0.70</t>
  </si>
  <si>
    <t>0.098</t>
  </si>
  <si>
    <t>0.75</t>
  </si>
  <si>
    <t>0.85</t>
  </si>
  <si>
    <t>0.90</t>
  </si>
  <si>
    <t>0.007</t>
  </si>
  <si>
    <t>1.1</t>
  </si>
  <si>
    <t>0.016</t>
  </si>
  <si>
    <t>0.023</t>
  </si>
  <si>
    <t>0.045</t>
  </si>
  <si>
    <t>0.009</t>
  </si>
  <si>
    <t>0.105</t>
  </si>
  <si>
    <t>0.052</t>
  </si>
  <si>
    <t>2.3</t>
  </si>
  <si>
    <t>0.084</t>
  </si>
  <si>
    <t>0.021</t>
  </si>
  <si>
    <t>0.027</t>
  </si>
  <si>
    <t>3.1</t>
  </si>
  <si>
    <t>3.2</t>
  </si>
  <si>
    <t>0.209</t>
  </si>
  <si>
    <t>4.1</t>
  </si>
  <si>
    <t>4.2</t>
  </si>
  <si>
    <t>4.3</t>
  </si>
  <si>
    <t>4.5</t>
  </si>
  <si>
    <t>4.6</t>
  </si>
  <si>
    <t>0.242</t>
  </si>
  <si>
    <t>ANSWER QUESTION 2</t>
  </si>
  <si>
    <t>PATH ID</t>
  </si>
  <si>
    <t>CHECK-IN 1</t>
  </si>
  <si>
    <t>CHECK-IN 2</t>
  </si>
  <si>
    <t>SECURITY 1</t>
  </si>
  <si>
    <t>SECURITY 2</t>
  </si>
  <si>
    <t>SCRAP2</t>
  </si>
  <si>
    <t>Frequency computations</t>
  </si>
  <si>
    <t>Frequency Adj</t>
  </si>
  <si>
    <t>Ws * Frequency Adj</t>
  </si>
  <si>
    <t>Frequency results</t>
  </si>
  <si>
    <t>Ws computations</t>
  </si>
  <si>
    <t>RELA1ATION AREA</t>
  </si>
  <si>
    <t>SCRAP1</t>
  </si>
  <si>
    <t xml:space="preserve"> </t>
  </si>
  <si>
    <t>29 seats (Cu&lt;Co)</t>
  </si>
  <si>
    <t>IT'S BETTER TO UNDERESTIMATE</t>
  </si>
  <si>
    <t>R = 303X + 26.676</t>
  </si>
  <si>
    <t>R = 300X + 150*(200 – S1) + 0.20 *15 * [X + (200 – S1)] + 0.10*30*[200 – S1]</t>
  </si>
  <si>
    <t>C =8000+1000+2000+ S1(10+3+2) +(200 -S1)*(4+2)+(200-S1)* 0.1*20+0,2*(X+(200-S1))*4</t>
  </si>
  <si>
    <t>R = 300X + 150*(200 – 29) + 0,20 * 15 * [X1 + (200 – 29)] + 0,10 * 30 * [200 – 29]</t>
  </si>
  <si>
    <t>C = 0.8X + 12.939.8</t>
  </si>
  <si>
    <t>c =8000+1000+2000+ 29(10+3+2) +(200 -29)*(4+2)+(200-29)* 0.1*20+0,2*(X+(200-29))*4</t>
  </si>
  <si>
    <t>303X + 26.676 = 0.8X + 12.939.8</t>
  </si>
  <si>
    <t>X1 = - 45.45 Passengers</t>
  </si>
  <si>
    <t>So the break even point will be reached for sure</t>
  </si>
  <si>
    <r>
      <t>X</t>
    </r>
    <r>
      <rPr>
        <b/>
        <sz val="10"/>
        <color rgb="FF000000"/>
        <rFont val="Calibri"/>
        <family val="2"/>
      </rPr>
      <t>1</t>
    </r>
    <r>
      <rPr>
        <b/>
        <sz val="12"/>
        <color rgb="FF000000"/>
        <rFont val="Calibri"/>
        <family val="2"/>
      </rPr>
      <t xml:space="preserve"> &lt; 0 , so the company is going to reach the break-even point regardless of the demand for Business Tickets.</t>
    </r>
    <r>
      <rPr>
        <b/>
        <sz val="12"/>
        <color rgb="FFFF0000"/>
        <rFont val="Calibri"/>
        <family val="2"/>
      </rPr>
      <t xml:space="preserve">   </t>
    </r>
  </si>
  <si>
    <t>Cu = [300 – 10 – 3 – 2] – [150 – 4 – 2 + 0,10 * (30 – 20)]</t>
  </si>
  <si>
    <t>Cu - 0.1* 80</t>
  </si>
  <si>
    <t>140 - 0.1* 80= 132</t>
  </si>
  <si>
    <t>Co - 80 + 80* 0.1 - 10 * 0.1</t>
  </si>
  <si>
    <t>163 - 80 + 80* 0.1 - 10* 0.1= 90</t>
  </si>
  <si>
    <t>P(X&lt;S) = Cu/(Cu+Co)=132/(132+90)= 0.595</t>
  </si>
  <si>
    <t>(looking at the table)</t>
  </si>
  <si>
    <t>PL=30+0.24*5=31.2</t>
  </si>
  <si>
    <t>(Co&lt;Cu)</t>
  </si>
  <si>
    <t>Cu = [300 – 10 – 3 – 2] – [150 – 4 – 2 + 0,10 * (30 – 20)]-(0.1*80)</t>
  </si>
  <si>
    <t>cost of underestimation=140</t>
  </si>
  <si>
    <t>no show revenue= (0.1*80)</t>
  </si>
  <si>
    <t>Co=150+0.1*(30-20)+0.2*15+10+3-4=163</t>
  </si>
  <si>
    <t>Better to overestimate</t>
  </si>
  <si>
    <t>100%*(12000+22320)+10%(12000+22320)</t>
  </si>
  <si>
    <t>110%*(12000+22320)</t>
  </si>
  <si>
    <t>100%*(12000+22320) + 10%(12000+22320)</t>
  </si>
  <si>
    <t>100%*(12000+22320)+100%*44000+15%*(12000+22320+44000)</t>
  </si>
  <si>
    <t>115%*(12000+22320+44000)</t>
  </si>
  <si>
    <t>115%(12000+22320+44000)</t>
  </si>
  <si>
    <t>100%*(12000+22320+44000)+15%(12000+22320+44000)</t>
  </si>
  <si>
    <t>100%*(12000+22320+44000)</t>
  </si>
  <si>
    <t>60%*(12000+22320+44000)+40%*(12000+22320+44000)</t>
  </si>
  <si>
    <t>40%*(12000+22320+44000)+60%*(12000+22320+44000)</t>
  </si>
  <si>
    <t>100%*12000+80%*(22320+44000)+20%*(22320+44000)</t>
  </si>
  <si>
    <t>100%*1200+20%*(22320+44000)+80%*(22320+44000)</t>
  </si>
  <si>
    <t>100%*(78320)</t>
  </si>
  <si>
    <t>60%*(12000+22320+44000)</t>
  </si>
  <si>
    <t>3%*[60%*(12000+22320+44000)]+97%*[60%*(12000+22320+44000)]</t>
  </si>
  <si>
    <t>40%*(12000+22320+44000)</t>
  </si>
  <si>
    <t>5%*[40%*(12000+22320+44000)]+95%*[40%*(12000+22320+44000)]</t>
  </si>
  <si>
    <t xml:space="preserve">95%*[40%*(12000+22320+44000)] + 97%*[60%*(12000+22320+44000)] </t>
  </si>
  <si>
    <t>QUESTION 4</t>
  </si>
  <si>
    <t>λ/(µ*S)</t>
  </si>
  <si>
    <t>Lq/λ + 1/µ</t>
  </si>
  <si>
    <t>[(1+𝜌2)/µ]/(1-𝜌1)</t>
  </si>
  <si>
    <t>[(1-𝜌1(1-𝜌1-𝜌2))/µ]/[(1-𝜌1)(1-𝜌1-𝜌2)]</t>
  </si>
  <si>
    <t>1/(µ-λ/S)</t>
  </si>
  <si>
    <t xml:space="preserve">original </t>
  </si>
  <si>
    <t>new</t>
  </si>
  <si>
    <t>100%*(10800+21600)+10%(10800+21600)</t>
  </si>
  <si>
    <t>110%*(10800+21600)</t>
  </si>
  <si>
    <t>100%*(10800+21600) + 10%(10800+21600)</t>
  </si>
  <si>
    <t>100%*(10800+21600)+100%*39600+15%*(10800+21600+39600)</t>
  </si>
  <si>
    <t>115%*(10800+21600+39600)</t>
  </si>
  <si>
    <t>115%(10800+21600+39600)</t>
  </si>
  <si>
    <t>100%*(10800+21600+39600)+15%(10800+21600+39600)</t>
  </si>
  <si>
    <t>100%*(10800+21600+39600)</t>
  </si>
  <si>
    <t>60%*(10800+21600+39600)+40%*(10800+21600+39600)</t>
  </si>
  <si>
    <t>40%*(10800+21600+39600)+60%*(10800+21600+39600)</t>
  </si>
  <si>
    <t>100%*10800+80%*(21600+39600)+20%*(21600+39600)</t>
  </si>
  <si>
    <t>100%*10800+20%*10800</t>
  </si>
  <si>
    <t>120%*10800</t>
  </si>
  <si>
    <t>100%*10800+20%*(21600+39600)+80%*(21600+39600)</t>
  </si>
  <si>
    <t>100%*(72000)</t>
  </si>
  <si>
    <t>60%*(10800+21600+39600)</t>
  </si>
  <si>
    <t>3%*[60%*(10800+21600+39600)]+97%*[60%*(10800+21600+39600)]</t>
  </si>
  <si>
    <t>40%*(10800+21600+39600)</t>
  </si>
  <si>
    <t>5%*[40%*(10800+21600+39600)]+95%*[40%*(10800+21600+39600)]</t>
  </si>
  <si>
    <t xml:space="preserve">95%*[40%*(10800+21600+39600)] + 97%*[60%*(10800+21600+39600)] </t>
  </si>
  <si>
    <t>*modify % of the comment of this question regarding security for b and c</t>
  </si>
  <si>
    <r>
      <t xml:space="preserve">Seats for </t>
    </r>
    <r>
      <rPr>
        <sz val="12"/>
        <color indexed="9"/>
        <rFont val="Calibri"/>
        <family val="2"/>
      </rPr>
      <t>Customer</t>
    </r>
    <r>
      <rPr>
        <b/>
        <sz val="12"/>
        <color indexed="9"/>
        <rFont val="Calibri"/>
        <family val="2"/>
      </rPr>
      <t xml:space="preserve"> X</t>
    </r>
    <r>
      <rPr>
        <sz val="12"/>
        <color indexed="8"/>
        <rFont val="Calibri"/>
        <family val="2"/>
      </rPr>
      <t xml:space="preserve"> = Total Seats - PL</t>
    </r>
    <r>
      <rPr>
        <sz val="8"/>
        <color indexed="8"/>
        <rFont val="Calibri"/>
        <family val="2"/>
      </rPr>
      <t>Y</t>
    </r>
    <r>
      <rPr>
        <sz val="12"/>
        <color indexed="8"/>
        <rFont val="Calibri"/>
        <family val="2"/>
      </rPr>
      <t xml:space="preserve"> - PL</t>
    </r>
    <r>
      <rPr>
        <sz val="8"/>
        <color indexed="8"/>
        <rFont val="Calibri"/>
        <family val="2"/>
      </rPr>
      <t>Z</t>
    </r>
    <r>
      <rPr>
        <sz val="12"/>
        <color indexed="8"/>
        <rFont val="Calibri"/>
        <family val="2"/>
      </rPr>
      <t xml:space="preserve"> = 700 - 153 - 49 = </t>
    </r>
    <r>
      <rPr>
        <b/>
        <sz val="12"/>
        <color indexed="9"/>
        <rFont val="Calibri"/>
        <family val="2"/>
      </rPr>
      <t>498 seats</t>
    </r>
  </si>
  <si>
    <r>
      <rPr>
        <b/>
        <sz val="12"/>
        <color indexed="9"/>
        <rFont val="Calibri"/>
        <family val="2"/>
      </rPr>
      <t>PL</t>
    </r>
    <r>
      <rPr>
        <b/>
        <sz val="8"/>
        <color indexed="9"/>
        <rFont val="Calibri"/>
        <family val="2"/>
      </rPr>
      <t>Y</t>
    </r>
    <r>
      <rPr>
        <sz val="12"/>
        <color indexed="8"/>
        <rFont val="Calibri"/>
        <family val="2"/>
      </rPr>
      <t xml:space="preserve"> = PL</t>
    </r>
    <r>
      <rPr>
        <sz val="8"/>
        <color indexed="8"/>
        <rFont val="Calibri"/>
        <family val="2"/>
      </rPr>
      <t>YZ</t>
    </r>
    <r>
      <rPr>
        <sz val="12"/>
        <color indexed="8"/>
        <rFont val="Calibri"/>
        <family val="2"/>
      </rPr>
      <t xml:space="preserve"> - PL</t>
    </r>
    <r>
      <rPr>
        <sz val="8"/>
        <color indexed="8"/>
        <rFont val="Calibri"/>
        <family val="2"/>
      </rPr>
      <t>Z</t>
    </r>
    <r>
      <rPr>
        <sz val="12"/>
        <color indexed="8"/>
        <rFont val="Calibri"/>
        <family val="2"/>
      </rPr>
      <t xml:space="preserve"> = 202 - 49 =</t>
    </r>
    <r>
      <rPr>
        <sz val="12"/>
        <color indexed="9"/>
        <rFont val="Calibri"/>
        <family val="2"/>
      </rPr>
      <t xml:space="preserve"> </t>
    </r>
    <r>
      <rPr>
        <b/>
        <sz val="12"/>
        <color indexed="9"/>
        <rFont val="Calibri"/>
        <family val="2"/>
      </rPr>
      <t>153 seats</t>
    </r>
  </si>
  <si>
    <r>
      <rPr>
        <sz val="12"/>
        <color indexed="9"/>
        <rFont val="Calibri"/>
        <family val="2"/>
      </rPr>
      <t>PL</t>
    </r>
    <r>
      <rPr>
        <sz val="8"/>
        <color indexed="9"/>
        <rFont val="Calibri"/>
        <family val="2"/>
      </rPr>
      <t>YZ</t>
    </r>
    <r>
      <rPr>
        <sz val="12"/>
        <color indexed="8"/>
        <rFont val="Calibri"/>
        <family val="2"/>
      </rPr>
      <t xml:space="preserve"> = μ</t>
    </r>
    <r>
      <rPr>
        <sz val="8"/>
        <color indexed="8"/>
        <rFont val="Calibri"/>
        <family val="2"/>
      </rPr>
      <t>YZ</t>
    </r>
    <r>
      <rPr>
        <sz val="12"/>
        <color indexed="8"/>
        <rFont val="Calibri"/>
        <family val="2"/>
      </rPr>
      <t xml:space="preserve"> + Zα x σ</t>
    </r>
    <r>
      <rPr>
        <sz val="8"/>
        <color indexed="8"/>
        <rFont val="Calibri"/>
        <family val="2"/>
      </rPr>
      <t>YZ</t>
    </r>
    <r>
      <rPr>
        <sz val="12"/>
        <color indexed="8"/>
        <rFont val="Calibri"/>
        <family val="2"/>
      </rPr>
      <t xml:space="preserve"> = 200 + 0,21 x √120 = 202,3        </t>
    </r>
    <r>
      <rPr>
        <b/>
        <sz val="12"/>
        <color indexed="9"/>
        <rFont val="Calibri"/>
        <family val="2"/>
      </rPr>
      <t>202 seats</t>
    </r>
  </si>
  <si>
    <t>P (D2 &lt; 𝝑2) = 1 - (𝑓2+1)/𝑓2 = 1 - 500 / 1200  = 0,583 --&gt; Zα = 0,21</t>
  </si>
  <si>
    <t>Protection Level 𝝑2:</t>
  </si>
  <si>
    <r>
      <rPr>
        <b/>
        <sz val="12"/>
        <color indexed="9"/>
        <rFont val="Calibri"/>
        <family val="2"/>
      </rPr>
      <t xml:space="preserve">PLz </t>
    </r>
    <r>
      <rPr>
        <sz val="12"/>
        <color indexed="8"/>
        <rFont val="Calibri"/>
        <family val="2"/>
      </rPr>
      <t>= μ</t>
    </r>
    <r>
      <rPr>
        <sz val="8"/>
        <color indexed="8"/>
        <rFont val="Calibri"/>
        <family val="2"/>
      </rPr>
      <t>Z</t>
    </r>
    <r>
      <rPr>
        <sz val="12"/>
        <color indexed="8"/>
        <rFont val="Calibri"/>
        <family val="2"/>
      </rPr>
      <t xml:space="preserve"> + Zα x σ</t>
    </r>
    <r>
      <rPr>
        <sz val="8"/>
        <color indexed="8"/>
        <rFont val="Calibri"/>
        <family val="2"/>
      </rPr>
      <t>Z</t>
    </r>
    <r>
      <rPr>
        <sz val="12"/>
        <color indexed="8"/>
        <rFont val="Calibri"/>
        <family val="2"/>
      </rPr>
      <t xml:space="preserve"> = 50 – 0,14 * √20 = 49,3739              </t>
    </r>
    <r>
      <rPr>
        <b/>
        <sz val="12"/>
        <color indexed="9"/>
        <rFont val="Calibri"/>
        <family val="2"/>
      </rPr>
      <t>49 seats</t>
    </r>
  </si>
  <si>
    <t>P (D1 &lt; 𝝑1) = 1 - (𝑓1+1)/𝑓1 = 1 - 1.000 / 1.800  = 0,444 --&gt; Zα = - 0,14</t>
  </si>
  <si>
    <t>First protection Level 𝝑1: Z</t>
  </si>
  <si>
    <t>Calculations of the allocated seats</t>
  </si>
  <si>
    <t xml:space="preserve">        49 Seats</t>
  </si>
  <si>
    <t>153 Seats</t>
  </si>
  <si>
    <t>498 Seats</t>
  </si>
  <si>
    <t xml:space="preserve">      variance σ^2 = 20</t>
  </si>
  <si>
    <t xml:space="preserve">           variance σ^2 = 120</t>
  </si>
  <si>
    <t xml:space="preserve">                                    mean μ = 50</t>
  </si>
  <si>
    <t xml:space="preserve">  mean μ = 500</t>
  </si>
  <si>
    <t xml:space="preserve">     Price = 1.800€</t>
  </si>
  <si>
    <t>Price = 500€</t>
  </si>
  <si>
    <t xml:space="preserve">     Customer Z</t>
  </si>
  <si>
    <t>Customer Y</t>
  </si>
  <si>
    <t>Customer X</t>
  </si>
  <si>
    <t>Price = 1.000€</t>
  </si>
  <si>
    <t>mean μ = 150</t>
  </si>
  <si>
    <t>variance σ^2 = 100</t>
  </si>
  <si>
    <t xml:space="preserve">μYZ = μY + μZ = 150 + 50 = 200 </t>
  </si>
  <si>
    <t>PYZ = (PZ x μZ + PY x μY) / (μZ + μY) = (1800 x 50 + 1000 x 150) / 200 = 1200€</t>
  </si>
  <si>
    <t>in minuti</t>
  </si>
  <si>
    <t>Domestic Flight - Business Class Demand to Reach Break-Even Point - Question 7.</t>
  </si>
  <si>
    <t>ANSWER QUESTION 8</t>
  </si>
  <si>
    <t xml:space="preserve">Z=0.24 </t>
  </si>
  <si>
    <t>QUESTION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</si>
</sst>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.000"/>
    <numFmt numFmtId="166" formatCode="0.0000"/>
    <numFmt numFmtId="172" formatCode="#,##0.00\ &quot;€&quot;"/>
    <numFmt numFmtId="173" formatCode="_-* #,##0.00\ [$€-410]_-;\-* #,##0.00\ [$€-410]_-;_-* &quot;-&quot;??\ [$€-410]_-;_-@_-"/>
  </numFmts>
  <fonts count="4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trike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FF0000"/>
      <name val="Calibri"/>
      <family val="2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0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sz val="16"/>
      <color rgb="FF212529"/>
      <name val="Arial"/>
      <family val="2"/>
    </font>
    <font>
      <b/>
      <sz val="16"/>
      <color rgb="FF212529"/>
      <name val="Arial"/>
      <family val="2"/>
    </font>
    <font>
      <sz val="14"/>
      <color theme="7" tint="0.7999816888943144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7" tint="0.79998168889431442"/>
      <name val="Calibri"/>
      <family val="2"/>
      <scheme val="minor"/>
    </font>
    <font>
      <sz val="12"/>
      <color theme="7" tint="0.7999816888943144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rgb="FF212529"/>
      <name val="Calibri"/>
      <family val="2"/>
      <scheme val="minor"/>
    </font>
    <font>
      <sz val="12"/>
      <color indexed="9"/>
      <name val="Calibri"/>
      <family val="2"/>
    </font>
    <font>
      <b/>
      <sz val="12"/>
      <color indexed="9"/>
      <name val="Calibri"/>
      <family val="2"/>
    </font>
    <font>
      <sz val="12"/>
      <color indexed="8"/>
      <name val="Calibri"/>
      <family val="2"/>
    </font>
    <font>
      <sz val="8"/>
      <color indexed="8"/>
      <name val="Calibri"/>
      <family val="2"/>
    </font>
    <font>
      <sz val="12"/>
      <color theme="1"/>
      <name val="Calibri"/>
      <family val="2"/>
    </font>
    <font>
      <b/>
      <sz val="8"/>
      <color indexed="9"/>
      <name val="Calibri"/>
      <family val="2"/>
    </font>
    <font>
      <sz val="8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FFB6D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F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718FA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theme="4" tint="0.59999389629810485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465">
    <xf numFmtId="0" fontId="0" fillId="0" borderId="0" xfId="0"/>
    <xf numFmtId="0" fontId="2" fillId="0" borderId="0" xfId="1"/>
    <xf numFmtId="0" fontId="2" fillId="4" borderId="1" xfId="1" applyFill="1" applyBorder="1" applyAlignment="1">
      <alignment wrapText="1"/>
    </xf>
    <xf numFmtId="0" fontId="2" fillId="5" borderId="1" xfId="1" applyFill="1" applyBorder="1" applyAlignment="1">
      <alignment horizontal="center" vertical="center"/>
    </xf>
    <xf numFmtId="0" fontId="2" fillId="0" borderId="1" xfId="1" applyBorder="1"/>
    <xf numFmtId="0" fontId="4" fillId="6" borderId="2" xfId="2" applyFont="1" applyFill="1" applyBorder="1" applyAlignment="1">
      <alignment horizontal="center"/>
    </xf>
    <xf numFmtId="0" fontId="2" fillId="6" borderId="2" xfId="2" applyFont="1" applyFill="1" applyBorder="1"/>
    <xf numFmtId="0" fontId="2" fillId="6" borderId="3" xfId="2" applyFont="1" applyFill="1" applyBorder="1"/>
    <xf numFmtId="0" fontId="2" fillId="6" borderId="1" xfId="2" quotePrefix="1" applyFont="1" applyFill="1" applyBorder="1"/>
    <xf numFmtId="0" fontId="2" fillId="6" borderId="1" xfId="2" applyFont="1" applyFill="1" applyBorder="1"/>
    <xf numFmtId="0" fontId="2" fillId="6" borderId="6" xfId="2" applyFont="1" applyFill="1" applyBorder="1"/>
    <xf numFmtId="0" fontId="2" fillId="0" borderId="1" xfId="2" applyFont="1" applyBorder="1"/>
    <xf numFmtId="0" fontId="2" fillId="6" borderId="7" xfId="2" applyFont="1" applyFill="1" applyBorder="1"/>
    <xf numFmtId="0" fontId="2" fillId="6" borderId="0" xfId="2" applyFont="1" applyFill="1"/>
    <xf numFmtId="0" fontId="4" fillId="6" borderId="4" xfId="2" applyFont="1" applyFill="1" applyBorder="1" applyAlignment="1">
      <alignment horizontal="center"/>
    </xf>
    <xf numFmtId="0" fontId="6" fillId="0" borderId="0" xfId="1" applyFont="1"/>
    <xf numFmtId="0" fontId="2" fillId="6" borderId="5" xfId="2" applyFont="1" applyFill="1" applyBorder="1"/>
    <xf numFmtId="0" fontId="2" fillId="0" borderId="0" xfId="1" applyAlignment="1">
      <alignment vertical="center" wrapText="1"/>
    </xf>
    <xf numFmtId="0" fontId="7" fillId="0" borderId="1" xfId="1" applyFont="1" applyBorder="1"/>
    <xf numFmtId="0" fontId="2" fillId="0" borderId="15" xfId="1" applyBorder="1"/>
    <xf numFmtId="0" fontId="2" fillId="6" borderId="10" xfId="2" applyFont="1" applyFill="1" applyBorder="1"/>
    <xf numFmtId="0" fontId="2" fillId="0" borderId="0" xfId="1" applyAlignment="1">
      <alignment horizontal="center"/>
    </xf>
    <xf numFmtId="0" fontId="2" fillId="0" borderId="5" xfId="2" applyFont="1" applyBorder="1"/>
    <xf numFmtId="0" fontId="2" fillId="0" borderId="8" xfId="2" applyFont="1" applyBorder="1"/>
    <xf numFmtId="0" fontId="2" fillId="0" borderId="1" xfId="2" quotePrefix="1" applyFont="1" applyBorder="1"/>
    <xf numFmtId="0" fontId="2" fillId="0" borderId="7" xfId="2" applyFont="1" applyBorder="1"/>
    <xf numFmtId="0" fontId="2" fillId="0" borderId="0" xfId="2" applyFont="1"/>
    <xf numFmtId="0" fontId="4" fillId="0" borderId="4" xfId="2" applyFont="1" applyBorder="1" applyAlignment="1">
      <alignment horizontal="center"/>
    </xf>
    <xf numFmtId="0" fontId="2" fillId="0" borderId="2" xfId="2" applyFont="1" applyBorder="1"/>
    <xf numFmtId="0" fontId="2" fillId="0" borderId="11" xfId="2" quotePrefix="1" applyFont="1" applyBorder="1"/>
    <xf numFmtId="0" fontId="2" fillId="0" borderId="12" xfId="1" applyBorder="1"/>
    <xf numFmtId="0" fontId="4" fillId="0" borderId="7" xfId="2" applyFont="1" applyBorder="1" applyAlignment="1">
      <alignment horizontal="center"/>
    </xf>
    <xf numFmtId="0" fontId="2" fillId="0" borderId="9" xfId="2" applyFont="1" applyBorder="1"/>
    <xf numFmtId="2" fontId="5" fillId="0" borderId="0" xfId="1" applyNumberFormat="1" applyFont="1" applyAlignment="1">
      <alignment horizontal="center"/>
    </xf>
    <xf numFmtId="2" fontId="9" fillId="0" borderId="0" xfId="1" applyNumberFormat="1" applyFont="1" applyAlignment="1">
      <alignment horizontal="center"/>
    </xf>
    <xf numFmtId="2" fontId="2" fillId="0" borderId="0" xfId="1" applyNumberFormat="1" applyAlignment="1">
      <alignment horizontal="center"/>
    </xf>
    <xf numFmtId="2" fontId="10" fillId="0" borderId="0" xfId="1" applyNumberFormat="1" applyFont="1" applyAlignment="1">
      <alignment horizontal="center"/>
    </xf>
    <xf numFmtId="0" fontId="14" fillId="0" borderId="0" xfId="4"/>
    <xf numFmtId="0" fontId="19" fillId="0" borderId="1" xfId="1" applyFont="1" applyBorder="1" applyAlignment="1">
      <alignment horizontal="center" vertical="center" wrapText="1"/>
    </xf>
    <xf numFmtId="2" fontId="19" fillId="20" borderId="1" xfId="0" applyNumberFormat="1" applyFont="1" applyFill="1" applyBorder="1" applyAlignment="1">
      <alignment horizontal="center" vertical="center"/>
    </xf>
    <xf numFmtId="0" fontId="8" fillId="4" borderId="40" xfId="0" applyFont="1" applyFill="1" applyBorder="1" applyAlignment="1">
      <alignment horizontal="center"/>
    </xf>
    <xf numFmtId="0" fontId="8" fillId="4" borderId="41" xfId="0" applyFont="1" applyFill="1" applyBorder="1" applyAlignment="1">
      <alignment horizontal="center"/>
    </xf>
    <xf numFmtId="0" fontId="0" fillId="6" borderId="0" xfId="0" applyFill="1"/>
    <xf numFmtId="0" fontId="8" fillId="6" borderId="40" xfId="0" applyFont="1" applyFill="1" applyBorder="1" applyAlignment="1">
      <alignment horizontal="center"/>
    </xf>
    <xf numFmtId="0" fontId="8" fillId="6" borderId="42" xfId="0" applyFont="1" applyFill="1" applyBorder="1" applyAlignment="1">
      <alignment horizontal="center"/>
    </xf>
    <xf numFmtId="0" fontId="8" fillId="6" borderId="0" xfId="0" applyFont="1" applyFill="1"/>
    <xf numFmtId="0" fontId="24" fillId="6" borderId="2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8" fillId="9" borderId="2" xfId="0" applyFont="1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0" xfId="0" applyFill="1"/>
    <xf numFmtId="0" fontId="0" fillId="9" borderId="6" xfId="0" applyFill="1" applyBorder="1"/>
    <xf numFmtId="0" fontId="0" fillId="9" borderId="15" xfId="0" applyFill="1" applyBorder="1"/>
    <xf numFmtId="0" fontId="0" fillId="9" borderId="10" xfId="0" applyFill="1" applyBorder="1"/>
    <xf numFmtId="0" fontId="0" fillId="9" borderId="43" xfId="0" applyFill="1" applyBorder="1"/>
    <xf numFmtId="0" fontId="8" fillId="9" borderId="44" xfId="0" applyFont="1" applyFill="1" applyBorder="1"/>
    <xf numFmtId="0" fontId="0" fillId="9" borderId="45" xfId="0" applyFill="1" applyBorder="1"/>
    <xf numFmtId="2" fontId="0" fillId="9" borderId="45" xfId="0" applyNumberFormat="1" applyFill="1" applyBorder="1"/>
    <xf numFmtId="0" fontId="0" fillId="9" borderId="46" xfId="0" applyFill="1" applyBorder="1"/>
    <xf numFmtId="0" fontId="0" fillId="9" borderId="47" xfId="0" applyFill="1" applyBorder="1"/>
    <xf numFmtId="0" fontId="0" fillId="9" borderId="48" xfId="0" applyFill="1" applyBorder="1"/>
    <xf numFmtId="0" fontId="0" fillId="9" borderId="49" xfId="0" applyFill="1" applyBorder="1"/>
    <xf numFmtId="0" fontId="0" fillId="9" borderId="50" xfId="0" applyFill="1" applyBorder="1"/>
    <xf numFmtId="0" fontId="0" fillId="19" borderId="40" xfId="0" applyFill="1" applyBorder="1"/>
    <xf numFmtId="0" fontId="0" fillId="19" borderId="41" xfId="0" applyFill="1" applyBorder="1"/>
    <xf numFmtId="0" fontId="0" fillId="19" borderId="42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15" xfId="0" applyFill="1" applyBorder="1"/>
    <xf numFmtId="172" fontId="0" fillId="9" borderId="0" xfId="0" applyNumberFormat="1" applyFill="1"/>
    <xf numFmtId="172" fontId="0" fillId="9" borderId="15" xfId="0" applyNumberFormat="1" applyFill="1" applyBorder="1"/>
    <xf numFmtId="173" fontId="0" fillId="9" borderId="0" xfId="0" applyNumberFormat="1" applyFill="1"/>
    <xf numFmtId="173" fontId="0" fillId="9" borderId="15" xfId="0" applyNumberFormat="1" applyFill="1" applyBorder="1"/>
    <xf numFmtId="173" fontId="0" fillId="19" borderId="40" xfId="0" applyNumberFormat="1" applyFill="1" applyBorder="1"/>
    <xf numFmtId="0" fontId="8" fillId="6" borderId="0" xfId="0" applyFont="1" applyFill="1" applyAlignment="1">
      <alignment horizontal="center" vertical="center"/>
    </xf>
    <xf numFmtId="0" fontId="0" fillId="0" borderId="15" xfId="0" applyBorder="1"/>
    <xf numFmtId="0" fontId="0" fillId="0" borderId="10" xfId="0" applyBorder="1"/>
    <xf numFmtId="0" fontId="27" fillId="0" borderId="1" xfId="0" applyFont="1" applyBorder="1" applyAlignment="1">
      <alignment vertical="center"/>
    </xf>
    <xf numFmtId="0" fontId="0" fillId="5" borderId="0" xfId="0" applyFill="1"/>
    <xf numFmtId="0" fontId="19" fillId="0" borderId="1" xfId="1" applyFont="1" applyBorder="1" applyAlignment="1">
      <alignment horizontal="center" vertical="top" wrapText="1"/>
    </xf>
    <xf numFmtId="0" fontId="19" fillId="0" borderId="19" xfId="1" applyFont="1" applyBorder="1" applyAlignment="1">
      <alignment horizontal="center" vertical="top" wrapText="1"/>
    </xf>
    <xf numFmtId="2" fontId="19" fillId="20" borderId="19" xfId="0" applyNumberFormat="1" applyFont="1" applyFill="1" applyBorder="1" applyAlignment="1">
      <alignment horizontal="center" vertical="center"/>
    </xf>
    <xf numFmtId="2" fontId="30" fillId="0" borderId="1" xfId="1" applyNumberFormat="1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2" fillId="0" borderId="5" xfId="0" applyFont="1" applyBorder="1" applyAlignment="1">
      <alignment horizontal="left"/>
    </xf>
    <xf numFmtId="0" fontId="31" fillId="0" borderId="55" xfId="0" applyFont="1" applyBorder="1" applyAlignment="1">
      <alignment horizontal="center" vertical="center"/>
    </xf>
    <xf numFmtId="0" fontId="32" fillId="0" borderId="31" xfId="0" applyFont="1" applyBorder="1" applyAlignment="1">
      <alignment horizontal="left"/>
    </xf>
    <xf numFmtId="0" fontId="32" fillId="0" borderId="35" xfId="0" applyFont="1" applyBorder="1"/>
    <xf numFmtId="0" fontId="32" fillId="0" borderId="39" xfId="0" applyFont="1" applyBorder="1"/>
    <xf numFmtId="0" fontId="32" fillId="0" borderId="37" xfId="0" applyFont="1" applyBorder="1" applyAlignment="1">
      <alignment horizontal="left"/>
    </xf>
    <xf numFmtId="0" fontId="31" fillId="0" borderId="11" xfId="0" applyFont="1" applyBorder="1" applyAlignment="1">
      <alignment horizontal="center" vertical="center"/>
    </xf>
    <xf numFmtId="0" fontId="31" fillId="0" borderId="36" xfId="0" applyFont="1" applyBorder="1" applyAlignment="1">
      <alignment horizontal="center" vertical="center"/>
    </xf>
    <xf numFmtId="0" fontId="31" fillId="10" borderId="11" xfId="0" applyFont="1" applyFill="1" applyBorder="1" applyAlignment="1">
      <alignment horizontal="center" vertical="center"/>
    </xf>
    <xf numFmtId="0" fontId="31" fillId="10" borderId="1" xfId="0" applyFont="1" applyFill="1" applyBorder="1" applyAlignment="1">
      <alignment horizontal="center" vertical="center"/>
    </xf>
    <xf numFmtId="0" fontId="28" fillId="0" borderId="29" xfId="0" applyFont="1" applyBorder="1" applyAlignment="1">
      <alignment horizontal="center" vertical="top"/>
    </xf>
    <xf numFmtId="0" fontId="28" fillId="20" borderId="1" xfId="0" applyFont="1" applyFill="1" applyBorder="1" applyAlignment="1">
      <alignment horizontal="center" vertical="center"/>
    </xf>
    <xf numFmtId="0" fontId="28" fillId="20" borderId="1" xfId="0" applyFont="1" applyFill="1" applyBorder="1" applyAlignment="1">
      <alignment horizontal="center" vertical="top"/>
    </xf>
    <xf numFmtId="165" fontId="28" fillId="20" borderId="1" xfId="0" applyNumberFormat="1" applyFont="1" applyFill="1" applyBorder="1" applyAlignment="1">
      <alignment horizontal="center" vertical="center"/>
    </xf>
    <xf numFmtId="0" fontId="16" fillId="5" borderId="20" xfId="0" applyFont="1" applyFill="1" applyBorder="1"/>
    <xf numFmtId="0" fontId="16" fillId="5" borderId="17" xfId="0" applyFont="1" applyFill="1" applyBorder="1"/>
    <xf numFmtId="0" fontId="17" fillId="5" borderId="17" xfId="0" applyFont="1" applyFill="1" applyBorder="1" applyAlignment="1">
      <alignment horizontal="center" vertical="center"/>
    </xf>
    <xf numFmtId="0" fontId="18" fillId="5" borderId="17" xfId="1" applyFont="1" applyFill="1" applyBorder="1" applyAlignment="1">
      <alignment horizontal="center" vertical="center"/>
    </xf>
    <xf numFmtId="0" fontId="18" fillId="5" borderId="18" xfId="1" applyFont="1" applyFill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8" fillId="20" borderId="19" xfId="0" applyFont="1" applyFill="1" applyBorder="1" applyAlignment="1">
      <alignment horizontal="center" vertical="top"/>
    </xf>
    <xf numFmtId="165" fontId="28" fillId="20" borderId="19" xfId="0" applyNumberFormat="1" applyFont="1" applyFill="1" applyBorder="1" applyAlignment="1">
      <alignment horizontal="center" vertical="center"/>
    </xf>
    <xf numFmtId="0" fontId="27" fillId="0" borderId="23" xfId="0" applyFont="1" applyBorder="1" applyAlignment="1">
      <alignment horizontal="center" vertical="center"/>
    </xf>
    <xf numFmtId="0" fontId="27" fillId="0" borderId="24" xfId="0" applyFont="1" applyBorder="1" applyAlignment="1">
      <alignment vertical="center"/>
    </xf>
    <xf numFmtId="0" fontId="28" fillId="0" borderId="24" xfId="0" applyFont="1" applyBorder="1" applyAlignment="1">
      <alignment horizontal="center" vertical="center"/>
    </xf>
    <xf numFmtId="0" fontId="28" fillId="0" borderId="24" xfId="0" applyFont="1" applyBorder="1" applyAlignment="1">
      <alignment horizontal="center" vertical="top"/>
    </xf>
    <xf numFmtId="0" fontId="28" fillId="23" borderId="1" xfId="0" applyFont="1" applyFill="1" applyBorder="1" applyAlignment="1">
      <alignment vertical="center"/>
    </xf>
    <xf numFmtId="0" fontId="28" fillId="23" borderId="1" xfId="0" applyFont="1" applyFill="1" applyBorder="1" applyAlignment="1">
      <alignment vertical="top"/>
    </xf>
    <xf numFmtId="0" fontId="28" fillId="23" borderId="19" xfId="0" applyFont="1" applyFill="1" applyBorder="1" applyAlignment="1">
      <alignment vertical="top"/>
    </xf>
    <xf numFmtId="2" fontId="19" fillId="0" borderId="1" xfId="0" applyNumberFormat="1" applyFont="1" applyBorder="1" applyAlignment="1">
      <alignment horizontal="center" vertical="center"/>
    </xf>
    <xf numFmtId="2" fontId="19" fillId="0" borderId="19" xfId="0" applyNumberFormat="1" applyFont="1" applyBorder="1" applyAlignment="1">
      <alignment horizontal="center" vertical="center"/>
    </xf>
    <xf numFmtId="0" fontId="19" fillId="24" borderId="1" xfId="1" applyFont="1" applyFill="1" applyBorder="1" applyAlignment="1">
      <alignment vertical="center"/>
    </xf>
    <xf numFmtId="2" fontId="19" fillId="24" borderId="1" xfId="1" applyNumberFormat="1" applyFont="1" applyFill="1" applyBorder="1" applyAlignment="1">
      <alignment horizontal="center" vertical="center"/>
    </xf>
    <xf numFmtId="2" fontId="19" fillId="24" borderId="1" xfId="0" applyNumberFormat="1" applyFont="1" applyFill="1" applyBorder="1" applyAlignment="1">
      <alignment horizontal="center" vertical="center"/>
    </xf>
    <xf numFmtId="2" fontId="19" fillId="24" borderId="19" xfId="0" applyNumberFormat="1" applyFont="1" applyFill="1" applyBorder="1" applyAlignment="1">
      <alignment horizontal="center" vertical="center"/>
    </xf>
    <xf numFmtId="0" fontId="19" fillId="23" borderId="1" xfId="0" applyFont="1" applyFill="1" applyBorder="1" applyAlignment="1">
      <alignment horizontal="center" vertical="center"/>
    </xf>
    <xf numFmtId="0" fontId="19" fillId="23" borderId="1" xfId="0" applyFont="1" applyFill="1" applyBorder="1" applyAlignment="1">
      <alignment horizontal="center" vertical="top"/>
    </xf>
    <xf numFmtId="0" fontId="19" fillId="23" borderId="19" xfId="0" applyFont="1" applyFill="1" applyBorder="1" applyAlignment="1">
      <alignment horizontal="center" vertical="top"/>
    </xf>
    <xf numFmtId="165" fontId="33" fillId="23" borderId="1" xfId="0" applyNumberFormat="1" applyFont="1" applyFill="1" applyBorder="1" applyAlignment="1">
      <alignment vertical="center"/>
    </xf>
    <xf numFmtId="0" fontId="0" fillId="24" borderId="0" xfId="0" applyFill="1"/>
    <xf numFmtId="0" fontId="0" fillId="24" borderId="6" xfId="0" applyFill="1" applyBorder="1"/>
    <xf numFmtId="165" fontId="28" fillId="20" borderId="1" xfId="0" applyNumberFormat="1" applyFont="1" applyFill="1" applyBorder="1" applyAlignment="1">
      <alignment horizontal="center"/>
    </xf>
    <xf numFmtId="0" fontId="28" fillId="0" borderId="1" xfId="0" applyFont="1" applyBorder="1" applyAlignment="1">
      <alignment horizontal="center"/>
    </xf>
    <xf numFmtId="165" fontId="28" fillId="20" borderId="19" xfId="0" applyNumberFormat="1" applyFont="1" applyFill="1" applyBorder="1" applyAlignment="1">
      <alignment horizontal="center"/>
    </xf>
    <xf numFmtId="166" fontId="28" fillId="0" borderId="1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5" applyNumberFormat="1" applyFont="1" applyBorder="1" applyAlignment="1">
      <alignment horizontal="right" vertical="center"/>
    </xf>
    <xf numFmtId="10" fontId="0" fillId="0" borderId="0" xfId="5" applyNumberFormat="1" applyFont="1" applyAlignment="1">
      <alignment horizontal="right"/>
    </xf>
    <xf numFmtId="10" fontId="0" fillId="0" borderId="0" xfId="5" applyNumberFormat="1" applyFont="1"/>
    <xf numFmtId="0" fontId="36" fillId="26" borderId="56" xfId="0" applyFont="1" applyFill="1" applyBorder="1"/>
    <xf numFmtId="10" fontId="36" fillId="26" borderId="57" xfId="5" applyNumberFormat="1" applyFont="1" applyFill="1" applyBorder="1" applyAlignment="1">
      <alignment horizontal="center"/>
    </xf>
    <xf numFmtId="0" fontId="23" fillId="22" borderId="57" xfId="0" applyFont="1" applyFill="1" applyBorder="1" applyAlignment="1">
      <alignment horizontal="center" vertical="center"/>
    </xf>
    <xf numFmtId="165" fontId="21" fillId="0" borderId="0" xfId="0" applyNumberFormat="1" applyFont="1" applyAlignment="1">
      <alignment horizontal="right"/>
    </xf>
    <xf numFmtId="165" fontId="21" fillId="0" borderId="57" xfId="0" applyNumberFormat="1" applyFont="1" applyBorder="1" applyAlignment="1">
      <alignment horizontal="right" vertical="center"/>
    </xf>
    <xf numFmtId="0" fontId="23" fillId="28" borderId="57" xfId="0" applyFont="1" applyFill="1" applyBorder="1" applyAlignment="1">
      <alignment horizontal="center" vertical="center"/>
    </xf>
    <xf numFmtId="165" fontId="37" fillId="26" borderId="57" xfId="0" applyNumberFormat="1" applyFont="1" applyFill="1" applyBorder="1" applyAlignment="1">
      <alignment horizontal="center" vertical="center"/>
    </xf>
    <xf numFmtId="165" fontId="37" fillId="26" borderId="57" xfId="0" applyNumberFormat="1" applyFont="1" applyFill="1" applyBorder="1" applyAlignment="1">
      <alignment horizontal="center"/>
    </xf>
    <xf numFmtId="0" fontId="29" fillId="27" borderId="59" xfId="0" applyFont="1" applyFill="1" applyBorder="1" applyAlignment="1">
      <alignment horizontal="center" vertical="center"/>
    </xf>
    <xf numFmtId="0" fontId="29" fillId="0" borderId="59" xfId="0" applyFont="1" applyBorder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3" fillId="19" borderId="41" xfId="0" applyFont="1" applyFill="1" applyBorder="1"/>
    <xf numFmtId="0" fontId="0" fillId="19" borderId="0" xfId="0" applyFill="1"/>
    <xf numFmtId="0" fontId="27" fillId="20" borderId="32" xfId="0" applyFont="1" applyFill="1" applyBorder="1" applyAlignment="1">
      <alignment horizontal="center" vertical="center" wrapText="1"/>
    </xf>
    <xf numFmtId="0" fontId="2" fillId="29" borderId="1" xfId="1" applyFill="1" applyBorder="1"/>
    <xf numFmtId="0" fontId="2" fillId="0" borderId="0" xfId="1" quotePrefix="1"/>
    <xf numFmtId="0" fontId="16" fillId="5" borderId="20" xfId="0" applyFont="1" applyFill="1" applyBorder="1" applyAlignment="1">
      <alignment wrapText="1"/>
    </xf>
    <xf numFmtId="0" fontId="16" fillId="5" borderId="17" xfId="0" applyFont="1" applyFill="1" applyBorder="1" applyAlignment="1">
      <alignment wrapText="1"/>
    </xf>
    <xf numFmtId="0" fontId="17" fillId="5" borderId="17" xfId="0" applyFont="1" applyFill="1" applyBorder="1" applyAlignment="1">
      <alignment horizontal="center" vertical="center" wrapText="1"/>
    </xf>
    <xf numFmtId="0" fontId="18" fillId="5" borderId="17" xfId="1" applyFont="1" applyFill="1" applyBorder="1" applyAlignment="1">
      <alignment horizontal="center" vertical="center" wrapText="1"/>
    </xf>
    <xf numFmtId="0" fontId="18" fillId="5" borderId="18" xfId="1" applyFont="1" applyFill="1" applyBorder="1" applyAlignment="1">
      <alignment horizontal="center" vertical="center" wrapText="1"/>
    </xf>
    <xf numFmtId="165" fontId="28" fillId="31" borderId="1" xfId="0" applyNumberFormat="1" applyFont="1" applyFill="1" applyBorder="1" applyAlignment="1">
      <alignment horizontal="center" vertical="center"/>
    </xf>
    <xf numFmtId="165" fontId="0" fillId="0" borderId="0" xfId="0" applyNumberFormat="1"/>
    <xf numFmtId="0" fontId="28" fillId="0" borderId="1" xfId="0" applyFont="1" applyBorder="1" applyAlignment="1">
      <alignment vertical="top"/>
    </xf>
    <xf numFmtId="165" fontId="28" fillId="0" borderId="1" xfId="0" applyNumberFormat="1" applyFont="1" applyBorder="1" applyAlignment="1">
      <alignment horizontal="center"/>
    </xf>
    <xf numFmtId="0" fontId="28" fillId="0" borderId="1" xfId="0" applyFont="1" applyBorder="1" applyAlignment="1">
      <alignment horizontal="center" vertical="center"/>
    </xf>
    <xf numFmtId="165" fontId="28" fillId="0" borderId="1" xfId="0" applyNumberFormat="1" applyFont="1" applyBorder="1" applyAlignment="1">
      <alignment horizontal="center" vertical="center"/>
    </xf>
    <xf numFmtId="0" fontId="39" fillId="0" borderId="24" xfId="0" applyFont="1" applyBorder="1" applyAlignment="1">
      <alignment horizontal="center" vertical="center"/>
    </xf>
    <xf numFmtId="0" fontId="28" fillId="0" borderId="1" xfId="0" applyFont="1" applyBorder="1" applyAlignment="1">
      <alignment vertical="center" wrapText="1"/>
    </xf>
    <xf numFmtId="0" fontId="28" fillId="0" borderId="1" xfId="0" applyFont="1" applyBorder="1" applyAlignment="1">
      <alignment vertical="top" wrapText="1"/>
    </xf>
    <xf numFmtId="165" fontId="28" fillId="32" borderId="1" xfId="0" applyNumberFormat="1" applyFont="1" applyFill="1" applyBorder="1" applyAlignment="1">
      <alignment horizontal="center"/>
    </xf>
    <xf numFmtId="0" fontId="28" fillId="33" borderId="1" xfId="0" applyFont="1" applyFill="1" applyBorder="1" applyAlignment="1">
      <alignment horizontal="center"/>
    </xf>
    <xf numFmtId="165" fontId="28" fillId="34" borderId="1" xfId="0" applyNumberFormat="1" applyFont="1" applyFill="1" applyBorder="1" applyAlignment="1">
      <alignment horizontal="center"/>
    </xf>
    <xf numFmtId="166" fontId="28" fillId="34" borderId="1" xfId="0" applyNumberFormat="1" applyFont="1" applyFill="1" applyBorder="1" applyAlignment="1">
      <alignment horizontal="center"/>
    </xf>
    <xf numFmtId="0" fontId="28" fillId="34" borderId="1" xfId="0" applyFont="1" applyFill="1" applyBorder="1" applyAlignment="1">
      <alignment horizontal="center"/>
    </xf>
    <xf numFmtId="165" fontId="28" fillId="34" borderId="19" xfId="0" applyNumberFormat="1" applyFont="1" applyFill="1" applyBorder="1" applyAlignment="1">
      <alignment horizontal="center"/>
    </xf>
    <xf numFmtId="20" fontId="2" fillId="0" borderId="0" xfId="1" applyNumberFormat="1"/>
    <xf numFmtId="0" fontId="2" fillId="0" borderId="0" xfId="1" applyAlignment="1">
      <alignment wrapText="1"/>
    </xf>
    <xf numFmtId="0" fontId="27" fillId="20" borderId="26" xfId="0" applyFont="1" applyFill="1" applyBorder="1" applyAlignment="1">
      <alignment horizontal="center" vertical="center" wrapText="1"/>
    </xf>
    <xf numFmtId="0" fontId="27" fillId="20" borderId="33" xfId="0" applyFont="1" applyFill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27" fillId="0" borderId="33" xfId="0" applyFont="1" applyBorder="1" applyAlignment="1">
      <alignment horizontal="center" vertical="center" wrapText="1"/>
    </xf>
    <xf numFmtId="2" fontId="19" fillId="29" borderId="1" xfId="0" applyNumberFormat="1" applyFont="1" applyFill="1" applyBorder="1" applyAlignment="1">
      <alignment horizontal="center" vertical="center"/>
    </xf>
    <xf numFmtId="0" fontId="28" fillId="0" borderId="26" xfId="0" applyFont="1" applyBorder="1" applyAlignment="1">
      <alignment horizontal="center" vertical="center"/>
    </xf>
    <xf numFmtId="0" fontId="28" fillId="0" borderId="33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0" fillId="33" borderId="50" xfId="0" applyFill="1" applyBorder="1"/>
    <xf numFmtId="0" fontId="0" fillId="33" borderId="43" xfId="0" applyFill="1" applyBorder="1"/>
    <xf numFmtId="0" fontId="0" fillId="33" borderId="49" xfId="0" applyFill="1" applyBorder="1"/>
    <xf numFmtId="0" fontId="0" fillId="33" borderId="48" xfId="0" applyFill="1" applyBorder="1"/>
    <xf numFmtId="0" fontId="0" fillId="33" borderId="47" xfId="0" applyFill="1" applyBorder="1"/>
    <xf numFmtId="0" fontId="12" fillId="33" borderId="47" xfId="0" applyFont="1" applyFill="1" applyBorder="1"/>
    <xf numFmtId="0" fontId="44" fillId="33" borderId="47" xfId="0" applyFont="1" applyFill="1" applyBorder="1"/>
    <xf numFmtId="0" fontId="8" fillId="33" borderId="47" xfId="0" applyFont="1" applyFill="1" applyBorder="1"/>
    <xf numFmtId="0" fontId="23" fillId="33" borderId="48" xfId="0" applyFont="1" applyFill="1" applyBorder="1" applyAlignment="1">
      <alignment horizontal="left"/>
    </xf>
    <xf numFmtId="0" fontId="0" fillId="33" borderId="48" xfId="0" applyFill="1" applyBorder="1" applyAlignment="1">
      <alignment horizontal="left"/>
    </xf>
    <xf numFmtId="0" fontId="23" fillId="33" borderId="48" xfId="0" applyFont="1" applyFill="1" applyBorder="1"/>
    <xf numFmtId="0" fontId="0" fillId="33" borderId="7" xfId="0" applyFill="1" applyBorder="1"/>
    <xf numFmtId="0" fontId="0" fillId="33" borderId="46" xfId="0" applyFill="1" applyBorder="1"/>
    <xf numFmtId="0" fontId="0" fillId="33" borderId="45" xfId="0" applyFill="1" applyBorder="1"/>
    <xf numFmtId="0" fontId="0" fillId="33" borderId="44" xfId="0" applyFill="1" applyBorder="1"/>
    <xf numFmtId="0" fontId="15" fillId="6" borderId="0" xfId="0" applyFont="1" applyFill="1"/>
    <xf numFmtId="0" fontId="0" fillId="30" borderId="0" xfId="0" applyFill="1" applyAlignment="1">
      <alignment horizontal="center" vertical="center"/>
    </xf>
    <xf numFmtId="10" fontId="1" fillId="30" borderId="0" xfId="5" applyNumberFormat="1" applyFont="1" applyFill="1" applyBorder="1" applyAlignment="1">
      <alignment horizontal="right" vertical="center"/>
    </xf>
    <xf numFmtId="10" fontId="1" fillId="0" borderId="0" xfId="5" applyNumberFormat="1" applyFont="1" applyBorder="1" applyAlignment="1">
      <alignment horizontal="right" vertical="center"/>
    </xf>
    <xf numFmtId="0" fontId="0" fillId="30" borderId="0" xfId="0" applyFill="1"/>
    <xf numFmtId="10" fontId="1" fillId="0" borderId="0" xfId="5" applyNumberFormat="1" applyFont="1"/>
    <xf numFmtId="10" fontId="1" fillId="30" borderId="0" xfId="5" applyNumberFormat="1" applyFont="1" applyFill="1" applyAlignment="1">
      <alignment horizontal="right"/>
    </xf>
    <xf numFmtId="10" fontId="1" fillId="0" borderId="0" xfId="5" applyNumberFormat="1" applyFont="1" applyAlignment="1">
      <alignment horizontal="right"/>
    </xf>
    <xf numFmtId="10" fontId="0" fillId="0" borderId="0" xfId="0" applyNumberFormat="1" applyAlignment="1">
      <alignment horizontal="right"/>
    </xf>
    <xf numFmtId="10" fontId="0" fillId="0" borderId="0" xfId="0" applyNumberFormat="1"/>
    <xf numFmtId="0" fontId="23" fillId="19" borderId="0" xfId="0" applyFont="1" applyFill="1"/>
    <xf numFmtId="0" fontId="36" fillId="19" borderId="58" xfId="0" applyFont="1" applyFill="1" applyBorder="1"/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27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top"/>
    </xf>
    <xf numFmtId="2" fontId="19" fillId="0" borderId="0" xfId="0" applyNumberFormat="1" applyFont="1" applyAlignment="1">
      <alignment horizontal="center" vertical="center"/>
    </xf>
    <xf numFmtId="2" fontId="30" fillId="0" borderId="0" xfId="1" applyNumberFormat="1" applyFont="1" applyAlignment="1">
      <alignment horizontal="center" vertical="center"/>
    </xf>
    <xf numFmtId="0" fontId="19" fillId="0" borderId="0" xfId="1" applyFont="1" applyAlignment="1">
      <alignment vertical="center"/>
    </xf>
    <xf numFmtId="2" fontId="19" fillId="0" borderId="0" xfId="1" applyNumberFormat="1" applyFont="1" applyAlignment="1">
      <alignment horizontal="center" vertical="center"/>
    </xf>
    <xf numFmtId="0" fontId="19" fillId="0" borderId="0" xfId="1" applyFont="1" applyAlignment="1">
      <alignment horizontal="center" vertical="center" wrapText="1"/>
    </xf>
    <xf numFmtId="0" fontId="19" fillId="0" borderId="0" xfId="1" applyFont="1" applyAlignment="1">
      <alignment horizontal="center" vertical="top" wrapText="1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top"/>
    </xf>
    <xf numFmtId="165" fontId="33" fillId="0" borderId="0" xfId="0" applyNumberFormat="1" applyFont="1" applyAlignment="1">
      <alignment vertical="center"/>
    </xf>
    <xf numFmtId="165" fontId="28" fillId="0" borderId="0" xfId="0" applyNumberFormat="1" applyFont="1" applyAlignment="1">
      <alignment horizontal="center"/>
    </xf>
    <xf numFmtId="166" fontId="28" fillId="0" borderId="0" xfId="0" applyNumberFormat="1" applyFont="1" applyAlignment="1">
      <alignment horizontal="center"/>
    </xf>
    <xf numFmtId="0" fontId="28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top"/>
    </xf>
    <xf numFmtId="165" fontId="28" fillId="0" borderId="0" xfId="0" applyNumberFormat="1" applyFont="1" applyAlignment="1">
      <alignment horizontal="center" vertical="center"/>
    </xf>
    <xf numFmtId="0" fontId="0" fillId="33" borderId="0" xfId="0" applyFill="1" applyAlignment="1">
      <alignment horizontal="right"/>
    </xf>
    <xf numFmtId="0" fontId="0" fillId="33" borderId="0" xfId="0" applyFill="1"/>
    <xf numFmtId="0" fontId="23" fillId="33" borderId="0" xfId="0" applyFont="1" applyFill="1" applyAlignment="1">
      <alignment horizontal="right"/>
    </xf>
    <xf numFmtId="0" fontId="3" fillId="33" borderId="48" xfId="0" applyFont="1" applyFill="1" applyBorder="1"/>
    <xf numFmtId="0" fontId="23" fillId="33" borderId="0" xfId="0" applyFont="1" applyFill="1"/>
    <xf numFmtId="0" fontId="8" fillId="33" borderId="0" xfId="0" applyFont="1" applyFill="1"/>
    <xf numFmtId="0" fontId="0" fillId="33" borderId="0" xfId="0" applyFill="1" applyAlignment="1">
      <alignment vertical="center"/>
    </xf>
    <xf numFmtId="0" fontId="4" fillId="33" borderId="0" xfId="0" applyFont="1" applyFill="1"/>
    <xf numFmtId="0" fontId="12" fillId="33" borderId="0" xfId="0" applyFont="1" applyFill="1"/>
    <xf numFmtId="0" fontId="23" fillId="0" borderId="0" xfId="0" applyFont="1" applyAlignment="1">
      <alignment horizontal="center"/>
    </xf>
    <xf numFmtId="2" fontId="2" fillId="6" borderId="6" xfId="2" applyNumberFormat="1" applyFont="1" applyFill="1" applyBorder="1"/>
    <xf numFmtId="166" fontId="2" fillId="6" borderId="6" xfId="2" applyNumberFormat="1" applyFont="1" applyFill="1" applyBorder="1"/>
    <xf numFmtId="10" fontId="0" fillId="30" borderId="0" xfId="5" applyNumberFormat="1" applyFont="1" applyFill="1" applyBorder="1" applyAlignment="1">
      <alignment horizontal="right" vertical="center"/>
    </xf>
    <xf numFmtId="10" fontId="0" fillId="30" borderId="0" xfId="5" applyNumberFormat="1" applyFont="1" applyFill="1" applyAlignment="1">
      <alignment horizontal="right"/>
    </xf>
    <xf numFmtId="0" fontId="28" fillId="0" borderId="1" xfId="0" applyFont="1" applyBorder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2" fillId="10" borderId="4" xfId="1" applyFill="1" applyBorder="1" applyAlignment="1">
      <alignment horizontal="center" vertical="center" wrapText="1"/>
    </xf>
    <xf numFmtId="0" fontId="2" fillId="10" borderId="3" xfId="1" applyFill="1" applyBorder="1" applyAlignment="1">
      <alignment horizontal="center" vertical="center" wrapText="1"/>
    </xf>
    <xf numFmtId="0" fontId="2" fillId="10" borderId="7" xfId="1" applyFill="1" applyBorder="1" applyAlignment="1">
      <alignment horizontal="center" vertical="center" wrapText="1"/>
    </xf>
    <xf numFmtId="0" fontId="2" fillId="10" borderId="6" xfId="1" applyFill="1" applyBorder="1" applyAlignment="1">
      <alignment horizontal="center" vertical="center" wrapText="1"/>
    </xf>
    <xf numFmtId="0" fontId="2" fillId="10" borderId="9" xfId="1" applyFill="1" applyBorder="1" applyAlignment="1">
      <alignment horizontal="center" vertical="center" wrapText="1"/>
    </xf>
    <xf numFmtId="0" fontId="2" fillId="10" borderId="10" xfId="1" applyFill="1" applyBorder="1" applyAlignment="1">
      <alignment horizontal="center" vertical="center" wrapText="1"/>
    </xf>
    <xf numFmtId="0" fontId="2" fillId="7" borderId="4" xfId="1" applyFill="1" applyBorder="1" applyAlignment="1">
      <alignment horizontal="center" vertical="center" wrapText="1"/>
    </xf>
    <xf numFmtId="0" fontId="2" fillId="7" borderId="3" xfId="1" applyFill="1" applyBorder="1" applyAlignment="1">
      <alignment horizontal="center" vertical="center" wrapText="1"/>
    </xf>
    <xf numFmtId="0" fontId="2" fillId="7" borderId="7" xfId="1" applyFill="1" applyBorder="1" applyAlignment="1">
      <alignment horizontal="center" vertical="center" wrapText="1"/>
    </xf>
    <xf numFmtId="0" fontId="2" fillId="7" borderId="6" xfId="1" applyFill="1" applyBorder="1" applyAlignment="1">
      <alignment horizontal="center" vertical="center" wrapText="1"/>
    </xf>
    <xf numFmtId="0" fontId="2" fillId="7" borderId="9" xfId="1" applyFill="1" applyBorder="1" applyAlignment="1">
      <alignment horizontal="center" vertical="center" wrapText="1"/>
    </xf>
    <xf numFmtId="0" fontId="2" fillId="7" borderId="10" xfId="1" applyFill="1" applyBorder="1" applyAlignment="1">
      <alignment horizontal="center" vertical="center" wrapText="1"/>
    </xf>
    <xf numFmtId="0" fontId="2" fillId="11" borderId="4" xfId="1" applyFill="1" applyBorder="1" applyAlignment="1">
      <alignment horizontal="center" vertical="center" wrapText="1"/>
    </xf>
    <xf numFmtId="0" fontId="2" fillId="11" borderId="3" xfId="1" applyFill="1" applyBorder="1" applyAlignment="1">
      <alignment horizontal="center" vertical="center" wrapText="1"/>
    </xf>
    <xf numFmtId="0" fontId="2" fillId="11" borderId="7" xfId="1" applyFill="1" applyBorder="1" applyAlignment="1">
      <alignment horizontal="center" vertical="center" wrapText="1"/>
    </xf>
    <xf numFmtId="0" fontId="2" fillId="11" borderId="6" xfId="1" applyFill="1" applyBorder="1" applyAlignment="1">
      <alignment horizontal="center" vertical="center" wrapText="1"/>
    </xf>
    <xf numFmtId="0" fontId="2" fillId="11" borderId="9" xfId="1" applyFill="1" applyBorder="1" applyAlignment="1">
      <alignment horizontal="center" vertical="center" wrapText="1"/>
    </xf>
    <xf numFmtId="0" fontId="2" fillId="11" borderId="10" xfId="1" applyFill="1" applyBorder="1" applyAlignment="1">
      <alignment horizontal="center" vertical="center" wrapText="1"/>
    </xf>
    <xf numFmtId="0" fontId="2" fillId="12" borderId="4" xfId="1" applyFill="1" applyBorder="1" applyAlignment="1">
      <alignment horizontal="center" vertical="center" wrapText="1"/>
    </xf>
    <xf numFmtId="0" fontId="2" fillId="12" borderId="3" xfId="1" applyFill="1" applyBorder="1" applyAlignment="1">
      <alignment horizontal="center" vertical="center" wrapText="1"/>
    </xf>
    <xf numFmtId="0" fontId="2" fillId="12" borderId="7" xfId="1" applyFill="1" applyBorder="1" applyAlignment="1">
      <alignment horizontal="center" vertical="center" wrapText="1"/>
    </xf>
    <xf numFmtId="0" fontId="2" fillId="12" borderId="6" xfId="1" applyFill="1" applyBorder="1" applyAlignment="1">
      <alignment horizontal="center" vertical="center" wrapText="1"/>
    </xf>
    <xf numFmtId="0" fontId="2" fillId="12" borderId="9" xfId="1" applyFill="1" applyBorder="1" applyAlignment="1">
      <alignment horizontal="center" vertical="center" wrapText="1"/>
    </xf>
    <xf numFmtId="0" fontId="2" fillId="12" borderId="10" xfId="1" applyFill="1" applyBorder="1" applyAlignment="1">
      <alignment horizontal="center" vertical="center" wrapText="1"/>
    </xf>
    <xf numFmtId="0" fontId="3" fillId="3" borderId="0" xfId="1" applyFont="1" applyFill="1" applyAlignment="1">
      <alignment horizontal="center"/>
    </xf>
    <xf numFmtId="0" fontId="2" fillId="3" borderId="4" xfId="1" applyFill="1" applyBorder="1" applyAlignment="1">
      <alignment horizontal="center" vertical="center" wrapText="1"/>
    </xf>
    <xf numFmtId="0" fontId="2" fillId="3" borderId="3" xfId="1" applyFill="1" applyBorder="1" applyAlignment="1">
      <alignment horizontal="center" vertical="center" wrapText="1"/>
    </xf>
    <xf numFmtId="0" fontId="2" fillId="3" borderId="7" xfId="1" applyFill="1" applyBorder="1" applyAlignment="1">
      <alignment horizontal="center" vertical="center" wrapText="1"/>
    </xf>
    <xf numFmtId="0" fontId="2" fillId="3" borderId="6" xfId="1" applyFill="1" applyBorder="1" applyAlignment="1">
      <alignment horizontal="center" vertical="center" wrapText="1"/>
    </xf>
    <xf numFmtId="0" fontId="2" fillId="3" borderId="9" xfId="1" applyFill="1" applyBorder="1" applyAlignment="1">
      <alignment horizontal="center" vertical="center" wrapText="1"/>
    </xf>
    <xf numFmtId="0" fontId="2" fillId="3" borderId="10" xfId="1" applyFill="1" applyBorder="1" applyAlignment="1">
      <alignment horizontal="center" vertical="center" wrapText="1"/>
    </xf>
    <xf numFmtId="0" fontId="2" fillId="8" borderId="4" xfId="1" applyFill="1" applyBorder="1" applyAlignment="1">
      <alignment horizontal="center" vertical="center" wrapText="1"/>
    </xf>
    <xf numFmtId="0" fontId="2" fillId="8" borderId="3" xfId="1" applyFill="1" applyBorder="1" applyAlignment="1">
      <alignment horizontal="center" vertical="center" wrapText="1"/>
    </xf>
    <xf numFmtId="0" fontId="2" fillId="8" borderId="7" xfId="1" applyFill="1" applyBorder="1" applyAlignment="1">
      <alignment horizontal="center" vertical="center" wrapText="1"/>
    </xf>
    <xf numFmtId="0" fontId="2" fillId="8" borderId="6" xfId="1" applyFill="1" applyBorder="1" applyAlignment="1">
      <alignment horizontal="center" vertical="center" wrapText="1"/>
    </xf>
    <xf numFmtId="0" fontId="2" fillId="8" borderId="9" xfId="1" applyFill="1" applyBorder="1" applyAlignment="1">
      <alignment horizontal="center" vertical="center" wrapText="1"/>
    </xf>
    <xf numFmtId="0" fontId="2" fillId="8" borderId="10" xfId="1" applyFill="1" applyBorder="1" applyAlignment="1">
      <alignment horizontal="center" vertical="center" wrapText="1"/>
    </xf>
    <xf numFmtId="0" fontId="2" fillId="9" borderId="4" xfId="1" applyFill="1" applyBorder="1" applyAlignment="1">
      <alignment horizontal="center" vertical="center" wrapText="1"/>
    </xf>
    <xf numFmtId="0" fontId="2" fillId="9" borderId="3" xfId="1" applyFill="1" applyBorder="1" applyAlignment="1">
      <alignment horizontal="center" vertical="center" wrapText="1"/>
    </xf>
    <xf numFmtId="0" fontId="2" fillId="9" borderId="7" xfId="1" applyFill="1" applyBorder="1" applyAlignment="1">
      <alignment horizontal="center" vertical="center" wrapText="1"/>
    </xf>
    <xf numFmtId="0" fontId="2" fillId="9" borderId="6" xfId="1" applyFill="1" applyBorder="1" applyAlignment="1">
      <alignment horizontal="center" vertical="center" wrapText="1"/>
    </xf>
    <xf numFmtId="0" fontId="2" fillId="9" borderId="9" xfId="1" applyFill="1" applyBorder="1" applyAlignment="1">
      <alignment horizontal="center" vertical="center" wrapText="1"/>
    </xf>
    <xf numFmtId="0" fontId="2" fillId="9" borderId="10" xfId="1" applyFill="1" applyBorder="1" applyAlignment="1">
      <alignment horizontal="center" vertical="center" wrapText="1"/>
    </xf>
    <xf numFmtId="0" fontId="3" fillId="0" borderId="13" xfId="2" applyFont="1" applyBorder="1" applyAlignment="1">
      <alignment horizontal="center"/>
    </xf>
    <xf numFmtId="0" fontId="3" fillId="0" borderId="14" xfId="2" applyFont="1" applyBorder="1" applyAlignment="1">
      <alignment horizontal="center"/>
    </xf>
    <xf numFmtId="0" fontId="2" fillId="13" borderId="4" xfId="1" applyFill="1" applyBorder="1" applyAlignment="1">
      <alignment horizontal="center" vertical="center" wrapText="1"/>
    </xf>
    <xf numFmtId="0" fontId="2" fillId="13" borderId="3" xfId="1" applyFill="1" applyBorder="1" applyAlignment="1">
      <alignment horizontal="center" vertical="center" wrapText="1"/>
    </xf>
    <xf numFmtId="0" fontId="2" fillId="13" borderId="7" xfId="1" applyFill="1" applyBorder="1" applyAlignment="1">
      <alignment horizontal="center" vertical="center" wrapText="1"/>
    </xf>
    <xf numFmtId="0" fontId="2" fillId="13" borderId="6" xfId="1" applyFill="1" applyBorder="1" applyAlignment="1">
      <alignment horizontal="center" vertical="center" wrapText="1"/>
    </xf>
    <xf numFmtId="0" fontId="2" fillId="13" borderId="9" xfId="1" applyFill="1" applyBorder="1" applyAlignment="1">
      <alignment horizontal="center" vertical="center" wrapText="1"/>
    </xf>
    <xf numFmtId="0" fontId="2" fillId="13" borderId="10" xfId="1" applyFill="1" applyBorder="1" applyAlignment="1">
      <alignment horizontal="center" vertical="center" wrapText="1"/>
    </xf>
    <xf numFmtId="0" fontId="2" fillId="14" borderId="4" xfId="1" applyFill="1" applyBorder="1" applyAlignment="1">
      <alignment horizontal="center" vertical="center" wrapText="1"/>
    </xf>
    <xf numFmtId="0" fontId="2" fillId="14" borderId="3" xfId="1" applyFill="1" applyBorder="1" applyAlignment="1">
      <alignment horizontal="center" vertical="center" wrapText="1"/>
    </xf>
    <xf numFmtId="0" fontId="2" fillId="14" borderId="7" xfId="1" applyFill="1" applyBorder="1" applyAlignment="1">
      <alignment horizontal="center" vertical="center" wrapText="1"/>
    </xf>
    <xf numFmtId="0" fontId="2" fillId="14" borderId="6" xfId="1" applyFill="1" applyBorder="1" applyAlignment="1">
      <alignment horizontal="center" vertical="center" wrapText="1"/>
    </xf>
    <xf numFmtId="0" fontId="2" fillId="14" borderId="9" xfId="1" applyFill="1" applyBorder="1" applyAlignment="1">
      <alignment horizontal="center" vertical="center" wrapText="1"/>
    </xf>
    <xf numFmtId="0" fontId="2" fillId="14" borderId="10" xfId="1" applyFill="1" applyBorder="1" applyAlignment="1">
      <alignment horizontal="center" vertical="center" wrapText="1"/>
    </xf>
    <xf numFmtId="0" fontId="3" fillId="11" borderId="4" xfId="2" applyFont="1" applyFill="1" applyBorder="1" applyAlignment="1">
      <alignment horizontal="center" vertical="center" wrapText="1"/>
    </xf>
    <xf numFmtId="0" fontId="3" fillId="11" borderId="3" xfId="2" applyFont="1" applyFill="1" applyBorder="1" applyAlignment="1">
      <alignment horizontal="center" vertical="center" wrapText="1"/>
    </xf>
    <xf numFmtId="0" fontId="3" fillId="11" borderId="7" xfId="2" applyFont="1" applyFill="1" applyBorder="1" applyAlignment="1">
      <alignment horizontal="center" vertical="center" wrapText="1"/>
    </xf>
    <xf numFmtId="0" fontId="3" fillId="11" borderId="6" xfId="2" applyFont="1" applyFill="1" applyBorder="1" applyAlignment="1">
      <alignment horizontal="center" vertical="center" wrapText="1"/>
    </xf>
    <xf numFmtId="0" fontId="3" fillId="11" borderId="9" xfId="2" applyFont="1" applyFill="1" applyBorder="1" applyAlignment="1">
      <alignment horizontal="center" vertical="center" wrapText="1"/>
    </xf>
    <xf numFmtId="0" fontId="3" fillId="11" borderId="10" xfId="2" applyFont="1" applyFill="1" applyBorder="1" applyAlignment="1">
      <alignment horizontal="center" vertical="center" wrapText="1"/>
    </xf>
    <xf numFmtId="0" fontId="1" fillId="6" borderId="16" xfId="2" applyFill="1" applyBorder="1" applyAlignment="1">
      <alignment horizontal="left"/>
    </xf>
    <xf numFmtId="0" fontId="1" fillId="6" borderId="17" xfId="2" applyFill="1" applyBorder="1" applyAlignment="1">
      <alignment horizontal="left"/>
    </xf>
    <xf numFmtId="0" fontId="1" fillId="15" borderId="17" xfId="2" applyFill="1" applyBorder="1"/>
    <xf numFmtId="0" fontId="1" fillId="3" borderId="17" xfId="2" applyFill="1" applyBorder="1"/>
    <xf numFmtId="0" fontId="1" fillId="16" borderId="17" xfId="2" applyFill="1" applyBorder="1"/>
    <xf numFmtId="0" fontId="1" fillId="6" borderId="17" xfId="2" applyFill="1" applyBorder="1"/>
    <xf numFmtId="0" fontId="1" fillId="6" borderId="18" xfId="2" applyFill="1" applyBorder="1"/>
    <xf numFmtId="0" fontId="7" fillId="0" borderId="5" xfId="2" applyFont="1" applyBorder="1" applyAlignment="1">
      <alignment horizontal="left" vertical="center"/>
    </xf>
    <xf numFmtId="0" fontId="7" fillId="0" borderId="1" xfId="2" applyFont="1" applyBorder="1" applyAlignment="1">
      <alignment horizontal="left" vertical="center"/>
    </xf>
    <xf numFmtId="0" fontId="1" fillId="6" borderId="1" xfId="2" applyFill="1" applyBorder="1"/>
    <xf numFmtId="0" fontId="1" fillId="6" borderId="19" xfId="2" applyFill="1" applyBorder="1"/>
    <xf numFmtId="0" fontId="2" fillId="0" borderId="1" xfId="1" applyBorder="1" applyAlignment="1">
      <alignment horizontal="right"/>
    </xf>
    <xf numFmtId="0" fontId="2" fillId="0" borderId="19" xfId="1" applyBorder="1" applyAlignment="1">
      <alignment horizontal="right"/>
    </xf>
    <xf numFmtId="0" fontId="3" fillId="11" borderId="20" xfId="1" applyFont="1" applyFill="1" applyBorder="1" applyAlignment="1">
      <alignment horizontal="center" vertical="center" wrapText="1"/>
    </xf>
    <xf numFmtId="0" fontId="3" fillId="11" borderId="17" xfId="1" applyFont="1" applyFill="1" applyBorder="1" applyAlignment="1">
      <alignment horizontal="center" vertical="center" wrapText="1"/>
    </xf>
    <xf numFmtId="0" fontId="3" fillId="11" borderId="8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1" borderId="23" xfId="1" applyFont="1" applyFill="1" applyBorder="1" applyAlignment="1">
      <alignment horizontal="center" vertical="center" wrapText="1"/>
    </xf>
    <xf numFmtId="0" fontId="3" fillId="11" borderId="24" xfId="1" applyFont="1" applyFill="1" applyBorder="1" applyAlignment="1">
      <alignment horizontal="center" vertical="center" wrapText="1"/>
    </xf>
    <xf numFmtId="1" fontId="2" fillId="0" borderId="21" xfId="1" applyNumberFormat="1" applyBorder="1" applyAlignment="1">
      <alignment horizontal="center" vertical="center"/>
    </xf>
    <xf numFmtId="1" fontId="2" fillId="0" borderId="22" xfId="1" applyNumberFormat="1" applyBorder="1" applyAlignment="1">
      <alignment horizontal="center" vertical="center"/>
    </xf>
    <xf numFmtId="1" fontId="2" fillId="0" borderId="25" xfId="1" applyNumberFormat="1" applyBorder="1" applyAlignment="1">
      <alignment horizontal="center" vertical="center"/>
    </xf>
    <xf numFmtId="0" fontId="2" fillId="0" borderId="26" xfId="1" applyBorder="1" applyAlignment="1">
      <alignment horizontal="left"/>
    </xf>
    <xf numFmtId="0" fontId="2" fillId="0" borderId="11" xfId="1" applyBorder="1" applyAlignment="1">
      <alignment horizontal="left"/>
    </xf>
    <xf numFmtId="0" fontId="1" fillId="6" borderId="11" xfId="2" applyFill="1" applyBorder="1"/>
    <xf numFmtId="0" fontId="7" fillId="0" borderId="23" xfId="2" applyFont="1" applyBorder="1" applyAlignment="1">
      <alignment horizontal="left" vertical="center"/>
    </xf>
    <xf numFmtId="0" fontId="7" fillId="0" borderId="27" xfId="2" applyFont="1" applyBorder="1" applyAlignment="1">
      <alignment horizontal="left" vertical="center"/>
    </xf>
    <xf numFmtId="0" fontId="1" fillId="6" borderId="24" xfId="2" applyFill="1" applyBorder="1"/>
    <xf numFmtId="0" fontId="1" fillId="6" borderId="28" xfId="2" applyFill="1" applyBorder="1"/>
    <xf numFmtId="0" fontId="1" fillId="6" borderId="25" xfId="2" applyFill="1" applyBorder="1"/>
    <xf numFmtId="0" fontId="27" fillId="20" borderId="32" xfId="0" applyFont="1" applyFill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18" borderId="0" xfId="1" applyFont="1" applyFill="1" applyAlignment="1">
      <alignment horizontal="center"/>
    </xf>
    <xf numFmtId="0" fontId="27" fillId="20" borderId="8" xfId="0" applyFont="1" applyFill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34" fillId="25" borderId="40" xfId="0" applyFont="1" applyFill="1" applyBorder="1" applyAlignment="1">
      <alignment horizontal="center" vertical="center"/>
    </xf>
    <xf numFmtId="0" fontId="34" fillId="25" borderId="41" xfId="0" applyFont="1" applyFill="1" applyBorder="1" applyAlignment="1">
      <alignment horizontal="center" vertical="center"/>
    </xf>
    <xf numFmtId="0" fontId="34" fillId="25" borderId="42" xfId="0" applyFont="1" applyFill="1" applyBorder="1" applyAlignment="1">
      <alignment horizontal="center" vertical="center"/>
    </xf>
    <xf numFmtId="0" fontId="38" fillId="30" borderId="0" xfId="1" applyFont="1" applyFill="1" applyAlignment="1">
      <alignment horizontal="center"/>
    </xf>
    <xf numFmtId="0" fontId="1" fillId="6" borderId="67" xfId="2" applyFill="1" applyBorder="1" applyAlignment="1">
      <alignment horizontal="left"/>
    </xf>
    <xf numFmtId="0" fontId="1" fillId="15" borderId="65" xfId="2" applyFill="1" applyBorder="1"/>
    <xf numFmtId="0" fontId="1" fillId="15" borderId="16" xfId="2" applyFill="1" applyBorder="1"/>
    <xf numFmtId="0" fontId="1" fillId="3" borderId="65" xfId="2" applyFill="1" applyBorder="1"/>
    <xf numFmtId="0" fontId="1" fillId="3" borderId="16" xfId="2" applyFill="1" applyBorder="1"/>
    <xf numFmtId="0" fontId="1" fillId="16" borderId="65" xfId="2" applyFill="1" applyBorder="1"/>
    <xf numFmtId="0" fontId="1" fillId="16" borderId="16" xfId="2" applyFill="1" applyBorder="1"/>
    <xf numFmtId="0" fontId="1" fillId="6" borderId="65" xfId="2" applyFill="1" applyBorder="1"/>
    <xf numFmtId="0" fontId="1" fillId="6" borderId="66" xfId="2" applyFill="1" applyBorder="1"/>
    <xf numFmtId="0" fontId="7" fillId="0" borderId="64" xfId="2" applyFont="1" applyBorder="1" applyAlignment="1">
      <alignment horizontal="left" vertical="center"/>
    </xf>
    <xf numFmtId="0" fontId="1" fillId="6" borderId="55" xfId="2" applyFill="1" applyBorder="1"/>
    <xf numFmtId="0" fontId="1" fillId="6" borderId="5" xfId="2" applyFill="1" applyBorder="1"/>
    <xf numFmtId="0" fontId="1" fillId="6" borderId="63" xfId="2" applyFill="1" applyBorder="1"/>
    <xf numFmtId="0" fontId="2" fillId="0" borderId="55" xfId="1" applyBorder="1" applyAlignment="1">
      <alignment horizontal="right"/>
    </xf>
    <xf numFmtId="0" fontId="2" fillId="0" borderId="5" xfId="1" applyBorder="1" applyAlignment="1">
      <alignment horizontal="right"/>
    </xf>
    <xf numFmtId="0" fontId="2" fillId="0" borderId="63" xfId="1" applyBorder="1" applyAlignment="1">
      <alignment horizontal="right"/>
    </xf>
    <xf numFmtId="0" fontId="3" fillId="11" borderId="4" xfId="1" applyFont="1" applyFill="1" applyBorder="1" applyAlignment="1">
      <alignment horizontal="center" vertical="center" wrapText="1"/>
    </xf>
    <xf numFmtId="0" fontId="3" fillId="11" borderId="30" xfId="1" applyFont="1" applyFill="1" applyBorder="1" applyAlignment="1">
      <alignment horizontal="center" vertical="center" wrapText="1"/>
    </xf>
    <xf numFmtId="0" fontId="3" fillId="11" borderId="7" xfId="1" applyFont="1" applyFill="1" applyBorder="1" applyAlignment="1">
      <alignment horizontal="center" vertical="center" wrapText="1"/>
    </xf>
    <xf numFmtId="0" fontId="3" fillId="11" borderId="38" xfId="1" applyFont="1" applyFill="1" applyBorder="1" applyAlignment="1">
      <alignment horizontal="center" vertical="center" wrapText="1"/>
    </xf>
    <xf numFmtId="0" fontId="3" fillId="11" borderId="9" xfId="1" applyFont="1" applyFill="1" applyBorder="1" applyAlignment="1">
      <alignment horizontal="center" vertical="center" wrapText="1"/>
    </xf>
    <xf numFmtId="0" fontId="3" fillId="11" borderId="34" xfId="1" applyFont="1" applyFill="1" applyBorder="1" applyAlignment="1">
      <alignment horizontal="center" vertical="center" wrapText="1"/>
    </xf>
    <xf numFmtId="0" fontId="2" fillId="0" borderId="64" xfId="1" applyBorder="1" applyAlignment="1">
      <alignment horizontal="left"/>
    </xf>
    <xf numFmtId="0" fontId="2" fillId="0" borderId="5" xfId="1" applyBorder="1" applyAlignment="1">
      <alignment horizontal="left"/>
    </xf>
    <xf numFmtId="0" fontId="7" fillId="0" borderId="62" xfId="2" applyFont="1" applyBorder="1" applyAlignment="1">
      <alignment horizontal="left" vertical="center"/>
    </xf>
    <xf numFmtId="0" fontId="7" fillId="0" borderId="61" xfId="2" applyFont="1" applyBorder="1" applyAlignment="1">
      <alignment horizontal="left" vertical="center"/>
    </xf>
    <xf numFmtId="0" fontId="1" fillId="6" borderId="27" xfId="2" applyFill="1" applyBorder="1"/>
    <xf numFmtId="0" fontId="1" fillId="6" borderId="61" xfId="2" applyFill="1" applyBorder="1"/>
    <xf numFmtId="0" fontId="1" fillId="6" borderId="60" xfId="2" applyFill="1" applyBorder="1"/>
    <xf numFmtId="0" fontId="27" fillId="20" borderId="26" xfId="0" applyFont="1" applyFill="1" applyBorder="1" applyAlignment="1">
      <alignment horizontal="center" vertical="center" wrapText="1"/>
    </xf>
    <xf numFmtId="0" fontId="27" fillId="20" borderId="33" xfId="0" applyFont="1" applyFill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27" fillId="0" borderId="33" xfId="0" applyFont="1" applyBorder="1" applyAlignment="1">
      <alignment horizontal="center" vertical="center" wrapText="1"/>
    </xf>
    <xf numFmtId="0" fontId="27" fillId="0" borderId="33" xfId="0" applyFont="1" applyBorder="1" applyAlignment="1">
      <alignment horizontal="center" vertical="center"/>
    </xf>
    <xf numFmtId="0" fontId="28" fillId="0" borderId="26" xfId="0" applyFont="1" applyBorder="1" applyAlignment="1">
      <alignment horizontal="center" vertical="center"/>
    </xf>
    <xf numFmtId="0" fontId="28" fillId="0" borderId="33" xfId="0" applyFont="1" applyBorder="1" applyAlignment="1">
      <alignment horizontal="center" vertical="center"/>
    </xf>
    <xf numFmtId="0" fontId="0" fillId="9" borderId="47" xfId="0" applyFill="1" applyBorder="1" applyAlignment="1">
      <alignment wrapText="1"/>
    </xf>
    <xf numFmtId="0" fontId="0" fillId="9" borderId="0" xfId="0" applyFill="1" applyAlignment="1">
      <alignment wrapText="1"/>
    </xf>
    <xf numFmtId="0" fontId="11" fillId="19" borderId="54" xfId="0" applyFont="1" applyFill="1" applyBorder="1" applyAlignment="1">
      <alignment horizontal="right"/>
    </xf>
    <xf numFmtId="0" fontId="22" fillId="19" borderId="41" xfId="0" applyFont="1" applyFill="1" applyBorder="1" applyAlignment="1">
      <alignment horizontal="right"/>
    </xf>
    <xf numFmtId="0" fontId="22" fillId="19" borderId="42" xfId="0" applyFont="1" applyFill="1" applyBorder="1" applyAlignment="1">
      <alignment horizontal="right"/>
    </xf>
    <xf numFmtId="0" fontId="8" fillId="19" borderId="40" xfId="0" applyFont="1" applyFill="1" applyBorder="1" applyAlignment="1">
      <alignment horizontal="right"/>
    </xf>
    <xf numFmtId="0" fontId="8" fillId="19" borderId="41" xfId="0" applyFont="1" applyFill="1" applyBorder="1" applyAlignment="1">
      <alignment horizontal="right"/>
    </xf>
    <xf numFmtId="0" fontId="8" fillId="19" borderId="42" xfId="0" applyFont="1" applyFill="1" applyBorder="1" applyAlignment="1">
      <alignment horizontal="right"/>
    </xf>
    <xf numFmtId="0" fontId="11" fillId="19" borderId="40" xfId="0" applyFont="1" applyFill="1" applyBorder="1" applyAlignment="1">
      <alignment horizontal="right" wrapText="1" readingOrder="1"/>
    </xf>
    <xf numFmtId="0" fontId="8" fillId="0" borderId="0" xfId="0" applyFont="1" applyAlignment="1">
      <alignment horizontal="center"/>
    </xf>
    <xf numFmtId="0" fontId="25" fillId="21" borderId="51" xfId="0" applyFont="1" applyFill="1" applyBorder="1" applyAlignment="1">
      <alignment horizontal="center" vertical="center"/>
    </xf>
    <xf numFmtId="0" fontId="25" fillId="21" borderId="52" xfId="0" applyFont="1" applyFill="1" applyBorder="1" applyAlignment="1">
      <alignment horizontal="center" vertical="center"/>
    </xf>
    <xf numFmtId="0" fontId="25" fillId="21" borderId="53" xfId="0" applyFont="1" applyFill="1" applyBorder="1" applyAlignment="1">
      <alignment horizontal="center" vertical="center"/>
    </xf>
    <xf numFmtId="0" fontId="8" fillId="6" borderId="44" xfId="0" applyFont="1" applyFill="1" applyBorder="1" applyAlignment="1">
      <alignment horizontal="center" vertical="center"/>
    </xf>
    <xf numFmtId="0" fontId="8" fillId="6" borderId="46" xfId="0" applyFont="1" applyFill="1" applyBorder="1" applyAlignment="1">
      <alignment horizontal="center" vertical="center"/>
    </xf>
    <xf numFmtId="0" fontId="8" fillId="6" borderId="47" xfId="0" applyFont="1" applyFill="1" applyBorder="1" applyAlignment="1">
      <alignment horizontal="center" vertical="center"/>
    </xf>
    <xf numFmtId="0" fontId="8" fillId="6" borderId="48" xfId="0" applyFont="1" applyFill="1" applyBorder="1" applyAlignment="1">
      <alignment horizontal="center" vertical="center"/>
    </xf>
    <xf numFmtId="0" fontId="8" fillId="6" borderId="49" xfId="0" applyFont="1" applyFill="1" applyBorder="1" applyAlignment="1">
      <alignment horizontal="center" vertical="center"/>
    </xf>
    <xf numFmtId="0" fontId="8" fillId="6" borderId="50" xfId="0" applyFont="1" applyFill="1" applyBorder="1" applyAlignment="1">
      <alignment horizontal="center" vertical="center"/>
    </xf>
    <xf numFmtId="0" fontId="8" fillId="6" borderId="40" xfId="0" applyFont="1" applyFill="1" applyBorder="1" applyAlignment="1">
      <alignment horizontal="center"/>
    </xf>
    <xf numFmtId="0" fontId="8" fillId="6" borderId="42" xfId="0" applyFont="1" applyFill="1" applyBorder="1" applyAlignment="1">
      <alignment horizontal="center"/>
    </xf>
    <xf numFmtId="0" fontId="8" fillId="6" borderId="40" xfId="0" applyFont="1" applyFill="1" applyBorder="1" applyAlignment="1">
      <alignment horizontal="center" vertical="center"/>
    </xf>
    <xf numFmtId="0" fontId="8" fillId="6" borderId="42" xfId="0" applyFont="1" applyFill="1" applyBorder="1" applyAlignment="1">
      <alignment horizontal="center" vertical="center"/>
    </xf>
    <xf numFmtId="0" fontId="8" fillId="6" borderId="45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6" borderId="43" xfId="0" applyFont="1" applyFill="1" applyBorder="1" applyAlignment="1">
      <alignment horizontal="center" vertical="center"/>
    </xf>
    <xf numFmtId="0" fontId="8" fillId="6" borderId="51" xfId="0" applyFont="1" applyFill="1" applyBorder="1" applyAlignment="1">
      <alignment horizontal="center"/>
    </xf>
    <xf numFmtId="0" fontId="8" fillId="6" borderId="53" xfId="0" applyFont="1" applyFill="1" applyBorder="1" applyAlignment="1">
      <alignment horizontal="center"/>
    </xf>
    <xf numFmtId="0" fontId="23" fillId="35" borderId="0" xfId="0" applyFont="1" applyFill="1" applyAlignment="1">
      <alignment horizontal="center"/>
    </xf>
    <xf numFmtId="0" fontId="0" fillId="33" borderId="47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23" fillId="33" borderId="47" xfId="0" applyFont="1" applyFill="1" applyBorder="1" applyAlignment="1">
      <alignment horizontal="center"/>
    </xf>
    <xf numFmtId="0" fontId="8" fillId="33" borderId="0" xfId="0" applyFont="1" applyFill="1" applyAlignment="1">
      <alignment horizontal="center"/>
    </xf>
    <xf numFmtId="0" fontId="4" fillId="33" borderId="0" xfId="0" applyFont="1" applyFill="1" applyAlignment="1">
      <alignment horizontal="center"/>
    </xf>
    <xf numFmtId="165" fontId="28" fillId="0" borderId="1" xfId="0" applyNumberFormat="1" applyFont="1" applyFill="1" applyBorder="1" applyAlignment="1">
      <alignment horizontal="center" vertical="center"/>
    </xf>
    <xf numFmtId="0" fontId="8" fillId="19" borderId="2" xfId="0" applyFont="1" applyFill="1" applyBorder="1"/>
    <xf numFmtId="0" fontId="0" fillId="19" borderId="2" xfId="0" applyFill="1" applyBorder="1"/>
    <xf numFmtId="0" fontId="0" fillId="19" borderId="3" xfId="0" applyFill="1" applyBorder="1"/>
    <xf numFmtId="0" fontId="0" fillId="19" borderId="6" xfId="0" applyFill="1" applyBorder="1"/>
    <xf numFmtId="0" fontId="0" fillId="19" borderId="15" xfId="0" applyFill="1" applyBorder="1"/>
    <xf numFmtId="0" fontId="0" fillId="19" borderId="10" xfId="0" applyFill="1" applyBorder="1"/>
    <xf numFmtId="0" fontId="8" fillId="19" borderId="44" xfId="0" applyFont="1" applyFill="1" applyBorder="1"/>
    <xf numFmtId="0" fontId="0" fillId="19" borderId="45" xfId="0" applyFill="1" applyBorder="1"/>
    <xf numFmtId="0" fontId="0" fillId="19" borderId="46" xfId="0" applyFill="1" applyBorder="1"/>
    <xf numFmtId="0" fontId="0" fillId="19" borderId="47" xfId="0" applyFill="1" applyBorder="1"/>
    <xf numFmtId="0" fontId="0" fillId="19" borderId="48" xfId="0" applyFill="1" applyBorder="1"/>
    <xf numFmtId="0" fontId="0" fillId="19" borderId="47" xfId="0" applyFill="1" applyBorder="1" applyAlignment="1">
      <alignment horizontal="left"/>
    </xf>
    <xf numFmtId="0" fontId="0" fillId="19" borderId="0" xfId="0" applyFill="1" applyAlignment="1">
      <alignment horizontal="left"/>
    </xf>
    <xf numFmtId="0" fontId="0" fillId="19" borderId="48" xfId="0" applyFill="1" applyBorder="1" applyAlignment="1">
      <alignment horizontal="left"/>
    </xf>
    <xf numFmtId="0" fontId="0" fillId="19" borderId="49" xfId="0" applyFill="1" applyBorder="1"/>
    <xf numFmtId="0" fontId="0" fillId="19" borderId="43" xfId="0" applyFill="1" applyBorder="1"/>
    <xf numFmtId="0" fontId="0" fillId="19" borderId="50" xfId="0" applyFill="1" applyBorder="1"/>
    <xf numFmtId="0" fontId="0" fillId="17" borderId="4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0" xfId="0" applyFill="1"/>
    <xf numFmtId="0" fontId="0" fillId="17" borderId="6" xfId="0" applyFill="1" applyBorder="1"/>
    <xf numFmtId="0" fontId="0" fillId="17" borderId="9" xfId="0" applyFill="1" applyBorder="1"/>
    <xf numFmtId="0" fontId="0" fillId="17" borderId="15" xfId="0" applyFill="1" applyBorder="1"/>
    <xf numFmtId="0" fontId="0" fillId="17" borderId="10" xfId="0" applyFill="1" applyBorder="1"/>
    <xf numFmtId="0" fontId="0" fillId="6" borderId="40" xfId="0" applyFill="1" applyBorder="1"/>
    <xf numFmtId="0" fontId="0" fillId="6" borderId="41" xfId="0" applyFill="1" applyBorder="1"/>
    <xf numFmtId="0" fontId="0" fillId="6" borderId="42" xfId="0" applyFill="1" applyBorder="1"/>
    <xf numFmtId="0" fontId="8" fillId="6" borderId="41" xfId="0" applyFont="1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6" borderId="40" xfId="0" applyFill="1" applyBorder="1" applyAlignment="1">
      <alignment horizontal="left"/>
    </xf>
    <xf numFmtId="0" fontId="0" fillId="6" borderId="41" xfId="0" applyFill="1" applyBorder="1" applyAlignment="1">
      <alignment horizontal="left"/>
    </xf>
    <xf numFmtId="0" fontId="0" fillId="6" borderId="42" xfId="0" applyFill="1" applyBorder="1" applyAlignment="1">
      <alignment horizontal="left"/>
    </xf>
    <xf numFmtId="0" fontId="0" fillId="17" borderId="4" xfId="0" applyFill="1" applyBorder="1" applyAlignment="1">
      <alignment horizontal="left"/>
    </xf>
    <xf numFmtId="0" fontId="0" fillId="17" borderId="2" xfId="0" applyFill="1" applyBorder="1" applyAlignment="1">
      <alignment horizontal="left"/>
    </xf>
    <xf numFmtId="0" fontId="0" fillId="17" borderId="3" xfId="0" applyFill="1" applyBorder="1" applyAlignment="1">
      <alignment horizontal="left"/>
    </xf>
    <xf numFmtId="0" fontId="0" fillId="17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8" fillId="4" borderId="40" xfId="0" applyFont="1" applyFill="1" applyBorder="1" applyAlignment="1">
      <alignment horizontal="center"/>
    </xf>
    <xf numFmtId="0" fontId="8" fillId="4" borderId="41" xfId="0" applyFont="1" applyFill="1" applyBorder="1" applyAlignment="1">
      <alignment horizontal="center"/>
    </xf>
  </cellXfs>
  <cellStyles count="6">
    <cellStyle name="Normale 2" xfId="1" xr:uid="{DCDC2567-2B25-3948-A23C-BAEB18C6484B}"/>
    <cellStyle name="Normale 2 2" xfId="2" xr:uid="{6700F9D7-61CD-834C-A5E4-CBFC1554B237}"/>
    <cellStyle name="Percentuale 2" xfId="3" xr:uid="{C9BF95B5-183C-2E44-92F1-4D701978E60C}"/>
    <cellStyle name="Гиперссылка" xfId="4" builtinId="8"/>
    <cellStyle name="Обычный" xfId="0" builtinId="0"/>
    <cellStyle name="Процентный" xfId="5" builtinId="5"/>
  </cellStyles>
  <dxfs count="78">
    <dxf>
      <numFmt numFmtId="0" formatCode="General"/>
      <fill>
        <patternFill patternType="solid">
          <fgColor indexed="64"/>
          <bgColor theme="5"/>
        </patternFill>
      </fill>
    </dxf>
    <dxf>
      <numFmt numFmtId="14" formatCode="0.00%"/>
    </dxf>
    <dxf>
      <numFmt numFmtId="14" formatCode="0.00%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fill>
        <patternFill patternType="solid">
          <fgColor indexed="64"/>
          <bgColor theme="5"/>
        </patternFill>
      </fill>
    </dxf>
    <dxf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theme="5"/>
        </patternFill>
      </fill>
      <alignment horizontal="right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212529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14" formatCode="0.0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right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theme="5"/>
        </patternFill>
      </fill>
      <alignment horizontal="right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DFF0"/>
      <color rgb="FFFFB6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587826</xdr:colOff>
      <xdr:row>29</xdr:row>
      <xdr:rowOff>97971</xdr:rowOff>
    </xdr:from>
    <xdr:to>
      <xdr:col>16</xdr:col>
      <xdr:colOff>3803</xdr:colOff>
      <xdr:row>34</xdr:row>
      <xdr:rowOff>185057</xdr:rowOff>
    </xdr:to>
    <xdr:grpSp>
      <xdr:nvGrpSpPr>
        <xdr:cNvPr id="2" name="Group 37">
          <a:extLst>
            <a:ext uri="{FF2B5EF4-FFF2-40B4-BE49-F238E27FC236}">
              <a16:creationId xmlns:a16="http://schemas.microsoft.com/office/drawing/2014/main" id="{8D18A9AE-6327-8840-A220-A09EBC204477}"/>
            </a:ext>
          </a:extLst>
        </xdr:cNvPr>
        <xdr:cNvGrpSpPr/>
      </xdr:nvGrpSpPr>
      <xdr:grpSpPr>
        <a:xfrm rot="5400000">
          <a:off x="9201341" y="5076409"/>
          <a:ext cx="1044017" cy="2109559"/>
          <a:chOff x="16236042" y="3599543"/>
          <a:chExt cx="1543958" cy="800100"/>
        </a:xfrm>
      </xdr:grpSpPr>
      <xdr:cxnSp macro="">
        <xdr:nvCxnSpPr>
          <xdr:cNvPr id="3" name="Straight Connector 34">
            <a:extLst>
              <a:ext uri="{FF2B5EF4-FFF2-40B4-BE49-F238E27FC236}">
                <a16:creationId xmlns:a16="http://schemas.microsoft.com/office/drawing/2014/main" id="{4E8B481D-C648-8EDE-81B6-BFC62B8C3DFD}"/>
              </a:ext>
            </a:extLst>
          </xdr:cNvPr>
          <xdr:cNvCxnSpPr/>
        </xdr:nvCxnSpPr>
        <xdr:spPr>
          <a:xfrm>
            <a:off x="16246928" y="4390572"/>
            <a:ext cx="1533072" cy="9071"/>
          </a:xfrm>
          <a:prstGeom prst="line">
            <a:avLst/>
          </a:prstGeom>
          <a:ln>
            <a:tailEnd type="non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Connettore 2 4">
            <a:extLst>
              <a:ext uri="{FF2B5EF4-FFF2-40B4-BE49-F238E27FC236}">
                <a16:creationId xmlns:a16="http://schemas.microsoft.com/office/drawing/2014/main" id="{CEB6395F-C138-E8FC-6406-D3B5311F023F}"/>
              </a:ext>
            </a:extLst>
          </xdr:cNvPr>
          <xdr:cNvCxnSpPr/>
        </xdr:nvCxnSpPr>
        <xdr:spPr>
          <a:xfrm flipH="1" flipV="1">
            <a:off x="16236042" y="3599543"/>
            <a:ext cx="7258" cy="782454"/>
          </a:xfrm>
          <a:prstGeom prst="straightConnector1">
            <a:avLst/>
          </a:prstGeom>
          <a:ln>
            <a:tailEnd type="triangl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594360</xdr:colOff>
      <xdr:row>7</xdr:row>
      <xdr:rowOff>7619</xdr:rowOff>
    </xdr:from>
    <xdr:to>
      <xdr:col>4</xdr:col>
      <xdr:colOff>576431</xdr:colOff>
      <xdr:row>7</xdr:row>
      <xdr:rowOff>7620</xdr:rowOff>
    </xdr:to>
    <xdr:cxnSp macro="">
      <xdr:nvCxnSpPr>
        <xdr:cNvPr id="5" name="Connettore 2 146">
          <a:extLst>
            <a:ext uri="{FF2B5EF4-FFF2-40B4-BE49-F238E27FC236}">
              <a16:creationId xmlns:a16="http://schemas.microsoft.com/office/drawing/2014/main" id="{50AC3F18-45EF-3449-8F49-C22038075375}"/>
            </a:ext>
          </a:extLst>
        </xdr:cNvPr>
        <xdr:cNvCxnSpPr/>
      </xdr:nvCxnSpPr>
      <xdr:spPr>
        <a:xfrm>
          <a:off x="1940560" y="1391919"/>
          <a:ext cx="1328271" cy="1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26894</xdr:rowOff>
    </xdr:from>
    <xdr:to>
      <xdr:col>7</xdr:col>
      <xdr:colOff>458155</xdr:colOff>
      <xdr:row>10</xdr:row>
      <xdr:rowOff>164178</xdr:rowOff>
    </xdr:to>
    <xdr:grpSp>
      <xdr:nvGrpSpPr>
        <xdr:cNvPr id="6" name="Group 37">
          <a:extLst>
            <a:ext uri="{FF2B5EF4-FFF2-40B4-BE49-F238E27FC236}">
              <a16:creationId xmlns:a16="http://schemas.microsoft.com/office/drawing/2014/main" id="{85B519BF-1D20-F543-8352-82C898F3D5D0}"/>
            </a:ext>
          </a:extLst>
        </xdr:cNvPr>
        <xdr:cNvGrpSpPr/>
      </xdr:nvGrpSpPr>
      <xdr:grpSpPr>
        <a:xfrm>
          <a:off x="2693581" y="1355964"/>
          <a:ext cx="2478341" cy="713214"/>
          <a:chOff x="16236042" y="3599543"/>
          <a:chExt cx="1544616" cy="801585"/>
        </a:xfrm>
      </xdr:grpSpPr>
      <xdr:cxnSp macro="">
        <xdr:nvCxnSpPr>
          <xdr:cNvPr id="7" name="Straight Connector 34">
            <a:extLst>
              <a:ext uri="{FF2B5EF4-FFF2-40B4-BE49-F238E27FC236}">
                <a16:creationId xmlns:a16="http://schemas.microsoft.com/office/drawing/2014/main" id="{234FFE9F-9C9C-57BC-6542-7C22489F0FE5}"/>
              </a:ext>
            </a:extLst>
          </xdr:cNvPr>
          <xdr:cNvCxnSpPr/>
        </xdr:nvCxnSpPr>
        <xdr:spPr>
          <a:xfrm>
            <a:off x="16246928" y="4390572"/>
            <a:ext cx="1533072" cy="9071"/>
          </a:xfrm>
          <a:prstGeom prst="line">
            <a:avLst/>
          </a:prstGeom>
          <a:ln>
            <a:tailEnd type="non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Connettore 2 4">
            <a:extLst>
              <a:ext uri="{FF2B5EF4-FFF2-40B4-BE49-F238E27FC236}">
                <a16:creationId xmlns:a16="http://schemas.microsoft.com/office/drawing/2014/main" id="{FAFF0628-DD58-8514-A26F-68F968420643}"/>
              </a:ext>
            </a:extLst>
          </xdr:cNvPr>
          <xdr:cNvCxnSpPr/>
        </xdr:nvCxnSpPr>
        <xdr:spPr>
          <a:xfrm>
            <a:off x="17771423" y="3605153"/>
            <a:ext cx="9235" cy="795975"/>
          </a:xfrm>
          <a:prstGeom prst="straightConnector1">
            <a:avLst/>
          </a:prstGeom>
          <a:ln>
            <a:tailEnd type="non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Connettore 2 4">
            <a:extLst>
              <a:ext uri="{FF2B5EF4-FFF2-40B4-BE49-F238E27FC236}">
                <a16:creationId xmlns:a16="http://schemas.microsoft.com/office/drawing/2014/main" id="{C030F804-7B68-D589-8D13-DD1593C5AAEC}"/>
              </a:ext>
            </a:extLst>
          </xdr:cNvPr>
          <xdr:cNvCxnSpPr/>
        </xdr:nvCxnSpPr>
        <xdr:spPr>
          <a:xfrm flipH="1" flipV="1">
            <a:off x="16236042" y="3599543"/>
            <a:ext cx="7258" cy="782454"/>
          </a:xfrm>
          <a:prstGeom prst="straightConnector1">
            <a:avLst/>
          </a:prstGeom>
          <a:ln>
            <a:tailEnd type="triangl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0</xdr:colOff>
      <xdr:row>6</xdr:row>
      <xdr:rowOff>163286</xdr:rowOff>
    </xdr:from>
    <xdr:to>
      <xdr:col>11</xdr:col>
      <xdr:colOff>587829</xdr:colOff>
      <xdr:row>7</xdr:row>
      <xdr:rowOff>0</xdr:rowOff>
    </xdr:to>
    <xdr:cxnSp macro="">
      <xdr:nvCxnSpPr>
        <xdr:cNvPr id="10" name="Connettore 2 146">
          <a:extLst>
            <a:ext uri="{FF2B5EF4-FFF2-40B4-BE49-F238E27FC236}">
              <a16:creationId xmlns:a16="http://schemas.microsoft.com/office/drawing/2014/main" id="{23F6716A-2083-8045-AFAB-68B44B623D67}"/>
            </a:ext>
          </a:extLst>
        </xdr:cNvPr>
        <xdr:cNvCxnSpPr/>
      </xdr:nvCxnSpPr>
      <xdr:spPr>
        <a:xfrm flipV="1">
          <a:off x="4711700" y="1357086"/>
          <a:ext cx="3280229" cy="27214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11</xdr:row>
      <xdr:rowOff>30480</xdr:rowOff>
    </xdr:from>
    <xdr:to>
      <xdr:col>6</xdr:col>
      <xdr:colOff>457200</xdr:colOff>
      <xdr:row>12</xdr:row>
      <xdr:rowOff>175259</xdr:rowOff>
    </xdr:to>
    <xdr:sp macro="" textlink="">
      <xdr:nvSpPr>
        <xdr:cNvPr id="11" name="CasellaDiTesto 153">
          <a:extLst>
            <a:ext uri="{FF2B5EF4-FFF2-40B4-BE49-F238E27FC236}">
              <a16:creationId xmlns:a16="http://schemas.microsoft.com/office/drawing/2014/main" id="{E80365CC-6A74-B04A-BDAD-5454C3B44DFF}"/>
            </a:ext>
          </a:extLst>
        </xdr:cNvPr>
        <xdr:cNvSpPr txBox="1"/>
      </xdr:nvSpPr>
      <xdr:spPr>
        <a:xfrm>
          <a:off x="3380740" y="2214880"/>
          <a:ext cx="1115060" cy="3352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b     10%(A+B)</a:t>
          </a:r>
        </a:p>
      </xdr:txBody>
    </xdr:sp>
    <xdr:clientData/>
  </xdr:twoCellAnchor>
  <xdr:twoCellAnchor>
    <xdr:from>
      <xdr:col>2</xdr:col>
      <xdr:colOff>83820</xdr:colOff>
      <xdr:row>4</xdr:row>
      <xdr:rowOff>175260</xdr:rowOff>
    </xdr:from>
    <xdr:to>
      <xdr:col>3</xdr:col>
      <xdr:colOff>525780</xdr:colOff>
      <xdr:row>6</xdr:row>
      <xdr:rowOff>129539</xdr:rowOff>
    </xdr:to>
    <xdr:sp macro="" textlink="">
      <xdr:nvSpPr>
        <xdr:cNvPr id="12" name="CasellaDiTesto 153">
          <a:extLst>
            <a:ext uri="{FF2B5EF4-FFF2-40B4-BE49-F238E27FC236}">
              <a16:creationId xmlns:a16="http://schemas.microsoft.com/office/drawing/2014/main" id="{370B25E9-B724-8F4E-8E39-D09E6F4AF7EB}"/>
            </a:ext>
          </a:extLst>
        </xdr:cNvPr>
        <xdr:cNvSpPr txBox="1"/>
      </xdr:nvSpPr>
      <xdr:spPr>
        <a:xfrm>
          <a:off x="1430020" y="962660"/>
          <a:ext cx="1115060" cy="3606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a     100%(A+B)</a:t>
          </a:r>
        </a:p>
      </xdr:txBody>
    </xdr:sp>
    <xdr:clientData/>
  </xdr:twoCellAnchor>
  <xdr:twoCellAnchor>
    <xdr:from>
      <xdr:col>9</xdr:col>
      <xdr:colOff>116476</xdr:colOff>
      <xdr:row>4</xdr:row>
      <xdr:rowOff>2</xdr:rowOff>
    </xdr:from>
    <xdr:to>
      <xdr:col>11</xdr:col>
      <xdr:colOff>108856</xdr:colOff>
      <xdr:row>5</xdr:row>
      <xdr:rowOff>108858</xdr:rowOff>
    </xdr:to>
    <xdr:sp macro="" textlink="">
      <xdr:nvSpPr>
        <xdr:cNvPr id="13" name="CasellaDiTesto 153">
          <a:extLst>
            <a:ext uri="{FF2B5EF4-FFF2-40B4-BE49-F238E27FC236}">
              <a16:creationId xmlns:a16="http://schemas.microsoft.com/office/drawing/2014/main" id="{BDAB64FC-2224-1144-AE36-FD5815DE7E63}"/>
            </a:ext>
          </a:extLst>
        </xdr:cNvPr>
        <xdr:cNvSpPr txBox="1"/>
      </xdr:nvSpPr>
      <xdr:spPr>
        <a:xfrm>
          <a:off x="6174376" y="787402"/>
          <a:ext cx="1338580" cy="3247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c     100%(C)</a:t>
          </a:r>
        </a:p>
      </xdr:txBody>
    </xdr:sp>
    <xdr:clientData/>
  </xdr:twoCellAnchor>
  <xdr:twoCellAnchor>
    <xdr:from>
      <xdr:col>14</xdr:col>
      <xdr:colOff>10886</xdr:colOff>
      <xdr:row>7</xdr:row>
      <xdr:rowOff>0</xdr:rowOff>
    </xdr:from>
    <xdr:to>
      <xdr:col>18</xdr:col>
      <xdr:colOff>555171</xdr:colOff>
      <xdr:row>7</xdr:row>
      <xdr:rowOff>10885</xdr:rowOff>
    </xdr:to>
    <xdr:cxnSp macro="">
      <xdr:nvCxnSpPr>
        <xdr:cNvPr id="14" name="Connettore 2 146">
          <a:extLst>
            <a:ext uri="{FF2B5EF4-FFF2-40B4-BE49-F238E27FC236}">
              <a16:creationId xmlns:a16="http://schemas.microsoft.com/office/drawing/2014/main" id="{6F8BDCEC-AE24-5B4C-8744-769BB0E26206}"/>
            </a:ext>
          </a:extLst>
        </xdr:cNvPr>
        <xdr:cNvCxnSpPr/>
      </xdr:nvCxnSpPr>
      <xdr:spPr>
        <a:xfrm>
          <a:off x="9434286" y="1384300"/>
          <a:ext cx="3236685" cy="10885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7</xdr:row>
      <xdr:rowOff>10885</xdr:rowOff>
    </xdr:from>
    <xdr:to>
      <xdr:col>15</xdr:col>
      <xdr:colOff>955</xdr:colOff>
      <xdr:row>10</xdr:row>
      <xdr:rowOff>148169</xdr:rowOff>
    </xdr:to>
    <xdr:grpSp>
      <xdr:nvGrpSpPr>
        <xdr:cNvPr id="15" name="Group 37">
          <a:extLst>
            <a:ext uri="{FF2B5EF4-FFF2-40B4-BE49-F238E27FC236}">
              <a16:creationId xmlns:a16="http://schemas.microsoft.com/office/drawing/2014/main" id="{F0A51E50-905C-BE4F-8816-500FE768B21A}"/>
            </a:ext>
          </a:extLst>
        </xdr:cNvPr>
        <xdr:cNvGrpSpPr/>
      </xdr:nvGrpSpPr>
      <xdr:grpSpPr>
        <a:xfrm>
          <a:off x="7559749" y="1339955"/>
          <a:ext cx="2542136" cy="713214"/>
          <a:chOff x="16236042" y="3599543"/>
          <a:chExt cx="1544616" cy="801585"/>
        </a:xfrm>
      </xdr:grpSpPr>
      <xdr:cxnSp macro="">
        <xdr:nvCxnSpPr>
          <xdr:cNvPr id="16" name="Straight Connector 34">
            <a:extLst>
              <a:ext uri="{FF2B5EF4-FFF2-40B4-BE49-F238E27FC236}">
                <a16:creationId xmlns:a16="http://schemas.microsoft.com/office/drawing/2014/main" id="{752760CF-1C2A-5B66-4CAD-C7DD47D7675B}"/>
              </a:ext>
            </a:extLst>
          </xdr:cNvPr>
          <xdr:cNvCxnSpPr/>
        </xdr:nvCxnSpPr>
        <xdr:spPr>
          <a:xfrm>
            <a:off x="16246928" y="4390572"/>
            <a:ext cx="1533072" cy="9071"/>
          </a:xfrm>
          <a:prstGeom prst="line">
            <a:avLst/>
          </a:prstGeom>
          <a:ln>
            <a:tailEnd type="non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Connettore 2 4">
            <a:extLst>
              <a:ext uri="{FF2B5EF4-FFF2-40B4-BE49-F238E27FC236}">
                <a16:creationId xmlns:a16="http://schemas.microsoft.com/office/drawing/2014/main" id="{306794A7-B26A-3321-D2CC-A93916A399D3}"/>
              </a:ext>
            </a:extLst>
          </xdr:cNvPr>
          <xdr:cNvCxnSpPr/>
        </xdr:nvCxnSpPr>
        <xdr:spPr>
          <a:xfrm>
            <a:off x="17771423" y="3605153"/>
            <a:ext cx="9235" cy="795975"/>
          </a:xfrm>
          <a:prstGeom prst="straightConnector1">
            <a:avLst/>
          </a:prstGeom>
          <a:ln>
            <a:tailEnd type="non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Connettore 2 4">
            <a:extLst>
              <a:ext uri="{FF2B5EF4-FFF2-40B4-BE49-F238E27FC236}">
                <a16:creationId xmlns:a16="http://schemas.microsoft.com/office/drawing/2014/main" id="{135361AF-8A9D-0883-1F23-BC5EA982BD98}"/>
              </a:ext>
            </a:extLst>
          </xdr:cNvPr>
          <xdr:cNvCxnSpPr/>
        </xdr:nvCxnSpPr>
        <xdr:spPr>
          <a:xfrm flipH="1" flipV="1">
            <a:off x="16236042" y="3599543"/>
            <a:ext cx="7258" cy="782454"/>
          </a:xfrm>
          <a:prstGeom prst="straightConnector1">
            <a:avLst/>
          </a:prstGeom>
          <a:ln>
            <a:tailEnd type="triangl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76199</xdr:colOff>
      <xdr:row>10</xdr:row>
      <xdr:rowOff>185056</xdr:rowOff>
    </xdr:from>
    <xdr:to>
      <xdr:col>14</xdr:col>
      <xdr:colOff>10886</xdr:colOff>
      <xdr:row>12</xdr:row>
      <xdr:rowOff>130629</xdr:rowOff>
    </xdr:to>
    <xdr:sp macro="" textlink="">
      <xdr:nvSpPr>
        <xdr:cNvPr id="19" name="CasellaDiTesto 153">
          <a:extLst>
            <a:ext uri="{FF2B5EF4-FFF2-40B4-BE49-F238E27FC236}">
              <a16:creationId xmlns:a16="http://schemas.microsoft.com/office/drawing/2014/main" id="{A652E0B5-69C4-884C-BEAA-EEC34E7027BD}"/>
            </a:ext>
          </a:extLst>
        </xdr:cNvPr>
        <xdr:cNvSpPr txBox="1"/>
      </xdr:nvSpPr>
      <xdr:spPr>
        <a:xfrm>
          <a:off x="8153399" y="2166256"/>
          <a:ext cx="1280887" cy="339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d     15%(A+B+C)</a:t>
          </a:r>
        </a:p>
      </xdr:txBody>
    </xdr:sp>
    <xdr:clientData/>
  </xdr:twoCellAnchor>
  <xdr:twoCellAnchor>
    <xdr:from>
      <xdr:col>16</xdr:col>
      <xdr:colOff>0</xdr:colOff>
      <xdr:row>7</xdr:row>
      <xdr:rowOff>0</xdr:rowOff>
    </xdr:from>
    <xdr:to>
      <xdr:col>16</xdr:col>
      <xdr:colOff>0</xdr:colOff>
      <xdr:row>12</xdr:row>
      <xdr:rowOff>152400</xdr:rowOff>
    </xdr:to>
    <xdr:cxnSp macro="">
      <xdr:nvCxnSpPr>
        <xdr:cNvPr id="20" name="Connettore 2 146">
          <a:extLst>
            <a:ext uri="{FF2B5EF4-FFF2-40B4-BE49-F238E27FC236}">
              <a16:creationId xmlns:a16="http://schemas.microsoft.com/office/drawing/2014/main" id="{68F1A1BA-242C-2B4B-9575-9E3E7D35E5E9}"/>
            </a:ext>
          </a:extLst>
        </xdr:cNvPr>
        <xdr:cNvCxnSpPr/>
      </xdr:nvCxnSpPr>
      <xdr:spPr>
        <a:xfrm>
          <a:off x="10769600" y="1384300"/>
          <a:ext cx="0" cy="1143000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381001</xdr:colOff>
      <xdr:row>5</xdr:row>
      <xdr:rowOff>21771</xdr:rowOff>
    </xdr:from>
    <xdr:to>
      <xdr:col>18</xdr:col>
      <xdr:colOff>402772</xdr:colOff>
      <xdr:row>6</xdr:row>
      <xdr:rowOff>130628</xdr:rowOff>
    </xdr:to>
    <xdr:sp macro="" textlink="">
      <xdr:nvSpPr>
        <xdr:cNvPr id="21" name="CasellaDiTesto 153">
          <a:extLst>
            <a:ext uri="{FF2B5EF4-FFF2-40B4-BE49-F238E27FC236}">
              <a16:creationId xmlns:a16="http://schemas.microsoft.com/office/drawing/2014/main" id="{C1679208-7745-7A49-94A5-390D49AF21B1}"/>
            </a:ext>
          </a:extLst>
        </xdr:cNvPr>
        <xdr:cNvSpPr txBox="1"/>
      </xdr:nvSpPr>
      <xdr:spPr>
        <a:xfrm>
          <a:off x="11150601" y="1025071"/>
          <a:ext cx="1367971" cy="2993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e     60%(A+B+C)</a:t>
          </a:r>
        </a:p>
      </xdr:txBody>
    </xdr:sp>
    <xdr:clientData/>
  </xdr:twoCellAnchor>
  <xdr:twoCellAnchor>
    <xdr:from>
      <xdr:col>16</xdr:col>
      <xdr:colOff>76200</xdr:colOff>
      <xdr:row>9</xdr:row>
      <xdr:rowOff>185057</xdr:rowOff>
    </xdr:from>
    <xdr:to>
      <xdr:col>18</xdr:col>
      <xdr:colOff>97971</xdr:colOff>
      <xdr:row>11</xdr:row>
      <xdr:rowOff>97973</xdr:rowOff>
    </xdr:to>
    <xdr:sp macro="" textlink="">
      <xdr:nvSpPr>
        <xdr:cNvPr id="22" name="CasellaDiTesto 153">
          <a:extLst>
            <a:ext uri="{FF2B5EF4-FFF2-40B4-BE49-F238E27FC236}">
              <a16:creationId xmlns:a16="http://schemas.microsoft.com/office/drawing/2014/main" id="{F237C67D-90F9-9646-AAE4-089B2600D984}"/>
            </a:ext>
          </a:extLst>
        </xdr:cNvPr>
        <xdr:cNvSpPr txBox="1"/>
      </xdr:nvSpPr>
      <xdr:spPr>
        <a:xfrm>
          <a:off x="10845800" y="1963057"/>
          <a:ext cx="1367971" cy="3193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f</a:t>
          </a:r>
          <a:r>
            <a:rPr lang="it-IT" sz="1100" baseline="0"/>
            <a:t> </a:t>
          </a:r>
          <a:r>
            <a:rPr lang="it-IT" sz="1100"/>
            <a:t>    40%(A+B+C)</a:t>
          </a:r>
        </a:p>
      </xdr:txBody>
    </xdr:sp>
    <xdr:clientData/>
  </xdr:twoCellAnchor>
  <xdr:twoCellAnchor>
    <xdr:from>
      <xdr:col>16</xdr:col>
      <xdr:colOff>123372</xdr:colOff>
      <xdr:row>9</xdr:row>
      <xdr:rowOff>27820</xdr:rowOff>
    </xdr:from>
    <xdr:to>
      <xdr:col>19</xdr:col>
      <xdr:colOff>700317</xdr:colOff>
      <xdr:row>31</xdr:row>
      <xdr:rowOff>169337</xdr:rowOff>
    </xdr:to>
    <xdr:cxnSp macro="">
      <xdr:nvCxnSpPr>
        <xdr:cNvPr id="23" name="Connettore a gomito 59">
          <a:extLst>
            <a:ext uri="{FF2B5EF4-FFF2-40B4-BE49-F238E27FC236}">
              <a16:creationId xmlns:a16="http://schemas.microsoft.com/office/drawing/2014/main" id="{8646F905-E039-7A4E-8A94-7DCA1783D06D}"/>
            </a:ext>
          </a:extLst>
        </xdr:cNvPr>
        <xdr:cNvCxnSpPr/>
      </xdr:nvCxnSpPr>
      <xdr:spPr>
        <a:xfrm rot="5400000">
          <a:off x="9974036" y="2724756"/>
          <a:ext cx="4434117" cy="2596245"/>
        </a:xfrm>
        <a:prstGeom prst="bentConnector3">
          <a:avLst>
            <a:gd name="adj1" fmla="val 65128"/>
          </a:avLst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8466</xdr:colOff>
      <xdr:row>32</xdr:row>
      <xdr:rowOff>21772</xdr:rowOff>
    </xdr:from>
    <xdr:to>
      <xdr:col>14</xdr:col>
      <xdr:colOff>283028</xdr:colOff>
      <xdr:row>33</xdr:row>
      <xdr:rowOff>131838</xdr:rowOff>
    </xdr:to>
    <xdr:sp macro="" textlink="">
      <xdr:nvSpPr>
        <xdr:cNvPr id="24" name="CasellaDiTesto 153">
          <a:extLst>
            <a:ext uri="{FF2B5EF4-FFF2-40B4-BE49-F238E27FC236}">
              <a16:creationId xmlns:a16="http://schemas.microsoft.com/office/drawing/2014/main" id="{40D2F357-1F2F-BE41-8A38-897C985D8091}"/>
            </a:ext>
          </a:extLst>
        </xdr:cNvPr>
        <xdr:cNvSpPr txBox="1"/>
      </xdr:nvSpPr>
      <xdr:spPr>
        <a:xfrm>
          <a:off x="8758766" y="6295572"/>
          <a:ext cx="947662" cy="2878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aseline="0"/>
            <a:t>h</a:t>
          </a:r>
          <a:r>
            <a:rPr lang="it-IT" sz="1100"/>
            <a:t>    20%(A)</a:t>
          </a:r>
        </a:p>
      </xdr:txBody>
    </xdr:sp>
    <xdr:clientData/>
  </xdr:twoCellAnchor>
  <xdr:twoCellAnchor>
    <xdr:from>
      <xdr:col>14</xdr:col>
      <xdr:colOff>32657</xdr:colOff>
      <xdr:row>36</xdr:row>
      <xdr:rowOff>174171</xdr:rowOff>
    </xdr:from>
    <xdr:to>
      <xdr:col>15</xdr:col>
      <xdr:colOff>587829</xdr:colOff>
      <xdr:row>37</xdr:row>
      <xdr:rowOff>0</xdr:rowOff>
    </xdr:to>
    <xdr:cxnSp macro="">
      <xdr:nvCxnSpPr>
        <xdr:cNvPr id="25" name="Connettore diritto 68">
          <a:extLst>
            <a:ext uri="{FF2B5EF4-FFF2-40B4-BE49-F238E27FC236}">
              <a16:creationId xmlns:a16="http://schemas.microsoft.com/office/drawing/2014/main" id="{6BC61CD8-0A6A-1A49-AADA-B14F09B8C444}"/>
            </a:ext>
          </a:extLst>
        </xdr:cNvPr>
        <xdr:cNvCxnSpPr/>
      </xdr:nvCxnSpPr>
      <xdr:spPr>
        <a:xfrm flipH="1" flipV="1">
          <a:off x="9456057" y="7248071"/>
          <a:ext cx="1228272" cy="16329"/>
        </a:xfrm>
        <a:prstGeom prst="line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24</xdr:row>
      <xdr:rowOff>84666</xdr:rowOff>
    </xdr:from>
    <xdr:to>
      <xdr:col>20</xdr:col>
      <xdr:colOff>33867</xdr:colOff>
      <xdr:row>32</xdr:row>
      <xdr:rowOff>0</xdr:rowOff>
    </xdr:to>
    <xdr:cxnSp macro="">
      <xdr:nvCxnSpPr>
        <xdr:cNvPr id="26" name="Connettore 2 146">
          <a:extLst>
            <a:ext uri="{FF2B5EF4-FFF2-40B4-BE49-F238E27FC236}">
              <a16:creationId xmlns:a16="http://schemas.microsoft.com/office/drawing/2014/main" id="{928603FC-2161-834B-A689-91B7F6F12232}"/>
            </a:ext>
          </a:extLst>
        </xdr:cNvPr>
        <xdr:cNvCxnSpPr/>
      </xdr:nvCxnSpPr>
      <xdr:spPr>
        <a:xfrm>
          <a:off x="13500100" y="4796366"/>
          <a:ext cx="33867" cy="1477434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27</xdr:row>
      <xdr:rowOff>65313</xdr:rowOff>
    </xdr:from>
    <xdr:to>
      <xdr:col>19</xdr:col>
      <xdr:colOff>544285</xdr:colOff>
      <xdr:row>29</xdr:row>
      <xdr:rowOff>43542</xdr:rowOff>
    </xdr:to>
    <xdr:sp macro="" textlink="">
      <xdr:nvSpPr>
        <xdr:cNvPr id="27" name="CasellaDiTesto 153">
          <a:extLst>
            <a:ext uri="{FF2B5EF4-FFF2-40B4-BE49-F238E27FC236}">
              <a16:creationId xmlns:a16="http://schemas.microsoft.com/office/drawing/2014/main" id="{BB93A5C2-B94C-3942-A7A3-CF0EB71B16B4}"/>
            </a:ext>
          </a:extLst>
        </xdr:cNvPr>
        <xdr:cNvSpPr txBox="1"/>
      </xdr:nvSpPr>
      <xdr:spPr>
        <a:xfrm>
          <a:off x="12115801" y="5348513"/>
          <a:ext cx="1217384" cy="3846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aseline="0"/>
            <a:t>l</a:t>
          </a:r>
          <a:r>
            <a:rPr lang="it-IT" sz="1100"/>
            <a:t>  80%(B+C)</a:t>
          </a:r>
        </a:p>
      </xdr:txBody>
    </xdr:sp>
    <xdr:clientData/>
  </xdr:twoCellAnchor>
  <xdr:twoCellAnchor>
    <xdr:from>
      <xdr:col>19</xdr:col>
      <xdr:colOff>609603</xdr:colOff>
      <xdr:row>23</xdr:row>
      <xdr:rowOff>163289</xdr:rowOff>
    </xdr:from>
    <xdr:to>
      <xdr:col>23</xdr:col>
      <xdr:colOff>587828</xdr:colOff>
      <xdr:row>31</xdr:row>
      <xdr:rowOff>174170</xdr:rowOff>
    </xdr:to>
    <xdr:cxnSp macro="">
      <xdr:nvCxnSpPr>
        <xdr:cNvPr id="28" name="Connettore a gomito 109">
          <a:extLst>
            <a:ext uri="{FF2B5EF4-FFF2-40B4-BE49-F238E27FC236}">
              <a16:creationId xmlns:a16="http://schemas.microsoft.com/office/drawing/2014/main" id="{C067E7AC-D9B2-D846-84EB-E5FDDA7A54F7}"/>
            </a:ext>
          </a:extLst>
        </xdr:cNvPr>
        <xdr:cNvCxnSpPr/>
      </xdr:nvCxnSpPr>
      <xdr:spPr>
        <a:xfrm>
          <a:off x="13398503" y="4684489"/>
          <a:ext cx="2772225" cy="1560281"/>
        </a:xfrm>
        <a:prstGeom prst="bentConnector3">
          <a:avLst>
            <a:gd name="adj1" fmla="val 100000"/>
          </a:avLst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43545</xdr:colOff>
      <xdr:row>27</xdr:row>
      <xdr:rowOff>152398</xdr:rowOff>
    </xdr:from>
    <xdr:to>
      <xdr:col>23</xdr:col>
      <xdr:colOff>533400</xdr:colOff>
      <xdr:row>29</xdr:row>
      <xdr:rowOff>130627</xdr:rowOff>
    </xdr:to>
    <xdr:sp macro="" textlink="">
      <xdr:nvSpPr>
        <xdr:cNvPr id="29" name="CasellaDiTesto 153">
          <a:extLst>
            <a:ext uri="{FF2B5EF4-FFF2-40B4-BE49-F238E27FC236}">
              <a16:creationId xmlns:a16="http://schemas.microsoft.com/office/drawing/2014/main" id="{7ED65033-C6C4-6642-A0CE-88FDC7538680}"/>
            </a:ext>
          </a:extLst>
        </xdr:cNvPr>
        <xdr:cNvSpPr txBox="1"/>
      </xdr:nvSpPr>
      <xdr:spPr>
        <a:xfrm>
          <a:off x="14953345" y="5435598"/>
          <a:ext cx="1162955" cy="3846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aseline="0"/>
            <a:t>n</a:t>
          </a:r>
          <a:r>
            <a:rPr lang="it-IT" sz="1100"/>
            <a:t>    20%(B+C)</a:t>
          </a:r>
        </a:p>
      </xdr:txBody>
    </xdr:sp>
    <xdr:clientData/>
  </xdr:twoCellAnchor>
  <xdr:twoCellAnchor>
    <xdr:from>
      <xdr:col>15</xdr:col>
      <xdr:colOff>598717</xdr:colOff>
      <xdr:row>36</xdr:row>
      <xdr:rowOff>10884</xdr:rowOff>
    </xdr:from>
    <xdr:to>
      <xdr:col>19</xdr:col>
      <xdr:colOff>533400</xdr:colOff>
      <xdr:row>40</xdr:row>
      <xdr:rowOff>21771</xdr:rowOff>
    </xdr:to>
    <xdr:cxnSp macro="">
      <xdr:nvCxnSpPr>
        <xdr:cNvPr id="30" name="Connettore a gomito 116">
          <a:extLst>
            <a:ext uri="{FF2B5EF4-FFF2-40B4-BE49-F238E27FC236}">
              <a16:creationId xmlns:a16="http://schemas.microsoft.com/office/drawing/2014/main" id="{6050B78A-1238-1349-BE1D-B76306ABEC98}"/>
            </a:ext>
          </a:extLst>
        </xdr:cNvPr>
        <xdr:cNvCxnSpPr/>
      </xdr:nvCxnSpPr>
      <xdr:spPr>
        <a:xfrm>
          <a:off x="10695217" y="7084784"/>
          <a:ext cx="2627083" cy="798287"/>
        </a:xfrm>
        <a:prstGeom prst="bentConnector3">
          <a:avLst>
            <a:gd name="adj1" fmla="val 0"/>
          </a:avLst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243115</xdr:colOff>
      <xdr:row>37</xdr:row>
      <xdr:rowOff>175381</xdr:rowOff>
    </xdr:from>
    <xdr:to>
      <xdr:col>17</xdr:col>
      <xdr:colOff>645885</xdr:colOff>
      <xdr:row>39</xdr:row>
      <xdr:rowOff>105228</xdr:rowOff>
    </xdr:to>
    <xdr:sp macro="" textlink="">
      <xdr:nvSpPr>
        <xdr:cNvPr id="31" name="CasellaDiTesto 153">
          <a:extLst>
            <a:ext uri="{FF2B5EF4-FFF2-40B4-BE49-F238E27FC236}">
              <a16:creationId xmlns:a16="http://schemas.microsoft.com/office/drawing/2014/main" id="{E15C8315-AD79-0B4E-8802-FF23E4D21EE2}"/>
            </a:ext>
          </a:extLst>
        </xdr:cNvPr>
        <xdr:cNvSpPr txBox="1"/>
      </xdr:nvSpPr>
      <xdr:spPr>
        <a:xfrm>
          <a:off x="11012715" y="7439781"/>
          <a:ext cx="1075870" cy="3235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aseline="0"/>
            <a:t>i </a:t>
          </a:r>
          <a:r>
            <a:rPr lang="it-IT" sz="1100"/>
            <a:t>    100%(A)</a:t>
          </a:r>
        </a:p>
      </xdr:txBody>
    </xdr:sp>
    <xdr:clientData/>
  </xdr:twoCellAnchor>
  <xdr:twoCellAnchor>
    <xdr:from>
      <xdr:col>20</xdr:col>
      <xdr:colOff>101602</xdr:colOff>
      <xdr:row>36</xdr:row>
      <xdr:rowOff>133046</xdr:rowOff>
    </xdr:from>
    <xdr:to>
      <xdr:col>21</xdr:col>
      <xdr:colOff>578152</xdr:colOff>
      <xdr:row>38</xdr:row>
      <xdr:rowOff>103655</xdr:rowOff>
    </xdr:to>
    <xdr:sp macro="" textlink="">
      <xdr:nvSpPr>
        <xdr:cNvPr id="32" name="CasellaDiTesto 153">
          <a:extLst>
            <a:ext uri="{FF2B5EF4-FFF2-40B4-BE49-F238E27FC236}">
              <a16:creationId xmlns:a16="http://schemas.microsoft.com/office/drawing/2014/main" id="{8E14ADE8-57EE-094A-AA04-CB9BC59C2EBA}"/>
            </a:ext>
          </a:extLst>
        </xdr:cNvPr>
        <xdr:cNvSpPr txBox="1"/>
      </xdr:nvSpPr>
      <xdr:spPr>
        <a:xfrm>
          <a:off x="13601702" y="7206946"/>
          <a:ext cx="1213150" cy="3516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aseline="0"/>
            <a:t>m</a:t>
          </a:r>
          <a:r>
            <a:rPr lang="it-IT" sz="1100"/>
            <a:t>    80%(B+C)</a:t>
          </a:r>
        </a:p>
      </xdr:txBody>
    </xdr:sp>
    <xdr:clientData/>
  </xdr:twoCellAnchor>
  <xdr:twoCellAnchor>
    <xdr:from>
      <xdr:col>24</xdr:col>
      <xdr:colOff>43545</xdr:colOff>
      <xdr:row>36</xdr:row>
      <xdr:rowOff>185055</xdr:rowOff>
    </xdr:from>
    <xdr:to>
      <xdr:col>25</xdr:col>
      <xdr:colOff>533400</xdr:colOff>
      <xdr:row>38</xdr:row>
      <xdr:rowOff>163284</xdr:rowOff>
    </xdr:to>
    <xdr:sp macro="" textlink="">
      <xdr:nvSpPr>
        <xdr:cNvPr id="33" name="CasellaDiTesto 153">
          <a:extLst>
            <a:ext uri="{FF2B5EF4-FFF2-40B4-BE49-F238E27FC236}">
              <a16:creationId xmlns:a16="http://schemas.microsoft.com/office/drawing/2014/main" id="{2CF6ACC3-D44F-5E40-9D66-04943C882BCC}"/>
            </a:ext>
          </a:extLst>
        </xdr:cNvPr>
        <xdr:cNvSpPr txBox="1"/>
      </xdr:nvSpPr>
      <xdr:spPr>
        <a:xfrm>
          <a:off x="16299545" y="7258955"/>
          <a:ext cx="1162955" cy="3592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aseline="0"/>
            <a:t>o </a:t>
          </a:r>
          <a:r>
            <a:rPr lang="it-IT" sz="1100"/>
            <a:t>    20%(B+C)</a:t>
          </a:r>
        </a:p>
      </xdr:txBody>
    </xdr:sp>
    <xdr:clientData/>
  </xdr:twoCellAnchor>
  <xdr:twoCellAnchor>
    <xdr:from>
      <xdr:col>20</xdr:col>
      <xdr:colOff>87087</xdr:colOff>
      <xdr:row>35</xdr:row>
      <xdr:rowOff>188321</xdr:rowOff>
    </xdr:from>
    <xdr:to>
      <xdr:col>23</xdr:col>
      <xdr:colOff>587833</xdr:colOff>
      <xdr:row>40</xdr:row>
      <xdr:rowOff>21771</xdr:rowOff>
    </xdr:to>
    <xdr:cxnSp macro="">
      <xdr:nvCxnSpPr>
        <xdr:cNvPr id="34" name="Connettore a gomito 129">
          <a:extLst>
            <a:ext uri="{FF2B5EF4-FFF2-40B4-BE49-F238E27FC236}">
              <a16:creationId xmlns:a16="http://schemas.microsoft.com/office/drawing/2014/main" id="{E7573091-799D-734F-82F2-AFCC3BF89F4D}"/>
            </a:ext>
          </a:extLst>
        </xdr:cNvPr>
        <xdr:cNvCxnSpPr/>
      </xdr:nvCxnSpPr>
      <xdr:spPr>
        <a:xfrm rot="10800000" flipV="1">
          <a:off x="13587187" y="7059021"/>
          <a:ext cx="2583546" cy="824050"/>
        </a:xfrm>
        <a:prstGeom prst="bentConnector3">
          <a:avLst>
            <a:gd name="adj1" fmla="val -228"/>
          </a:avLst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36</xdr:row>
      <xdr:rowOff>0</xdr:rowOff>
    </xdr:from>
    <xdr:to>
      <xdr:col>20</xdr:col>
      <xdr:colOff>10886</xdr:colOff>
      <xdr:row>49</xdr:row>
      <xdr:rowOff>152400</xdr:rowOff>
    </xdr:to>
    <xdr:cxnSp macro="">
      <xdr:nvCxnSpPr>
        <xdr:cNvPr id="35" name="Connettore 2 146">
          <a:extLst>
            <a:ext uri="{FF2B5EF4-FFF2-40B4-BE49-F238E27FC236}">
              <a16:creationId xmlns:a16="http://schemas.microsoft.com/office/drawing/2014/main" id="{E72D0839-08A0-BA44-99BE-B3509E31CE38}"/>
            </a:ext>
          </a:extLst>
        </xdr:cNvPr>
        <xdr:cNvCxnSpPr/>
      </xdr:nvCxnSpPr>
      <xdr:spPr>
        <a:xfrm>
          <a:off x="13500101" y="7073900"/>
          <a:ext cx="10885" cy="2692400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18406</xdr:colOff>
      <xdr:row>54</xdr:row>
      <xdr:rowOff>18406</xdr:rowOff>
    </xdr:from>
    <xdr:to>
      <xdr:col>20</xdr:col>
      <xdr:colOff>36813</xdr:colOff>
      <xdr:row>69</xdr:row>
      <xdr:rowOff>184057</xdr:rowOff>
    </xdr:to>
    <xdr:cxnSp macro="">
      <xdr:nvCxnSpPr>
        <xdr:cNvPr id="36" name="Connettore 2 146">
          <a:extLst>
            <a:ext uri="{FF2B5EF4-FFF2-40B4-BE49-F238E27FC236}">
              <a16:creationId xmlns:a16="http://schemas.microsoft.com/office/drawing/2014/main" id="{9FB40809-68FD-8B45-ADB4-FF39881866AC}"/>
            </a:ext>
          </a:extLst>
        </xdr:cNvPr>
        <xdr:cNvCxnSpPr/>
      </xdr:nvCxnSpPr>
      <xdr:spPr>
        <a:xfrm flipH="1">
          <a:off x="13518506" y="10635606"/>
          <a:ext cx="18407" cy="3086651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587829</xdr:colOff>
      <xdr:row>61</xdr:row>
      <xdr:rowOff>10884</xdr:rowOff>
    </xdr:from>
    <xdr:to>
      <xdr:col>19</xdr:col>
      <xdr:colOff>631377</xdr:colOff>
      <xdr:row>69</xdr:row>
      <xdr:rowOff>185057</xdr:rowOff>
    </xdr:to>
    <xdr:cxnSp macro="">
      <xdr:nvCxnSpPr>
        <xdr:cNvPr id="37" name="Connettore a gomito 169">
          <a:extLst>
            <a:ext uri="{FF2B5EF4-FFF2-40B4-BE49-F238E27FC236}">
              <a16:creationId xmlns:a16="http://schemas.microsoft.com/office/drawing/2014/main" id="{DD724256-1A27-484B-B2DF-A045116D880F}"/>
            </a:ext>
          </a:extLst>
        </xdr:cNvPr>
        <xdr:cNvCxnSpPr/>
      </xdr:nvCxnSpPr>
      <xdr:spPr>
        <a:xfrm rot="10800000" flipV="1">
          <a:off x="8665029" y="11999684"/>
          <a:ext cx="4755248" cy="1723573"/>
        </a:xfrm>
        <a:prstGeom prst="bentConnector3">
          <a:avLst>
            <a:gd name="adj1" fmla="val 100000"/>
          </a:avLst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473111</xdr:colOff>
      <xdr:row>76</xdr:row>
      <xdr:rowOff>61963</xdr:rowOff>
    </xdr:from>
    <xdr:to>
      <xdr:col>9</xdr:col>
      <xdr:colOff>309825</xdr:colOff>
      <xdr:row>79</xdr:row>
      <xdr:rowOff>38518</xdr:rowOff>
    </xdr:to>
    <xdr:sp macro="" textlink="">
      <xdr:nvSpPr>
        <xdr:cNvPr id="38" name="CasellaDiTesto 153">
          <a:extLst>
            <a:ext uri="{FF2B5EF4-FFF2-40B4-BE49-F238E27FC236}">
              <a16:creationId xmlns:a16="http://schemas.microsoft.com/office/drawing/2014/main" id="{2258620C-A746-6A42-8990-829118DA67FB}"/>
            </a:ext>
          </a:extLst>
        </xdr:cNvPr>
        <xdr:cNvSpPr txBox="1"/>
      </xdr:nvSpPr>
      <xdr:spPr>
        <a:xfrm>
          <a:off x="4511711" y="14984463"/>
          <a:ext cx="1856014" cy="560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aseline="0"/>
            <a:t>s </a:t>
          </a:r>
          <a:r>
            <a:rPr lang="it-IT" sz="1100"/>
            <a:t>    3%*[60%(A+B+C)]</a:t>
          </a:r>
        </a:p>
        <a:p>
          <a:pPr algn="ctr"/>
          <a:r>
            <a:rPr lang="it-IT" sz="1100" b="1" u="sng"/>
            <a:t>OUT</a:t>
          </a:r>
        </a:p>
      </xdr:txBody>
    </xdr:sp>
    <xdr:clientData/>
  </xdr:twoCellAnchor>
  <xdr:twoCellAnchor>
    <xdr:from>
      <xdr:col>23</xdr:col>
      <xdr:colOff>123929</xdr:colOff>
      <xdr:row>76</xdr:row>
      <xdr:rowOff>61963</xdr:rowOff>
    </xdr:from>
    <xdr:to>
      <xdr:col>25</xdr:col>
      <xdr:colOff>570243</xdr:colOff>
      <xdr:row>79</xdr:row>
      <xdr:rowOff>38518</xdr:rowOff>
    </xdr:to>
    <xdr:sp macro="" textlink="">
      <xdr:nvSpPr>
        <xdr:cNvPr id="39" name="CasellaDiTesto 153">
          <a:extLst>
            <a:ext uri="{FF2B5EF4-FFF2-40B4-BE49-F238E27FC236}">
              <a16:creationId xmlns:a16="http://schemas.microsoft.com/office/drawing/2014/main" id="{240A8B00-CD5C-CD48-95F2-388835B134B1}"/>
            </a:ext>
          </a:extLst>
        </xdr:cNvPr>
        <xdr:cNvSpPr txBox="1"/>
      </xdr:nvSpPr>
      <xdr:spPr>
        <a:xfrm>
          <a:off x="15706829" y="14984463"/>
          <a:ext cx="1792514" cy="560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aseline="0"/>
            <a:t>t </a:t>
          </a:r>
          <a:r>
            <a:rPr lang="it-IT" sz="1100"/>
            <a:t>    5%[40%(A+B+C)]</a:t>
          </a:r>
        </a:p>
        <a:p>
          <a:pPr algn="ctr"/>
          <a:r>
            <a:rPr lang="it-IT" sz="1100" b="1" u="sng"/>
            <a:t>OUT</a:t>
          </a:r>
        </a:p>
      </xdr:txBody>
    </xdr:sp>
    <xdr:clientData/>
  </xdr:twoCellAnchor>
  <xdr:twoCellAnchor>
    <xdr:from>
      <xdr:col>13</xdr:col>
      <xdr:colOff>4</xdr:colOff>
      <xdr:row>74</xdr:row>
      <xdr:rowOff>10888</xdr:rowOff>
    </xdr:from>
    <xdr:to>
      <xdr:col>16</xdr:col>
      <xdr:colOff>261258</xdr:colOff>
      <xdr:row>86</xdr:row>
      <xdr:rowOff>10885</xdr:rowOff>
    </xdr:to>
    <xdr:cxnSp macro="">
      <xdr:nvCxnSpPr>
        <xdr:cNvPr id="40" name="Connettore a gomito 180">
          <a:extLst>
            <a:ext uri="{FF2B5EF4-FFF2-40B4-BE49-F238E27FC236}">
              <a16:creationId xmlns:a16="http://schemas.microsoft.com/office/drawing/2014/main" id="{0A220FA7-CBBD-B04A-851E-A649DB442E0A}"/>
            </a:ext>
          </a:extLst>
        </xdr:cNvPr>
        <xdr:cNvCxnSpPr/>
      </xdr:nvCxnSpPr>
      <xdr:spPr>
        <a:xfrm rot="16200000" flipH="1">
          <a:off x="8722182" y="14567810"/>
          <a:ext cx="2336797" cy="2280554"/>
        </a:xfrm>
        <a:prstGeom prst="bentConnector3">
          <a:avLst>
            <a:gd name="adj1" fmla="val 50000"/>
          </a:avLst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272144</xdr:colOff>
      <xdr:row>73</xdr:row>
      <xdr:rowOff>188318</xdr:rowOff>
    </xdr:from>
    <xdr:to>
      <xdr:col>19</xdr:col>
      <xdr:colOff>620489</xdr:colOff>
      <xdr:row>80</xdr:row>
      <xdr:rowOff>32657</xdr:rowOff>
    </xdr:to>
    <xdr:cxnSp macro="">
      <xdr:nvCxnSpPr>
        <xdr:cNvPr id="41" name="Connettore a gomito 184">
          <a:extLst>
            <a:ext uri="{FF2B5EF4-FFF2-40B4-BE49-F238E27FC236}">
              <a16:creationId xmlns:a16="http://schemas.microsoft.com/office/drawing/2014/main" id="{98E4A10A-602F-2940-BAF5-0A6B4923CF21}"/>
            </a:ext>
          </a:extLst>
        </xdr:cNvPr>
        <xdr:cNvCxnSpPr/>
      </xdr:nvCxnSpPr>
      <xdr:spPr>
        <a:xfrm rot="10800000" flipV="1">
          <a:off x="11041744" y="14513918"/>
          <a:ext cx="2367645" cy="1215939"/>
        </a:xfrm>
        <a:prstGeom prst="bentConnector3">
          <a:avLst>
            <a:gd name="adj1" fmla="val -1000"/>
          </a:avLst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370113</xdr:colOff>
      <xdr:row>77</xdr:row>
      <xdr:rowOff>118068</xdr:rowOff>
    </xdr:from>
    <xdr:to>
      <xdr:col>13</xdr:col>
      <xdr:colOff>32656</xdr:colOff>
      <xdr:row>77</xdr:row>
      <xdr:rowOff>125603</xdr:rowOff>
    </xdr:to>
    <xdr:cxnSp macro="">
      <xdr:nvCxnSpPr>
        <xdr:cNvPr id="42" name="Connettore 2 146">
          <a:extLst>
            <a:ext uri="{FF2B5EF4-FFF2-40B4-BE49-F238E27FC236}">
              <a16:creationId xmlns:a16="http://schemas.microsoft.com/office/drawing/2014/main" id="{3D2879FB-02D9-CF47-B16C-91391ECCA972}"/>
            </a:ext>
          </a:extLst>
        </xdr:cNvPr>
        <xdr:cNvCxnSpPr/>
      </xdr:nvCxnSpPr>
      <xdr:spPr>
        <a:xfrm flipH="1">
          <a:off x="6428013" y="15243768"/>
          <a:ext cx="2354943" cy="7535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11722</xdr:colOff>
      <xdr:row>77</xdr:row>
      <xdr:rowOff>135652</xdr:rowOff>
    </xdr:from>
    <xdr:to>
      <xdr:col>23</xdr:col>
      <xdr:colOff>56940</xdr:colOff>
      <xdr:row>77</xdr:row>
      <xdr:rowOff>135652</xdr:rowOff>
    </xdr:to>
    <xdr:cxnSp macro="">
      <xdr:nvCxnSpPr>
        <xdr:cNvPr id="43" name="Connettore 2 146">
          <a:extLst>
            <a:ext uri="{FF2B5EF4-FFF2-40B4-BE49-F238E27FC236}">
              <a16:creationId xmlns:a16="http://schemas.microsoft.com/office/drawing/2014/main" id="{471BA2DF-2BE0-2344-876F-C42C2BCC0515}"/>
            </a:ext>
          </a:extLst>
        </xdr:cNvPr>
        <xdr:cNvCxnSpPr/>
      </xdr:nvCxnSpPr>
      <xdr:spPr>
        <a:xfrm>
          <a:off x="13511822" y="15261352"/>
          <a:ext cx="2128018" cy="0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145995</xdr:colOff>
      <xdr:row>86</xdr:row>
      <xdr:rowOff>56992</xdr:rowOff>
    </xdr:from>
    <xdr:to>
      <xdr:col>19</xdr:col>
      <xdr:colOff>107577</xdr:colOff>
      <xdr:row>88</xdr:row>
      <xdr:rowOff>35860</xdr:rowOff>
    </xdr:to>
    <xdr:sp macro="" textlink="">
      <xdr:nvSpPr>
        <xdr:cNvPr id="44" name="CasellaDiTesto 153">
          <a:extLst>
            <a:ext uri="{FF2B5EF4-FFF2-40B4-BE49-F238E27FC236}">
              <a16:creationId xmlns:a16="http://schemas.microsoft.com/office/drawing/2014/main" id="{35AD4695-F44D-A441-81FF-34BD2BB176B2}"/>
            </a:ext>
          </a:extLst>
        </xdr:cNvPr>
        <xdr:cNvSpPr txBox="1"/>
      </xdr:nvSpPr>
      <xdr:spPr>
        <a:xfrm>
          <a:off x="9569395" y="16922592"/>
          <a:ext cx="3327082" cy="3725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aseline="0"/>
            <a:t>z </a:t>
          </a:r>
          <a:r>
            <a:rPr lang="it-IT" sz="1100"/>
            <a:t>    95%[40%(A+B+C)] +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97%[60%(A+B+C)] </a:t>
          </a:r>
          <a:endParaRPr lang="it-IT" sz="1100"/>
        </a:p>
      </xdr:txBody>
    </xdr:sp>
    <xdr:clientData/>
  </xdr:twoCellAnchor>
  <xdr:twoCellAnchor>
    <xdr:from>
      <xdr:col>3</xdr:col>
      <xdr:colOff>566058</xdr:colOff>
      <xdr:row>6</xdr:row>
      <xdr:rowOff>141514</xdr:rowOff>
    </xdr:from>
    <xdr:to>
      <xdr:col>4</xdr:col>
      <xdr:colOff>43543</xdr:colOff>
      <xdr:row>7</xdr:row>
      <xdr:rowOff>32657</xdr:rowOff>
    </xdr:to>
    <xdr:sp macro="" textlink="">
      <xdr:nvSpPr>
        <xdr:cNvPr id="45" name="Ovale 44">
          <a:extLst>
            <a:ext uri="{FF2B5EF4-FFF2-40B4-BE49-F238E27FC236}">
              <a16:creationId xmlns:a16="http://schemas.microsoft.com/office/drawing/2014/main" id="{9BB12118-EE53-5D4E-AA7E-B0D58851C596}"/>
            </a:ext>
          </a:extLst>
        </xdr:cNvPr>
        <xdr:cNvSpPr/>
      </xdr:nvSpPr>
      <xdr:spPr>
        <a:xfrm>
          <a:off x="2585358" y="1335314"/>
          <a:ext cx="150585" cy="81643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7</xdr:col>
      <xdr:colOff>402772</xdr:colOff>
      <xdr:row>6</xdr:row>
      <xdr:rowOff>141514</xdr:rowOff>
    </xdr:from>
    <xdr:to>
      <xdr:col>7</xdr:col>
      <xdr:colOff>489857</xdr:colOff>
      <xdr:row>7</xdr:row>
      <xdr:rowOff>32657</xdr:rowOff>
    </xdr:to>
    <xdr:sp macro="" textlink="">
      <xdr:nvSpPr>
        <xdr:cNvPr id="46" name="Ovale 45">
          <a:extLst>
            <a:ext uri="{FF2B5EF4-FFF2-40B4-BE49-F238E27FC236}">
              <a16:creationId xmlns:a16="http://schemas.microsoft.com/office/drawing/2014/main" id="{FE93DBA1-1D56-5B41-953D-A2216CFCEB6A}"/>
            </a:ext>
          </a:extLst>
        </xdr:cNvPr>
        <xdr:cNvSpPr/>
      </xdr:nvSpPr>
      <xdr:spPr>
        <a:xfrm>
          <a:off x="5114472" y="1335314"/>
          <a:ext cx="87085" cy="81643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11</xdr:col>
      <xdr:colOff>108858</xdr:colOff>
      <xdr:row>6</xdr:row>
      <xdr:rowOff>141514</xdr:rowOff>
    </xdr:from>
    <xdr:to>
      <xdr:col>11</xdr:col>
      <xdr:colOff>195943</xdr:colOff>
      <xdr:row>7</xdr:row>
      <xdr:rowOff>32657</xdr:rowOff>
    </xdr:to>
    <xdr:sp macro="" textlink="">
      <xdr:nvSpPr>
        <xdr:cNvPr id="47" name="Ovale 46">
          <a:extLst>
            <a:ext uri="{FF2B5EF4-FFF2-40B4-BE49-F238E27FC236}">
              <a16:creationId xmlns:a16="http://schemas.microsoft.com/office/drawing/2014/main" id="{C64F6AA5-1E3E-9B43-97B7-57E6B2A41C81}"/>
            </a:ext>
          </a:extLst>
        </xdr:cNvPr>
        <xdr:cNvSpPr/>
      </xdr:nvSpPr>
      <xdr:spPr>
        <a:xfrm>
          <a:off x="7512958" y="1335314"/>
          <a:ext cx="87085" cy="81643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14</xdr:col>
      <xdr:colOff>555172</xdr:colOff>
      <xdr:row>6</xdr:row>
      <xdr:rowOff>141514</xdr:rowOff>
    </xdr:from>
    <xdr:to>
      <xdr:col>15</xdr:col>
      <xdr:colOff>32657</xdr:colOff>
      <xdr:row>7</xdr:row>
      <xdr:rowOff>32657</xdr:rowOff>
    </xdr:to>
    <xdr:sp macro="" textlink="">
      <xdr:nvSpPr>
        <xdr:cNvPr id="48" name="Ovale 47">
          <a:extLst>
            <a:ext uri="{FF2B5EF4-FFF2-40B4-BE49-F238E27FC236}">
              <a16:creationId xmlns:a16="http://schemas.microsoft.com/office/drawing/2014/main" id="{B0A177C6-0137-3D4B-BFEA-900DE2599E15}"/>
            </a:ext>
          </a:extLst>
        </xdr:cNvPr>
        <xdr:cNvSpPr/>
      </xdr:nvSpPr>
      <xdr:spPr>
        <a:xfrm>
          <a:off x="9978572" y="1335314"/>
          <a:ext cx="150585" cy="81643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15</xdr:col>
      <xdr:colOff>566058</xdr:colOff>
      <xdr:row>6</xdr:row>
      <xdr:rowOff>141514</xdr:rowOff>
    </xdr:from>
    <xdr:to>
      <xdr:col>16</xdr:col>
      <xdr:colOff>43543</xdr:colOff>
      <xdr:row>7</xdr:row>
      <xdr:rowOff>32657</xdr:rowOff>
    </xdr:to>
    <xdr:sp macro="" textlink="">
      <xdr:nvSpPr>
        <xdr:cNvPr id="49" name="Ovale 48">
          <a:extLst>
            <a:ext uri="{FF2B5EF4-FFF2-40B4-BE49-F238E27FC236}">
              <a16:creationId xmlns:a16="http://schemas.microsoft.com/office/drawing/2014/main" id="{45D29A33-4C37-BC44-9A3B-D28F63A7F94F}"/>
            </a:ext>
          </a:extLst>
        </xdr:cNvPr>
        <xdr:cNvSpPr/>
      </xdr:nvSpPr>
      <xdr:spPr>
        <a:xfrm>
          <a:off x="10662558" y="1335314"/>
          <a:ext cx="150585" cy="81643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19</xdr:col>
      <xdr:colOff>639838</xdr:colOff>
      <xdr:row>20</xdr:row>
      <xdr:rowOff>4838</xdr:rowOff>
    </xdr:from>
    <xdr:to>
      <xdr:col>20</xdr:col>
      <xdr:colOff>84666</xdr:colOff>
      <xdr:row>20</xdr:row>
      <xdr:rowOff>93133</xdr:rowOff>
    </xdr:to>
    <xdr:sp macro="" textlink="">
      <xdr:nvSpPr>
        <xdr:cNvPr id="50" name="Ovale 49">
          <a:extLst>
            <a:ext uri="{FF2B5EF4-FFF2-40B4-BE49-F238E27FC236}">
              <a16:creationId xmlns:a16="http://schemas.microsoft.com/office/drawing/2014/main" id="{C71AE253-0B14-4A48-BBBA-4CFFC0DCF71E}"/>
            </a:ext>
          </a:extLst>
        </xdr:cNvPr>
        <xdr:cNvSpPr/>
      </xdr:nvSpPr>
      <xdr:spPr>
        <a:xfrm>
          <a:off x="13428738" y="3929138"/>
          <a:ext cx="156028" cy="88295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19</xdr:col>
      <xdr:colOff>662820</xdr:colOff>
      <xdr:row>23</xdr:row>
      <xdr:rowOff>113694</xdr:rowOff>
    </xdr:from>
    <xdr:to>
      <xdr:col>20</xdr:col>
      <xdr:colOff>38705</xdr:colOff>
      <xdr:row>24</xdr:row>
      <xdr:rowOff>4837</xdr:rowOff>
    </xdr:to>
    <xdr:sp macro="" textlink="">
      <xdr:nvSpPr>
        <xdr:cNvPr id="51" name="Ovale 50">
          <a:extLst>
            <a:ext uri="{FF2B5EF4-FFF2-40B4-BE49-F238E27FC236}">
              <a16:creationId xmlns:a16="http://schemas.microsoft.com/office/drawing/2014/main" id="{E62A1D7B-68A5-1F4F-AFE9-96CA0AF0EABD}"/>
            </a:ext>
          </a:extLst>
        </xdr:cNvPr>
        <xdr:cNvSpPr/>
      </xdr:nvSpPr>
      <xdr:spPr>
        <a:xfrm>
          <a:off x="13451720" y="4634894"/>
          <a:ext cx="87085" cy="81643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16</xdr:col>
      <xdr:colOff>12096</xdr:colOff>
      <xdr:row>29</xdr:row>
      <xdr:rowOff>82248</xdr:rowOff>
    </xdr:from>
    <xdr:to>
      <xdr:col>16</xdr:col>
      <xdr:colOff>166914</xdr:colOff>
      <xdr:row>29</xdr:row>
      <xdr:rowOff>158448</xdr:rowOff>
    </xdr:to>
    <xdr:sp macro="" textlink="">
      <xdr:nvSpPr>
        <xdr:cNvPr id="52" name="Ovale 51">
          <a:extLst>
            <a:ext uri="{FF2B5EF4-FFF2-40B4-BE49-F238E27FC236}">
              <a16:creationId xmlns:a16="http://schemas.microsoft.com/office/drawing/2014/main" id="{2F3DDA3A-A3AC-6344-A823-F14FF92514A4}"/>
            </a:ext>
          </a:extLst>
        </xdr:cNvPr>
        <xdr:cNvSpPr/>
      </xdr:nvSpPr>
      <xdr:spPr>
        <a:xfrm>
          <a:off x="10781696" y="5771848"/>
          <a:ext cx="154818" cy="762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19</xdr:col>
      <xdr:colOff>609600</xdr:colOff>
      <xdr:row>39</xdr:row>
      <xdr:rowOff>185057</xdr:rowOff>
    </xdr:from>
    <xdr:to>
      <xdr:col>20</xdr:col>
      <xdr:colOff>54428</xdr:colOff>
      <xdr:row>40</xdr:row>
      <xdr:rowOff>65314</xdr:rowOff>
    </xdr:to>
    <xdr:sp macro="" textlink="">
      <xdr:nvSpPr>
        <xdr:cNvPr id="53" name="Ovale 52">
          <a:extLst>
            <a:ext uri="{FF2B5EF4-FFF2-40B4-BE49-F238E27FC236}">
              <a16:creationId xmlns:a16="http://schemas.microsoft.com/office/drawing/2014/main" id="{035D8766-2D5A-D245-BDEE-FF90B727DA6E}"/>
            </a:ext>
          </a:extLst>
        </xdr:cNvPr>
        <xdr:cNvSpPr/>
      </xdr:nvSpPr>
      <xdr:spPr>
        <a:xfrm>
          <a:off x="13398500" y="7843157"/>
          <a:ext cx="156028" cy="83457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19</xdr:col>
      <xdr:colOff>598714</xdr:colOff>
      <xdr:row>60</xdr:row>
      <xdr:rowOff>163287</xdr:rowOff>
    </xdr:from>
    <xdr:to>
      <xdr:col>20</xdr:col>
      <xdr:colOff>43542</xdr:colOff>
      <xdr:row>61</xdr:row>
      <xdr:rowOff>54429</xdr:rowOff>
    </xdr:to>
    <xdr:sp macro="" textlink="">
      <xdr:nvSpPr>
        <xdr:cNvPr id="54" name="Ovale 53">
          <a:extLst>
            <a:ext uri="{FF2B5EF4-FFF2-40B4-BE49-F238E27FC236}">
              <a16:creationId xmlns:a16="http://schemas.microsoft.com/office/drawing/2014/main" id="{6E5BB34C-8554-D243-A6FB-365D9AE3BB29}"/>
            </a:ext>
          </a:extLst>
        </xdr:cNvPr>
        <xdr:cNvSpPr/>
      </xdr:nvSpPr>
      <xdr:spPr>
        <a:xfrm>
          <a:off x="13387614" y="11961587"/>
          <a:ext cx="156028" cy="81642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19</xdr:col>
      <xdr:colOff>598714</xdr:colOff>
      <xdr:row>77</xdr:row>
      <xdr:rowOff>87086</xdr:rowOff>
    </xdr:from>
    <xdr:to>
      <xdr:col>20</xdr:col>
      <xdr:colOff>43542</xdr:colOff>
      <xdr:row>77</xdr:row>
      <xdr:rowOff>163286</xdr:rowOff>
    </xdr:to>
    <xdr:sp macro="" textlink="">
      <xdr:nvSpPr>
        <xdr:cNvPr id="55" name="Ovale 54">
          <a:extLst>
            <a:ext uri="{FF2B5EF4-FFF2-40B4-BE49-F238E27FC236}">
              <a16:creationId xmlns:a16="http://schemas.microsoft.com/office/drawing/2014/main" id="{83FEC93A-FEC8-A74D-9C64-315F4F71D83E}"/>
            </a:ext>
          </a:extLst>
        </xdr:cNvPr>
        <xdr:cNvSpPr/>
      </xdr:nvSpPr>
      <xdr:spPr>
        <a:xfrm>
          <a:off x="13387614" y="15212786"/>
          <a:ext cx="156028" cy="762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12</xdr:col>
      <xdr:colOff>566057</xdr:colOff>
      <xdr:row>77</xdr:row>
      <xdr:rowOff>76200</xdr:rowOff>
    </xdr:from>
    <xdr:to>
      <xdr:col>13</xdr:col>
      <xdr:colOff>43542</xdr:colOff>
      <xdr:row>77</xdr:row>
      <xdr:rowOff>152400</xdr:rowOff>
    </xdr:to>
    <xdr:sp macro="" textlink="">
      <xdr:nvSpPr>
        <xdr:cNvPr id="56" name="Ovale 55">
          <a:extLst>
            <a:ext uri="{FF2B5EF4-FFF2-40B4-BE49-F238E27FC236}">
              <a16:creationId xmlns:a16="http://schemas.microsoft.com/office/drawing/2014/main" id="{FB329628-DB73-3144-ABB2-970ED1C9A711}"/>
            </a:ext>
          </a:extLst>
        </xdr:cNvPr>
        <xdr:cNvSpPr/>
      </xdr:nvSpPr>
      <xdr:spPr>
        <a:xfrm>
          <a:off x="8643257" y="15201900"/>
          <a:ext cx="150585" cy="762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16</xdr:col>
      <xdr:colOff>206829</xdr:colOff>
      <xdr:row>79</xdr:row>
      <xdr:rowOff>174172</xdr:rowOff>
    </xdr:from>
    <xdr:to>
      <xdr:col>16</xdr:col>
      <xdr:colOff>293914</xdr:colOff>
      <xdr:row>80</xdr:row>
      <xdr:rowOff>65315</xdr:rowOff>
    </xdr:to>
    <xdr:sp macro="" textlink="">
      <xdr:nvSpPr>
        <xdr:cNvPr id="57" name="Ovale 56">
          <a:extLst>
            <a:ext uri="{FF2B5EF4-FFF2-40B4-BE49-F238E27FC236}">
              <a16:creationId xmlns:a16="http://schemas.microsoft.com/office/drawing/2014/main" id="{2CD7CE09-715E-C44F-B4BC-4BCECE34C8EA}"/>
            </a:ext>
          </a:extLst>
        </xdr:cNvPr>
        <xdr:cNvSpPr/>
      </xdr:nvSpPr>
      <xdr:spPr>
        <a:xfrm>
          <a:off x="10976429" y="15680872"/>
          <a:ext cx="87085" cy="81643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15</xdr:col>
      <xdr:colOff>555171</xdr:colOff>
      <xdr:row>36</xdr:row>
      <xdr:rowOff>130628</xdr:rowOff>
    </xdr:from>
    <xdr:to>
      <xdr:col>16</xdr:col>
      <xdr:colOff>32656</xdr:colOff>
      <xdr:row>37</xdr:row>
      <xdr:rowOff>21770</xdr:rowOff>
    </xdr:to>
    <xdr:sp macro="" textlink="">
      <xdr:nvSpPr>
        <xdr:cNvPr id="58" name="Ovale 57">
          <a:extLst>
            <a:ext uri="{FF2B5EF4-FFF2-40B4-BE49-F238E27FC236}">
              <a16:creationId xmlns:a16="http://schemas.microsoft.com/office/drawing/2014/main" id="{0EC1C192-3E41-464D-840F-A2DA5A508563}"/>
            </a:ext>
          </a:extLst>
        </xdr:cNvPr>
        <xdr:cNvSpPr/>
      </xdr:nvSpPr>
      <xdr:spPr>
        <a:xfrm>
          <a:off x="10651671" y="7204528"/>
          <a:ext cx="150585" cy="81642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16</xdr:col>
      <xdr:colOff>39916</xdr:colOff>
      <xdr:row>17</xdr:row>
      <xdr:rowOff>41968</xdr:rowOff>
    </xdr:from>
    <xdr:to>
      <xdr:col>19</xdr:col>
      <xdr:colOff>641047</xdr:colOff>
      <xdr:row>20</xdr:row>
      <xdr:rowOff>49590</xdr:rowOff>
    </xdr:to>
    <xdr:cxnSp macro="">
      <xdr:nvCxnSpPr>
        <xdr:cNvPr id="59" name="Connettore a gomito 51">
          <a:extLst>
            <a:ext uri="{FF2B5EF4-FFF2-40B4-BE49-F238E27FC236}">
              <a16:creationId xmlns:a16="http://schemas.microsoft.com/office/drawing/2014/main" id="{15579718-402D-3E4A-BAC8-E2B5815B440A}"/>
            </a:ext>
          </a:extLst>
        </xdr:cNvPr>
        <xdr:cNvCxnSpPr/>
      </xdr:nvCxnSpPr>
      <xdr:spPr>
        <a:xfrm>
          <a:off x="10809516" y="3394768"/>
          <a:ext cx="2620431" cy="579122"/>
        </a:xfrm>
        <a:prstGeom prst="bentConnector3">
          <a:avLst>
            <a:gd name="adj1" fmla="val -230"/>
          </a:avLst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478971</xdr:colOff>
      <xdr:row>5</xdr:row>
      <xdr:rowOff>97972</xdr:rowOff>
    </xdr:from>
    <xdr:ext cx="252249" cy="264560"/>
    <xdr:sp macro="" textlink="">
      <xdr:nvSpPr>
        <xdr:cNvPr id="60" name="CasellaDiTesto 59">
          <a:extLst>
            <a:ext uri="{FF2B5EF4-FFF2-40B4-BE49-F238E27FC236}">
              <a16:creationId xmlns:a16="http://schemas.microsoft.com/office/drawing/2014/main" id="{02C83AF2-7A20-8443-BCD9-365B092BA2FC}"/>
            </a:ext>
          </a:extLst>
        </xdr:cNvPr>
        <xdr:cNvSpPr txBox="1"/>
      </xdr:nvSpPr>
      <xdr:spPr>
        <a:xfrm>
          <a:off x="2498271" y="1101272"/>
          <a:ext cx="2522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a</a:t>
          </a:r>
        </a:p>
      </xdr:txBody>
    </xdr:sp>
    <xdr:clientData/>
  </xdr:oneCellAnchor>
  <xdr:oneCellAnchor>
    <xdr:from>
      <xdr:col>7</xdr:col>
      <xdr:colOff>402771</xdr:colOff>
      <xdr:row>6</xdr:row>
      <xdr:rowOff>163287</xdr:rowOff>
    </xdr:from>
    <xdr:ext cx="260392" cy="264560"/>
    <xdr:sp macro="" textlink="">
      <xdr:nvSpPr>
        <xdr:cNvPr id="61" name="CasellaDiTesto 60">
          <a:extLst>
            <a:ext uri="{FF2B5EF4-FFF2-40B4-BE49-F238E27FC236}">
              <a16:creationId xmlns:a16="http://schemas.microsoft.com/office/drawing/2014/main" id="{97C9901B-60CD-3545-BEF1-CA0A04A9B32D}"/>
            </a:ext>
          </a:extLst>
        </xdr:cNvPr>
        <xdr:cNvSpPr txBox="1"/>
      </xdr:nvSpPr>
      <xdr:spPr>
        <a:xfrm>
          <a:off x="5114471" y="1357087"/>
          <a:ext cx="260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b</a:t>
          </a:r>
        </a:p>
      </xdr:txBody>
    </xdr:sp>
    <xdr:clientData/>
  </xdr:oneCellAnchor>
  <xdr:oneCellAnchor>
    <xdr:from>
      <xdr:col>10</xdr:col>
      <xdr:colOff>446314</xdr:colOff>
      <xdr:row>6</xdr:row>
      <xdr:rowOff>141514</xdr:rowOff>
    </xdr:from>
    <xdr:ext cx="243721" cy="264560"/>
    <xdr:sp macro="" textlink="">
      <xdr:nvSpPr>
        <xdr:cNvPr id="62" name="CasellaDiTesto 61">
          <a:extLst>
            <a:ext uri="{FF2B5EF4-FFF2-40B4-BE49-F238E27FC236}">
              <a16:creationId xmlns:a16="http://schemas.microsoft.com/office/drawing/2014/main" id="{C9D30B81-FB46-4141-9C0C-BA1FBDCB148A}"/>
            </a:ext>
          </a:extLst>
        </xdr:cNvPr>
        <xdr:cNvSpPr txBox="1"/>
      </xdr:nvSpPr>
      <xdr:spPr>
        <a:xfrm>
          <a:off x="7177314" y="1335314"/>
          <a:ext cx="2437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c</a:t>
          </a:r>
        </a:p>
      </xdr:txBody>
    </xdr:sp>
    <xdr:clientData/>
  </xdr:oneCellAnchor>
  <xdr:oneCellAnchor>
    <xdr:from>
      <xdr:col>14</xdr:col>
      <xdr:colOff>457200</xdr:colOff>
      <xdr:row>5</xdr:row>
      <xdr:rowOff>97971</xdr:rowOff>
    </xdr:from>
    <xdr:ext cx="260392" cy="264560"/>
    <xdr:sp macro="" textlink="">
      <xdr:nvSpPr>
        <xdr:cNvPr id="63" name="CasellaDiTesto 62">
          <a:extLst>
            <a:ext uri="{FF2B5EF4-FFF2-40B4-BE49-F238E27FC236}">
              <a16:creationId xmlns:a16="http://schemas.microsoft.com/office/drawing/2014/main" id="{9992CD30-6A49-3A43-9C27-690882555A6E}"/>
            </a:ext>
          </a:extLst>
        </xdr:cNvPr>
        <xdr:cNvSpPr txBox="1"/>
      </xdr:nvSpPr>
      <xdr:spPr>
        <a:xfrm>
          <a:off x="9880600" y="1101271"/>
          <a:ext cx="260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d</a:t>
          </a:r>
        </a:p>
      </xdr:txBody>
    </xdr:sp>
    <xdr:clientData/>
  </xdr:oneCellAnchor>
  <xdr:oneCellAnchor>
    <xdr:from>
      <xdr:col>15</xdr:col>
      <xdr:colOff>478972</xdr:colOff>
      <xdr:row>5</xdr:row>
      <xdr:rowOff>97971</xdr:rowOff>
    </xdr:from>
    <xdr:ext cx="255711" cy="264560"/>
    <xdr:sp macro="" textlink="">
      <xdr:nvSpPr>
        <xdr:cNvPr id="64" name="CasellaDiTesto 63">
          <a:extLst>
            <a:ext uri="{FF2B5EF4-FFF2-40B4-BE49-F238E27FC236}">
              <a16:creationId xmlns:a16="http://schemas.microsoft.com/office/drawing/2014/main" id="{105FA3A2-95A3-6B4E-A6B6-BCA277E5DA2F}"/>
            </a:ext>
          </a:extLst>
        </xdr:cNvPr>
        <xdr:cNvSpPr txBox="1"/>
      </xdr:nvSpPr>
      <xdr:spPr>
        <a:xfrm>
          <a:off x="10575472" y="1101271"/>
          <a:ext cx="2557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e</a:t>
          </a:r>
        </a:p>
      </xdr:txBody>
    </xdr:sp>
    <xdr:clientData/>
  </xdr:oneCellAnchor>
  <xdr:oneCellAnchor>
    <xdr:from>
      <xdr:col>19</xdr:col>
      <xdr:colOff>711199</xdr:colOff>
      <xdr:row>19</xdr:row>
      <xdr:rowOff>118533</xdr:rowOff>
    </xdr:from>
    <xdr:ext cx="215639" cy="264431"/>
    <xdr:sp macro="" textlink="">
      <xdr:nvSpPr>
        <xdr:cNvPr id="65" name="CasellaDiTesto 64">
          <a:extLst>
            <a:ext uri="{FF2B5EF4-FFF2-40B4-BE49-F238E27FC236}">
              <a16:creationId xmlns:a16="http://schemas.microsoft.com/office/drawing/2014/main" id="{9F220D57-F511-2D40-95D9-45108223D20B}"/>
            </a:ext>
          </a:extLst>
        </xdr:cNvPr>
        <xdr:cNvSpPr txBox="1"/>
      </xdr:nvSpPr>
      <xdr:spPr>
        <a:xfrm>
          <a:off x="13500099" y="3852333"/>
          <a:ext cx="215639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f</a:t>
          </a:r>
        </a:p>
      </xdr:txBody>
    </xdr:sp>
    <xdr:clientData/>
  </xdr:oneCellAnchor>
  <xdr:oneCellAnchor>
    <xdr:from>
      <xdr:col>19</xdr:col>
      <xdr:colOff>695475</xdr:colOff>
      <xdr:row>22</xdr:row>
      <xdr:rowOff>81039</xdr:rowOff>
    </xdr:from>
    <xdr:ext cx="251544" cy="264431"/>
    <xdr:sp macro="" textlink="">
      <xdr:nvSpPr>
        <xdr:cNvPr id="66" name="CasellaDiTesto 65">
          <a:extLst>
            <a:ext uri="{FF2B5EF4-FFF2-40B4-BE49-F238E27FC236}">
              <a16:creationId xmlns:a16="http://schemas.microsoft.com/office/drawing/2014/main" id="{43661644-E718-5344-B604-02B98B1D0A29}"/>
            </a:ext>
          </a:extLst>
        </xdr:cNvPr>
        <xdr:cNvSpPr txBox="1"/>
      </xdr:nvSpPr>
      <xdr:spPr>
        <a:xfrm>
          <a:off x="13484375" y="4399039"/>
          <a:ext cx="251544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g</a:t>
          </a:r>
        </a:p>
      </xdr:txBody>
    </xdr:sp>
    <xdr:clientData/>
  </xdr:oneCellAnchor>
  <xdr:oneCellAnchor>
    <xdr:from>
      <xdr:col>16</xdr:col>
      <xdr:colOff>94343</xdr:colOff>
      <xdr:row>28</xdr:row>
      <xdr:rowOff>149981</xdr:rowOff>
    </xdr:from>
    <xdr:ext cx="260392" cy="264431"/>
    <xdr:sp macro="" textlink="">
      <xdr:nvSpPr>
        <xdr:cNvPr id="67" name="CasellaDiTesto 66">
          <a:extLst>
            <a:ext uri="{FF2B5EF4-FFF2-40B4-BE49-F238E27FC236}">
              <a16:creationId xmlns:a16="http://schemas.microsoft.com/office/drawing/2014/main" id="{8C19283C-40CA-A148-B97E-C2CC853C3B52}"/>
            </a:ext>
          </a:extLst>
        </xdr:cNvPr>
        <xdr:cNvSpPr txBox="1"/>
      </xdr:nvSpPr>
      <xdr:spPr>
        <a:xfrm>
          <a:off x="10863943" y="5636381"/>
          <a:ext cx="260392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h</a:t>
          </a:r>
        </a:p>
      </xdr:txBody>
    </xdr:sp>
    <xdr:clientData/>
  </xdr:oneCellAnchor>
  <xdr:oneCellAnchor>
    <xdr:from>
      <xdr:col>16</xdr:col>
      <xdr:colOff>56848</xdr:colOff>
      <xdr:row>36</xdr:row>
      <xdr:rowOff>94343</xdr:rowOff>
    </xdr:from>
    <xdr:ext cx="219291" cy="264431"/>
    <xdr:sp macro="" textlink="">
      <xdr:nvSpPr>
        <xdr:cNvPr id="68" name="CasellaDiTesto 67">
          <a:extLst>
            <a:ext uri="{FF2B5EF4-FFF2-40B4-BE49-F238E27FC236}">
              <a16:creationId xmlns:a16="http://schemas.microsoft.com/office/drawing/2014/main" id="{15DCD616-3580-8F4B-9296-AB0B6A47AE66}"/>
            </a:ext>
          </a:extLst>
        </xdr:cNvPr>
        <xdr:cNvSpPr txBox="1"/>
      </xdr:nvSpPr>
      <xdr:spPr>
        <a:xfrm>
          <a:off x="10826448" y="7168243"/>
          <a:ext cx="21929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i</a:t>
          </a:r>
        </a:p>
      </xdr:txBody>
    </xdr:sp>
    <xdr:clientData/>
  </xdr:oneCellAnchor>
  <xdr:oneCellAnchor>
    <xdr:from>
      <xdr:col>19</xdr:col>
      <xdr:colOff>679297</xdr:colOff>
      <xdr:row>38</xdr:row>
      <xdr:rowOff>143705</xdr:rowOff>
    </xdr:from>
    <xdr:ext cx="219291" cy="264431"/>
    <xdr:sp macro="" textlink="">
      <xdr:nvSpPr>
        <xdr:cNvPr id="69" name="CasellaDiTesto 68">
          <a:extLst>
            <a:ext uri="{FF2B5EF4-FFF2-40B4-BE49-F238E27FC236}">
              <a16:creationId xmlns:a16="http://schemas.microsoft.com/office/drawing/2014/main" id="{77944B87-1813-7F42-8E86-A718CBE04A96}"/>
            </a:ext>
          </a:extLst>
        </xdr:cNvPr>
        <xdr:cNvSpPr txBox="1"/>
      </xdr:nvSpPr>
      <xdr:spPr>
        <a:xfrm>
          <a:off x="13468197" y="7598605"/>
          <a:ext cx="21929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l</a:t>
          </a:r>
        </a:p>
      </xdr:txBody>
    </xdr:sp>
    <xdr:clientData/>
  </xdr:oneCellAnchor>
  <xdr:oneCellAnchor>
    <xdr:from>
      <xdr:col>20</xdr:col>
      <xdr:colOff>10886</xdr:colOff>
      <xdr:row>60</xdr:row>
      <xdr:rowOff>43543</xdr:rowOff>
    </xdr:from>
    <xdr:ext cx="299441" cy="264431"/>
    <xdr:sp macro="" textlink="">
      <xdr:nvSpPr>
        <xdr:cNvPr id="70" name="CasellaDiTesto 69">
          <a:extLst>
            <a:ext uri="{FF2B5EF4-FFF2-40B4-BE49-F238E27FC236}">
              <a16:creationId xmlns:a16="http://schemas.microsoft.com/office/drawing/2014/main" id="{444F23BF-F935-4C4B-A146-C0F42DD9E999}"/>
            </a:ext>
          </a:extLst>
        </xdr:cNvPr>
        <xdr:cNvSpPr txBox="1"/>
      </xdr:nvSpPr>
      <xdr:spPr>
        <a:xfrm>
          <a:off x="13510986" y="11841843"/>
          <a:ext cx="29944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m</a:t>
          </a:r>
        </a:p>
      </xdr:txBody>
    </xdr:sp>
    <xdr:clientData/>
  </xdr:oneCellAnchor>
  <xdr:oneCellAnchor>
    <xdr:from>
      <xdr:col>13</xdr:col>
      <xdr:colOff>32658</xdr:colOff>
      <xdr:row>77</xdr:row>
      <xdr:rowOff>0</xdr:rowOff>
    </xdr:from>
    <xdr:ext cx="511230" cy="264431"/>
    <xdr:sp macro="" textlink="">
      <xdr:nvSpPr>
        <xdr:cNvPr id="71" name="CasellaDiTesto 70">
          <a:extLst>
            <a:ext uri="{FF2B5EF4-FFF2-40B4-BE49-F238E27FC236}">
              <a16:creationId xmlns:a16="http://schemas.microsoft.com/office/drawing/2014/main" id="{866B7013-0A25-244F-AF08-BD95F2E65734}"/>
            </a:ext>
          </a:extLst>
        </xdr:cNvPr>
        <xdr:cNvSpPr txBox="1"/>
      </xdr:nvSpPr>
      <xdr:spPr>
        <a:xfrm>
          <a:off x="8863588" y="14944651"/>
          <a:ext cx="511230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0,03n</a:t>
          </a:r>
        </a:p>
      </xdr:txBody>
    </xdr:sp>
    <xdr:clientData/>
  </xdr:oneCellAnchor>
  <xdr:oneCellAnchor>
    <xdr:from>
      <xdr:col>19</xdr:col>
      <xdr:colOff>326572</xdr:colOff>
      <xdr:row>76</xdr:row>
      <xdr:rowOff>119743</xdr:rowOff>
    </xdr:from>
    <xdr:ext cx="260521" cy="264431"/>
    <xdr:sp macro="" textlink="">
      <xdr:nvSpPr>
        <xdr:cNvPr id="72" name="CasellaDiTesto 71">
          <a:extLst>
            <a:ext uri="{FF2B5EF4-FFF2-40B4-BE49-F238E27FC236}">
              <a16:creationId xmlns:a16="http://schemas.microsoft.com/office/drawing/2014/main" id="{33D0BCBA-15A4-2847-BD42-3DEDCEE3D62E}"/>
            </a:ext>
          </a:extLst>
        </xdr:cNvPr>
        <xdr:cNvSpPr txBox="1"/>
      </xdr:nvSpPr>
      <xdr:spPr>
        <a:xfrm>
          <a:off x="13115472" y="15042243"/>
          <a:ext cx="26052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o</a:t>
          </a:r>
        </a:p>
      </xdr:txBody>
    </xdr:sp>
    <xdr:clientData/>
  </xdr:oneCellAnchor>
  <xdr:oneCellAnchor>
    <xdr:from>
      <xdr:col>16</xdr:col>
      <xdr:colOff>108857</xdr:colOff>
      <xdr:row>78</xdr:row>
      <xdr:rowOff>87085</xdr:rowOff>
    </xdr:from>
    <xdr:ext cx="260392" cy="264431"/>
    <xdr:sp macro="" textlink="">
      <xdr:nvSpPr>
        <xdr:cNvPr id="73" name="CasellaDiTesto 72">
          <a:extLst>
            <a:ext uri="{FF2B5EF4-FFF2-40B4-BE49-F238E27FC236}">
              <a16:creationId xmlns:a16="http://schemas.microsoft.com/office/drawing/2014/main" id="{C02B44FE-6991-C44D-AE9F-F7876E2EAFCD}"/>
            </a:ext>
          </a:extLst>
        </xdr:cNvPr>
        <xdr:cNvSpPr txBox="1"/>
      </xdr:nvSpPr>
      <xdr:spPr>
        <a:xfrm>
          <a:off x="10878457" y="15403285"/>
          <a:ext cx="260392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p</a:t>
          </a:r>
        </a:p>
      </xdr:txBody>
    </xdr:sp>
    <xdr:clientData/>
  </xdr:oneCellAnchor>
  <xdr:twoCellAnchor>
    <xdr:from>
      <xdr:col>11</xdr:col>
      <xdr:colOff>152400</xdr:colOff>
      <xdr:row>5</xdr:row>
      <xdr:rowOff>32657</xdr:rowOff>
    </xdr:from>
    <xdr:to>
      <xdr:col>11</xdr:col>
      <xdr:colOff>152400</xdr:colOff>
      <xdr:row>6</xdr:row>
      <xdr:rowOff>141514</xdr:rowOff>
    </xdr:to>
    <xdr:cxnSp macro="">
      <xdr:nvCxnSpPr>
        <xdr:cNvPr id="74" name="Connettore 2 146">
          <a:extLst>
            <a:ext uri="{FF2B5EF4-FFF2-40B4-BE49-F238E27FC236}">
              <a16:creationId xmlns:a16="http://schemas.microsoft.com/office/drawing/2014/main" id="{6FD50B0D-BD8B-4649-90DE-11AF1621D4BA}"/>
            </a:ext>
          </a:extLst>
        </xdr:cNvPr>
        <xdr:cNvCxnSpPr/>
      </xdr:nvCxnSpPr>
      <xdr:spPr>
        <a:xfrm>
          <a:off x="7556500" y="1035957"/>
          <a:ext cx="0" cy="299357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101600</xdr:colOff>
      <xdr:row>24</xdr:row>
      <xdr:rowOff>101600</xdr:rowOff>
    </xdr:from>
    <xdr:to>
      <xdr:col>15</xdr:col>
      <xdr:colOff>504371</xdr:colOff>
      <xdr:row>26</xdr:row>
      <xdr:rowOff>25398</xdr:rowOff>
    </xdr:to>
    <xdr:sp macro="" textlink="">
      <xdr:nvSpPr>
        <xdr:cNvPr id="75" name="CasellaDiTesto 153">
          <a:extLst>
            <a:ext uri="{FF2B5EF4-FFF2-40B4-BE49-F238E27FC236}">
              <a16:creationId xmlns:a16="http://schemas.microsoft.com/office/drawing/2014/main" id="{EC3B64EA-B59A-C04D-83D7-02108270F832}"/>
            </a:ext>
          </a:extLst>
        </xdr:cNvPr>
        <xdr:cNvSpPr txBox="1"/>
      </xdr:nvSpPr>
      <xdr:spPr>
        <a:xfrm>
          <a:off x="9525000" y="4813300"/>
          <a:ext cx="1075871" cy="3047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aseline="0"/>
            <a:t>g</a:t>
          </a:r>
          <a:r>
            <a:rPr lang="it-IT" sz="1100"/>
            <a:t>    100%(A)</a:t>
          </a:r>
        </a:p>
      </xdr:txBody>
    </xdr:sp>
    <xdr:clientData/>
  </xdr:twoCellAnchor>
  <xdr:twoCellAnchor>
    <xdr:from>
      <xdr:col>20</xdr:col>
      <xdr:colOff>239275</xdr:colOff>
      <xdr:row>44</xdr:row>
      <xdr:rowOff>128841</xdr:rowOff>
    </xdr:from>
    <xdr:to>
      <xdr:col>22</xdr:col>
      <xdr:colOff>173960</xdr:colOff>
      <xdr:row>46</xdr:row>
      <xdr:rowOff>88664</xdr:rowOff>
    </xdr:to>
    <xdr:sp macro="" textlink="">
      <xdr:nvSpPr>
        <xdr:cNvPr id="76" name="CasellaDiTesto 153">
          <a:extLst>
            <a:ext uri="{FF2B5EF4-FFF2-40B4-BE49-F238E27FC236}">
              <a16:creationId xmlns:a16="http://schemas.microsoft.com/office/drawing/2014/main" id="{2ADC11AC-A63B-6F49-B1EB-F0F91AE9EBC7}"/>
            </a:ext>
          </a:extLst>
        </xdr:cNvPr>
        <xdr:cNvSpPr txBox="1"/>
      </xdr:nvSpPr>
      <xdr:spPr>
        <a:xfrm>
          <a:off x="13739375" y="8764841"/>
          <a:ext cx="1344385" cy="3535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aseline="0"/>
            <a:t>p     100%(A+B+C)</a:t>
          </a:r>
          <a:endParaRPr lang="it-IT" sz="1100"/>
        </a:p>
      </xdr:txBody>
    </xdr:sp>
    <xdr:clientData/>
  </xdr:twoCellAnchor>
  <xdr:twoCellAnchor>
    <xdr:from>
      <xdr:col>10</xdr:col>
      <xdr:colOff>552174</xdr:colOff>
      <xdr:row>61</xdr:row>
      <xdr:rowOff>128841</xdr:rowOff>
    </xdr:from>
    <xdr:to>
      <xdr:col>12</xdr:col>
      <xdr:colOff>573945</xdr:colOff>
      <xdr:row>63</xdr:row>
      <xdr:rowOff>53640</xdr:rowOff>
    </xdr:to>
    <xdr:sp macro="" textlink="">
      <xdr:nvSpPr>
        <xdr:cNvPr id="77" name="CasellaDiTesto 153">
          <a:extLst>
            <a:ext uri="{FF2B5EF4-FFF2-40B4-BE49-F238E27FC236}">
              <a16:creationId xmlns:a16="http://schemas.microsoft.com/office/drawing/2014/main" id="{7D414A0A-55BF-B949-9516-269B9BC98D79}"/>
            </a:ext>
          </a:extLst>
        </xdr:cNvPr>
        <xdr:cNvSpPr txBox="1"/>
      </xdr:nvSpPr>
      <xdr:spPr>
        <a:xfrm>
          <a:off x="7283174" y="12117641"/>
          <a:ext cx="1367971" cy="305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q    60%(A+B+C)</a:t>
          </a:r>
        </a:p>
      </xdr:txBody>
    </xdr:sp>
    <xdr:clientData/>
  </xdr:twoCellAnchor>
  <xdr:twoCellAnchor>
    <xdr:from>
      <xdr:col>20</xdr:col>
      <xdr:colOff>165653</xdr:colOff>
      <xdr:row>63</xdr:row>
      <xdr:rowOff>0</xdr:rowOff>
    </xdr:from>
    <xdr:to>
      <xdr:col>22</xdr:col>
      <xdr:colOff>132206</xdr:colOff>
      <xdr:row>64</xdr:row>
      <xdr:rowOff>90451</xdr:rowOff>
    </xdr:to>
    <xdr:sp macro="" textlink="">
      <xdr:nvSpPr>
        <xdr:cNvPr id="78" name="CasellaDiTesto 153">
          <a:extLst>
            <a:ext uri="{FF2B5EF4-FFF2-40B4-BE49-F238E27FC236}">
              <a16:creationId xmlns:a16="http://schemas.microsoft.com/office/drawing/2014/main" id="{032B9B7C-68D2-4B4B-A010-56EB63FBBC66}"/>
            </a:ext>
          </a:extLst>
        </xdr:cNvPr>
        <xdr:cNvSpPr txBox="1"/>
      </xdr:nvSpPr>
      <xdr:spPr>
        <a:xfrm>
          <a:off x="13665753" y="12369800"/>
          <a:ext cx="1376253" cy="293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r    40%(A+B+C)</a:t>
          </a:r>
        </a:p>
      </xdr:txBody>
    </xdr:sp>
    <xdr:clientData/>
  </xdr:twoCellAnchor>
  <xdr:twoCellAnchor>
    <xdr:from>
      <xdr:col>12</xdr:col>
      <xdr:colOff>0</xdr:colOff>
      <xdr:row>81</xdr:row>
      <xdr:rowOff>1</xdr:rowOff>
    </xdr:from>
    <xdr:to>
      <xdr:col>14</xdr:col>
      <xdr:colOff>21771</xdr:colOff>
      <xdr:row>82</xdr:row>
      <xdr:rowOff>90452</xdr:rowOff>
    </xdr:to>
    <xdr:sp macro="" textlink="">
      <xdr:nvSpPr>
        <xdr:cNvPr id="79" name="CasellaDiTesto 153">
          <a:extLst>
            <a:ext uri="{FF2B5EF4-FFF2-40B4-BE49-F238E27FC236}">
              <a16:creationId xmlns:a16="http://schemas.microsoft.com/office/drawing/2014/main" id="{BB679BC2-3D34-FE4C-84E6-59291B0B7A6C}"/>
            </a:ext>
          </a:extLst>
        </xdr:cNvPr>
        <xdr:cNvSpPr txBox="1"/>
      </xdr:nvSpPr>
      <xdr:spPr>
        <a:xfrm>
          <a:off x="8077200" y="15887701"/>
          <a:ext cx="1367971" cy="293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u   97%(A+B+C)</a:t>
          </a:r>
        </a:p>
      </xdr:txBody>
    </xdr:sp>
    <xdr:clientData/>
  </xdr:twoCellAnchor>
  <xdr:twoCellAnchor>
    <xdr:from>
      <xdr:col>19</xdr:col>
      <xdr:colOff>55217</xdr:colOff>
      <xdr:row>81</xdr:row>
      <xdr:rowOff>18406</xdr:rowOff>
    </xdr:from>
    <xdr:to>
      <xdr:col>20</xdr:col>
      <xdr:colOff>721191</xdr:colOff>
      <xdr:row>82</xdr:row>
      <xdr:rowOff>110435</xdr:rowOff>
    </xdr:to>
    <xdr:sp macro="" textlink="">
      <xdr:nvSpPr>
        <xdr:cNvPr id="80" name="CasellaDiTesto 153">
          <a:extLst>
            <a:ext uri="{FF2B5EF4-FFF2-40B4-BE49-F238E27FC236}">
              <a16:creationId xmlns:a16="http://schemas.microsoft.com/office/drawing/2014/main" id="{2404DE17-725E-C54D-AAD5-54BF059D742C}"/>
            </a:ext>
          </a:extLst>
        </xdr:cNvPr>
        <xdr:cNvSpPr txBox="1"/>
      </xdr:nvSpPr>
      <xdr:spPr>
        <a:xfrm>
          <a:off x="12844117" y="15906106"/>
          <a:ext cx="1377174" cy="2952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v</a:t>
          </a:r>
          <a:r>
            <a:rPr lang="it-IT" sz="1100" baseline="0"/>
            <a:t>     95</a:t>
          </a:r>
          <a:r>
            <a:rPr lang="it-IT" sz="1100"/>
            <a:t>%(A+B+C)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7</xdr:row>
      <xdr:rowOff>917</xdr:rowOff>
    </xdr:from>
    <xdr:ext cx="65" cy="172227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B73ED16F-948A-1040-8D80-06816EAD96A8}"/>
            </a:ext>
          </a:extLst>
        </xdr:cNvPr>
        <xdr:cNvSpPr txBox="1"/>
      </xdr:nvSpPr>
      <xdr:spPr>
        <a:xfrm rot="10800000">
          <a:off x="2540000" y="205831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 b="1"/>
        </a:p>
      </xdr:txBody>
    </xdr:sp>
    <xdr:clientData/>
  </xdr:oneCellAnchor>
  <xdr:twoCellAnchor editAs="oneCell">
    <xdr:from>
      <xdr:col>1</xdr:col>
      <xdr:colOff>520700</xdr:colOff>
      <xdr:row>8</xdr:row>
      <xdr:rowOff>64</xdr:rowOff>
    </xdr:from>
    <xdr:to>
      <xdr:col>1</xdr:col>
      <xdr:colOff>884691</xdr:colOff>
      <xdr:row>10</xdr:row>
      <xdr:rowOff>18002</xdr:rowOff>
    </xdr:to>
    <xdr:sp macro="" textlink="">
      <xdr:nvSpPr>
        <xdr:cNvPr id="3" name="CasellaDiTesto 16">
          <a:extLst>
            <a:ext uri="{FF2B5EF4-FFF2-40B4-BE49-F238E27FC236}">
              <a16:creationId xmlns:a16="http://schemas.microsoft.com/office/drawing/2014/main" id="{530729A8-63F6-364A-9AD0-8773E766B860}"/>
            </a:ext>
          </a:extLst>
        </xdr:cNvPr>
        <xdr:cNvSpPr txBox="1"/>
      </xdr:nvSpPr>
      <xdr:spPr>
        <a:xfrm rot="10800000">
          <a:off x="1193800" y="2311464"/>
          <a:ext cx="363991" cy="2816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0" tIns="0" rIns="0" bIns="0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it-IT" sz="18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587826</xdr:colOff>
      <xdr:row>29</xdr:row>
      <xdr:rowOff>97971</xdr:rowOff>
    </xdr:from>
    <xdr:to>
      <xdr:col>16</xdr:col>
      <xdr:colOff>3803</xdr:colOff>
      <xdr:row>34</xdr:row>
      <xdr:rowOff>185057</xdr:rowOff>
    </xdr:to>
    <xdr:grpSp>
      <xdr:nvGrpSpPr>
        <xdr:cNvPr id="2" name="Group 37">
          <a:extLst>
            <a:ext uri="{FF2B5EF4-FFF2-40B4-BE49-F238E27FC236}">
              <a16:creationId xmlns:a16="http://schemas.microsoft.com/office/drawing/2014/main" id="{049DBD9D-563F-5549-B67F-BFB2309CE9A6}"/>
            </a:ext>
          </a:extLst>
        </xdr:cNvPr>
        <xdr:cNvGrpSpPr/>
      </xdr:nvGrpSpPr>
      <xdr:grpSpPr>
        <a:xfrm rot="5400000">
          <a:off x="9467305" y="5102390"/>
          <a:ext cx="1029900" cy="2102350"/>
          <a:chOff x="16236042" y="3599543"/>
          <a:chExt cx="1543958" cy="800100"/>
        </a:xfrm>
      </xdr:grpSpPr>
      <xdr:cxnSp macro="">
        <xdr:nvCxnSpPr>
          <xdr:cNvPr id="3" name="Straight Connector 34">
            <a:extLst>
              <a:ext uri="{FF2B5EF4-FFF2-40B4-BE49-F238E27FC236}">
                <a16:creationId xmlns:a16="http://schemas.microsoft.com/office/drawing/2014/main" id="{E282FB8A-AFB9-1476-1AD5-CE2008232C7A}"/>
              </a:ext>
            </a:extLst>
          </xdr:cNvPr>
          <xdr:cNvCxnSpPr/>
        </xdr:nvCxnSpPr>
        <xdr:spPr>
          <a:xfrm>
            <a:off x="16246928" y="4390572"/>
            <a:ext cx="1533072" cy="9071"/>
          </a:xfrm>
          <a:prstGeom prst="line">
            <a:avLst/>
          </a:prstGeom>
          <a:ln>
            <a:tailEnd type="non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Connettore 2 4">
            <a:extLst>
              <a:ext uri="{FF2B5EF4-FFF2-40B4-BE49-F238E27FC236}">
                <a16:creationId xmlns:a16="http://schemas.microsoft.com/office/drawing/2014/main" id="{6CD7B3E1-E6E9-1D73-684D-47A632769055}"/>
              </a:ext>
            </a:extLst>
          </xdr:cNvPr>
          <xdr:cNvCxnSpPr/>
        </xdr:nvCxnSpPr>
        <xdr:spPr>
          <a:xfrm flipH="1" flipV="1">
            <a:off x="16236042" y="3599543"/>
            <a:ext cx="7258" cy="782454"/>
          </a:xfrm>
          <a:prstGeom prst="straightConnector1">
            <a:avLst/>
          </a:prstGeom>
          <a:ln>
            <a:tailEnd type="triangl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594360</xdr:colOff>
      <xdr:row>7</xdr:row>
      <xdr:rowOff>7619</xdr:rowOff>
    </xdr:from>
    <xdr:to>
      <xdr:col>4</xdr:col>
      <xdr:colOff>576431</xdr:colOff>
      <xdr:row>7</xdr:row>
      <xdr:rowOff>7620</xdr:rowOff>
    </xdr:to>
    <xdr:cxnSp macro="">
      <xdr:nvCxnSpPr>
        <xdr:cNvPr id="5" name="Connettore 2 146">
          <a:extLst>
            <a:ext uri="{FF2B5EF4-FFF2-40B4-BE49-F238E27FC236}">
              <a16:creationId xmlns:a16="http://schemas.microsoft.com/office/drawing/2014/main" id="{E6C64CAA-8510-D04E-8C0F-E44FE1730714}"/>
            </a:ext>
          </a:extLst>
        </xdr:cNvPr>
        <xdr:cNvCxnSpPr/>
      </xdr:nvCxnSpPr>
      <xdr:spPr>
        <a:xfrm>
          <a:off x="1940560" y="1391919"/>
          <a:ext cx="1328271" cy="1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26894</xdr:rowOff>
    </xdr:from>
    <xdr:to>
      <xdr:col>7</xdr:col>
      <xdr:colOff>458155</xdr:colOff>
      <xdr:row>10</xdr:row>
      <xdr:rowOff>164178</xdr:rowOff>
    </xdr:to>
    <xdr:grpSp>
      <xdr:nvGrpSpPr>
        <xdr:cNvPr id="6" name="Group 37">
          <a:extLst>
            <a:ext uri="{FF2B5EF4-FFF2-40B4-BE49-F238E27FC236}">
              <a16:creationId xmlns:a16="http://schemas.microsoft.com/office/drawing/2014/main" id="{DB319070-6A70-E540-8F22-469FBAD1074D}"/>
            </a:ext>
          </a:extLst>
        </xdr:cNvPr>
        <xdr:cNvGrpSpPr/>
      </xdr:nvGrpSpPr>
      <xdr:grpSpPr>
        <a:xfrm>
          <a:off x="2893017" y="1395911"/>
          <a:ext cx="2550426" cy="757216"/>
          <a:chOff x="16236042" y="3599543"/>
          <a:chExt cx="1544616" cy="801585"/>
        </a:xfrm>
      </xdr:grpSpPr>
      <xdr:cxnSp macro="">
        <xdr:nvCxnSpPr>
          <xdr:cNvPr id="7" name="Straight Connector 34">
            <a:extLst>
              <a:ext uri="{FF2B5EF4-FFF2-40B4-BE49-F238E27FC236}">
                <a16:creationId xmlns:a16="http://schemas.microsoft.com/office/drawing/2014/main" id="{E4D9346F-0427-7392-D5EB-645762057D5C}"/>
              </a:ext>
            </a:extLst>
          </xdr:cNvPr>
          <xdr:cNvCxnSpPr/>
        </xdr:nvCxnSpPr>
        <xdr:spPr>
          <a:xfrm>
            <a:off x="16246928" y="4390572"/>
            <a:ext cx="1533072" cy="9071"/>
          </a:xfrm>
          <a:prstGeom prst="line">
            <a:avLst/>
          </a:prstGeom>
          <a:ln>
            <a:tailEnd type="non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Connettore 2 4">
            <a:extLst>
              <a:ext uri="{FF2B5EF4-FFF2-40B4-BE49-F238E27FC236}">
                <a16:creationId xmlns:a16="http://schemas.microsoft.com/office/drawing/2014/main" id="{C48015F2-BAFF-D6A6-DE38-C9F45D62F98E}"/>
              </a:ext>
            </a:extLst>
          </xdr:cNvPr>
          <xdr:cNvCxnSpPr/>
        </xdr:nvCxnSpPr>
        <xdr:spPr>
          <a:xfrm>
            <a:off x="17771423" y="3605153"/>
            <a:ext cx="9235" cy="795975"/>
          </a:xfrm>
          <a:prstGeom prst="straightConnector1">
            <a:avLst/>
          </a:prstGeom>
          <a:ln>
            <a:tailEnd type="non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Connettore 2 4">
            <a:extLst>
              <a:ext uri="{FF2B5EF4-FFF2-40B4-BE49-F238E27FC236}">
                <a16:creationId xmlns:a16="http://schemas.microsoft.com/office/drawing/2014/main" id="{6AD3732C-3C78-E28E-4A82-B40760BAD922}"/>
              </a:ext>
            </a:extLst>
          </xdr:cNvPr>
          <xdr:cNvCxnSpPr/>
        </xdr:nvCxnSpPr>
        <xdr:spPr>
          <a:xfrm flipH="1" flipV="1">
            <a:off x="16236042" y="3599543"/>
            <a:ext cx="7258" cy="782454"/>
          </a:xfrm>
          <a:prstGeom prst="straightConnector1">
            <a:avLst/>
          </a:prstGeom>
          <a:ln>
            <a:tailEnd type="triangl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0</xdr:colOff>
      <xdr:row>6</xdr:row>
      <xdr:rowOff>163286</xdr:rowOff>
    </xdr:from>
    <xdr:to>
      <xdr:col>11</xdr:col>
      <xdr:colOff>587829</xdr:colOff>
      <xdr:row>7</xdr:row>
      <xdr:rowOff>0</xdr:rowOff>
    </xdr:to>
    <xdr:cxnSp macro="">
      <xdr:nvCxnSpPr>
        <xdr:cNvPr id="10" name="Connettore 2 146">
          <a:extLst>
            <a:ext uri="{FF2B5EF4-FFF2-40B4-BE49-F238E27FC236}">
              <a16:creationId xmlns:a16="http://schemas.microsoft.com/office/drawing/2014/main" id="{0F3C0F63-65BD-894A-B5F0-F4491C38DA8B}"/>
            </a:ext>
          </a:extLst>
        </xdr:cNvPr>
        <xdr:cNvCxnSpPr/>
      </xdr:nvCxnSpPr>
      <xdr:spPr>
        <a:xfrm flipV="1">
          <a:off x="4711700" y="1357086"/>
          <a:ext cx="3280229" cy="27214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11</xdr:row>
      <xdr:rowOff>30480</xdr:rowOff>
    </xdr:from>
    <xdr:to>
      <xdr:col>6</xdr:col>
      <xdr:colOff>457200</xdr:colOff>
      <xdr:row>12</xdr:row>
      <xdr:rowOff>175259</xdr:rowOff>
    </xdr:to>
    <xdr:sp macro="" textlink="">
      <xdr:nvSpPr>
        <xdr:cNvPr id="11" name="CasellaDiTesto 153">
          <a:extLst>
            <a:ext uri="{FF2B5EF4-FFF2-40B4-BE49-F238E27FC236}">
              <a16:creationId xmlns:a16="http://schemas.microsoft.com/office/drawing/2014/main" id="{CE53DEF3-D6ED-DC4F-B2CD-4542031B8D6F}"/>
            </a:ext>
          </a:extLst>
        </xdr:cNvPr>
        <xdr:cNvSpPr txBox="1"/>
      </xdr:nvSpPr>
      <xdr:spPr>
        <a:xfrm>
          <a:off x="3380740" y="2214880"/>
          <a:ext cx="1115060" cy="3352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b     10%(A+B)</a:t>
          </a:r>
        </a:p>
      </xdr:txBody>
    </xdr:sp>
    <xdr:clientData/>
  </xdr:twoCellAnchor>
  <xdr:twoCellAnchor>
    <xdr:from>
      <xdr:col>1</xdr:col>
      <xdr:colOff>450710</xdr:colOff>
      <xdr:row>4</xdr:row>
      <xdr:rowOff>118816</xdr:rowOff>
    </xdr:from>
    <xdr:to>
      <xdr:col>3</xdr:col>
      <xdr:colOff>215336</xdr:colOff>
      <xdr:row>6</xdr:row>
      <xdr:rowOff>73095</xdr:rowOff>
    </xdr:to>
    <xdr:sp macro="" textlink="">
      <xdr:nvSpPr>
        <xdr:cNvPr id="12" name="CasellaDiTesto 153">
          <a:extLst>
            <a:ext uri="{FF2B5EF4-FFF2-40B4-BE49-F238E27FC236}">
              <a16:creationId xmlns:a16="http://schemas.microsoft.com/office/drawing/2014/main" id="{8BA28442-F3EC-3646-AD20-81CF7F86504F}"/>
            </a:ext>
          </a:extLst>
        </xdr:cNvPr>
        <xdr:cNvSpPr txBox="1"/>
      </xdr:nvSpPr>
      <xdr:spPr>
        <a:xfrm>
          <a:off x="1128043" y="923149"/>
          <a:ext cx="1542626" cy="4058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a     100%(A+B)</a:t>
          </a:r>
        </a:p>
      </xdr:txBody>
    </xdr:sp>
    <xdr:clientData/>
  </xdr:twoCellAnchor>
  <xdr:twoCellAnchor>
    <xdr:from>
      <xdr:col>9</xdr:col>
      <xdr:colOff>116476</xdr:colOff>
      <xdr:row>4</xdr:row>
      <xdr:rowOff>2</xdr:rowOff>
    </xdr:from>
    <xdr:to>
      <xdr:col>11</xdr:col>
      <xdr:colOff>108856</xdr:colOff>
      <xdr:row>5</xdr:row>
      <xdr:rowOff>108858</xdr:rowOff>
    </xdr:to>
    <xdr:sp macro="" textlink="">
      <xdr:nvSpPr>
        <xdr:cNvPr id="13" name="CasellaDiTesto 153">
          <a:extLst>
            <a:ext uri="{FF2B5EF4-FFF2-40B4-BE49-F238E27FC236}">
              <a16:creationId xmlns:a16="http://schemas.microsoft.com/office/drawing/2014/main" id="{46F6F415-3AAC-7B41-8880-7DE9D1E49D20}"/>
            </a:ext>
          </a:extLst>
        </xdr:cNvPr>
        <xdr:cNvSpPr txBox="1"/>
      </xdr:nvSpPr>
      <xdr:spPr>
        <a:xfrm>
          <a:off x="6174376" y="787402"/>
          <a:ext cx="1338580" cy="3247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c     100%(C)</a:t>
          </a:r>
        </a:p>
      </xdr:txBody>
    </xdr:sp>
    <xdr:clientData/>
  </xdr:twoCellAnchor>
  <xdr:twoCellAnchor>
    <xdr:from>
      <xdr:col>14</xdr:col>
      <xdr:colOff>10886</xdr:colOff>
      <xdr:row>7</xdr:row>
      <xdr:rowOff>0</xdr:rowOff>
    </xdr:from>
    <xdr:to>
      <xdr:col>18</xdr:col>
      <xdr:colOff>555171</xdr:colOff>
      <xdr:row>7</xdr:row>
      <xdr:rowOff>10885</xdr:rowOff>
    </xdr:to>
    <xdr:cxnSp macro="">
      <xdr:nvCxnSpPr>
        <xdr:cNvPr id="14" name="Connettore 2 146">
          <a:extLst>
            <a:ext uri="{FF2B5EF4-FFF2-40B4-BE49-F238E27FC236}">
              <a16:creationId xmlns:a16="http://schemas.microsoft.com/office/drawing/2014/main" id="{5F46037D-112F-924D-AC12-8F54AE45128D}"/>
            </a:ext>
          </a:extLst>
        </xdr:cNvPr>
        <xdr:cNvCxnSpPr/>
      </xdr:nvCxnSpPr>
      <xdr:spPr>
        <a:xfrm>
          <a:off x="9434286" y="1384300"/>
          <a:ext cx="3236685" cy="10885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7</xdr:row>
      <xdr:rowOff>10885</xdr:rowOff>
    </xdr:from>
    <xdr:to>
      <xdr:col>15</xdr:col>
      <xdr:colOff>955</xdr:colOff>
      <xdr:row>10</xdr:row>
      <xdr:rowOff>148169</xdr:rowOff>
    </xdr:to>
    <xdr:grpSp>
      <xdr:nvGrpSpPr>
        <xdr:cNvPr id="15" name="Group 37">
          <a:extLst>
            <a:ext uri="{FF2B5EF4-FFF2-40B4-BE49-F238E27FC236}">
              <a16:creationId xmlns:a16="http://schemas.microsoft.com/office/drawing/2014/main" id="{366FA541-9190-4642-9349-44E64C85B478}"/>
            </a:ext>
          </a:extLst>
        </xdr:cNvPr>
        <xdr:cNvGrpSpPr/>
      </xdr:nvGrpSpPr>
      <xdr:grpSpPr>
        <a:xfrm>
          <a:off x="7824061" y="1379902"/>
          <a:ext cx="2534928" cy="757216"/>
          <a:chOff x="16236042" y="3599543"/>
          <a:chExt cx="1544616" cy="801585"/>
        </a:xfrm>
      </xdr:grpSpPr>
      <xdr:cxnSp macro="">
        <xdr:nvCxnSpPr>
          <xdr:cNvPr id="16" name="Straight Connector 34">
            <a:extLst>
              <a:ext uri="{FF2B5EF4-FFF2-40B4-BE49-F238E27FC236}">
                <a16:creationId xmlns:a16="http://schemas.microsoft.com/office/drawing/2014/main" id="{5CAB6D2C-6097-E1E2-6173-688A706C1BF4}"/>
              </a:ext>
            </a:extLst>
          </xdr:cNvPr>
          <xdr:cNvCxnSpPr/>
        </xdr:nvCxnSpPr>
        <xdr:spPr>
          <a:xfrm>
            <a:off x="16246928" y="4390572"/>
            <a:ext cx="1533072" cy="9071"/>
          </a:xfrm>
          <a:prstGeom prst="line">
            <a:avLst/>
          </a:prstGeom>
          <a:ln>
            <a:tailEnd type="non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Connettore 2 4">
            <a:extLst>
              <a:ext uri="{FF2B5EF4-FFF2-40B4-BE49-F238E27FC236}">
                <a16:creationId xmlns:a16="http://schemas.microsoft.com/office/drawing/2014/main" id="{30B49C29-B973-FD86-92A4-622717733784}"/>
              </a:ext>
            </a:extLst>
          </xdr:cNvPr>
          <xdr:cNvCxnSpPr/>
        </xdr:nvCxnSpPr>
        <xdr:spPr>
          <a:xfrm>
            <a:off x="17771423" y="3605153"/>
            <a:ext cx="9235" cy="795975"/>
          </a:xfrm>
          <a:prstGeom prst="straightConnector1">
            <a:avLst/>
          </a:prstGeom>
          <a:ln>
            <a:tailEnd type="non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Connettore 2 4">
            <a:extLst>
              <a:ext uri="{FF2B5EF4-FFF2-40B4-BE49-F238E27FC236}">
                <a16:creationId xmlns:a16="http://schemas.microsoft.com/office/drawing/2014/main" id="{4F007556-8703-D62C-CB60-6FE434BD631B}"/>
              </a:ext>
            </a:extLst>
          </xdr:cNvPr>
          <xdr:cNvCxnSpPr/>
        </xdr:nvCxnSpPr>
        <xdr:spPr>
          <a:xfrm flipH="1" flipV="1">
            <a:off x="16236042" y="3599543"/>
            <a:ext cx="7258" cy="782454"/>
          </a:xfrm>
          <a:prstGeom prst="straightConnector1">
            <a:avLst/>
          </a:prstGeom>
          <a:ln>
            <a:tailEnd type="triangl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76199</xdr:colOff>
      <xdr:row>10</xdr:row>
      <xdr:rowOff>185056</xdr:rowOff>
    </xdr:from>
    <xdr:to>
      <xdr:col>14</xdr:col>
      <xdr:colOff>10886</xdr:colOff>
      <xdr:row>12</xdr:row>
      <xdr:rowOff>130629</xdr:rowOff>
    </xdr:to>
    <xdr:sp macro="" textlink="">
      <xdr:nvSpPr>
        <xdr:cNvPr id="19" name="CasellaDiTesto 153">
          <a:extLst>
            <a:ext uri="{FF2B5EF4-FFF2-40B4-BE49-F238E27FC236}">
              <a16:creationId xmlns:a16="http://schemas.microsoft.com/office/drawing/2014/main" id="{624D047F-7741-DE49-A4BE-B211FFC5861A}"/>
            </a:ext>
          </a:extLst>
        </xdr:cNvPr>
        <xdr:cNvSpPr txBox="1"/>
      </xdr:nvSpPr>
      <xdr:spPr>
        <a:xfrm>
          <a:off x="8153399" y="2166256"/>
          <a:ext cx="1280887" cy="339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d     15%(A+B+C)</a:t>
          </a:r>
        </a:p>
      </xdr:txBody>
    </xdr:sp>
    <xdr:clientData/>
  </xdr:twoCellAnchor>
  <xdr:twoCellAnchor>
    <xdr:from>
      <xdr:col>16</xdr:col>
      <xdr:colOff>0</xdr:colOff>
      <xdr:row>7</xdr:row>
      <xdr:rowOff>0</xdr:rowOff>
    </xdr:from>
    <xdr:to>
      <xdr:col>16</xdr:col>
      <xdr:colOff>0</xdr:colOff>
      <xdr:row>12</xdr:row>
      <xdr:rowOff>152400</xdr:rowOff>
    </xdr:to>
    <xdr:cxnSp macro="">
      <xdr:nvCxnSpPr>
        <xdr:cNvPr id="20" name="Connettore 2 146">
          <a:extLst>
            <a:ext uri="{FF2B5EF4-FFF2-40B4-BE49-F238E27FC236}">
              <a16:creationId xmlns:a16="http://schemas.microsoft.com/office/drawing/2014/main" id="{FC8F5D06-1566-BC41-B7A4-8ED590FFF33F}"/>
            </a:ext>
          </a:extLst>
        </xdr:cNvPr>
        <xdr:cNvCxnSpPr/>
      </xdr:nvCxnSpPr>
      <xdr:spPr>
        <a:xfrm>
          <a:off x="10769600" y="1384300"/>
          <a:ext cx="0" cy="1143000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381001</xdr:colOff>
      <xdr:row>5</xdr:row>
      <xdr:rowOff>21771</xdr:rowOff>
    </xdr:from>
    <xdr:to>
      <xdr:col>18</xdr:col>
      <xdr:colOff>402772</xdr:colOff>
      <xdr:row>6</xdr:row>
      <xdr:rowOff>130628</xdr:rowOff>
    </xdr:to>
    <xdr:sp macro="" textlink="">
      <xdr:nvSpPr>
        <xdr:cNvPr id="21" name="CasellaDiTesto 153">
          <a:extLst>
            <a:ext uri="{FF2B5EF4-FFF2-40B4-BE49-F238E27FC236}">
              <a16:creationId xmlns:a16="http://schemas.microsoft.com/office/drawing/2014/main" id="{22016457-48B3-614B-A26A-1248440BA4A4}"/>
            </a:ext>
          </a:extLst>
        </xdr:cNvPr>
        <xdr:cNvSpPr txBox="1"/>
      </xdr:nvSpPr>
      <xdr:spPr>
        <a:xfrm>
          <a:off x="11150601" y="1025071"/>
          <a:ext cx="1367971" cy="2993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e     60%(A+B+C)</a:t>
          </a:r>
        </a:p>
      </xdr:txBody>
    </xdr:sp>
    <xdr:clientData/>
  </xdr:twoCellAnchor>
  <xdr:twoCellAnchor>
    <xdr:from>
      <xdr:col>16</xdr:col>
      <xdr:colOff>76200</xdr:colOff>
      <xdr:row>9</xdr:row>
      <xdr:rowOff>185057</xdr:rowOff>
    </xdr:from>
    <xdr:to>
      <xdr:col>18</xdr:col>
      <xdr:colOff>97971</xdr:colOff>
      <xdr:row>11</xdr:row>
      <xdr:rowOff>97973</xdr:rowOff>
    </xdr:to>
    <xdr:sp macro="" textlink="">
      <xdr:nvSpPr>
        <xdr:cNvPr id="22" name="CasellaDiTesto 153">
          <a:extLst>
            <a:ext uri="{FF2B5EF4-FFF2-40B4-BE49-F238E27FC236}">
              <a16:creationId xmlns:a16="http://schemas.microsoft.com/office/drawing/2014/main" id="{667132FD-3F98-DD4A-9B44-1DCE33963AE1}"/>
            </a:ext>
          </a:extLst>
        </xdr:cNvPr>
        <xdr:cNvSpPr txBox="1"/>
      </xdr:nvSpPr>
      <xdr:spPr>
        <a:xfrm>
          <a:off x="10845800" y="1963057"/>
          <a:ext cx="1367971" cy="3193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f</a:t>
          </a:r>
          <a:r>
            <a:rPr lang="it-IT" sz="1100" baseline="0"/>
            <a:t> </a:t>
          </a:r>
          <a:r>
            <a:rPr lang="it-IT" sz="1100"/>
            <a:t>    40%(A+B+C)</a:t>
          </a:r>
        </a:p>
      </xdr:txBody>
    </xdr:sp>
    <xdr:clientData/>
  </xdr:twoCellAnchor>
  <xdr:twoCellAnchor>
    <xdr:from>
      <xdr:col>16</xdr:col>
      <xdr:colOff>123372</xdr:colOff>
      <xdr:row>9</xdr:row>
      <xdr:rowOff>27820</xdr:rowOff>
    </xdr:from>
    <xdr:to>
      <xdr:col>19</xdr:col>
      <xdr:colOff>700317</xdr:colOff>
      <xdr:row>31</xdr:row>
      <xdr:rowOff>169337</xdr:rowOff>
    </xdr:to>
    <xdr:cxnSp macro="">
      <xdr:nvCxnSpPr>
        <xdr:cNvPr id="23" name="Connettore a gomito 59">
          <a:extLst>
            <a:ext uri="{FF2B5EF4-FFF2-40B4-BE49-F238E27FC236}">
              <a16:creationId xmlns:a16="http://schemas.microsoft.com/office/drawing/2014/main" id="{79BED2DE-4DB6-0D41-B5B2-07D13AE1606F}"/>
            </a:ext>
          </a:extLst>
        </xdr:cNvPr>
        <xdr:cNvCxnSpPr/>
      </xdr:nvCxnSpPr>
      <xdr:spPr>
        <a:xfrm rot="5400000">
          <a:off x="9974036" y="2724756"/>
          <a:ext cx="4434117" cy="2596245"/>
        </a:xfrm>
        <a:prstGeom prst="bentConnector3">
          <a:avLst>
            <a:gd name="adj1" fmla="val 65128"/>
          </a:avLst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8466</xdr:colOff>
      <xdr:row>32</xdr:row>
      <xdr:rowOff>21772</xdr:rowOff>
    </xdr:from>
    <xdr:to>
      <xdr:col>14</xdr:col>
      <xdr:colOff>283028</xdr:colOff>
      <xdr:row>33</xdr:row>
      <xdr:rowOff>131838</xdr:rowOff>
    </xdr:to>
    <xdr:sp macro="" textlink="">
      <xdr:nvSpPr>
        <xdr:cNvPr id="24" name="CasellaDiTesto 153">
          <a:extLst>
            <a:ext uri="{FF2B5EF4-FFF2-40B4-BE49-F238E27FC236}">
              <a16:creationId xmlns:a16="http://schemas.microsoft.com/office/drawing/2014/main" id="{2ECB2D46-FC16-114A-AB7C-582798E780AF}"/>
            </a:ext>
          </a:extLst>
        </xdr:cNvPr>
        <xdr:cNvSpPr txBox="1"/>
      </xdr:nvSpPr>
      <xdr:spPr>
        <a:xfrm>
          <a:off x="8758766" y="6295572"/>
          <a:ext cx="947662" cy="2878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aseline="0"/>
            <a:t>h</a:t>
          </a:r>
          <a:r>
            <a:rPr lang="it-IT" sz="1100"/>
            <a:t>    20%(A)</a:t>
          </a:r>
        </a:p>
      </xdr:txBody>
    </xdr:sp>
    <xdr:clientData/>
  </xdr:twoCellAnchor>
  <xdr:twoCellAnchor>
    <xdr:from>
      <xdr:col>14</xdr:col>
      <xdr:colOff>32657</xdr:colOff>
      <xdr:row>36</xdr:row>
      <xdr:rowOff>174171</xdr:rowOff>
    </xdr:from>
    <xdr:to>
      <xdr:col>15</xdr:col>
      <xdr:colOff>587829</xdr:colOff>
      <xdr:row>37</xdr:row>
      <xdr:rowOff>0</xdr:rowOff>
    </xdr:to>
    <xdr:cxnSp macro="">
      <xdr:nvCxnSpPr>
        <xdr:cNvPr id="25" name="Connettore diritto 68">
          <a:extLst>
            <a:ext uri="{FF2B5EF4-FFF2-40B4-BE49-F238E27FC236}">
              <a16:creationId xmlns:a16="http://schemas.microsoft.com/office/drawing/2014/main" id="{6A9DDC90-1E03-9543-B026-4DBA956CC7AB}"/>
            </a:ext>
          </a:extLst>
        </xdr:cNvPr>
        <xdr:cNvCxnSpPr/>
      </xdr:nvCxnSpPr>
      <xdr:spPr>
        <a:xfrm flipH="1" flipV="1">
          <a:off x="9456057" y="7248071"/>
          <a:ext cx="1228272" cy="16329"/>
        </a:xfrm>
        <a:prstGeom prst="line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24</xdr:row>
      <xdr:rowOff>84666</xdr:rowOff>
    </xdr:from>
    <xdr:to>
      <xdr:col>20</xdr:col>
      <xdr:colOff>33867</xdr:colOff>
      <xdr:row>32</xdr:row>
      <xdr:rowOff>0</xdr:rowOff>
    </xdr:to>
    <xdr:cxnSp macro="">
      <xdr:nvCxnSpPr>
        <xdr:cNvPr id="26" name="Connettore 2 146">
          <a:extLst>
            <a:ext uri="{FF2B5EF4-FFF2-40B4-BE49-F238E27FC236}">
              <a16:creationId xmlns:a16="http://schemas.microsoft.com/office/drawing/2014/main" id="{8C765691-4B67-EE4B-9997-D090B742C5D2}"/>
            </a:ext>
          </a:extLst>
        </xdr:cNvPr>
        <xdr:cNvCxnSpPr/>
      </xdr:nvCxnSpPr>
      <xdr:spPr>
        <a:xfrm>
          <a:off x="13500100" y="4796366"/>
          <a:ext cx="33867" cy="1477434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27</xdr:row>
      <xdr:rowOff>65313</xdr:rowOff>
    </xdr:from>
    <xdr:to>
      <xdr:col>19</xdr:col>
      <xdr:colOff>544285</xdr:colOff>
      <xdr:row>29</xdr:row>
      <xdr:rowOff>43542</xdr:rowOff>
    </xdr:to>
    <xdr:sp macro="" textlink="">
      <xdr:nvSpPr>
        <xdr:cNvPr id="27" name="CasellaDiTesto 153">
          <a:extLst>
            <a:ext uri="{FF2B5EF4-FFF2-40B4-BE49-F238E27FC236}">
              <a16:creationId xmlns:a16="http://schemas.microsoft.com/office/drawing/2014/main" id="{CE337D2F-8561-7745-BFCC-AF7FB8A426FC}"/>
            </a:ext>
          </a:extLst>
        </xdr:cNvPr>
        <xdr:cNvSpPr txBox="1"/>
      </xdr:nvSpPr>
      <xdr:spPr>
        <a:xfrm>
          <a:off x="12115801" y="5348513"/>
          <a:ext cx="1217384" cy="3846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aseline="0"/>
            <a:t>l</a:t>
          </a:r>
          <a:r>
            <a:rPr lang="it-IT" sz="1100"/>
            <a:t>  80%(B+C)</a:t>
          </a:r>
        </a:p>
      </xdr:txBody>
    </xdr:sp>
    <xdr:clientData/>
  </xdr:twoCellAnchor>
  <xdr:twoCellAnchor>
    <xdr:from>
      <xdr:col>19</xdr:col>
      <xdr:colOff>609603</xdr:colOff>
      <xdr:row>23</xdr:row>
      <xdr:rowOff>163289</xdr:rowOff>
    </xdr:from>
    <xdr:to>
      <xdr:col>23</xdr:col>
      <xdr:colOff>587828</xdr:colOff>
      <xdr:row>31</xdr:row>
      <xdr:rowOff>174170</xdr:rowOff>
    </xdr:to>
    <xdr:cxnSp macro="">
      <xdr:nvCxnSpPr>
        <xdr:cNvPr id="28" name="Connettore a gomito 109">
          <a:extLst>
            <a:ext uri="{FF2B5EF4-FFF2-40B4-BE49-F238E27FC236}">
              <a16:creationId xmlns:a16="http://schemas.microsoft.com/office/drawing/2014/main" id="{44651580-33E1-8447-B971-EF17C953471E}"/>
            </a:ext>
          </a:extLst>
        </xdr:cNvPr>
        <xdr:cNvCxnSpPr/>
      </xdr:nvCxnSpPr>
      <xdr:spPr>
        <a:xfrm>
          <a:off x="13398503" y="4684489"/>
          <a:ext cx="2772225" cy="1560281"/>
        </a:xfrm>
        <a:prstGeom prst="bentConnector3">
          <a:avLst>
            <a:gd name="adj1" fmla="val 100000"/>
          </a:avLst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43545</xdr:colOff>
      <xdr:row>27</xdr:row>
      <xdr:rowOff>152398</xdr:rowOff>
    </xdr:from>
    <xdr:to>
      <xdr:col>23</xdr:col>
      <xdr:colOff>533400</xdr:colOff>
      <xdr:row>29</xdr:row>
      <xdr:rowOff>130627</xdr:rowOff>
    </xdr:to>
    <xdr:sp macro="" textlink="">
      <xdr:nvSpPr>
        <xdr:cNvPr id="29" name="CasellaDiTesto 153">
          <a:extLst>
            <a:ext uri="{FF2B5EF4-FFF2-40B4-BE49-F238E27FC236}">
              <a16:creationId xmlns:a16="http://schemas.microsoft.com/office/drawing/2014/main" id="{4C2C418C-5622-4641-B6F9-A9CAAB73029F}"/>
            </a:ext>
          </a:extLst>
        </xdr:cNvPr>
        <xdr:cNvSpPr txBox="1"/>
      </xdr:nvSpPr>
      <xdr:spPr>
        <a:xfrm>
          <a:off x="14953345" y="5435598"/>
          <a:ext cx="1162955" cy="3846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aseline="0"/>
            <a:t>n</a:t>
          </a:r>
          <a:r>
            <a:rPr lang="it-IT" sz="1100"/>
            <a:t>    20%(B+C)</a:t>
          </a:r>
        </a:p>
      </xdr:txBody>
    </xdr:sp>
    <xdr:clientData/>
  </xdr:twoCellAnchor>
  <xdr:twoCellAnchor>
    <xdr:from>
      <xdr:col>15</xdr:col>
      <xdr:colOff>598717</xdr:colOff>
      <xdr:row>36</xdr:row>
      <xdr:rowOff>10884</xdr:rowOff>
    </xdr:from>
    <xdr:to>
      <xdr:col>19</xdr:col>
      <xdr:colOff>533400</xdr:colOff>
      <xdr:row>40</xdr:row>
      <xdr:rowOff>21771</xdr:rowOff>
    </xdr:to>
    <xdr:cxnSp macro="">
      <xdr:nvCxnSpPr>
        <xdr:cNvPr id="30" name="Connettore a gomito 116">
          <a:extLst>
            <a:ext uri="{FF2B5EF4-FFF2-40B4-BE49-F238E27FC236}">
              <a16:creationId xmlns:a16="http://schemas.microsoft.com/office/drawing/2014/main" id="{FBFD2D4D-501C-7F40-87A1-4D1E87FDF2BA}"/>
            </a:ext>
          </a:extLst>
        </xdr:cNvPr>
        <xdr:cNvCxnSpPr/>
      </xdr:nvCxnSpPr>
      <xdr:spPr>
        <a:xfrm>
          <a:off x="10695217" y="7084784"/>
          <a:ext cx="2627083" cy="798287"/>
        </a:xfrm>
        <a:prstGeom prst="bentConnector3">
          <a:avLst>
            <a:gd name="adj1" fmla="val 0"/>
          </a:avLst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243115</xdr:colOff>
      <xdr:row>37</xdr:row>
      <xdr:rowOff>175381</xdr:rowOff>
    </xdr:from>
    <xdr:to>
      <xdr:col>17</xdr:col>
      <xdr:colOff>645885</xdr:colOff>
      <xdr:row>39</xdr:row>
      <xdr:rowOff>105228</xdr:rowOff>
    </xdr:to>
    <xdr:sp macro="" textlink="">
      <xdr:nvSpPr>
        <xdr:cNvPr id="31" name="CasellaDiTesto 153">
          <a:extLst>
            <a:ext uri="{FF2B5EF4-FFF2-40B4-BE49-F238E27FC236}">
              <a16:creationId xmlns:a16="http://schemas.microsoft.com/office/drawing/2014/main" id="{819A1D0A-62C3-124C-926B-5D58D58680B1}"/>
            </a:ext>
          </a:extLst>
        </xdr:cNvPr>
        <xdr:cNvSpPr txBox="1"/>
      </xdr:nvSpPr>
      <xdr:spPr>
        <a:xfrm>
          <a:off x="11012715" y="7439781"/>
          <a:ext cx="1075870" cy="3235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aseline="0"/>
            <a:t>i </a:t>
          </a:r>
          <a:r>
            <a:rPr lang="it-IT" sz="1100"/>
            <a:t>    100%(A)</a:t>
          </a:r>
        </a:p>
      </xdr:txBody>
    </xdr:sp>
    <xdr:clientData/>
  </xdr:twoCellAnchor>
  <xdr:twoCellAnchor>
    <xdr:from>
      <xdr:col>20</xdr:col>
      <xdr:colOff>101602</xdr:colOff>
      <xdr:row>36</xdr:row>
      <xdr:rowOff>133046</xdr:rowOff>
    </xdr:from>
    <xdr:to>
      <xdr:col>21</xdr:col>
      <xdr:colOff>578152</xdr:colOff>
      <xdr:row>38</xdr:row>
      <xdr:rowOff>103655</xdr:rowOff>
    </xdr:to>
    <xdr:sp macro="" textlink="">
      <xdr:nvSpPr>
        <xdr:cNvPr id="32" name="CasellaDiTesto 153">
          <a:extLst>
            <a:ext uri="{FF2B5EF4-FFF2-40B4-BE49-F238E27FC236}">
              <a16:creationId xmlns:a16="http://schemas.microsoft.com/office/drawing/2014/main" id="{819A3A99-2E15-344C-A728-DCA89E25D66E}"/>
            </a:ext>
          </a:extLst>
        </xdr:cNvPr>
        <xdr:cNvSpPr txBox="1"/>
      </xdr:nvSpPr>
      <xdr:spPr>
        <a:xfrm>
          <a:off x="13601702" y="7206946"/>
          <a:ext cx="1213150" cy="3516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aseline="0"/>
            <a:t>m</a:t>
          </a:r>
          <a:r>
            <a:rPr lang="it-IT" sz="1100"/>
            <a:t>    80%(B+C)</a:t>
          </a:r>
        </a:p>
      </xdr:txBody>
    </xdr:sp>
    <xdr:clientData/>
  </xdr:twoCellAnchor>
  <xdr:twoCellAnchor>
    <xdr:from>
      <xdr:col>24</xdr:col>
      <xdr:colOff>43545</xdr:colOff>
      <xdr:row>36</xdr:row>
      <xdr:rowOff>185055</xdr:rowOff>
    </xdr:from>
    <xdr:to>
      <xdr:col>25</xdr:col>
      <xdr:colOff>533400</xdr:colOff>
      <xdr:row>38</xdr:row>
      <xdr:rowOff>163284</xdr:rowOff>
    </xdr:to>
    <xdr:sp macro="" textlink="">
      <xdr:nvSpPr>
        <xdr:cNvPr id="33" name="CasellaDiTesto 153">
          <a:extLst>
            <a:ext uri="{FF2B5EF4-FFF2-40B4-BE49-F238E27FC236}">
              <a16:creationId xmlns:a16="http://schemas.microsoft.com/office/drawing/2014/main" id="{79DB682D-79C8-1F4D-828A-B4F07CDA091E}"/>
            </a:ext>
          </a:extLst>
        </xdr:cNvPr>
        <xdr:cNvSpPr txBox="1"/>
      </xdr:nvSpPr>
      <xdr:spPr>
        <a:xfrm>
          <a:off x="16299545" y="7258955"/>
          <a:ext cx="1162955" cy="3592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aseline="0"/>
            <a:t>o </a:t>
          </a:r>
          <a:r>
            <a:rPr lang="it-IT" sz="1100"/>
            <a:t>    20%(B+C)</a:t>
          </a:r>
        </a:p>
      </xdr:txBody>
    </xdr:sp>
    <xdr:clientData/>
  </xdr:twoCellAnchor>
  <xdr:twoCellAnchor>
    <xdr:from>
      <xdr:col>20</xdr:col>
      <xdr:colOff>87087</xdr:colOff>
      <xdr:row>35</xdr:row>
      <xdr:rowOff>188321</xdr:rowOff>
    </xdr:from>
    <xdr:to>
      <xdr:col>23</xdr:col>
      <xdr:colOff>587833</xdr:colOff>
      <xdr:row>40</xdr:row>
      <xdr:rowOff>21771</xdr:rowOff>
    </xdr:to>
    <xdr:cxnSp macro="">
      <xdr:nvCxnSpPr>
        <xdr:cNvPr id="34" name="Connettore a gomito 129">
          <a:extLst>
            <a:ext uri="{FF2B5EF4-FFF2-40B4-BE49-F238E27FC236}">
              <a16:creationId xmlns:a16="http://schemas.microsoft.com/office/drawing/2014/main" id="{84BA482E-C4A4-6447-B7F3-7E2C2FFADC0F}"/>
            </a:ext>
          </a:extLst>
        </xdr:cNvPr>
        <xdr:cNvCxnSpPr/>
      </xdr:nvCxnSpPr>
      <xdr:spPr>
        <a:xfrm rot="10800000" flipV="1">
          <a:off x="13587187" y="7059021"/>
          <a:ext cx="2583546" cy="824050"/>
        </a:xfrm>
        <a:prstGeom prst="bentConnector3">
          <a:avLst>
            <a:gd name="adj1" fmla="val -228"/>
          </a:avLst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36</xdr:row>
      <xdr:rowOff>0</xdr:rowOff>
    </xdr:from>
    <xdr:to>
      <xdr:col>20</xdr:col>
      <xdr:colOff>10886</xdr:colOff>
      <xdr:row>49</xdr:row>
      <xdr:rowOff>152400</xdr:rowOff>
    </xdr:to>
    <xdr:cxnSp macro="">
      <xdr:nvCxnSpPr>
        <xdr:cNvPr id="35" name="Connettore 2 146">
          <a:extLst>
            <a:ext uri="{FF2B5EF4-FFF2-40B4-BE49-F238E27FC236}">
              <a16:creationId xmlns:a16="http://schemas.microsoft.com/office/drawing/2014/main" id="{D05FF981-6518-3840-B48C-1E3FDD74AC51}"/>
            </a:ext>
          </a:extLst>
        </xdr:cNvPr>
        <xdr:cNvCxnSpPr/>
      </xdr:nvCxnSpPr>
      <xdr:spPr>
        <a:xfrm>
          <a:off x="13500101" y="7073900"/>
          <a:ext cx="10885" cy="2692400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18406</xdr:colOff>
      <xdr:row>54</xdr:row>
      <xdr:rowOff>18406</xdr:rowOff>
    </xdr:from>
    <xdr:to>
      <xdr:col>20</xdr:col>
      <xdr:colOff>36813</xdr:colOff>
      <xdr:row>69</xdr:row>
      <xdr:rowOff>184057</xdr:rowOff>
    </xdr:to>
    <xdr:cxnSp macro="">
      <xdr:nvCxnSpPr>
        <xdr:cNvPr id="36" name="Connettore 2 146">
          <a:extLst>
            <a:ext uri="{FF2B5EF4-FFF2-40B4-BE49-F238E27FC236}">
              <a16:creationId xmlns:a16="http://schemas.microsoft.com/office/drawing/2014/main" id="{0CEEF910-9C0C-9349-A5BF-14819B5FBA13}"/>
            </a:ext>
          </a:extLst>
        </xdr:cNvPr>
        <xdr:cNvCxnSpPr/>
      </xdr:nvCxnSpPr>
      <xdr:spPr>
        <a:xfrm flipH="1">
          <a:off x="13518506" y="10635606"/>
          <a:ext cx="18407" cy="3073951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587829</xdr:colOff>
      <xdr:row>61</xdr:row>
      <xdr:rowOff>10884</xdr:rowOff>
    </xdr:from>
    <xdr:to>
      <xdr:col>19</xdr:col>
      <xdr:colOff>631377</xdr:colOff>
      <xdr:row>69</xdr:row>
      <xdr:rowOff>185057</xdr:rowOff>
    </xdr:to>
    <xdr:cxnSp macro="">
      <xdr:nvCxnSpPr>
        <xdr:cNvPr id="37" name="Connettore a gomito 169">
          <a:extLst>
            <a:ext uri="{FF2B5EF4-FFF2-40B4-BE49-F238E27FC236}">
              <a16:creationId xmlns:a16="http://schemas.microsoft.com/office/drawing/2014/main" id="{210C16DA-D8A5-8D4B-833A-F53C01EC8444}"/>
            </a:ext>
          </a:extLst>
        </xdr:cNvPr>
        <xdr:cNvCxnSpPr/>
      </xdr:nvCxnSpPr>
      <xdr:spPr>
        <a:xfrm rot="10800000" flipV="1">
          <a:off x="8665029" y="11986984"/>
          <a:ext cx="4755248" cy="1723573"/>
        </a:xfrm>
        <a:prstGeom prst="bentConnector3">
          <a:avLst>
            <a:gd name="adj1" fmla="val 100000"/>
          </a:avLst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473111</xdr:colOff>
      <xdr:row>76</xdr:row>
      <xdr:rowOff>61963</xdr:rowOff>
    </xdr:from>
    <xdr:to>
      <xdr:col>9</xdr:col>
      <xdr:colOff>309825</xdr:colOff>
      <xdr:row>79</xdr:row>
      <xdr:rowOff>38518</xdr:rowOff>
    </xdr:to>
    <xdr:sp macro="" textlink="">
      <xdr:nvSpPr>
        <xdr:cNvPr id="38" name="CasellaDiTesto 153">
          <a:extLst>
            <a:ext uri="{FF2B5EF4-FFF2-40B4-BE49-F238E27FC236}">
              <a16:creationId xmlns:a16="http://schemas.microsoft.com/office/drawing/2014/main" id="{BBD59FDA-337E-444C-BE8C-D69E0B01C0DC}"/>
            </a:ext>
          </a:extLst>
        </xdr:cNvPr>
        <xdr:cNvSpPr txBox="1"/>
      </xdr:nvSpPr>
      <xdr:spPr>
        <a:xfrm>
          <a:off x="4511711" y="14971763"/>
          <a:ext cx="1856014" cy="560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aseline="0"/>
            <a:t>s </a:t>
          </a:r>
          <a:r>
            <a:rPr lang="it-IT" sz="1100"/>
            <a:t>    3%*[60%(A+B+C)]</a:t>
          </a:r>
        </a:p>
        <a:p>
          <a:pPr algn="ctr"/>
          <a:r>
            <a:rPr lang="it-IT" sz="1100" b="1" u="sng"/>
            <a:t>OUT</a:t>
          </a:r>
        </a:p>
      </xdr:txBody>
    </xdr:sp>
    <xdr:clientData/>
  </xdr:twoCellAnchor>
  <xdr:twoCellAnchor>
    <xdr:from>
      <xdr:col>23</xdr:col>
      <xdr:colOff>123929</xdr:colOff>
      <xdr:row>76</xdr:row>
      <xdr:rowOff>61963</xdr:rowOff>
    </xdr:from>
    <xdr:to>
      <xdr:col>25</xdr:col>
      <xdr:colOff>570243</xdr:colOff>
      <xdr:row>79</xdr:row>
      <xdr:rowOff>38518</xdr:rowOff>
    </xdr:to>
    <xdr:sp macro="" textlink="">
      <xdr:nvSpPr>
        <xdr:cNvPr id="39" name="CasellaDiTesto 153">
          <a:extLst>
            <a:ext uri="{FF2B5EF4-FFF2-40B4-BE49-F238E27FC236}">
              <a16:creationId xmlns:a16="http://schemas.microsoft.com/office/drawing/2014/main" id="{5A2F5ABF-C731-3F4F-B1D3-EA47E713746B}"/>
            </a:ext>
          </a:extLst>
        </xdr:cNvPr>
        <xdr:cNvSpPr txBox="1"/>
      </xdr:nvSpPr>
      <xdr:spPr>
        <a:xfrm>
          <a:off x="15706829" y="14971763"/>
          <a:ext cx="1792514" cy="560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aseline="0"/>
            <a:t>t </a:t>
          </a:r>
          <a:r>
            <a:rPr lang="it-IT" sz="1100"/>
            <a:t>    5%[40%(A+B+C)]</a:t>
          </a:r>
        </a:p>
        <a:p>
          <a:pPr algn="ctr"/>
          <a:r>
            <a:rPr lang="it-IT" sz="1100" b="1" u="sng"/>
            <a:t>OUT</a:t>
          </a:r>
        </a:p>
      </xdr:txBody>
    </xdr:sp>
    <xdr:clientData/>
  </xdr:twoCellAnchor>
  <xdr:twoCellAnchor>
    <xdr:from>
      <xdr:col>13</xdr:col>
      <xdr:colOff>4</xdr:colOff>
      <xdr:row>74</xdr:row>
      <xdr:rowOff>10888</xdr:rowOff>
    </xdr:from>
    <xdr:to>
      <xdr:col>16</xdr:col>
      <xdr:colOff>261258</xdr:colOff>
      <xdr:row>86</xdr:row>
      <xdr:rowOff>10885</xdr:rowOff>
    </xdr:to>
    <xdr:cxnSp macro="">
      <xdr:nvCxnSpPr>
        <xdr:cNvPr id="40" name="Connettore a gomito 180">
          <a:extLst>
            <a:ext uri="{FF2B5EF4-FFF2-40B4-BE49-F238E27FC236}">
              <a16:creationId xmlns:a16="http://schemas.microsoft.com/office/drawing/2014/main" id="{A9CAE94E-3E99-124A-B5CE-A556FD6609A5}"/>
            </a:ext>
          </a:extLst>
        </xdr:cNvPr>
        <xdr:cNvCxnSpPr/>
      </xdr:nvCxnSpPr>
      <xdr:spPr>
        <a:xfrm rot="16200000" flipH="1">
          <a:off x="8722182" y="14555110"/>
          <a:ext cx="2336797" cy="2280554"/>
        </a:xfrm>
        <a:prstGeom prst="bentConnector3">
          <a:avLst>
            <a:gd name="adj1" fmla="val 50000"/>
          </a:avLst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272144</xdr:colOff>
      <xdr:row>73</xdr:row>
      <xdr:rowOff>188318</xdr:rowOff>
    </xdr:from>
    <xdr:to>
      <xdr:col>19</xdr:col>
      <xdr:colOff>620489</xdr:colOff>
      <xdr:row>80</xdr:row>
      <xdr:rowOff>32657</xdr:rowOff>
    </xdr:to>
    <xdr:cxnSp macro="">
      <xdr:nvCxnSpPr>
        <xdr:cNvPr id="41" name="Connettore a gomito 184">
          <a:extLst>
            <a:ext uri="{FF2B5EF4-FFF2-40B4-BE49-F238E27FC236}">
              <a16:creationId xmlns:a16="http://schemas.microsoft.com/office/drawing/2014/main" id="{2590AF60-0DC6-B748-9876-DA697A115780}"/>
            </a:ext>
          </a:extLst>
        </xdr:cNvPr>
        <xdr:cNvCxnSpPr/>
      </xdr:nvCxnSpPr>
      <xdr:spPr>
        <a:xfrm rot="10800000" flipV="1">
          <a:off x="11041744" y="14501218"/>
          <a:ext cx="2367645" cy="1215939"/>
        </a:xfrm>
        <a:prstGeom prst="bentConnector3">
          <a:avLst>
            <a:gd name="adj1" fmla="val -1000"/>
          </a:avLst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370113</xdr:colOff>
      <xdr:row>77</xdr:row>
      <xdr:rowOff>118068</xdr:rowOff>
    </xdr:from>
    <xdr:to>
      <xdr:col>13</xdr:col>
      <xdr:colOff>32656</xdr:colOff>
      <xdr:row>77</xdr:row>
      <xdr:rowOff>125603</xdr:rowOff>
    </xdr:to>
    <xdr:cxnSp macro="">
      <xdr:nvCxnSpPr>
        <xdr:cNvPr id="42" name="Connettore 2 146">
          <a:extLst>
            <a:ext uri="{FF2B5EF4-FFF2-40B4-BE49-F238E27FC236}">
              <a16:creationId xmlns:a16="http://schemas.microsoft.com/office/drawing/2014/main" id="{7169532B-F119-F44D-9234-3326D3034C2F}"/>
            </a:ext>
          </a:extLst>
        </xdr:cNvPr>
        <xdr:cNvCxnSpPr/>
      </xdr:nvCxnSpPr>
      <xdr:spPr>
        <a:xfrm flipH="1">
          <a:off x="6428013" y="15231068"/>
          <a:ext cx="2354943" cy="7535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11722</xdr:colOff>
      <xdr:row>77</xdr:row>
      <xdr:rowOff>135652</xdr:rowOff>
    </xdr:from>
    <xdr:to>
      <xdr:col>23</xdr:col>
      <xdr:colOff>56940</xdr:colOff>
      <xdr:row>77</xdr:row>
      <xdr:rowOff>135652</xdr:rowOff>
    </xdr:to>
    <xdr:cxnSp macro="">
      <xdr:nvCxnSpPr>
        <xdr:cNvPr id="43" name="Connettore 2 146">
          <a:extLst>
            <a:ext uri="{FF2B5EF4-FFF2-40B4-BE49-F238E27FC236}">
              <a16:creationId xmlns:a16="http://schemas.microsoft.com/office/drawing/2014/main" id="{0A7DEA19-1898-4E4D-A184-ACE5B7CFA8F5}"/>
            </a:ext>
          </a:extLst>
        </xdr:cNvPr>
        <xdr:cNvCxnSpPr/>
      </xdr:nvCxnSpPr>
      <xdr:spPr>
        <a:xfrm>
          <a:off x="13511822" y="15248652"/>
          <a:ext cx="2128018" cy="0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145995</xdr:colOff>
      <xdr:row>86</xdr:row>
      <xdr:rowOff>56992</xdr:rowOff>
    </xdr:from>
    <xdr:to>
      <xdr:col>19</xdr:col>
      <xdr:colOff>107577</xdr:colOff>
      <xdr:row>88</xdr:row>
      <xdr:rowOff>35860</xdr:rowOff>
    </xdr:to>
    <xdr:sp macro="" textlink="">
      <xdr:nvSpPr>
        <xdr:cNvPr id="44" name="CasellaDiTesto 153">
          <a:extLst>
            <a:ext uri="{FF2B5EF4-FFF2-40B4-BE49-F238E27FC236}">
              <a16:creationId xmlns:a16="http://schemas.microsoft.com/office/drawing/2014/main" id="{0FE0DC0E-3A01-0542-9F10-2A895E1A960D}"/>
            </a:ext>
          </a:extLst>
        </xdr:cNvPr>
        <xdr:cNvSpPr txBox="1"/>
      </xdr:nvSpPr>
      <xdr:spPr>
        <a:xfrm>
          <a:off x="9569395" y="16909892"/>
          <a:ext cx="3327082" cy="3725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aseline="0"/>
            <a:t>z </a:t>
          </a:r>
          <a:r>
            <a:rPr lang="it-IT" sz="1100"/>
            <a:t>    95%[40%(A+B+C)] +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97%[60%(A+B+C)] </a:t>
          </a:r>
          <a:endParaRPr lang="it-IT" sz="1100"/>
        </a:p>
      </xdr:txBody>
    </xdr:sp>
    <xdr:clientData/>
  </xdr:twoCellAnchor>
  <xdr:twoCellAnchor>
    <xdr:from>
      <xdr:col>3</xdr:col>
      <xdr:colOff>566058</xdr:colOff>
      <xdr:row>6</xdr:row>
      <xdr:rowOff>141514</xdr:rowOff>
    </xdr:from>
    <xdr:to>
      <xdr:col>4</xdr:col>
      <xdr:colOff>43543</xdr:colOff>
      <xdr:row>7</xdr:row>
      <xdr:rowOff>32657</xdr:rowOff>
    </xdr:to>
    <xdr:sp macro="" textlink="">
      <xdr:nvSpPr>
        <xdr:cNvPr id="45" name="Ovale 44">
          <a:extLst>
            <a:ext uri="{FF2B5EF4-FFF2-40B4-BE49-F238E27FC236}">
              <a16:creationId xmlns:a16="http://schemas.microsoft.com/office/drawing/2014/main" id="{66458D14-9D75-6B4C-9C9F-145C3A109195}"/>
            </a:ext>
          </a:extLst>
        </xdr:cNvPr>
        <xdr:cNvSpPr/>
      </xdr:nvSpPr>
      <xdr:spPr>
        <a:xfrm>
          <a:off x="2585358" y="1335314"/>
          <a:ext cx="150585" cy="81643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7</xdr:col>
      <xdr:colOff>402772</xdr:colOff>
      <xdr:row>6</xdr:row>
      <xdr:rowOff>141514</xdr:rowOff>
    </xdr:from>
    <xdr:to>
      <xdr:col>7</xdr:col>
      <xdr:colOff>489857</xdr:colOff>
      <xdr:row>7</xdr:row>
      <xdr:rowOff>32657</xdr:rowOff>
    </xdr:to>
    <xdr:sp macro="" textlink="">
      <xdr:nvSpPr>
        <xdr:cNvPr id="46" name="Ovale 45">
          <a:extLst>
            <a:ext uri="{FF2B5EF4-FFF2-40B4-BE49-F238E27FC236}">
              <a16:creationId xmlns:a16="http://schemas.microsoft.com/office/drawing/2014/main" id="{67BCFCA9-0ABC-BB4E-8839-439C502D17C2}"/>
            </a:ext>
          </a:extLst>
        </xdr:cNvPr>
        <xdr:cNvSpPr/>
      </xdr:nvSpPr>
      <xdr:spPr>
        <a:xfrm>
          <a:off x="5114472" y="1335314"/>
          <a:ext cx="87085" cy="81643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11</xdr:col>
      <xdr:colOff>108858</xdr:colOff>
      <xdr:row>6</xdr:row>
      <xdr:rowOff>141514</xdr:rowOff>
    </xdr:from>
    <xdr:to>
      <xdr:col>11</xdr:col>
      <xdr:colOff>195943</xdr:colOff>
      <xdr:row>7</xdr:row>
      <xdr:rowOff>32657</xdr:rowOff>
    </xdr:to>
    <xdr:sp macro="" textlink="">
      <xdr:nvSpPr>
        <xdr:cNvPr id="47" name="Ovale 46">
          <a:extLst>
            <a:ext uri="{FF2B5EF4-FFF2-40B4-BE49-F238E27FC236}">
              <a16:creationId xmlns:a16="http://schemas.microsoft.com/office/drawing/2014/main" id="{B1855446-2040-BF4E-AEFF-E0B5412010C6}"/>
            </a:ext>
          </a:extLst>
        </xdr:cNvPr>
        <xdr:cNvSpPr/>
      </xdr:nvSpPr>
      <xdr:spPr>
        <a:xfrm>
          <a:off x="7512958" y="1335314"/>
          <a:ext cx="87085" cy="81643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14</xdr:col>
      <xdr:colOff>555172</xdr:colOff>
      <xdr:row>6</xdr:row>
      <xdr:rowOff>141514</xdr:rowOff>
    </xdr:from>
    <xdr:to>
      <xdr:col>15</xdr:col>
      <xdr:colOff>32657</xdr:colOff>
      <xdr:row>7</xdr:row>
      <xdr:rowOff>32657</xdr:rowOff>
    </xdr:to>
    <xdr:sp macro="" textlink="">
      <xdr:nvSpPr>
        <xdr:cNvPr id="48" name="Ovale 47">
          <a:extLst>
            <a:ext uri="{FF2B5EF4-FFF2-40B4-BE49-F238E27FC236}">
              <a16:creationId xmlns:a16="http://schemas.microsoft.com/office/drawing/2014/main" id="{F01113D1-6EAA-CE4B-9227-4C3B3935C6E2}"/>
            </a:ext>
          </a:extLst>
        </xdr:cNvPr>
        <xdr:cNvSpPr/>
      </xdr:nvSpPr>
      <xdr:spPr>
        <a:xfrm>
          <a:off x="9978572" y="1335314"/>
          <a:ext cx="150585" cy="81643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15</xdr:col>
      <xdr:colOff>566058</xdr:colOff>
      <xdr:row>6</xdr:row>
      <xdr:rowOff>141514</xdr:rowOff>
    </xdr:from>
    <xdr:to>
      <xdr:col>16</xdr:col>
      <xdr:colOff>43543</xdr:colOff>
      <xdr:row>7</xdr:row>
      <xdr:rowOff>32657</xdr:rowOff>
    </xdr:to>
    <xdr:sp macro="" textlink="">
      <xdr:nvSpPr>
        <xdr:cNvPr id="49" name="Ovale 48">
          <a:extLst>
            <a:ext uri="{FF2B5EF4-FFF2-40B4-BE49-F238E27FC236}">
              <a16:creationId xmlns:a16="http://schemas.microsoft.com/office/drawing/2014/main" id="{C6629F6B-8ED3-A949-830F-A19FBAC8E7EC}"/>
            </a:ext>
          </a:extLst>
        </xdr:cNvPr>
        <xdr:cNvSpPr/>
      </xdr:nvSpPr>
      <xdr:spPr>
        <a:xfrm>
          <a:off x="10662558" y="1335314"/>
          <a:ext cx="150585" cy="81643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19</xdr:col>
      <xdr:colOff>639838</xdr:colOff>
      <xdr:row>20</xdr:row>
      <xdr:rowOff>4838</xdr:rowOff>
    </xdr:from>
    <xdr:to>
      <xdr:col>20</xdr:col>
      <xdr:colOff>84666</xdr:colOff>
      <xdr:row>20</xdr:row>
      <xdr:rowOff>93133</xdr:rowOff>
    </xdr:to>
    <xdr:sp macro="" textlink="">
      <xdr:nvSpPr>
        <xdr:cNvPr id="50" name="Ovale 49">
          <a:extLst>
            <a:ext uri="{FF2B5EF4-FFF2-40B4-BE49-F238E27FC236}">
              <a16:creationId xmlns:a16="http://schemas.microsoft.com/office/drawing/2014/main" id="{C048733B-24BE-F448-945E-871F4634B91B}"/>
            </a:ext>
          </a:extLst>
        </xdr:cNvPr>
        <xdr:cNvSpPr/>
      </xdr:nvSpPr>
      <xdr:spPr>
        <a:xfrm>
          <a:off x="13428738" y="3929138"/>
          <a:ext cx="156028" cy="88295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19</xdr:col>
      <xdr:colOff>662820</xdr:colOff>
      <xdr:row>23</xdr:row>
      <xdr:rowOff>113694</xdr:rowOff>
    </xdr:from>
    <xdr:to>
      <xdr:col>20</xdr:col>
      <xdr:colOff>38705</xdr:colOff>
      <xdr:row>24</xdr:row>
      <xdr:rowOff>4837</xdr:rowOff>
    </xdr:to>
    <xdr:sp macro="" textlink="">
      <xdr:nvSpPr>
        <xdr:cNvPr id="51" name="Ovale 50">
          <a:extLst>
            <a:ext uri="{FF2B5EF4-FFF2-40B4-BE49-F238E27FC236}">
              <a16:creationId xmlns:a16="http://schemas.microsoft.com/office/drawing/2014/main" id="{47C64480-488E-094A-994E-7CE073508464}"/>
            </a:ext>
          </a:extLst>
        </xdr:cNvPr>
        <xdr:cNvSpPr/>
      </xdr:nvSpPr>
      <xdr:spPr>
        <a:xfrm>
          <a:off x="13451720" y="4634894"/>
          <a:ext cx="87085" cy="81643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16</xdr:col>
      <xdr:colOff>12096</xdr:colOff>
      <xdr:row>29</xdr:row>
      <xdr:rowOff>82248</xdr:rowOff>
    </xdr:from>
    <xdr:to>
      <xdr:col>16</xdr:col>
      <xdr:colOff>166914</xdr:colOff>
      <xdr:row>29</xdr:row>
      <xdr:rowOff>158448</xdr:rowOff>
    </xdr:to>
    <xdr:sp macro="" textlink="">
      <xdr:nvSpPr>
        <xdr:cNvPr id="52" name="Ovale 51">
          <a:extLst>
            <a:ext uri="{FF2B5EF4-FFF2-40B4-BE49-F238E27FC236}">
              <a16:creationId xmlns:a16="http://schemas.microsoft.com/office/drawing/2014/main" id="{E0D6F7C9-3C6E-ED41-87F7-7D77F0DEC3DB}"/>
            </a:ext>
          </a:extLst>
        </xdr:cNvPr>
        <xdr:cNvSpPr/>
      </xdr:nvSpPr>
      <xdr:spPr>
        <a:xfrm>
          <a:off x="10781696" y="5771848"/>
          <a:ext cx="154818" cy="762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19</xdr:col>
      <xdr:colOff>609600</xdr:colOff>
      <xdr:row>39</xdr:row>
      <xdr:rowOff>185057</xdr:rowOff>
    </xdr:from>
    <xdr:to>
      <xdr:col>20</xdr:col>
      <xdr:colOff>54428</xdr:colOff>
      <xdr:row>40</xdr:row>
      <xdr:rowOff>65314</xdr:rowOff>
    </xdr:to>
    <xdr:sp macro="" textlink="">
      <xdr:nvSpPr>
        <xdr:cNvPr id="53" name="Ovale 52">
          <a:extLst>
            <a:ext uri="{FF2B5EF4-FFF2-40B4-BE49-F238E27FC236}">
              <a16:creationId xmlns:a16="http://schemas.microsoft.com/office/drawing/2014/main" id="{6835F0FF-2164-9C48-B93C-44631C9D6AE8}"/>
            </a:ext>
          </a:extLst>
        </xdr:cNvPr>
        <xdr:cNvSpPr/>
      </xdr:nvSpPr>
      <xdr:spPr>
        <a:xfrm>
          <a:off x="13398500" y="7843157"/>
          <a:ext cx="156028" cy="83457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19</xdr:col>
      <xdr:colOff>598714</xdr:colOff>
      <xdr:row>60</xdr:row>
      <xdr:rowOff>163287</xdr:rowOff>
    </xdr:from>
    <xdr:to>
      <xdr:col>20</xdr:col>
      <xdr:colOff>43542</xdr:colOff>
      <xdr:row>61</xdr:row>
      <xdr:rowOff>54429</xdr:rowOff>
    </xdr:to>
    <xdr:sp macro="" textlink="">
      <xdr:nvSpPr>
        <xdr:cNvPr id="54" name="Ovale 53">
          <a:extLst>
            <a:ext uri="{FF2B5EF4-FFF2-40B4-BE49-F238E27FC236}">
              <a16:creationId xmlns:a16="http://schemas.microsoft.com/office/drawing/2014/main" id="{B482945E-4FDA-3041-8E0B-8C674798A42C}"/>
            </a:ext>
          </a:extLst>
        </xdr:cNvPr>
        <xdr:cNvSpPr/>
      </xdr:nvSpPr>
      <xdr:spPr>
        <a:xfrm>
          <a:off x="13387614" y="11948887"/>
          <a:ext cx="156028" cy="81642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19</xdr:col>
      <xdr:colOff>598714</xdr:colOff>
      <xdr:row>77</xdr:row>
      <xdr:rowOff>87086</xdr:rowOff>
    </xdr:from>
    <xdr:to>
      <xdr:col>20</xdr:col>
      <xdr:colOff>43542</xdr:colOff>
      <xdr:row>77</xdr:row>
      <xdr:rowOff>163286</xdr:rowOff>
    </xdr:to>
    <xdr:sp macro="" textlink="">
      <xdr:nvSpPr>
        <xdr:cNvPr id="55" name="Ovale 54">
          <a:extLst>
            <a:ext uri="{FF2B5EF4-FFF2-40B4-BE49-F238E27FC236}">
              <a16:creationId xmlns:a16="http://schemas.microsoft.com/office/drawing/2014/main" id="{AA32C024-730E-F24E-8F9A-EF66BC2C9A88}"/>
            </a:ext>
          </a:extLst>
        </xdr:cNvPr>
        <xdr:cNvSpPr/>
      </xdr:nvSpPr>
      <xdr:spPr>
        <a:xfrm>
          <a:off x="13387614" y="15200086"/>
          <a:ext cx="156028" cy="762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12</xdr:col>
      <xdr:colOff>566057</xdr:colOff>
      <xdr:row>77</xdr:row>
      <xdr:rowOff>76200</xdr:rowOff>
    </xdr:from>
    <xdr:to>
      <xdr:col>13</xdr:col>
      <xdr:colOff>43542</xdr:colOff>
      <xdr:row>77</xdr:row>
      <xdr:rowOff>152400</xdr:rowOff>
    </xdr:to>
    <xdr:sp macro="" textlink="">
      <xdr:nvSpPr>
        <xdr:cNvPr id="56" name="Ovale 55">
          <a:extLst>
            <a:ext uri="{FF2B5EF4-FFF2-40B4-BE49-F238E27FC236}">
              <a16:creationId xmlns:a16="http://schemas.microsoft.com/office/drawing/2014/main" id="{BF4E3DC0-FB89-8945-906E-FCA2FE91A1D0}"/>
            </a:ext>
          </a:extLst>
        </xdr:cNvPr>
        <xdr:cNvSpPr/>
      </xdr:nvSpPr>
      <xdr:spPr>
        <a:xfrm>
          <a:off x="8643257" y="15189200"/>
          <a:ext cx="150585" cy="762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16</xdr:col>
      <xdr:colOff>206829</xdr:colOff>
      <xdr:row>79</xdr:row>
      <xdr:rowOff>174172</xdr:rowOff>
    </xdr:from>
    <xdr:to>
      <xdr:col>16</xdr:col>
      <xdr:colOff>293914</xdr:colOff>
      <xdr:row>80</xdr:row>
      <xdr:rowOff>65315</xdr:rowOff>
    </xdr:to>
    <xdr:sp macro="" textlink="">
      <xdr:nvSpPr>
        <xdr:cNvPr id="57" name="Ovale 56">
          <a:extLst>
            <a:ext uri="{FF2B5EF4-FFF2-40B4-BE49-F238E27FC236}">
              <a16:creationId xmlns:a16="http://schemas.microsoft.com/office/drawing/2014/main" id="{8D9E776B-0323-D54D-8F5F-467CDC9AFE86}"/>
            </a:ext>
          </a:extLst>
        </xdr:cNvPr>
        <xdr:cNvSpPr/>
      </xdr:nvSpPr>
      <xdr:spPr>
        <a:xfrm>
          <a:off x="10976429" y="15668172"/>
          <a:ext cx="87085" cy="81643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15</xdr:col>
      <xdr:colOff>555171</xdr:colOff>
      <xdr:row>36</xdr:row>
      <xdr:rowOff>130628</xdr:rowOff>
    </xdr:from>
    <xdr:to>
      <xdr:col>16</xdr:col>
      <xdr:colOff>32656</xdr:colOff>
      <xdr:row>37</xdr:row>
      <xdr:rowOff>21770</xdr:rowOff>
    </xdr:to>
    <xdr:sp macro="" textlink="">
      <xdr:nvSpPr>
        <xdr:cNvPr id="58" name="Ovale 57">
          <a:extLst>
            <a:ext uri="{FF2B5EF4-FFF2-40B4-BE49-F238E27FC236}">
              <a16:creationId xmlns:a16="http://schemas.microsoft.com/office/drawing/2014/main" id="{7A4D1A85-8848-C745-ACA2-213EA7D08664}"/>
            </a:ext>
          </a:extLst>
        </xdr:cNvPr>
        <xdr:cNvSpPr/>
      </xdr:nvSpPr>
      <xdr:spPr>
        <a:xfrm>
          <a:off x="10651671" y="7204528"/>
          <a:ext cx="150585" cy="81642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16</xdr:col>
      <xdr:colOff>39916</xdr:colOff>
      <xdr:row>17</xdr:row>
      <xdr:rowOff>41968</xdr:rowOff>
    </xdr:from>
    <xdr:to>
      <xdr:col>19</xdr:col>
      <xdr:colOff>641047</xdr:colOff>
      <xdr:row>20</xdr:row>
      <xdr:rowOff>49590</xdr:rowOff>
    </xdr:to>
    <xdr:cxnSp macro="">
      <xdr:nvCxnSpPr>
        <xdr:cNvPr id="59" name="Connettore a gomito 51">
          <a:extLst>
            <a:ext uri="{FF2B5EF4-FFF2-40B4-BE49-F238E27FC236}">
              <a16:creationId xmlns:a16="http://schemas.microsoft.com/office/drawing/2014/main" id="{AEBB62CA-41E1-8C4F-B9FD-A28D755ABD6E}"/>
            </a:ext>
          </a:extLst>
        </xdr:cNvPr>
        <xdr:cNvCxnSpPr/>
      </xdr:nvCxnSpPr>
      <xdr:spPr>
        <a:xfrm>
          <a:off x="10809516" y="3394768"/>
          <a:ext cx="2620431" cy="579122"/>
        </a:xfrm>
        <a:prstGeom prst="bentConnector3">
          <a:avLst>
            <a:gd name="adj1" fmla="val -230"/>
          </a:avLst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478971</xdr:colOff>
      <xdr:row>5</xdr:row>
      <xdr:rowOff>97972</xdr:rowOff>
    </xdr:from>
    <xdr:ext cx="252249" cy="264560"/>
    <xdr:sp macro="" textlink="">
      <xdr:nvSpPr>
        <xdr:cNvPr id="60" name="CasellaDiTesto 59">
          <a:extLst>
            <a:ext uri="{FF2B5EF4-FFF2-40B4-BE49-F238E27FC236}">
              <a16:creationId xmlns:a16="http://schemas.microsoft.com/office/drawing/2014/main" id="{827C9942-B20A-3B42-A4A4-3A0D44B669E3}"/>
            </a:ext>
          </a:extLst>
        </xdr:cNvPr>
        <xdr:cNvSpPr txBox="1"/>
      </xdr:nvSpPr>
      <xdr:spPr>
        <a:xfrm>
          <a:off x="2498271" y="1101272"/>
          <a:ext cx="2522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a</a:t>
          </a:r>
        </a:p>
      </xdr:txBody>
    </xdr:sp>
    <xdr:clientData/>
  </xdr:oneCellAnchor>
  <xdr:oneCellAnchor>
    <xdr:from>
      <xdr:col>7</xdr:col>
      <xdr:colOff>402771</xdr:colOff>
      <xdr:row>6</xdr:row>
      <xdr:rowOff>163287</xdr:rowOff>
    </xdr:from>
    <xdr:ext cx="260392" cy="264560"/>
    <xdr:sp macro="" textlink="">
      <xdr:nvSpPr>
        <xdr:cNvPr id="61" name="CasellaDiTesto 60">
          <a:extLst>
            <a:ext uri="{FF2B5EF4-FFF2-40B4-BE49-F238E27FC236}">
              <a16:creationId xmlns:a16="http://schemas.microsoft.com/office/drawing/2014/main" id="{0251AECE-ABA7-384B-B94C-F1EB026B0376}"/>
            </a:ext>
          </a:extLst>
        </xdr:cNvPr>
        <xdr:cNvSpPr txBox="1"/>
      </xdr:nvSpPr>
      <xdr:spPr>
        <a:xfrm>
          <a:off x="5114471" y="1357087"/>
          <a:ext cx="260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b</a:t>
          </a:r>
        </a:p>
      </xdr:txBody>
    </xdr:sp>
    <xdr:clientData/>
  </xdr:oneCellAnchor>
  <xdr:oneCellAnchor>
    <xdr:from>
      <xdr:col>10</xdr:col>
      <xdr:colOff>446314</xdr:colOff>
      <xdr:row>6</xdr:row>
      <xdr:rowOff>141514</xdr:rowOff>
    </xdr:from>
    <xdr:ext cx="243721" cy="264560"/>
    <xdr:sp macro="" textlink="">
      <xdr:nvSpPr>
        <xdr:cNvPr id="62" name="CasellaDiTesto 61">
          <a:extLst>
            <a:ext uri="{FF2B5EF4-FFF2-40B4-BE49-F238E27FC236}">
              <a16:creationId xmlns:a16="http://schemas.microsoft.com/office/drawing/2014/main" id="{B7A721D0-EF32-A74F-B184-859BA303713A}"/>
            </a:ext>
          </a:extLst>
        </xdr:cNvPr>
        <xdr:cNvSpPr txBox="1"/>
      </xdr:nvSpPr>
      <xdr:spPr>
        <a:xfrm>
          <a:off x="7177314" y="1335314"/>
          <a:ext cx="2437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c</a:t>
          </a:r>
        </a:p>
      </xdr:txBody>
    </xdr:sp>
    <xdr:clientData/>
  </xdr:oneCellAnchor>
  <xdr:oneCellAnchor>
    <xdr:from>
      <xdr:col>14</xdr:col>
      <xdr:colOff>457200</xdr:colOff>
      <xdr:row>5</xdr:row>
      <xdr:rowOff>97971</xdr:rowOff>
    </xdr:from>
    <xdr:ext cx="260392" cy="264560"/>
    <xdr:sp macro="" textlink="">
      <xdr:nvSpPr>
        <xdr:cNvPr id="63" name="CasellaDiTesto 62">
          <a:extLst>
            <a:ext uri="{FF2B5EF4-FFF2-40B4-BE49-F238E27FC236}">
              <a16:creationId xmlns:a16="http://schemas.microsoft.com/office/drawing/2014/main" id="{77ED57B6-17BE-6D45-B5AB-55D338F11FC7}"/>
            </a:ext>
          </a:extLst>
        </xdr:cNvPr>
        <xdr:cNvSpPr txBox="1"/>
      </xdr:nvSpPr>
      <xdr:spPr>
        <a:xfrm>
          <a:off x="9880600" y="1101271"/>
          <a:ext cx="260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d</a:t>
          </a:r>
        </a:p>
      </xdr:txBody>
    </xdr:sp>
    <xdr:clientData/>
  </xdr:oneCellAnchor>
  <xdr:oneCellAnchor>
    <xdr:from>
      <xdr:col>15</xdr:col>
      <xdr:colOff>478972</xdr:colOff>
      <xdr:row>5</xdr:row>
      <xdr:rowOff>97971</xdr:rowOff>
    </xdr:from>
    <xdr:ext cx="255711" cy="264560"/>
    <xdr:sp macro="" textlink="">
      <xdr:nvSpPr>
        <xdr:cNvPr id="64" name="CasellaDiTesto 63">
          <a:extLst>
            <a:ext uri="{FF2B5EF4-FFF2-40B4-BE49-F238E27FC236}">
              <a16:creationId xmlns:a16="http://schemas.microsoft.com/office/drawing/2014/main" id="{FDA2EC40-FEB1-104F-8962-7EDA4E56447D}"/>
            </a:ext>
          </a:extLst>
        </xdr:cNvPr>
        <xdr:cNvSpPr txBox="1"/>
      </xdr:nvSpPr>
      <xdr:spPr>
        <a:xfrm>
          <a:off x="10575472" y="1101271"/>
          <a:ext cx="2557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e</a:t>
          </a:r>
        </a:p>
      </xdr:txBody>
    </xdr:sp>
    <xdr:clientData/>
  </xdr:oneCellAnchor>
  <xdr:oneCellAnchor>
    <xdr:from>
      <xdr:col>19</xdr:col>
      <xdr:colOff>711199</xdr:colOff>
      <xdr:row>19</xdr:row>
      <xdr:rowOff>118533</xdr:rowOff>
    </xdr:from>
    <xdr:ext cx="215639" cy="264431"/>
    <xdr:sp macro="" textlink="">
      <xdr:nvSpPr>
        <xdr:cNvPr id="65" name="CasellaDiTesto 64">
          <a:extLst>
            <a:ext uri="{FF2B5EF4-FFF2-40B4-BE49-F238E27FC236}">
              <a16:creationId xmlns:a16="http://schemas.microsoft.com/office/drawing/2014/main" id="{F24359FA-F115-F341-B884-CED9746C029F}"/>
            </a:ext>
          </a:extLst>
        </xdr:cNvPr>
        <xdr:cNvSpPr txBox="1"/>
      </xdr:nvSpPr>
      <xdr:spPr>
        <a:xfrm>
          <a:off x="13500099" y="3852333"/>
          <a:ext cx="215639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f</a:t>
          </a:r>
        </a:p>
      </xdr:txBody>
    </xdr:sp>
    <xdr:clientData/>
  </xdr:oneCellAnchor>
  <xdr:oneCellAnchor>
    <xdr:from>
      <xdr:col>19</xdr:col>
      <xdr:colOff>695475</xdr:colOff>
      <xdr:row>22</xdr:row>
      <xdr:rowOff>81039</xdr:rowOff>
    </xdr:from>
    <xdr:ext cx="251544" cy="264431"/>
    <xdr:sp macro="" textlink="">
      <xdr:nvSpPr>
        <xdr:cNvPr id="66" name="CasellaDiTesto 65">
          <a:extLst>
            <a:ext uri="{FF2B5EF4-FFF2-40B4-BE49-F238E27FC236}">
              <a16:creationId xmlns:a16="http://schemas.microsoft.com/office/drawing/2014/main" id="{BB9DA7E7-203E-6147-B50B-6A3AFD981142}"/>
            </a:ext>
          </a:extLst>
        </xdr:cNvPr>
        <xdr:cNvSpPr txBox="1"/>
      </xdr:nvSpPr>
      <xdr:spPr>
        <a:xfrm>
          <a:off x="13484375" y="4399039"/>
          <a:ext cx="251544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g</a:t>
          </a:r>
        </a:p>
      </xdr:txBody>
    </xdr:sp>
    <xdr:clientData/>
  </xdr:oneCellAnchor>
  <xdr:oneCellAnchor>
    <xdr:from>
      <xdr:col>16</xdr:col>
      <xdr:colOff>94343</xdr:colOff>
      <xdr:row>28</xdr:row>
      <xdr:rowOff>149981</xdr:rowOff>
    </xdr:from>
    <xdr:ext cx="260392" cy="264431"/>
    <xdr:sp macro="" textlink="">
      <xdr:nvSpPr>
        <xdr:cNvPr id="67" name="CasellaDiTesto 66">
          <a:extLst>
            <a:ext uri="{FF2B5EF4-FFF2-40B4-BE49-F238E27FC236}">
              <a16:creationId xmlns:a16="http://schemas.microsoft.com/office/drawing/2014/main" id="{86250E96-247C-3849-AFB3-0C5667373485}"/>
            </a:ext>
          </a:extLst>
        </xdr:cNvPr>
        <xdr:cNvSpPr txBox="1"/>
      </xdr:nvSpPr>
      <xdr:spPr>
        <a:xfrm>
          <a:off x="10863943" y="5636381"/>
          <a:ext cx="260392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h</a:t>
          </a:r>
        </a:p>
      </xdr:txBody>
    </xdr:sp>
    <xdr:clientData/>
  </xdr:oneCellAnchor>
  <xdr:oneCellAnchor>
    <xdr:from>
      <xdr:col>16</xdr:col>
      <xdr:colOff>56848</xdr:colOff>
      <xdr:row>36</xdr:row>
      <xdr:rowOff>94343</xdr:rowOff>
    </xdr:from>
    <xdr:ext cx="219291" cy="264431"/>
    <xdr:sp macro="" textlink="">
      <xdr:nvSpPr>
        <xdr:cNvPr id="68" name="CasellaDiTesto 67">
          <a:extLst>
            <a:ext uri="{FF2B5EF4-FFF2-40B4-BE49-F238E27FC236}">
              <a16:creationId xmlns:a16="http://schemas.microsoft.com/office/drawing/2014/main" id="{346ADA64-7DCC-C543-B98B-17F84DA20F59}"/>
            </a:ext>
          </a:extLst>
        </xdr:cNvPr>
        <xdr:cNvSpPr txBox="1"/>
      </xdr:nvSpPr>
      <xdr:spPr>
        <a:xfrm>
          <a:off x="10826448" y="7168243"/>
          <a:ext cx="21929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i</a:t>
          </a:r>
        </a:p>
      </xdr:txBody>
    </xdr:sp>
    <xdr:clientData/>
  </xdr:oneCellAnchor>
  <xdr:oneCellAnchor>
    <xdr:from>
      <xdr:col>19</xdr:col>
      <xdr:colOff>679297</xdr:colOff>
      <xdr:row>38</xdr:row>
      <xdr:rowOff>143705</xdr:rowOff>
    </xdr:from>
    <xdr:ext cx="219291" cy="264431"/>
    <xdr:sp macro="" textlink="">
      <xdr:nvSpPr>
        <xdr:cNvPr id="69" name="CasellaDiTesto 68">
          <a:extLst>
            <a:ext uri="{FF2B5EF4-FFF2-40B4-BE49-F238E27FC236}">
              <a16:creationId xmlns:a16="http://schemas.microsoft.com/office/drawing/2014/main" id="{D1EC76C5-44D1-D64A-AADA-29BF9840C9AE}"/>
            </a:ext>
          </a:extLst>
        </xdr:cNvPr>
        <xdr:cNvSpPr txBox="1"/>
      </xdr:nvSpPr>
      <xdr:spPr>
        <a:xfrm>
          <a:off x="13468197" y="7598605"/>
          <a:ext cx="21929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l</a:t>
          </a:r>
        </a:p>
      </xdr:txBody>
    </xdr:sp>
    <xdr:clientData/>
  </xdr:oneCellAnchor>
  <xdr:oneCellAnchor>
    <xdr:from>
      <xdr:col>20</xdr:col>
      <xdr:colOff>10886</xdr:colOff>
      <xdr:row>60</xdr:row>
      <xdr:rowOff>43543</xdr:rowOff>
    </xdr:from>
    <xdr:ext cx="299441" cy="264431"/>
    <xdr:sp macro="" textlink="">
      <xdr:nvSpPr>
        <xdr:cNvPr id="70" name="CasellaDiTesto 69">
          <a:extLst>
            <a:ext uri="{FF2B5EF4-FFF2-40B4-BE49-F238E27FC236}">
              <a16:creationId xmlns:a16="http://schemas.microsoft.com/office/drawing/2014/main" id="{245E342C-D3CD-D743-A47B-E186CD19465B}"/>
            </a:ext>
          </a:extLst>
        </xdr:cNvPr>
        <xdr:cNvSpPr txBox="1"/>
      </xdr:nvSpPr>
      <xdr:spPr>
        <a:xfrm>
          <a:off x="13510986" y="11829143"/>
          <a:ext cx="29944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m</a:t>
          </a:r>
        </a:p>
      </xdr:txBody>
    </xdr:sp>
    <xdr:clientData/>
  </xdr:oneCellAnchor>
  <xdr:oneCellAnchor>
    <xdr:from>
      <xdr:col>13</xdr:col>
      <xdr:colOff>32658</xdr:colOff>
      <xdr:row>77</xdr:row>
      <xdr:rowOff>0</xdr:rowOff>
    </xdr:from>
    <xdr:ext cx="260392" cy="264431"/>
    <xdr:sp macro="" textlink="">
      <xdr:nvSpPr>
        <xdr:cNvPr id="71" name="CasellaDiTesto 70">
          <a:extLst>
            <a:ext uri="{FF2B5EF4-FFF2-40B4-BE49-F238E27FC236}">
              <a16:creationId xmlns:a16="http://schemas.microsoft.com/office/drawing/2014/main" id="{D9ACAA29-7155-1D43-83FC-4C0B203F4D83}"/>
            </a:ext>
          </a:extLst>
        </xdr:cNvPr>
        <xdr:cNvSpPr txBox="1"/>
      </xdr:nvSpPr>
      <xdr:spPr>
        <a:xfrm>
          <a:off x="8782958" y="15113000"/>
          <a:ext cx="260392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n</a:t>
          </a:r>
        </a:p>
      </xdr:txBody>
    </xdr:sp>
    <xdr:clientData/>
  </xdr:oneCellAnchor>
  <xdr:oneCellAnchor>
    <xdr:from>
      <xdr:col>19</xdr:col>
      <xdr:colOff>326572</xdr:colOff>
      <xdr:row>76</xdr:row>
      <xdr:rowOff>119743</xdr:rowOff>
    </xdr:from>
    <xdr:ext cx="260521" cy="264431"/>
    <xdr:sp macro="" textlink="">
      <xdr:nvSpPr>
        <xdr:cNvPr id="72" name="CasellaDiTesto 71">
          <a:extLst>
            <a:ext uri="{FF2B5EF4-FFF2-40B4-BE49-F238E27FC236}">
              <a16:creationId xmlns:a16="http://schemas.microsoft.com/office/drawing/2014/main" id="{49CF4A27-062D-284E-B3C9-B771B57B7C4A}"/>
            </a:ext>
          </a:extLst>
        </xdr:cNvPr>
        <xdr:cNvSpPr txBox="1"/>
      </xdr:nvSpPr>
      <xdr:spPr>
        <a:xfrm>
          <a:off x="13115472" y="15029543"/>
          <a:ext cx="26052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o</a:t>
          </a:r>
        </a:p>
      </xdr:txBody>
    </xdr:sp>
    <xdr:clientData/>
  </xdr:oneCellAnchor>
  <xdr:oneCellAnchor>
    <xdr:from>
      <xdr:col>16</xdr:col>
      <xdr:colOff>108857</xdr:colOff>
      <xdr:row>78</xdr:row>
      <xdr:rowOff>87085</xdr:rowOff>
    </xdr:from>
    <xdr:ext cx="260392" cy="264431"/>
    <xdr:sp macro="" textlink="">
      <xdr:nvSpPr>
        <xdr:cNvPr id="73" name="CasellaDiTesto 72">
          <a:extLst>
            <a:ext uri="{FF2B5EF4-FFF2-40B4-BE49-F238E27FC236}">
              <a16:creationId xmlns:a16="http://schemas.microsoft.com/office/drawing/2014/main" id="{EB0278ED-9727-C94D-BF00-1C7B7E9895A7}"/>
            </a:ext>
          </a:extLst>
        </xdr:cNvPr>
        <xdr:cNvSpPr txBox="1"/>
      </xdr:nvSpPr>
      <xdr:spPr>
        <a:xfrm>
          <a:off x="10878457" y="15390585"/>
          <a:ext cx="260392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p</a:t>
          </a:r>
        </a:p>
      </xdr:txBody>
    </xdr:sp>
    <xdr:clientData/>
  </xdr:oneCellAnchor>
  <xdr:twoCellAnchor>
    <xdr:from>
      <xdr:col>11</xdr:col>
      <xdr:colOff>152400</xdr:colOff>
      <xdr:row>5</xdr:row>
      <xdr:rowOff>32657</xdr:rowOff>
    </xdr:from>
    <xdr:to>
      <xdr:col>11</xdr:col>
      <xdr:colOff>152400</xdr:colOff>
      <xdr:row>6</xdr:row>
      <xdr:rowOff>141514</xdr:rowOff>
    </xdr:to>
    <xdr:cxnSp macro="">
      <xdr:nvCxnSpPr>
        <xdr:cNvPr id="74" name="Connettore 2 146">
          <a:extLst>
            <a:ext uri="{FF2B5EF4-FFF2-40B4-BE49-F238E27FC236}">
              <a16:creationId xmlns:a16="http://schemas.microsoft.com/office/drawing/2014/main" id="{8ED05197-2D77-6749-9F28-B261F81701EC}"/>
            </a:ext>
          </a:extLst>
        </xdr:cNvPr>
        <xdr:cNvCxnSpPr/>
      </xdr:nvCxnSpPr>
      <xdr:spPr>
        <a:xfrm>
          <a:off x="7556500" y="1035957"/>
          <a:ext cx="0" cy="299357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101600</xdr:colOff>
      <xdr:row>24</xdr:row>
      <xdr:rowOff>101600</xdr:rowOff>
    </xdr:from>
    <xdr:to>
      <xdr:col>15</xdr:col>
      <xdr:colOff>504371</xdr:colOff>
      <xdr:row>26</xdr:row>
      <xdr:rowOff>25398</xdr:rowOff>
    </xdr:to>
    <xdr:sp macro="" textlink="">
      <xdr:nvSpPr>
        <xdr:cNvPr id="75" name="CasellaDiTesto 153">
          <a:extLst>
            <a:ext uri="{FF2B5EF4-FFF2-40B4-BE49-F238E27FC236}">
              <a16:creationId xmlns:a16="http://schemas.microsoft.com/office/drawing/2014/main" id="{AEC94373-1F4C-A74D-9103-84C9D5194CFC}"/>
            </a:ext>
          </a:extLst>
        </xdr:cNvPr>
        <xdr:cNvSpPr txBox="1"/>
      </xdr:nvSpPr>
      <xdr:spPr>
        <a:xfrm>
          <a:off x="9525000" y="4813300"/>
          <a:ext cx="1075871" cy="3047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aseline="0"/>
            <a:t>g</a:t>
          </a:r>
          <a:r>
            <a:rPr lang="it-IT" sz="1100"/>
            <a:t>    100%(A)</a:t>
          </a:r>
        </a:p>
      </xdr:txBody>
    </xdr:sp>
    <xdr:clientData/>
  </xdr:twoCellAnchor>
  <xdr:twoCellAnchor>
    <xdr:from>
      <xdr:col>20</xdr:col>
      <xdr:colOff>239275</xdr:colOff>
      <xdr:row>44</xdr:row>
      <xdr:rowOff>128841</xdr:rowOff>
    </xdr:from>
    <xdr:to>
      <xdr:col>22</xdr:col>
      <xdr:colOff>173960</xdr:colOff>
      <xdr:row>46</xdr:row>
      <xdr:rowOff>88664</xdr:rowOff>
    </xdr:to>
    <xdr:sp macro="" textlink="">
      <xdr:nvSpPr>
        <xdr:cNvPr id="76" name="CasellaDiTesto 153">
          <a:extLst>
            <a:ext uri="{FF2B5EF4-FFF2-40B4-BE49-F238E27FC236}">
              <a16:creationId xmlns:a16="http://schemas.microsoft.com/office/drawing/2014/main" id="{EF5CE343-C089-1C40-9762-7ABA1B45A714}"/>
            </a:ext>
          </a:extLst>
        </xdr:cNvPr>
        <xdr:cNvSpPr txBox="1"/>
      </xdr:nvSpPr>
      <xdr:spPr>
        <a:xfrm>
          <a:off x="13739375" y="8764841"/>
          <a:ext cx="1344385" cy="3535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aseline="0"/>
            <a:t>p     100%(A+B+C)</a:t>
          </a:r>
          <a:endParaRPr lang="it-IT" sz="1100"/>
        </a:p>
      </xdr:txBody>
    </xdr:sp>
    <xdr:clientData/>
  </xdr:twoCellAnchor>
  <xdr:twoCellAnchor>
    <xdr:from>
      <xdr:col>10</xdr:col>
      <xdr:colOff>552174</xdr:colOff>
      <xdr:row>61</xdr:row>
      <xdr:rowOff>128841</xdr:rowOff>
    </xdr:from>
    <xdr:to>
      <xdr:col>12</xdr:col>
      <xdr:colOff>573945</xdr:colOff>
      <xdr:row>63</xdr:row>
      <xdr:rowOff>53640</xdr:rowOff>
    </xdr:to>
    <xdr:sp macro="" textlink="">
      <xdr:nvSpPr>
        <xdr:cNvPr id="77" name="CasellaDiTesto 153">
          <a:extLst>
            <a:ext uri="{FF2B5EF4-FFF2-40B4-BE49-F238E27FC236}">
              <a16:creationId xmlns:a16="http://schemas.microsoft.com/office/drawing/2014/main" id="{2E6C294A-5E40-EC46-A6EA-69E85F909E7F}"/>
            </a:ext>
          </a:extLst>
        </xdr:cNvPr>
        <xdr:cNvSpPr txBox="1"/>
      </xdr:nvSpPr>
      <xdr:spPr>
        <a:xfrm>
          <a:off x="7283174" y="12104941"/>
          <a:ext cx="1367971" cy="305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q    60%(A+B+C)</a:t>
          </a:r>
        </a:p>
      </xdr:txBody>
    </xdr:sp>
    <xdr:clientData/>
  </xdr:twoCellAnchor>
  <xdr:twoCellAnchor>
    <xdr:from>
      <xdr:col>20</xdr:col>
      <xdr:colOff>165653</xdr:colOff>
      <xdr:row>63</xdr:row>
      <xdr:rowOff>0</xdr:rowOff>
    </xdr:from>
    <xdr:to>
      <xdr:col>22</xdr:col>
      <xdr:colOff>132206</xdr:colOff>
      <xdr:row>64</xdr:row>
      <xdr:rowOff>90451</xdr:rowOff>
    </xdr:to>
    <xdr:sp macro="" textlink="">
      <xdr:nvSpPr>
        <xdr:cNvPr id="78" name="CasellaDiTesto 153">
          <a:extLst>
            <a:ext uri="{FF2B5EF4-FFF2-40B4-BE49-F238E27FC236}">
              <a16:creationId xmlns:a16="http://schemas.microsoft.com/office/drawing/2014/main" id="{1C63E979-88FF-BC41-9841-619BBB491970}"/>
            </a:ext>
          </a:extLst>
        </xdr:cNvPr>
        <xdr:cNvSpPr txBox="1"/>
      </xdr:nvSpPr>
      <xdr:spPr>
        <a:xfrm>
          <a:off x="13665753" y="12357100"/>
          <a:ext cx="1376253" cy="293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r    40%(A+B+C)</a:t>
          </a:r>
        </a:p>
      </xdr:txBody>
    </xdr:sp>
    <xdr:clientData/>
  </xdr:twoCellAnchor>
  <xdr:twoCellAnchor>
    <xdr:from>
      <xdr:col>12</xdr:col>
      <xdr:colOff>0</xdr:colOff>
      <xdr:row>81</xdr:row>
      <xdr:rowOff>1</xdr:rowOff>
    </xdr:from>
    <xdr:to>
      <xdr:col>14</xdr:col>
      <xdr:colOff>21771</xdr:colOff>
      <xdr:row>82</xdr:row>
      <xdr:rowOff>90452</xdr:rowOff>
    </xdr:to>
    <xdr:sp macro="" textlink="">
      <xdr:nvSpPr>
        <xdr:cNvPr id="79" name="CasellaDiTesto 153">
          <a:extLst>
            <a:ext uri="{FF2B5EF4-FFF2-40B4-BE49-F238E27FC236}">
              <a16:creationId xmlns:a16="http://schemas.microsoft.com/office/drawing/2014/main" id="{6B9E126F-6BF5-2443-82C0-6D0E241C6C7B}"/>
            </a:ext>
          </a:extLst>
        </xdr:cNvPr>
        <xdr:cNvSpPr txBox="1"/>
      </xdr:nvSpPr>
      <xdr:spPr>
        <a:xfrm>
          <a:off x="8077200" y="15875001"/>
          <a:ext cx="1367971" cy="293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u   97%(A+B+C)</a:t>
          </a:r>
        </a:p>
      </xdr:txBody>
    </xdr:sp>
    <xdr:clientData/>
  </xdr:twoCellAnchor>
  <xdr:twoCellAnchor>
    <xdr:from>
      <xdr:col>19</xdr:col>
      <xdr:colOff>55217</xdr:colOff>
      <xdr:row>81</xdr:row>
      <xdr:rowOff>18406</xdr:rowOff>
    </xdr:from>
    <xdr:to>
      <xdr:col>20</xdr:col>
      <xdr:colOff>721191</xdr:colOff>
      <xdr:row>82</xdr:row>
      <xdr:rowOff>110435</xdr:rowOff>
    </xdr:to>
    <xdr:sp macro="" textlink="">
      <xdr:nvSpPr>
        <xdr:cNvPr id="80" name="CasellaDiTesto 153">
          <a:extLst>
            <a:ext uri="{FF2B5EF4-FFF2-40B4-BE49-F238E27FC236}">
              <a16:creationId xmlns:a16="http://schemas.microsoft.com/office/drawing/2014/main" id="{52364CA2-6A71-CF48-91CF-1881365159BC}"/>
            </a:ext>
          </a:extLst>
        </xdr:cNvPr>
        <xdr:cNvSpPr txBox="1"/>
      </xdr:nvSpPr>
      <xdr:spPr>
        <a:xfrm>
          <a:off x="12844117" y="15893406"/>
          <a:ext cx="1377174" cy="2952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v</a:t>
          </a:r>
          <a:r>
            <a:rPr lang="it-IT" sz="1100" baseline="0"/>
            <a:t>     95</a:t>
          </a:r>
          <a:r>
            <a:rPr lang="it-IT" sz="1100"/>
            <a:t>%(A+B+C)</a:t>
          </a:r>
        </a:p>
      </xdr:txBody>
    </xdr:sp>
    <xdr:clientData/>
  </xdr:twoCellAnchor>
  <xdr:oneCellAnchor>
    <xdr:from>
      <xdr:col>53</xdr:col>
      <xdr:colOff>0</xdr:colOff>
      <xdr:row>101</xdr:row>
      <xdr:rowOff>917</xdr:rowOff>
    </xdr:from>
    <xdr:ext cx="65" cy="172227"/>
    <xdr:sp macro="" textlink="">
      <xdr:nvSpPr>
        <xdr:cNvPr id="85" name="CasellaDiTesto 84">
          <a:extLst>
            <a:ext uri="{FF2B5EF4-FFF2-40B4-BE49-F238E27FC236}">
              <a16:creationId xmlns:a16="http://schemas.microsoft.com/office/drawing/2014/main" id="{44059248-5C1D-5E49-B988-D6A58ED68132}"/>
            </a:ext>
          </a:extLst>
        </xdr:cNvPr>
        <xdr:cNvSpPr txBox="1"/>
      </xdr:nvSpPr>
      <xdr:spPr>
        <a:xfrm rot="10800000">
          <a:off x="3962400" y="209641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 b="1"/>
        </a:p>
      </xdr:txBody>
    </xdr:sp>
    <xdr:clientData/>
  </xdr:oneCellAnchor>
  <xdr:twoCellAnchor editAs="oneCell">
    <xdr:from>
      <xdr:col>2</xdr:col>
      <xdr:colOff>520700</xdr:colOff>
      <xdr:row>114</xdr:row>
      <xdr:rowOff>64</xdr:rowOff>
    </xdr:from>
    <xdr:to>
      <xdr:col>3</xdr:col>
      <xdr:colOff>85751</xdr:colOff>
      <xdr:row>122</xdr:row>
      <xdr:rowOff>174635</xdr:rowOff>
    </xdr:to>
    <xdr:sp macro="" textlink="">
      <xdr:nvSpPr>
        <xdr:cNvPr id="86" name="CasellaDiTesto 16">
          <a:extLst>
            <a:ext uri="{FF2B5EF4-FFF2-40B4-BE49-F238E27FC236}">
              <a16:creationId xmlns:a16="http://schemas.microsoft.com/office/drawing/2014/main" id="{C003AB27-B8A1-184E-BF61-18F94133677B}"/>
            </a:ext>
          </a:extLst>
        </xdr:cNvPr>
        <xdr:cNvSpPr txBox="1"/>
      </xdr:nvSpPr>
      <xdr:spPr>
        <a:xfrm rot="10800000">
          <a:off x="2806700" y="2374964"/>
          <a:ext cx="363991" cy="576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0" tIns="0" rIns="0" bIns="0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it-IT" sz="1800" b="1"/>
        </a:p>
      </xdr:txBody>
    </xdr:sp>
    <xdr:clientData/>
  </xdr:twoCellAnchor>
  <xdr:oneCellAnchor>
    <xdr:from>
      <xdr:col>39</xdr:col>
      <xdr:colOff>0</xdr:colOff>
      <xdr:row>100</xdr:row>
      <xdr:rowOff>917</xdr:rowOff>
    </xdr:from>
    <xdr:ext cx="65" cy="172227"/>
    <xdr:sp macro="" textlink="">
      <xdr:nvSpPr>
        <xdr:cNvPr id="89" name="CasellaDiTesto 88">
          <a:extLst>
            <a:ext uri="{FF2B5EF4-FFF2-40B4-BE49-F238E27FC236}">
              <a16:creationId xmlns:a16="http://schemas.microsoft.com/office/drawing/2014/main" id="{6ECC083E-3E1C-1944-BF2C-968F2DE37E0C}"/>
            </a:ext>
          </a:extLst>
        </xdr:cNvPr>
        <xdr:cNvSpPr txBox="1"/>
      </xdr:nvSpPr>
      <xdr:spPr>
        <a:xfrm rot="10800000">
          <a:off x="3962400" y="209641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 b="1"/>
        </a:p>
      </xdr:txBody>
    </xdr:sp>
    <xdr:clientData/>
  </xdr:oneCellAnchor>
  <xdr:twoCellAnchor editAs="oneCell">
    <xdr:from>
      <xdr:col>38</xdr:col>
      <xdr:colOff>520700</xdr:colOff>
      <xdr:row>101</xdr:row>
      <xdr:rowOff>64</xdr:rowOff>
    </xdr:from>
    <xdr:to>
      <xdr:col>39</xdr:col>
      <xdr:colOff>211591</xdr:colOff>
      <xdr:row>103</xdr:row>
      <xdr:rowOff>157702</xdr:rowOff>
    </xdr:to>
    <xdr:sp macro="" textlink="">
      <xdr:nvSpPr>
        <xdr:cNvPr id="90" name="CasellaDiTesto 16">
          <a:extLst>
            <a:ext uri="{FF2B5EF4-FFF2-40B4-BE49-F238E27FC236}">
              <a16:creationId xmlns:a16="http://schemas.microsoft.com/office/drawing/2014/main" id="{6E2D85AB-ECC9-3B42-ACC7-E8E3C79D5693}"/>
            </a:ext>
          </a:extLst>
        </xdr:cNvPr>
        <xdr:cNvSpPr txBox="1"/>
      </xdr:nvSpPr>
      <xdr:spPr>
        <a:xfrm rot="10800000">
          <a:off x="2806700" y="2374964"/>
          <a:ext cx="363991" cy="576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0" tIns="0" rIns="0" bIns="0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it-IT" sz="18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8</xdr:row>
      <xdr:rowOff>917</xdr:rowOff>
    </xdr:from>
    <xdr:ext cx="65" cy="172227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E05BD40-6C85-4F46-9BBA-D207F812201B}"/>
            </a:ext>
          </a:extLst>
        </xdr:cNvPr>
        <xdr:cNvSpPr txBox="1"/>
      </xdr:nvSpPr>
      <xdr:spPr>
        <a:xfrm rot="10800000">
          <a:off x="12344400" y="180431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 b="1"/>
        </a:p>
      </xdr:txBody>
    </xdr:sp>
    <xdr:clientData/>
  </xdr:oneCellAnchor>
  <xdr:twoCellAnchor editAs="oneCell">
    <xdr:from>
      <xdr:col>8</xdr:col>
      <xdr:colOff>520700</xdr:colOff>
      <xdr:row>9</xdr:row>
      <xdr:rowOff>64</xdr:rowOff>
    </xdr:from>
    <xdr:to>
      <xdr:col>8</xdr:col>
      <xdr:colOff>885699</xdr:colOff>
      <xdr:row>11</xdr:row>
      <xdr:rowOff>159920</xdr:rowOff>
    </xdr:to>
    <xdr:sp macro="" textlink="">
      <xdr:nvSpPr>
        <xdr:cNvPr id="3" name="CasellaDiTesto 16">
          <a:extLst>
            <a:ext uri="{FF2B5EF4-FFF2-40B4-BE49-F238E27FC236}">
              <a16:creationId xmlns:a16="http://schemas.microsoft.com/office/drawing/2014/main" id="{69D33A43-1916-CE44-853B-7B1CC457635B}"/>
            </a:ext>
          </a:extLst>
        </xdr:cNvPr>
        <xdr:cNvSpPr txBox="1"/>
      </xdr:nvSpPr>
      <xdr:spPr>
        <a:xfrm rot="10800000">
          <a:off x="11544300" y="2032064"/>
          <a:ext cx="364999" cy="6170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0" tIns="0" rIns="0" bIns="0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it-IT" sz="18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587826</xdr:colOff>
      <xdr:row>29</xdr:row>
      <xdr:rowOff>97971</xdr:rowOff>
    </xdr:from>
    <xdr:to>
      <xdr:col>16</xdr:col>
      <xdr:colOff>3803</xdr:colOff>
      <xdr:row>34</xdr:row>
      <xdr:rowOff>185057</xdr:rowOff>
    </xdr:to>
    <xdr:grpSp>
      <xdr:nvGrpSpPr>
        <xdr:cNvPr id="2" name="Group 37">
          <a:extLst>
            <a:ext uri="{FF2B5EF4-FFF2-40B4-BE49-F238E27FC236}">
              <a16:creationId xmlns:a16="http://schemas.microsoft.com/office/drawing/2014/main" id="{0F49FB4B-C2D2-8A44-8C4B-5DB5796D21DC}"/>
            </a:ext>
          </a:extLst>
        </xdr:cNvPr>
        <xdr:cNvGrpSpPr/>
      </xdr:nvGrpSpPr>
      <xdr:grpSpPr>
        <a:xfrm rot="5400000">
          <a:off x="9462312" y="5142685"/>
          <a:ext cx="1031966" cy="2098217"/>
          <a:chOff x="16236042" y="3599543"/>
          <a:chExt cx="1543958" cy="800100"/>
        </a:xfrm>
      </xdr:grpSpPr>
      <xdr:cxnSp macro="">
        <xdr:nvCxnSpPr>
          <xdr:cNvPr id="3" name="Straight Connector 34">
            <a:extLst>
              <a:ext uri="{FF2B5EF4-FFF2-40B4-BE49-F238E27FC236}">
                <a16:creationId xmlns:a16="http://schemas.microsoft.com/office/drawing/2014/main" id="{E5233F58-E474-9385-3C19-18842F459BF5}"/>
              </a:ext>
            </a:extLst>
          </xdr:cNvPr>
          <xdr:cNvCxnSpPr/>
        </xdr:nvCxnSpPr>
        <xdr:spPr>
          <a:xfrm>
            <a:off x="16246928" y="4390572"/>
            <a:ext cx="1533072" cy="9071"/>
          </a:xfrm>
          <a:prstGeom prst="line">
            <a:avLst/>
          </a:prstGeom>
          <a:ln>
            <a:tailEnd type="non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Connettore 2 4">
            <a:extLst>
              <a:ext uri="{FF2B5EF4-FFF2-40B4-BE49-F238E27FC236}">
                <a16:creationId xmlns:a16="http://schemas.microsoft.com/office/drawing/2014/main" id="{95E7CD7F-6DB2-9519-5023-D5FD33E2EE4E}"/>
              </a:ext>
            </a:extLst>
          </xdr:cNvPr>
          <xdr:cNvCxnSpPr/>
        </xdr:nvCxnSpPr>
        <xdr:spPr>
          <a:xfrm flipH="1" flipV="1">
            <a:off x="16236042" y="3599543"/>
            <a:ext cx="7258" cy="782454"/>
          </a:xfrm>
          <a:prstGeom prst="straightConnector1">
            <a:avLst/>
          </a:prstGeom>
          <a:ln>
            <a:tailEnd type="triangl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594360</xdr:colOff>
      <xdr:row>7</xdr:row>
      <xdr:rowOff>7619</xdr:rowOff>
    </xdr:from>
    <xdr:to>
      <xdr:col>4</xdr:col>
      <xdr:colOff>576431</xdr:colOff>
      <xdr:row>7</xdr:row>
      <xdr:rowOff>7620</xdr:rowOff>
    </xdr:to>
    <xdr:cxnSp macro="">
      <xdr:nvCxnSpPr>
        <xdr:cNvPr id="5" name="Connettore 2 146">
          <a:extLst>
            <a:ext uri="{FF2B5EF4-FFF2-40B4-BE49-F238E27FC236}">
              <a16:creationId xmlns:a16="http://schemas.microsoft.com/office/drawing/2014/main" id="{88F5F9C8-4B5A-0E48-9E6C-011B24855951}"/>
            </a:ext>
          </a:extLst>
        </xdr:cNvPr>
        <xdr:cNvCxnSpPr/>
      </xdr:nvCxnSpPr>
      <xdr:spPr>
        <a:xfrm>
          <a:off x="1940560" y="1442719"/>
          <a:ext cx="1531471" cy="1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26894</xdr:rowOff>
    </xdr:from>
    <xdr:to>
      <xdr:col>7</xdr:col>
      <xdr:colOff>458155</xdr:colOff>
      <xdr:row>10</xdr:row>
      <xdr:rowOff>164178</xdr:rowOff>
    </xdr:to>
    <xdr:grpSp>
      <xdr:nvGrpSpPr>
        <xdr:cNvPr id="6" name="Group 37">
          <a:extLst>
            <a:ext uri="{FF2B5EF4-FFF2-40B4-BE49-F238E27FC236}">
              <a16:creationId xmlns:a16="http://schemas.microsoft.com/office/drawing/2014/main" id="{178E3000-EDFB-3346-889E-750A03EEB65D}"/>
            </a:ext>
          </a:extLst>
        </xdr:cNvPr>
        <xdr:cNvGrpSpPr/>
      </xdr:nvGrpSpPr>
      <xdr:grpSpPr>
        <a:xfrm>
          <a:off x="2895600" y="1388334"/>
          <a:ext cx="2551115" cy="767204"/>
          <a:chOff x="16236042" y="3599543"/>
          <a:chExt cx="1544616" cy="801585"/>
        </a:xfrm>
      </xdr:grpSpPr>
      <xdr:cxnSp macro="">
        <xdr:nvCxnSpPr>
          <xdr:cNvPr id="7" name="Straight Connector 34">
            <a:extLst>
              <a:ext uri="{FF2B5EF4-FFF2-40B4-BE49-F238E27FC236}">
                <a16:creationId xmlns:a16="http://schemas.microsoft.com/office/drawing/2014/main" id="{89DCBC8F-FB5A-AF1E-C9F6-F82E5604A170}"/>
              </a:ext>
            </a:extLst>
          </xdr:cNvPr>
          <xdr:cNvCxnSpPr/>
        </xdr:nvCxnSpPr>
        <xdr:spPr>
          <a:xfrm>
            <a:off x="16246928" y="4390572"/>
            <a:ext cx="1533072" cy="9071"/>
          </a:xfrm>
          <a:prstGeom prst="line">
            <a:avLst/>
          </a:prstGeom>
          <a:ln>
            <a:tailEnd type="non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Connettore 2 4">
            <a:extLst>
              <a:ext uri="{FF2B5EF4-FFF2-40B4-BE49-F238E27FC236}">
                <a16:creationId xmlns:a16="http://schemas.microsoft.com/office/drawing/2014/main" id="{5C72EBD9-B4E3-5F5A-148E-8ED382E763AB}"/>
              </a:ext>
            </a:extLst>
          </xdr:cNvPr>
          <xdr:cNvCxnSpPr/>
        </xdr:nvCxnSpPr>
        <xdr:spPr>
          <a:xfrm>
            <a:off x="17771423" y="3605153"/>
            <a:ext cx="9235" cy="795975"/>
          </a:xfrm>
          <a:prstGeom prst="straightConnector1">
            <a:avLst/>
          </a:prstGeom>
          <a:ln>
            <a:tailEnd type="non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Connettore 2 4">
            <a:extLst>
              <a:ext uri="{FF2B5EF4-FFF2-40B4-BE49-F238E27FC236}">
                <a16:creationId xmlns:a16="http://schemas.microsoft.com/office/drawing/2014/main" id="{EF47FFAC-EE00-9C56-21F7-43453A792C3D}"/>
              </a:ext>
            </a:extLst>
          </xdr:cNvPr>
          <xdr:cNvCxnSpPr/>
        </xdr:nvCxnSpPr>
        <xdr:spPr>
          <a:xfrm flipH="1" flipV="1">
            <a:off x="16236042" y="3599543"/>
            <a:ext cx="7258" cy="782454"/>
          </a:xfrm>
          <a:prstGeom prst="straightConnector1">
            <a:avLst/>
          </a:prstGeom>
          <a:ln>
            <a:tailEnd type="triangl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0</xdr:colOff>
      <xdr:row>6</xdr:row>
      <xdr:rowOff>163286</xdr:rowOff>
    </xdr:from>
    <xdr:to>
      <xdr:col>11</xdr:col>
      <xdr:colOff>587829</xdr:colOff>
      <xdr:row>7</xdr:row>
      <xdr:rowOff>0</xdr:rowOff>
    </xdr:to>
    <xdr:cxnSp macro="">
      <xdr:nvCxnSpPr>
        <xdr:cNvPr id="10" name="Connettore 2 146">
          <a:extLst>
            <a:ext uri="{FF2B5EF4-FFF2-40B4-BE49-F238E27FC236}">
              <a16:creationId xmlns:a16="http://schemas.microsoft.com/office/drawing/2014/main" id="{F708946B-561D-234A-B803-E49EC6FC1458}"/>
            </a:ext>
          </a:extLst>
        </xdr:cNvPr>
        <xdr:cNvCxnSpPr/>
      </xdr:nvCxnSpPr>
      <xdr:spPr>
        <a:xfrm flipV="1">
          <a:off x="4991100" y="1407886"/>
          <a:ext cx="3280229" cy="27214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11</xdr:row>
      <xdr:rowOff>30480</xdr:rowOff>
    </xdr:from>
    <xdr:to>
      <xdr:col>6</xdr:col>
      <xdr:colOff>457200</xdr:colOff>
      <xdr:row>12</xdr:row>
      <xdr:rowOff>175259</xdr:rowOff>
    </xdr:to>
    <xdr:sp macro="" textlink="">
      <xdr:nvSpPr>
        <xdr:cNvPr id="11" name="CasellaDiTesto 153">
          <a:extLst>
            <a:ext uri="{FF2B5EF4-FFF2-40B4-BE49-F238E27FC236}">
              <a16:creationId xmlns:a16="http://schemas.microsoft.com/office/drawing/2014/main" id="{EC8CBCDC-1833-AE48-AE94-1552A817F01C}"/>
            </a:ext>
          </a:extLst>
        </xdr:cNvPr>
        <xdr:cNvSpPr txBox="1"/>
      </xdr:nvSpPr>
      <xdr:spPr>
        <a:xfrm>
          <a:off x="3583940" y="2316480"/>
          <a:ext cx="1115060" cy="3352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b     10%(A+B)</a:t>
          </a:r>
        </a:p>
      </xdr:txBody>
    </xdr:sp>
    <xdr:clientData/>
  </xdr:twoCellAnchor>
  <xdr:twoCellAnchor>
    <xdr:from>
      <xdr:col>1</xdr:col>
      <xdr:colOff>450710</xdr:colOff>
      <xdr:row>4</xdr:row>
      <xdr:rowOff>118816</xdr:rowOff>
    </xdr:from>
    <xdr:to>
      <xdr:col>3</xdr:col>
      <xdr:colOff>215336</xdr:colOff>
      <xdr:row>6</xdr:row>
      <xdr:rowOff>73095</xdr:rowOff>
    </xdr:to>
    <xdr:sp macro="" textlink="">
      <xdr:nvSpPr>
        <xdr:cNvPr id="12" name="CasellaDiTesto 153">
          <a:extLst>
            <a:ext uri="{FF2B5EF4-FFF2-40B4-BE49-F238E27FC236}">
              <a16:creationId xmlns:a16="http://schemas.microsoft.com/office/drawing/2014/main" id="{3D35D2C0-3C8E-7949-AFCC-88683ABCED5F}"/>
            </a:ext>
          </a:extLst>
        </xdr:cNvPr>
        <xdr:cNvSpPr txBox="1"/>
      </xdr:nvSpPr>
      <xdr:spPr>
        <a:xfrm>
          <a:off x="1123810" y="906216"/>
          <a:ext cx="1237826" cy="4114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a     100%(A+B)</a:t>
          </a:r>
        </a:p>
      </xdr:txBody>
    </xdr:sp>
    <xdr:clientData/>
  </xdr:twoCellAnchor>
  <xdr:twoCellAnchor>
    <xdr:from>
      <xdr:col>9</xdr:col>
      <xdr:colOff>116476</xdr:colOff>
      <xdr:row>4</xdr:row>
      <xdr:rowOff>2</xdr:rowOff>
    </xdr:from>
    <xdr:to>
      <xdr:col>11</xdr:col>
      <xdr:colOff>108856</xdr:colOff>
      <xdr:row>5</xdr:row>
      <xdr:rowOff>108858</xdr:rowOff>
    </xdr:to>
    <xdr:sp macro="" textlink="">
      <xdr:nvSpPr>
        <xdr:cNvPr id="13" name="CasellaDiTesto 153">
          <a:extLst>
            <a:ext uri="{FF2B5EF4-FFF2-40B4-BE49-F238E27FC236}">
              <a16:creationId xmlns:a16="http://schemas.microsoft.com/office/drawing/2014/main" id="{46E9EBF5-091C-A649-8210-9E199C4CA7F3}"/>
            </a:ext>
          </a:extLst>
        </xdr:cNvPr>
        <xdr:cNvSpPr txBox="1"/>
      </xdr:nvSpPr>
      <xdr:spPr>
        <a:xfrm>
          <a:off x="6453776" y="787402"/>
          <a:ext cx="1338580" cy="3247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c     100%(C)</a:t>
          </a:r>
        </a:p>
      </xdr:txBody>
    </xdr:sp>
    <xdr:clientData/>
  </xdr:twoCellAnchor>
  <xdr:twoCellAnchor>
    <xdr:from>
      <xdr:col>14</xdr:col>
      <xdr:colOff>10886</xdr:colOff>
      <xdr:row>7</xdr:row>
      <xdr:rowOff>0</xdr:rowOff>
    </xdr:from>
    <xdr:to>
      <xdr:col>18</xdr:col>
      <xdr:colOff>555171</xdr:colOff>
      <xdr:row>7</xdr:row>
      <xdr:rowOff>10885</xdr:rowOff>
    </xdr:to>
    <xdr:cxnSp macro="">
      <xdr:nvCxnSpPr>
        <xdr:cNvPr id="14" name="Connettore 2 146">
          <a:extLst>
            <a:ext uri="{FF2B5EF4-FFF2-40B4-BE49-F238E27FC236}">
              <a16:creationId xmlns:a16="http://schemas.microsoft.com/office/drawing/2014/main" id="{672EF9B1-E7A7-2D43-AB15-60DC19DD852B}"/>
            </a:ext>
          </a:extLst>
        </xdr:cNvPr>
        <xdr:cNvCxnSpPr/>
      </xdr:nvCxnSpPr>
      <xdr:spPr>
        <a:xfrm>
          <a:off x="9713686" y="1435100"/>
          <a:ext cx="3236685" cy="10885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7</xdr:row>
      <xdr:rowOff>10885</xdr:rowOff>
    </xdr:from>
    <xdr:to>
      <xdr:col>15</xdr:col>
      <xdr:colOff>955</xdr:colOff>
      <xdr:row>10</xdr:row>
      <xdr:rowOff>148169</xdr:rowOff>
    </xdr:to>
    <xdr:grpSp>
      <xdr:nvGrpSpPr>
        <xdr:cNvPr id="15" name="Group 37">
          <a:extLst>
            <a:ext uri="{FF2B5EF4-FFF2-40B4-BE49-F238E27FC236}">
              <a16:creationId xmlns:a16="http://schemas.microsoft.com/office/drawing/2014/main" id="{9B0A6747-EA33-FE46-A072-C48F02EBB6EA}"/>
            </a:ext>
          </a:extLst>
        </xdr:cNvPr>
        <xdr:cNvGrpSpPr/>
      </xdr:nvGrpSpPr>
      <xdr:grpSpPr>
        <a:xfrm>
          <a:off x="7823200" y="1372325"/>
          <a:ext cx="2530795" cy="767204"/>
          <a:chOff x="16236042" y="3599543"/>
          <a:chExt cx="1544616" cy="801585"/>
        </a:xfrm>
      </xdr:grpSpPr>
      <xdr:cxnSp macro="">
        <xdr:nvCxnSpPr>
          <xdr:cNvPr id="16" name="Straight Connector 34">
            <a:extLst>
              <a:ext uri="{FF2B5EF4-FFF2-40B4-BE49-F238E27FC236}">
                <a16:creationId xmlns:a16="http://schemas.microsoft.com/office/drawing/2014/main" id="{4F980DA1-C755-4EFB-7B13-92627E4EC77F}"/>
              </a:ext>
            </a:extLst>
          </xdr:cNvPr>
          <xdr:cNvCxnSpPr/>
        </xdr:nvCxnSpPr>
        <xdr:spPr>
          <a:xfrm>
            <a:off x="16246928" y="4390572"/>
            <a:ext cx="1533072" cy="9071"/>
          </a:xfrm>
          <a:prstGeom prst="line">
            <a:avLst/>
          </a:prstGeom>
          <a:ln>
            <a:tailEnd type="non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Connettore 2 4">
            <a:extLst>
              <a:ext uri="{FF2B5EF4-FFF2-40B4-BE49-F238E27FC236}">
                <a16:creationId xmlns:a16="http://schemas.microsoft.com/office/drawing/2014/main" id="{7F0BC57D-0E1C-39E5-AF2F-477787609798}"/>
              </a:ext>
            </a:extLst>
          </xdr:cNvPr>
          <xdr:cNvCxnSpPr/>
        </xdr:nvCxnSpPr>
        <xdr:spPr>
          <a:xfrm>
            <a:off x="17771423" y="3605153"/>
            <a:ext cx="9235" cy="795975"/>
          </a:xfrm>
          <a:prstGeom prst="straightConnector1">
            <a:avLst/>
          </a:prstGeom>
          <a:ln>
            <a:tailEnd type="non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Connettore 2 4">
            <a:extLst>
              <a:ext uri="{FF2B5EF4-FFF2-40B4-BE49-F238E27FC236}">
                <a16:creationId xmlns:a16="http://schemas.microsoft.com/office/drawing/2014/main" id="{C9F39A1A-FBA4-1939-1E3D-B3D9C074197A}"/>
              </a:ext>
            </a:extLst>
          </xdr:cNvPr>
          <xdr:cNvCxnSpPr/>
        </xdr:nvCxnSpPr>
        <xdr:spPr>
          <a:xfrm flipH="1" flipV="1">
            <a:off x="16236042" y="3599543"/>
            <a:ext cx="7258" cy="782454"/>
          </a:xfrm>
          <a:prstGeom prst="straightConnector1">
            <a:avLst/>
          </a:prstGeom>
          <a:ln>
            <a:tailEnd type="triangle" w="lg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76199</xdr:colOff>
      <xdr:row>10</xdr:row>
      <xdr:rowOff>185056</xdr:rowOff>
    </xdr:from>
    <xdr:to>
      <xdr:col>14</xdr:col>
      <xdr:colOff>10886</xdr:colOff>
      <xdr:row>12</xdr:row>
      <xdr:rowOff>130629</xdr:rowOff>
    </xdr:to>
    <xdr:sp macro="" textlink="">
      <xdr:nvSpPr>
        <xdr:cNvPr id="19" name="CasellaDiTesto 153">
          <a:extLst>
            <a:ext uri="{FF2B5EF4-FFF2-40B4-BE49-F238E27FC236}">
              <a16:creationId xmlns:a16="http://schemas.microsoft.com/office/drawing/2014/main" id="{B529524D-BFED-914C-BCC2-DA518E92C051}"/>
            </a:ext>
          </a:extLst>
        </xdr:cNvPr>
        <xdr:cNvSpPr txBox="1"/>
      </xdr:nvSpPr>
      <xdr:spPr>
        <a:xfrm>
          <a:off x="8432799" y="2267856"/>
          <a:ext cx="1280887" cy="339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d     15%(A+B+C)</a:t>
          </a:r>
        </a:p>
      </xdr:txBody>
    </xdr:sp>
    <xdr:clientData/>
  </xdr:twoCellAnchor>
  <xdr:twoCellAnchor>
    <xdr:from>
      <xdr:col>16</xdr:col>
      <xdr:colOff>0</xdr:colOff>
      <xdr:row>7</xdr:row>
      <xdr:rowOff>0</xdr:rowOff>
    </xdr:from>
    <xdr:to>
      <xdr:col>16</xdr:col>
      <xdr:colOff>0</xdr:colOff>
      <xdr:row>12</xdr:row>
      <xdr:rowOff>152400</xdr:rowOff>
    </xdr:to>
    <xdr:cxnSp macro="">
      <xdr:nvCxnSpPr>
        <xdr:cNvPr id="20" name="Connettore 2 146">
          <a:extLst>
            <a:ext uri="{FF2B5EF4-FFF2-40B4-BE49-F238E27FC236}">
              <a16:creationId xmlns:a16="http://schemas.microsoft.com/office/drawing/2014/main" id="{7AF4848A-AF85-A045-8062-703E1FA842A1}"/>
            </a:ext>
          </a:extLst>
        </xdr:cNvPr>
        <xdr:cNvCxnSpPr/>
      </xdr:nvCxnSpPr>
      <xdr:spPr>
        <a:xfrm>
          <a:off x="11049000" y="1435100"/>
          <a:ext cx="0" cy="1193800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381001</xdr:colOff>
      <xdr:row>5</xdr:row>
      <xdr:rowOff>21771</xdr:rowOff>
    </xdr:from>
    <xdr:to>
      <xdr:col>18</xdr:col>
      <xdr:colOff>402772</xdr:colOff>
      <xdr:row>6</xdr:row>
      <xdr:rowOff>130628</xdr:rowOff>
    </xdr:to>
    <xdr:sp macro="" textlink="">
      <xdr:nvSpPr>
        <xdr:cNvPr id="21" name="CasellaDiTesto 153">
          <a:extLst>
            <a:ext uri="{FF2B5EF4-FFF2-40B4-BE49-F238E27FC236}">
              <a16:creationId xmlns:a16="http://schemas.microsoft.com/office/drawing/2014/main" id="{96C22411-6529-054E-9662-3357A1E175CD}"/>
            </a:ext>
          </a:extLst>
        </xdr:cNvPr>
        <xdr:cNvSpPr txBox="1"/>
      </xdr:nvSpPr>
      <xdr:spPr>
        <a:xfrm>
          <a:off x="11430001" y="1025071"/>
          <a:ext cx="1367971" cy="3501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e     60%(A+B+C)</a:t>
          </a:r>
        </a:p>
      </xdr:txBody>
    </xdr:sp>
    <xdr:clientData/>
  </xdr:twoCellAnchor>
  <xdr:twoCellAnchor>
    <xdr:from>
      <xdr:col>16</xdr:col>
      <xdr:colOff>76200</xdr:colOff>
      <xdr:row>9</xdr:row>
      <xdr:rowOff>185057</xdr:rowOff>
    </xdr:from>
    <xdr:to>
      <xdr:col>18</xdr:col>
      <xdr:colOff>97971</xdr:colOff>
      <xdr:row>11</xdr:row>
      <xdr:rowOff>97973</xdr:rowOff>
    </xdr:to>
    <xdr:sp macro="" textlink="">
      <xdr:nvSpPr>
        <xdr:cNvPr id="22" name="CasellaDiTesto 153">
          <a:extLst>
            <a:ext uri="{FF2B5EF4-FFF2-40B4-BE49-F238E27FC236}">
              <a16:creationId xmlns:a16="http://schemas.microsoft.com/office/drawing/2014/main" id="{E4DD8939-4E8B-D948-A846-61C3FED0F4B0}"/>
            </a:ext>
          </a:extLst>
        </xdr:cNvPr>
        <xdr:cNvSpPr txBox="1"/>
      </xdr:nvSpPr>
      <xdr:spPr>
        <a:xfrm>
          <a:off x="11125200" y="2064657"/>
          <a:ext cx="1367971" cy="3193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f</a:t>
          </a:r>
          <a:r>
            <a:rPr lang="it-IT" sz="1100" baseline="0"/>
            <a:t> </a:t>
          </a:r>
          <a:r>
            <a:rPr lang="it-IT" sz="1100"/>
            <a:t>    40%(A+B+C)</a:t>
          </a:r>
        </a:p>
      </xdr:txBody>
    </xdr:sp>
    <xdr:clientData/>
  </xdr:twoCellAnchor>
  <xdr:twoCellAnchor>
    <xdr:from>
      <xdr:col>16</xdr:col>
      <xdr:colOff>123372</xdr:colOff>
      <xdr:row>9</xdr:row>
      <xdr:rowOff>27820</xdr:rowOff>
    </xdr:from>
    <xdr:to>
      <xdr:col>19</xdr:col>
      <xdr:colOff>700317</xdr:colOff>
      <xdr:row>31</xdr:row>
      <xdr:rowOff>169337</xdr:rowOff>
    </xdr:to>
    <xdr:cxnSp macro="">
      <xdr:nvCxnSpPr>
        <xdr:cNvPr id="23" name="Connettore a gomito 59">
          <a:extLst>
            <a:ext uri="{FF2B5EF4-FFF2-40B4-BE49-F238E27FC236}">
              <a16:creationId xmlns:a16="http://schemas.microsoft.com/office/drawing/2014/main" id="{CA7676F2-333E-1A4D-82EC-658AFC60B64A}"/>
            </a:ext>
          </a:extLst>
        </xdr:cNvPr>
        <xdr:cNvCxnSpPr/>
      </xdr:nvCxnSpPr>
      <xdr:spPr>
        <a:xfrm rot="5400000">
          <a:off x="10253436" y="2826356"/>
          <a:ext cx="4434117" cy="2596245"/>
        </a:xfrm>
        <a:prstGeom prst="bentConnector3">
          <a:avLst>
            <a:gd name="adj1" fmla="val 65128"/>
          </a:avLst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8466</xdr:colOff>
      <xdr:row>32</xdr:row>
      <xdr:rowOff>21772</xdr:rowOff>
    </xdr:from>
    <xdr:to>
      <xdr:col>14</xdr:col>
      <xdr:colOff>283028</xdr:colOff>
      <xdr:row>33</xdr:row>
      <xdr:rowOff>131838</xdr:rowOff>
    </xdr:to>
    <xdr:sp macro="" textlink="">
      <xdr:nvSpPr>
        <xdr:cNvPr id="24" name="CasellaDiTesto 153">
          <a:extLst>
            <a:ext uri="{FF2B5EF4-FFF2-40B4-BE49-F238E27FC236}">
              <a16:creationId xmlns:a16="http://schemas.microsoft.com/office/drawing/2014/main" id="{EF42CFF6-73BC-AF45-B520-3EF25D865D42}"/>
            </a:ext>
          </a:extLst>
        </xdr:cNvPr>
        <xdr:cNvSpPr txBox="1"/>
      </xdr:nvSpPr>
      <xdr:spPr>
        <a:xfrm>
          <a:off x="9038166" y="6397172"/>
          <a:ext cx="947662" cy="2878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aseline="0"/>
            <a:t>h</a:t>
          </a:r>
          <a:r>
            <a:rPr lang="it-IT" sz="1100"/>
            <a:t>    20%(A)</a:t>
          </a:r>
        </a:p>
      </xdr:txBody>
    </xdr:sp>
    <xdr:clientData/>
  </xdr:twoCellAnchor>
  <xdr:twoCellAnchor>
    <xdr:from>
      <xdr:col>14</xdr:col>
      <xdr:colOff>32657</xdr:colOff>
      <xdr:row>36</xdr:row>
      <xdr:rowOff>174171</xdr:rowOff>
    </xdr:from>
    <xdr:to>
      <xdr:col>15</xdr:col>
      <xdr:colOff>587829</xdr:colOff>
      <xdr:row>37</xdr:row>
      <xdr:rowOff>0</xdr:rowOff>
    </xdr:to>
    <xdr:cxnSp macro="">
      <xdr:nvCxnSpPr>
        <xdr:cNvPr id="25" name="Connettore diritto 68">
          <a:extLst>
            <a:ext uri="{FF2B5EF4-FFF2-40B4-BE49-F238E27FC236}">
              <a16:creationId xmlns:a16="http://schemas.microsoft.com/office/drawing/2014/main" id="{B89D7B11-AC49-3843-BF83-023E50716A9A}"/>
            </a:ext>
          </a:extLst>
        </xdr:cNvPr>
        <xdr:cNvCxnSpPr/>
      </xdr:nvCxnSpPr>
      <xdr:spPr>
        <a:xfrm flipH="1" flipV="1">
          <a:off x="9735457" y="7349671"/>
          <a:ext cx="1228272" cy="16329"/>
        </a:xfrm>
        <a:prstGeom prst="line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24</xdr:row>
      <xdr:rowOff>84666</xdr:rowOff>
    </xdr:from>
    <xdr:to>
      <xdr:col>20</xdr:col>
      <xdr:colOff>33867</xdr:colOff>
      <xdr:row>32</xdr:row>
      <xdr:rowOff>0</xdr:rowOff>
    </xdr:to>
    <xdr:cxnSp macro="">
      <xdr:nvCxnSpPr>
        <xdr:cNvPr id="26" name="Connettore 2 146">
          <a:extLst>
            <a:ext uri="{FF2B5EF4-FFF2-40B4-BE49-F238E27FC236}">
              <a16:creationId xmlns:a16="http://schemas.microsoft.com/office/drawing/2014/main" id="{AA167176-BB20-4845-AC6E-5CA7B20DA555}"/>
            </a:ext>
          </a:extLst>
        </xdr:cNvPr>
        <xdr:cNvCxnSpPr/>
      </xdr:nvCxnSpPr>
      <xdr:spPr>
        <a:xfrm>
          <a:off x="13779500" y="4897966"/>
          <a:ext cx="33867" cy="1477434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27</xdr:row>
      <xdr:rowOff>65313</xdr:rowOff>
    </xdr:from>
    <xdr:to>
      <xdr:col>19</xdr:col>
      <xdr:colOff>544285</xdr:colOff>
      <xdr:row>29</xdr:row>
      <xdr:rowOff>43542</xdr:rowOff>
    </xdr:to>
    <xdr:sp macro="" textlink="">
      <xdr:nvSpPr>
        <xdr:cNvPr id="27" name="CasellaDiTesto 153">
          <a:extLst>
            <a:ext uri="{FF2B5EF4-FFF2-40B4-BE49-F238E27FC236}">
              <a16:creationId xmlns:a16="http://schemas.microsoft.com/office/drawing/2014/main" id="{2422EAE0-7752-C44C-AD6B-8B7B62C59D32}"/>
            </a:ext>
          </a:extLst>
        </xdr:cNvPr>
        <xdr:cNvSpPr txBox="1"/>
      </xdr:nvSpPr>
      <xdr:spPr>
        <a:xfrm>
          <a:off x="12395201" y="5450113"/>
          <a:ext cx="1217384" cy="3846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aseline="0"/>
            <a:t>l</a:t>
          </a:r>
          <a:r>
            <a:rPr lang="it-IT" sz="1100"/>
            <a:t>  80%(B+C)</a:t>
          </a:r>
        </a:p>
      </xdr:txBody>
    </xdr:sp>
    <xdr:clientData/>
  </xdr:twoCellAnchor>
  <xdr:twoCellAnchor>
    <xdr:from>
      <xdr:col>19</xdr:col>
      <xdr:colOff>609603</xdr:colOff>
      <xdr:row>23</xdr:row>
      <xdr:rowOff>163289</xdr:rowOff>
    </xdr:from>
    <xdr:to>
      <xdr:col>23</xdr:col>
      <xdr:colOff>587828</xdr:colOff>
      <xdr:row>31</xdr:row>
      <xdr:rowOff>174170</xdr:rowOff>
    </xdr:to>
    <xdr:cxnSp macro="">
      <xdr:nvCxnSpPr>
        <xdr:cNvPr id="28" name="Connettore a gomito 109">
          <a:extLst>
            <a:ext uri="{FF2B5EF4-FFF2-40B4-BE49-F238E27FC236}">
              <a16:creationId xmlns:a16="http://schemas.microsoft.com/office/drawing/2014/main" id="{EBE8D62F-5259-7340-844B-2E574E135BE0}"/>
            </a:ext>
          </a:extLst>
        </xdr:cNvPr>
        <xdr:cNvCxnSpPr/>
      </xdr:nvCxnSpPr>
      <xdr:spPr>
        <a:xfrm>
          <a:off x="13677903" y="4786089"/>
          <a:ext cx="2772225" cy="1560281"/>
        </a:xfrm>
        <a:prstGeom prst="bentConnector3">
          <a:avLst>
            <a:gd name="adj1" fmla="val 100000"/>
          </a:avLst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43545</xdr:colOff>
      <xdr:row>27</xdr:row>
      <xdr:rowOff>152398</xdr:rowOff>
    </xdr:from>
    <xdr:to>
      <xdr:col>23</xdr:col>
      <xdr:colOff>533400</xdr:colOff>
      <xdr:row>29</xdr:row>
      <xdr:rowOff>130627</xdr:rowOff>
    </xdr:to>
    <xdr:sp macro="" textlink="">
      <xdr:nvSpPr>
        <xdr:cNvPr id="29" name="CasellaDiTesto 153">
          <a:extLst>
            <a:ext uri="{FF2B5EF4-FFF2-40B4-BE49-F238E27FC236}">
              <a16:creationId xmlns:a16="http://schemas.microsoft.com/office/drawing/2014/main" id="{63996E88-C7B1-5246-BEDC-E464CEF0FD10}"/>
            </a:ext>
          </a:extLst>
        </xdr:cNvPr>
        <xdr:cNvSpPr txBox="1"/>
      </xdr:nvSpPr>
      <xdr:spPr>
        <a:xfrm>
          <a:off x="15232745" y="5537198"/>
          <a:ext cx="1162955" cy="3846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aseline="0"/>
            <a:t>n</a:t>
          </a:r>
          <a:r>
            <a:rPr lang="it-IT" sz="1100"/>
            <a:t>    20%(B+C)</a:t>
          </a:r>
        </a:p>
      </xdr:txBody>
    </xdr:sp>
    <xdr:clientData/>
  </xdr:twoCellAnchor>
  <xdr:twoCellAnchor>
    <xdr:from>
      <xdr:col>15</xdr:col>
      <xdr:colOff>598717</xdr:colOff>
      <xdr:row>36</xdr:row>
      <xdr:rowOff>10884</xdr:rowOff>
    </xdr:from>
    <xdr:to>
      <xdr:col>19</xdr:col>
      <xdr:colOff>533400</xdr:colOff>
      <xdr:row>40</xdr:row>
      <xdr:rowOff>21771</xdr:rowOff>
    </xdr:to>
    <xdr:cxnSp macro="">
      <xdr:nvCxnSpPr>
        <xdr:cNvPr id="30" name="Connettore a gomito 116">
          <a:extLst>
            <a:ext uri="{FF2B5EF4-FFF2-40B4-BE49-F238E27FC236}">
              <a16:creationId xmlns:a16="http://schemas.microsoft.com/office/drawing/2014/main" id="{D9A7F556-3457-3445-88B4-9813B5FD2DF8}"/>
            </a:ext>
          </a:extLst>
        </xdr:cNvPr>
        <xdr:cNvCxnSpPr/>
      </xdr:nvCxnSpPr>
      <xdr:spPr>
        <a:xfrm>
          <a:off x="10974617" y="7186384"/>
          <a:ext cx="2627083" cy="798287"/>
        </a:xfrm>
        <a:prstGeom prst="bentConnector3">
          <a:avLst>
            <a:gd name="adj1" fmla="val 0"/>
          </a:avLst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243115</xdr:colOff>
      <xdr:row>37</xdr:row>
      <xdr:rowOff>175381</xdr:rowOff>
    </xdr:from>
    <xdr:to>
      <xdr:col>17</xdr:col>
      <xdr:colOff>645885</xdr:colOff>
      <xdr:row>39</xdr:row>
      <xdr:rowOff>105228</xdr:rowOff>
    </xdr:to>
    <xdr:sp macro="" textlink="">
      <xdr:nvSpPr>
        <xdr:cNvPr id="31" name="CasellaDiTesto 153">
          <a:extLst>
            <a:ext uri="{FF2B5EF4-FFF2-40B4-BE49-F238E27FC236}">
              <a16:creationId xmlns:a16="http://schemas.microsoft.com/office/drawing/2014/main" id="{26B82CF8-9CC0-644C-B6A0-DF1911582833}"/>
            </a:ext>
          </a:extLst>
        </xdr:cNvPr>
        <xdr:cNvSpPr txBox="1"/>
      </xdr:nvSpPr>
      <xdr:spPr>
        <a:xfrm>
          <a:off x="11292115" y="7541381"/>
          <a:ext cx="1075870" cy="3235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aseline="0"/>
            <a:t>i </a:t>
          </a:r>
          <a:r>
            <a:rPr lang="it-IT" sz="1100"/>
            <a:t>    100%(A)</a:t>
          </a:r>
        </a:p>
      </xdr:txBody>
    </xdr:sp>
    <xdr:clientData/>
  </xdr:twoCellAnchor>
  <xdr:twoCellAnchor>
    <xdr:from>
      <xdr:col>20</xdr:col>
      <xdr:colOff>101602</xdr:colOff>
      <xdr:row>36</xdr:row>
      <xdr:rowOff>133046</xdr:rowOff>
    </xdr:from>
    <xdr:to>
      <xdr:col>21</xdr:col>
      <xdr:colOff>578152</xdr:colOff>
      <xdr:row>38</xdr:row>
      <xdr:rowOff>103655</xdr:rowOff>
    </xdr:to>
    <xdr:sp macro="" textlink="">
      <xdr:nvSpPr>
        <xdr:cNvPr id="32" name="CasellaDiTesto 153">
          <a:extLst>
            <a:ext uri="{FF2B5EF4-FFF2-40B4-BE49-F238E27FC236}">
              <a16:creationId xmlns:a16="http://schemas.microsoft.com/office/drawing/2014/main" id="{B3CCAA91-5F94-4A4C-BC15-373D58556D26}"/>
            </a:ext>
          </a:extLst>
        </xdr:cNvPr>
        <xdr:cNvSpPr txBox="1"/>
      </xdr:nvSpPr>
      <xdr:spPr>
        <a:xfrm>
          <a:off x="13881102" y="7308546"/>
          <a:ext cx="1213150" cy="3516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aseline="0"/>
            <a:t>m</a:t>
          </a:r>
          <a:r>
            <a:rPr lang="it-IT" sz="1100"/>
            <a:t>    80%(B+C)</a:t>
          </a:r>
        </a:p>
      </xdr:txBody>
    </xdr:sp>
    <xdr:clientData/>
  </xdr:twoCellAnchor>
  <xdr:twoCellAnchor>
    <xdr:from>
      <xdr:col>24</xdr:col>
      <xdr:colOff>43545</xdr:colOff>
      <xdr:row>36</xdr:row>
      <xdr:rowOff>185055</xdr:rowOff>
    </xdr:from>
    <xdr:to>
      <xdr:col>25</xdr:col>
      <xdr:colOff>533400</xdr:colOff>
      <xdr:row>38</xdr:row>
      <xdr:rowOff>163284</xdr:rowOff>
    </xdr:to>
    <xdr:sp macro="" textlink="">
      <xdr:nvSpPr>
        <xdr:cNvPr id="33" name="CasellaDiTesto 153">
          <a:extLst>
            <a:ext uri="{FF2B5EF4-FFF2-40B4-BE49-F238E27FC236}">
              <a16:creationId xmlns:a16="http://schemas.microsoft.com/office/drawing/2014/main" id="{45E870B8-007D-A940-AF47-EB97262FC3FB}"/>
            </a:ext>
          </a:extLst>
        </xdr:cNvPr>
        <xdr:cNvSpPr txBox="1"/>
      </xdr:nvSpPr>
      <xdr:spPr>
        <a:xfrm>
          <a:off x="16578945" y="7360555"/>
          <a:ext cx="1162955" cy="3592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aseline="0"/>
            <a:t>o </a:t>
          </a:r>
          <a:r>
            <a:rPr lang="it-IT" sz="1100"/>
            <a:t>    20%(B+C)</a:t>
          </a:r>
        </a:p>
      </xdr:txBody>
    </xdr:sp>
    <xdr:clientData/>
  </xdr:twoCellAnchor>
  <xdr:twoCellAnchor>
    <xdr:from>
      <xdr:col>20</xdr:col>
      <xdr:colOff>87087</xdr:colOff>
      <xdr:row>35</xdr:row>
      <xdr:rowOff>188321</xdr:rowOff>
    </xdr:from>
    <xdr:to>
      <xdr:col>23</xdr:col>
      <xdr:colOff>587833</xdr:colOff>
      <xdr:row>40</xdr:row>
      <xdr:rowOff>21771</xdr:rowOff>
    </xdr:to>
    <xdr:cxnSp macro="">
      <xdr:nvCxnSpPr>
        <xdr:cNvPr id="34" name="Connettore a gomito 129">
          <a:extLst>
            <a:ext uri="{FF2B5EF4-FFF2-40B4-BE49-F238E27FC236}">
              <a16:creationId xmlns:a16="http://schemas.microsoft.com/office/drawing/2014/main" id="{FC7BC71A-8C63-AC4C-8C11-5A719B87C9D9}"/>
            </a:ext>
          </a:extLst>
        </xdr:cNvPr>
        <xdr:cNvCxnSpPr/>
      </xdr:nvCxnSpPr>
      <xdr:spPr>
        <a:xfrm rot="10800000" flipV="1">
          <a:off x="13866587" y="7160621"/>
          <a:ext cx="2583546" cy="824050"/>
        </a:xfrm>
        <a:prstGeom prst="bentConnector3">
          <a:avLst>
            <a:gd name="adj1" fmla="val -228"/>
          </a:avLst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36</xdr:row>
      <xdr:rowOff>0</xdr:rowOff>
    </xdr:from>
    <xdr:to>
      <xdr:col>20</xdr:col>
      <xdr:colOff>10886</xdr:colOff>
      <xdr:row>49</xdr:row>
      <xdr:rowOff>152400</xdr:rowOff>
    </xdr:to>
    <xdr:cxnSp macro="">
      <xdr:nvCxnSpPr>
        <xdr:cNvPr id="35" name="Connettore 2 146">
          <a:extLst>
            <a:ext uri="{FF2B5EF4-FFF2-40B4-BE49-F238E27FC236}">
              <a16:creationId xmlns:a16="http://schemas.microsoft.com/office/drawing/2014/main" id="{424A5476-86B8-474F-BA10-26F3B8ABD75A}"/>
            </a:ext>
          </a:extLst>
        </xdr:cNvPr>
        <xdr:cNvCxnSpPr/>
      </xdr:nvCxnSpPr>
      <xdr:spPr>
        <a:xfrm>
          <a:off x="13779501" y="7175500"/>
          <a:ext cx="10885" cy="2692400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18406</xdr:colOff>
      <xdr:row>54</xdr:row>
      <xdr:rowOff>18406</xdr:rowOff>
    </xdr:from>
    <xdr:to>
      <xdr:col>20</xdr:col>
      <xdr:colOff>36813</xdr:colOff>
      <xdr:row>69</xdr:row>
      <xdr:rowOff>184057</xdr:rowOff>
    </xdr:to>
    <xdr:cxnSp macro="">
      <xdr:nvCxnSpPr>
        <xdr:cNvPr id="36" name="Connettore 2 146">
          <a:extLst>
            <a:ext uri="{FF2B5EF4-FFF2-40B4-BE49-F238E27FC236}">
              <a16:creationId xmlns:a16="http://schemas.microsoft.com/office/drawing/2014/main" id="{7AF10479-BBB8-F948-A1F0-E870F15E03CF}"/>
            </a:ext>
          </a:extLst>
        </xdr:cNvPr>
        <xdr:cNvCxnSpPr/>
      </xdr:nvCxnSpPr>
      <xdr:spPr>
        <a:xfrm flipH="1">
          <a:off x="13797906" y="10737206"/>
          <a:ext cx="18407" cy="3073951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587829</xdr:colOff>
      <xdr:row>61</xdr:row>
      <xdr:rowOff>10884</xdr:rowOff>
    </xdr:from>
    <xdr:to>
      <xdr:col>19</xdr:col>
      <xdr:colOff>631377</xdr:colOff>
      <xdr:row>69</xdr:row>
      <xdr:rowOff>185057</xdr:rowOff>
    </xdr:to>
    <xdr:cxnSp macro="">
      <xdr:nvCxnSpPr>
        <xdr:cNvPr id="37" name="Connettore a gomito 169">
          <a:extLst>
            <a:ext uri="{FF2B5EF4-FFF2-40B4-BE49-F238E27FC236}">
              <a16:creationId xmlns:a16="http://schemas.microsoft.com/office/drawing/2014/main" id="{190CE0D5-F374-B84B-9A24-09838A768035}"/>
            </a:ext>
          </a:extLst>
        </xdr:cNvPr>
        <xdr:cNvCxnSpPr/>
      </xdr:nvCxnSpPr>
      <xdr:spPr>
        <a:xfrm rot="10800000" flipV="1">
          <a:off x="8944429" y="12088584"/>
          <a:ext cx="4755248" cy="1723573"/>
        </a:xfrm>
        <a:prstGeom prst="bentConnector3">
          <a:avLst>
            <a:gd name="adj1" fmla="val 100000"/>
          </a:avLst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473111</xdr:colOff>
      <xdr:row>76</xdr:row>
      <xdr:rowOff>61963</xdr:rowOff>
    </xdr:from>
    <xdr:to>
      <xdr:col>9</xdr:col>
      <xdr:colOff>309825</xdr:colOff>
      <xdr:row>79</xdr:row>
      <xdr:rowOff>38518</xdr:rowOff>
    </xdr:to>
    <xdr:sp macro="" textlink="">
      <xdr:nvSpPr>
        <xdr:cNvPr id="38" name="CasellaDiTesto 153">
          <a:extLst>
            <a:ext uri="{FF2B5EF4-FFF2-40B4-BE49-F238E27FC236}">
              <a16:creationId xmlns:a16="http://schemas.microsoft.com/office/drawing/2014/main" id="{B06726F1-2C19-374C-A478-D5E24ABFF090}"/>
            </a:ext>
          </a:extLst>
        </xdr:cNvPr>
        <xdr:cNvSpPr txBox="1"/>
      </xdr:nvSpPr>
      <xdr:spPr>
        <a:xfrm>
          <a:off x="4714911" y="15073363"/>
          <a:ext cx="1932214" cy="560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aseline="0"/>
            <a:t>s </a:t>
          </a:r>
          <a:r>
            <a:rPr lang="it-IT" sz="1100"/>
            <a:t>    3%*[60%(A+B+C)]</a:t>
          </a:r>
        </a:p>
        <a:p>
          <a:pPr algn="ctr"/>
          <a:r>
            <a:rPr lang="it-IT" sz="1100" b="1" u="sng"/>
            <a:t>OUT</a:t>
          </a:r>
        </a:p>
      </xdr:txBody>
    </xdr:sp>
    <xdr:clientData/>
  </xdr:twoCellAnchor>
  <xdr:twoCellAnchor>
    <xdr:from>
      <xdr:col>23</xdr:col>
      <xdr:colOff>123929</xdr:colOff>
      <xdr:row>76</xdr:row>
      <xdr:rowOff>61963</xdr:rowOff>
    </xdr:from>
    <xdr:to>
      <xdr:col>25</xdr:col>
      <xdr:colOff>570243</xdr:colOff>
      <xdr:row>79</xdr:row>
      <xdr:rowOff>38518</xdr:rowOff>
    </xdr:to>
    <xdr:sp macro="" textlink="">
      <xdr:nvSpPr>
        <xdr:cNvPr id="39" name="CasellaDiTesto 153">
          <a:extLst>
            <a:ext uri="{FF2B5EF4-FFF2-40B4-BE49-F238E27FC236}">
              <a16:creationId xmlns:a16="http://schemas.microsoft.com/office/drawing/2014/main" id="{D158A2C1-07FC-6F4B-A408-636CDF33A936}"/>
            </a:ext>
          </a:extLst>
        </xdr:cNvPr>
        <xdr:cNvSpPr txBox="1"/>
      </xdr:nvSpPr>
      <xdr:spPr>
        <a:xfrm>
          <a:off x="15986229" y="15073363"/>
          <a:ext cx="1792514" cy="560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aseline="0"/>
            <a:t>t </a:t>
          </a:r>
          <a:r>
            <a:rPr lang="it-IT" sz="1100"/>
            <a:t>    5%[40%(A+B+C)]</a:t>
          </a:r>
        </a:p>
        <a:p>
          <a:pPr algn="ctr"/>
          <a:r>
            <a:rPr lang="it-IT" sz="1100" b="1" u="sng"/>
            <a:t>OUT</a:t>
          </a:r>
        </a:p>
      </xdr:txBody>
    </xdr:sp>
    <xdr:clientData/>
  </xdr:twoCellAnchor>
  <xdr:twoCellAnchor>
    <xdr:from>
      <xdr:col>13</xdr:col>
      <xdr:colOff>4</xdr:colOff>
      <xdr:row>74</xdr:row>
      <xdr:rowOff>10888</xdr:rowOff>
    </xdr:from>
    <xdr:to>
      <xdr:col>16</xdr:col>
      <xdr:colOff>261258</xdr:colOff>
      <xdr:row>86</xdr:row>
      <xdr:rowOff>10885</xdr:rowOff>
    </xdr:to>
    <xdr:cxnSp macro="">
      <xdr:nvCxnSpPr>
        <xdr:cNvPr id="40" name="Connettore a gomito 180">
          <a:extLst>
            <a:ext uri="{FF2B5EF4-FFF2-40B4-BE49-F238E27FC236}">
              <a16:creationId xmlns:a16="http://schemas.microsoft.com/office/drawing/2014/main" id="{373A3295-EF4C-7A4A-B4B1-32E99818D554}"/>
            </a:ext>
          </a:extLst>
        </xdr:cNvPr>
        <xdr:cNvCxnSpPr/>
      </xdr:nvCxnSpPr>
      <xdr:spPr>
        <a:xfrm rot="16200000" flipH="1">
          <a:off x="9001582" y="14656710"/>
          <a:ext cx="2336797" cy="2280554"/>
        </a:xfrm>
        <a:prstGeom prst="bentConnector3">
          <a:avLst>
            <a:gd name="adj1" fmla="val 50000"/>
          </a:avLst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272144</xdr:colOff>
      <xdr:row>73</xdr:row>
      <xdr:rowOff>188318</xdr:rowOff>
    </xdr:from>
    <xdr:to>
      <xdr:col>19</xdr:col>
      <xdr:colOff>620489</xdr:colOff>
      <xdr:row>80</xdr:row>
      <xdr:rowOff>32657</xdr:rowOff>
    </xdr:to>
    <xdr:cxnSp macro="">
      <xdr:nvCxnSpPr>
        <xdr:cNvPr id="41" name="Connettore a gomito 184">
          <a:extLst>
            <a:ext uri="{FF2B5EF4-FFF2-40B4-BE49-F238E27FC236}">
              <a16:creationId xmlns:a16="http://schemas.microsoft.com/office/drawing/2014/main" id="{DCAB5574-3BF3-AB4A-A262-1A37AF8FB372}"/>
            </a:ext>
          </a:extLst>
        </xdr:cNvPr>
        <xdr:cNvCxnSpPr/>
      </xdr:nvCxnSpPr>
      <xdr:spPr>
        <a:xfrm rot="10800000" flipV="1">
          <a:off x="11321144" y="14602818"/>
          <a:ext cx="2367645" cy="1215939"/>
        </a:xfrm>
        <a:prstGeom prst="bentConnector3">
          <a:avLst>
            <a:gd name="adj1" fmla="val -1000"/>
          </a:avLst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370113</xdr:colOff>
      <xdr:row>77</xdr:row>
      <xdr:rowOff>118068</xdr:rowOff>
    </xdr:from>
    <xdr:to>
      <xdr:col>13</xdr:col>
      <xdr:colOff>32656</xdr:colOff>
      <xdr:row>77</xdr:row>
      <xdr:rowOff>125603</xdr:rowOff>
    </xdr:to>
    <xdr:cxnSp macro="">
      <xdr:nvCxnSpPr>
        <xdr:cNvPr id="42" name="Connettore 2 146">
          <a:extLst>
            <a:ext uri="{FF2B5EF4-FFF2-40B4-BE49-F238E27FC236}">
              <a16:creationId xmlns:a16="http://schemas.microsoft.com/office/drawing/2014/main" id="{CAB39B48-CA56-9C4F-A617-5BF7AAE8B840}"/>
            </a:ext>
          </a:extLst>
        </xdr:cNvPr>
        <xdr:cNvCxnSpPr/>
      </xdr:nvCxnSpPr>
      <xdr:spPr>
        <a:xfrm flipH="1">
          <a:off x="6707413" y="15332668"/>
          <a:ext cx="2354943" cy="7535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11722</xdr:colOff>
      <xdr:row>77</xdr:row>
      <xdr:rowOff>135652</xdr:rowOff>
    </xdr:from>
    <xdr:to>
      <xdr:col>23</xdr:col>
      <xdr:colOff>56940</xdr:colOff>
      <xdr:row>77</xdr:row>
      <xdr:rowOff>135652</xdr:rowOff>
    </xdr:to>
    <xdr:cxnSp macro="">
      <xdr:nvCxnSpPr>
        <xdr:cNvPr id="43" name="Connettore 2 146">
          <a:extLst>
            <a:ext uri="{FF2B5EF4-FFF2-40B4-BE49-F238E27FC236}">
              <a16:creationId xmlns:a16="http://schemas.microsoft.com/office/drawing/2014/main" id="{7B582391-57E6-AB44-80BC-1E44F371F25B}"/>
            </a:ext>
          </a:extLst>
        </xdr:cNvPr>
        <xdr:cNvCxnSpPr/>
      </xdr:nvCxnSpPr>
      <xdr:spPr>
        <a:xfrm>
          <a:off x="13791222" y="15350252"/>
          <a:ext cx="2128018" cy="0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145995</xdr:colOff>
      <xdr:row>86</xdr:row>
      <xdr:rowOff>56992</xdr:rowOff>
    </xdr:from>
    <xdr:to>
      <xdr:col>19</xdr:col>
      <xdr:colOff>107577</xdr:colOff>
      <xdr:row>88</xdr:row>
      <xdr:rowOff>35860</xdr:rowOff>
    </xdr:to>
    <xdr:sp macro="" textlink="">
      <xdr:nvSpPr>
        <xdr:cNvPr id="44" name="CasellaDiTesto 153">
          <a:extLst>
            <a:ext uri="{FF2B5EF4-FFF2-40B4-BE49-F238E27FC236}">
              <a16:creationId xmlns:a16="http://schemas.microsoft.com/office/drawing/2014/main" id="{C1F23A71-090E-E149-89EC-7E33515F1831}"/>
            </a:ext>
          </a:extLst>
        </xdr:cNvPr>
        <xdr:cNvSpPr txBox="1"/>
      </xdr:nvSpPr>
      <xdr:spPr>
        <a:xfrm>
          <a:off x="9848795" y="17011492"/>
          <a:ext cx="3327082" cy="3725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aseline="0"/>
            <a:t>z </a:t>
          </a:r>
          <a:r>
            <a:rPr lang="it-IT" sz="1100"/>
            <a:t>    95%[40%(A+B+C)] +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97%[60%(A+B+C)] </a:t>
          </a:r>
          <a:endParaRPr lang="it-IT" sz="1100"/>
        </a:p>
      </xdr:txBody>
    </xdr:sp>
    <xdr:clientData/>
  </xdr:twoCellAnchor>
  <xdr:twoCellAnchor>
    <xdr:from>
      <xdr:col>3</xdr:col>
      <xdr:colOff>566058</xdr:colOff>
      <xdr:row>6</xdr:row>
      <xdr:rowOff>141514</xdr:rowOff>
    </xdr:from>
    <xdr:to>
      <xdr:col>4</xdr:col>
      <xdr:colOff>43543</xdr:colOff>
      <xdr:row>7</xdr:row>
      <xdr:rowOff>32657</xdr:rowOff>
    </xdr:to>
    <xdr:sp macro="" textlink="">
      <xdr:nvSpPr>
        <xdr:cNvPr id="45" name="Ovale 44">
          <a:extLst>
            <a:ext uri="{FF2B5EF4-FFF2-40B4-BE49-F238E27FC236}">
              <a16:creationId xmlns:a16="http://schemas.microsoft.com/office/drawing/2014/main" id="{95F9CFE4-19CD-5F4D-99C0-DD110E9459DA}"/>
            </a:ext>
          </a:extLst>
        </xdr:cNvPr>
        <xdr:cNvSpPr/>
      </xdr:nvSpPr>
      <xdr:spPr>
        <a:xfrm>
          <a:off x="2712358" y="1386114"/>
          <a:ext cx="226785" cy="81643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7</xdr:col>
      <xdr:colOff>402772</xdr:colOff>
      <xdr:row>6</xdr:row>
      <xdr:rowOff>141514</xdr:rowOff>
    </xdr:from>
    <xdr:to>
      <xdr:col>7</xdr:col>
      <xdr:colOff>489857</xdr:colOff>
      <xdr:row>7</xdr:row>
      <xdr:rowOff>32657</xdr:rowOff>
    </xdr:to>
    <xdr:sp macro="" textlink="">
      <xdr:nvSpPr>
        <xdr:cNvPr id="46" name="Ovale 45">
          <a:extLst>
            <a:ext uri="{FF2B5EF4-FFF2-40B4-BE49-F238E27FC236}">
              <a16:creationId xmlns:a16="http://schemas.microsoft.com/office/drawing/2014/main" id="{9CF7AC96-7A27-304C-B240-6707D0AA3216}"/>
            </a:ext>
          </a:extLst>
        </xdr:cNvPr>
        <xdr:cNvSpPr/>
      </xdr:nvSpPr>
      <xdr:spPr>
        <a:xfrm>
          <a:off x="5393872" y="1386114"/>
          <a:ext cx="87085" cy="81643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11</xdr:col>
      <xdr:colOff>108858</xdr:colOff>
      <xdr:row>6</xdr:row>
      <xdr:rowOff>141514</xdr:rowOff>
    </xdr:from>
    <xdr:to>
      <xdr:col>11</xdr:col>
      <xdr:colOff>195943</xdr:colOff>
      <xdr:row>7</xdr:row>
      <xdr:rowOff>32657</xdr:rowOff>
    </xdr:to>
    <xdr:sp macro="" textlink="">
      <xdr:nvSpPr>
        <xdr:cNvPr id="47" name="Ovale 46">
          <a:extLst>
            <a:ext uri="{FF2B5EF4-FFF2-40B4-BE49-F238E27FC236}">
              <a16:creationId xmlns:a16="http://schemas.microsoft.com/office/drawing/2014/main" id="{D2279CE0-AD60-5D42-9A64-CBB0F285D20A}"/>
            </a:ext>
          </a:extLst>
        </xdr:cNvPr>
        <xdr:cNvSpPr/>
      </xdr:nvSpPr>
      <xdr:spPr>
        <a:xfrm>
          <a:off x="7792358" y="1386114"/>
          <a:ext cx="87085" cy="81643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14</xdr:col>
      <xdr:colOff>555172</xdr:colOff>
      <xdr:row>6</xdr:row>
      <xdr:rowOff>141514</xdr:rowOff>
    </xdr:from>
    <xdr:to>
      <xdr:col>15</xdr:col>
      <xdr:colOff>32657</xdr:colOff>
      <xdr:row>7</xdr:row>
      <xdr:rowOff>32657</xdr:rowOff>
    </xdr:to>
    <xdr:sp macro="" textlink="">
      <xdr:nvSpPr>
        <xdr:cNvPr id="48" name="Ovale 47">
          <a:extLst>
            <a:ext uri="{FF2B5EF4-FFF2-40B4-BE49-F238E27FC236}">
              <a16:creationId xmlns:a16="http://schemas.microsoft.com/office/drawing/2014/main" id="{765E81C7-D1A7-5C46-862B-2B46C6CC4F07}"/>
            </a:ext>
          </a:extLst>
        </xdr:cNvPr>
        <xdr:cNvSpPr/>
      </xdr:nvSpPr>
      <xdr:spPr>
        <a:xfrm>
          <a:off x="10257972" y="1386114"/>
          <a:ext cx="150585" cy="81643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15</xdr:col>
      <xdr:colOff>566058</xdr:colOff>
      <xdr:row>6</xdr:row>
      <xdr:rowOff>141514</xdr:rowOff>
    </xdr:from>
    <xdr:to>
      <xdr:col>16</xdr:col>
      <xdr:colOff>43543</xdr:colOff>
      <xdr:row>7</xdr:row>
      <xdr:rowOff>32657</xdr:rowOff>
    </xdr:to>
    <xdr:sp macro="" textlink="">
      <xdr:nvSpPr>
        <xdr:cNvPr id="49" name="Ovale 48">
          <a:extLst>
            <a:ext uri="{FF2B5EF4-FFF2-40B4-BE49-F238E27FC236}">
              <a16:creationId xmlns:a16="http://schemas.microsoft.com/office/drawing/2014/main" id="{EED6CA9A-DCB8-9D49-A009-373700CE7D61}"/>
            </a:ext>
          </a:extLst>
        </xdr:cNvPr>
        <xdr:cNvSpPr/>
      </xdr:nvSpPr>
      <xdr:spPr>
        <a:xfrm>
          <a:off x="10941958" y="1386114"/>
          <a:ext cx="150585" cy="81643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19</xdr:col>
      <xdr:colOff>639838</xdr:colOff>
      <xdr:row>20</xdr:row>
      <xdr:rowOff>4838</xdr:rowOff>
    </xdr:from>
    <xdr:to>
      <xdr:col>20</xdr:col>
      <xdr:colOff>84666</xdr:colOff>
      <xdr:row>20</xdr:row>
      <xdr:rowOff>93133</xdr:rowOff>
    </xdr:to>
    <xdr:sp macro="" textlink="">
      <xdr:nvSpPr>
        <xdr:cNvPr id="50" name="Ovale 49">
          <a:extLst>
            <a:ext uri="{FF2B5EF4-FFF2-40B4-BE49-F238E27FC236}">
              <a16:creationId xmlns:a16="http://schemas.microsoft.com/office/drawing/2014/main" id="{5CE67C12-ED3B-2644-AE0D-212DABB38A53}"/>
            </a:ext>
          </a:extLst>
        </xdr:cNvPr>
        <xdr:cNvSpPr/>
      </xdr:nvSpPr>
      <xdr:spPr>
        <a:xfrm>
          <a:off x="13708138" y="4030738"/>
          <a:ext cx="156028" cy="88295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19</xdr:col>
      <xdr:colOff>662820</xdr:colOff>
      <xdr:row>23</xdr:row>
      <xdr:rowOff>113694</xdr:rowOff>
    </xdr:from>
    <xdr:to>
      <xdr:col>20</xdr:col>
      <xdr:colOff>38705</xdr:colOff>
      <xdr:row>24</xdr:row>
      <xdr:rowOff>4837</xdr:rowOff>
    </xdr:to>
    <xdr:sp macro="" textlink="">
      <xdr:nvSpPr>
        <xdr:cNvPr id="51" name="Ovale 50">
          <a:extLst>
            <a:ext uri="{FF2B5EF4-FFF2-40B4-BE49-F238E27FC236}">
              <a16:creationId xmlns:a16="http://schemas.microsoft.com/office/drawing/2014/main" id="{7E18A0C0-427D-8649-9276-8675FC6DDA13}"/>
            </a:ext>
          </a:extLst>
        </xdr:cNvPr>
        <xdr:cNvSpPr/>
      </xdr:nvSpPr>
      <xdr:spPr>
        <a:xfrm>
          <a:off x="13731120" y="4736494"/>
          <a:ext cx="87085" cy="81643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16</xdr:col>
      <xdr:colOff>12096</xdr:colOff>
      <xdr:row>29</xdr:row>
      <xdr:rowOff>82248</xdr:rowOff>
    </xdr:from>
    <xdr:to>
      <xdr:col>16</xdr:col>
      <xdr:colOff>166914</xdr:colOff>
      <xdr:row>29</xdr:row>
      <xdr:rowOff>158448</xdr:rowOff>
    </xdr:to>
    <xdr:sp macro="" textlink="">
      <xdr:nvSpPr>
        <xdr:cNvPr id="52" name="Ovale 51">
          <a:extLst>
            <a:ext uri="{FF2B5EF4-FFF2-40B4-BE49-F238E27FC236}">
              <a16:creationId xmlns:a16="http://schemas.microsoft.com/office/drawing/2014/main" id="{897F6C35-C14D-8E4D-9533-CBE2A31602D9}"/>
            </a:ext>
          </a:extLst>
        </xdr:cNvPr>
        <xdr:cNvSpPr/>
      </xdr:nvSpPr>
      <xdr:spPr>
        <a:xfrm>
          <a:off x="11061096" y="5873448"/>
          <a:ext cx="154818" cy="762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19</xdr:col>
      <xdr:colOff>609600</xdr:colOff>
      <xdr:row>39</xdr:row>
      <xdr:rowOff>185057</xdr:rowOff>
    </xdr:from>
    <xdr:to>
      <xdr:col>20</xdr:col>
      <xdr:colOff>54428</xdr:colOff>
      <xdr:row>40</xdr:row>
      <xdr:rowOff>65314</xdr:rowOff>
    </xdr:to>
    <xdr:sp macro="" textlink="">
      <xdr:nvSpPr>
        <xdr:cNvPr id="53" name="Ovale 52">
          <a:extLst>
            <a:ext uri="{FF2B5EF4-FFF2-40B4-BE49-F238E27FC236}">
              <a16:creationId xmlns:a16="http://schemas.microsoft.com/office/drawing/2014/main" id="{91A314F1-9801-8B4E-988C-2D96743AAE69}"/>
            </a:ext>
          </a:extLst>
        </xdr:cNvPr>
        <xdr:cNvSpPr/>
      </xdr:nvSpPr>
      <xdr:spPr>
        <a:xfrm>
          <a:off x="13677900" y="7944757"/>
          <a:ext cx="156028" cy="83457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19</xdr:col>
      <xdr:colOff>598714</xdr:colOff>
      <xdr:row>60</xdr:row>
      <xdr:rowOff>163287</xdr:rowOff>
    </xdr:from>
    <xdr:to>
      <xdr:col>20</xdr:col>
      <xdr:colOff>43542</xdr:colOff>
      <xdr:row>61</xdr:row>
      <xdr:rowOff>54429</xdr:rowOff>
    </xdr:to>
    <xdr:sp macro="" textlink="">
      <xdr:nvSpPr>
        <xdr:cNvPr id="54" name="Ovale 53">
          <a:extLst>
            <a:ext uri="{FF2B5EF4-FFF2-40B4-BE49-F238E27FC236}">
              <a16:creationId xmlns:a16="http://schemas.microsoft.com/office/drawing/2014/main" id="{C4BB3F36-3105-DB40-A63E-59A2C0A85DF8}"/>
            </a:ext>
          </a:extLst>
        </xdr:cNvPr>
        <xdr:cNvSpPr/>
      </xdr:nvSpPr>
      <xdr:spPr>
        <a:xfrm>
          <a:off x="13667014" y="12050487"/>
          <a:ext cx="156028" cy="81642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19</xdr:col>
      <xdr:colOff>598714</xdr:colOff>
      <xdr:row>77</xdr:row>
      <xdr:rowOff>87086</xdr:rowOff>
    </xdr:from>
    <xdr:to>
      <xdr:col>20</xdr:col>
      <xdr:colOff>43542</xdr:colOff>
      <xdr:row>77</xdr:row>
      <xdr:rowOff>163286</xdr:rowOff>
    </xdr:to>
    <xdr:sp macro="" textlink="">
      <xdr:nvSpPr>
        <xdr:cNvPr id="55" name="Ovale 54">
          <a:extLst>
            <a:ext uri="{FF2B5EF4-FFF2-40B4-BE49-F238E27FC236}">
              <a16:creationId xmlns:a16="http://schemas.microsoft.com/office/drawing/2014/main" id="{DB8ABE37-8297-5D4F-A9AB-8EDBEEE6DF5D}"/>
            </a:ext>
          </a:extLst>
        </xdr:cNvPr>
        <xdr:cNvSpPr/>
      </xdr:nvSpPr>
      <xdr:spPr>
        <a:xfrm>
          <a:off x="13667014" y="15301686"/>
          <a:ext cx="156028" cy="762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12</xdr:col>
      <xdr:colOff>566057</xdr:colOff>
      <xdr:row>77</xdr:row>
      <xdr:rowOff>76200</xdr:rowOff>
    </xdr:from>
    <xdr:to>
      <xdr:col>13</xdr:col>
      <xdr:colOff>43542</xdr:colOff>
      <xdr:row>77</xdr:row>
      <xdr:rowOff>152400</xdr:rowOff>
    </xdr:to>
    <xdr:sp macro="" textlink="">
      <xdr:nvSpPr>
        <xdr:cNvPr id="56" name="Ovale 55">
          <a:extLst>
            <a:ext uri="{FF2B5EF4-FFF2-40B4-BE49-F238E27FC236}">
              <a16:creationId xmlns:a16="http://schemas.microsoft.com/office/drawing/2014/main" id="{F9ABC626-8E11-A545-9CE3-2247A8DF1CED}"/>
            </a:ext>
          </a:extLst>
        </xdr:cNvPr>
        <xdr:cNvSpPr/>
      </xdr:nvSpPr>
      <xdr:spPr>
        <a:xfrm>
          <a:off x="8922657" y="15290800"/>
          <a:ext cx="150585" cy="762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16</xdr:col>
      <xdr:colOff>206829</xdr:colOff>
      <xdr:row>79</xdr:row>
      <xdr:rowOff>174172</xdr:rowOff>
    </xdr:from>
    <xdr:to>
      <xdr:col>16</xdr:col>
      <xdr:colOff>293914</xdr:colOff>
      <xdr:row>80</xdr:row>
      <xdr:rowOff>65315</xdr:rowOff>
    </xdr:to>
    <xdr:sp macro="" textlink="">
      <xdr:nvSpPr>
        <xdr:cNvPr id="57" name="Ovale 56">
          <a:extLst>
            <a:ext uri="{FF2B5EF4-FFF2-40B4-BE49-F238E27FC236}">
              <a16:creationId xmlns:a16="http://schemas.microsoft.com/office/drawing/2014/main" id="{9CD24C99-FEC7-8945-B02B-7DD0E312CF06}"/>
            </a:ext>
          </a:extLst>
        </xdr:cNvPr>
        <xdr:cNvSpPr/>
      </xdr:nvSpPr>
      <xdr:spPr>
        <a:xfrm>
          <a:off x="11255829" y="15769772"/>
          <a:ext cx="87085" cy="81643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15</xdr:col>
      <xdr:colOff>555171</xdr:colOff>
      <xdr:row>36</xdr:row>
      <xdr:rowOff>130628</xdr:rowOff>
    </xdr:from>
    <xdr:to>
      <xdr:col>16</xdr:col>
      <xdr:colOff>32656</xdr:colOff>
      <xdr:row>37</xdr:row>
      <xdr:rowOff>21770</xdr:rowOff>
    </xdr:to>
    <xdr:sp macro="" textlink="">
      <xdr:nvSpPr>
        <xdr:cNvPr id="58" name="Ovale 57">
          <a:extLst>
            <a:ext uri="{FF2B5EF4-FFF2-40B4-BE49-F238E27FC236}">
              <a16:creationId xmlns:a16="http://schemas.microsoft.com/office/drawing/2014/main" id="{CD8D141A-8977-A34B-89FD-26813C5D039D}"/>
            </a:ext>
          </a:extLst>
        </xdr:cNvPr>
        <xdr:cNvSpPr/>
      </xdr:nvSpPr>
      <xdr:spPr>
        <a:xfrm>
          <a:off x="10931071" y="7306128"/>
          <a:ext cx="150585" cy="81642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16</xdr:col>
      <xdr:colOff>39916</xdr:colOff>
      <xdr:row>17</xdr:row>
      <xdr:rowOff>41968</xdr:rowOff>
    </xdr:from>
    <xdr:to>
      <xdr:col>19</xdr:col>
      <xdr:colOff>641047</xdr:colOff>
      <xdr:row>20</xdr:row>
      <xdr:rowOff>49590</xdr:rowOff>
    </xdr:to>
    <xdr:cxnSp macro="">
      <xdr:nvCxnSpPr>
        <xdr:cNvPr id="59" name="Connettore a gomito 51">
          <a:extLst>
            <a:ext uri="{FF2B5EF4-FFF2-40B4-BE49-F238E27FC236}">
              <a16:creationId xmlns:a16="http://schemas.microsoft.com/office/drawing/2014/main" id="{D808EC37-3540-C146-A8AE-3EDA1BE15544}"/>
            </a:ext>
          </a:extLst>
        </xdr:cNvPr>
        <xdr:cNvCxnSpPr/>
      </xdr:nvCxnSpPr>
      <xdr:spPr>
        <a:xfrm>
          <a:off x="11088916" y="3496368"/>
          <a:ext cx="2620431" cy="579122"/>
        </a:xfrm>
        <a:prstGeom prst="bentConnector3">
          <a:avLst>
            <a:gd name="adj1" fmla="val -230"/>
          </a:avLst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478971</xdr:colOff>
      <xdr:row>5</xdr:row>
      <xdr:rowOff>97972</xdr:rowOff>
    </xdr:from>
    <xdr:ext cx="252249" cy="264560"/>
    <xdr:sp macro="" textlink="">
      <xdr:nvSpPr>
        <xdr:cNvPr id="60" name="CasellaDiTesto 59">
          <a:extLst>
            <a:ext uri="{FF2B5EF4-FFF2-40B4-BE49-F238E27FC236}">
              <a16:creationId xmlns:a16="http://schemas.microsoft.com/office/drawing/2014/main" id="{A80D4DFF-23BF-7841-AEE5-E7B5AD1C1F70}"/>
            </a:ext>
          </a:extLst>
        </xdr:cNvPr>
        <xdr:cNvSpPr txBox="1"/>
      </xdr:nvSpPr>
      <xdr:spPr>
        <a:xfrm>
          <a:off x="2625271" y="1101272"/>
          <a:ext cx="2522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a</a:t>
          </a:r>
        </a:p>
      </xdr:txBody>
    </xdr:sp>
    <xdr:clientData/>
  </xdr:oneCellAnchor>
  <xdr:oneCellAnchor>
    <xdr:from>
      <xdr:col>7</xdr:col>
      <xdr:colOff>402771</xdr:colOff>
      <xdr:row>6</xdr:row>
      <xdr:rowOff>163287</xdr:rowOff>
    </xdr:from>
    <xdr:ext cx="260392" cy="264560"/>
    <xdr:sp macro="" textlink="">
      <xdr:nvSpPr>
        <xdr:cNvPr id="61" name="CasellaDiTesto 60">
          <a:extLst>
            <a:ext uri="{FF2B5EF4-FFF2-40B4-BE49-F238E27FC236}">
              <a16:creationId xmlns:a16="http://schemas.microsoft.com/office/drawing/2014/main" id="{ADDC8BCC-A879-504B-9881-DDC10AF43988}"/>
            </a:ext>
          </a:extLst>
        </xdr:cNvPr>
        <xdr:cNvSpPr txBox="1"/>
      </xdr:nvSpPr>
      <xdr:spPr>
        <a:xfrm>
          <a:off x="5393871" y="1407887"/>
          <a:ext cx="260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b</a:t>
          </a:r>
        </a:p>
      </xdr:txBody>
    </xdr:sp>
    <xdr:clientData/>
  </xdr:oneCellAnchor>
  <xdr:oneCellAnchor>
    <xdr:from>
      <xdr:col>10</xdr:col>
      <xdr:colOff>446314</xdr:colOff>
      <xdr:row>6</xdr:row>
      <xdr:rowOff>141514</xdr:rowOff>
    </xdr:from>
    <xdr:ext cx="243721" cy="264560"/>
    <xdr:sp macro="" textlink="">
      <xdr:nvSpPr>
        <xdr:cNvPr id="62" name="CasellaDiTesto 61">
          <a:extLst>
            <a:ext uri="{FF2B5EF4-FFF2-40B4-BE49-F238E27FC236}">
              <a16:creationId xmlns:a16="http://schemas.microsoft.com/office/drawing/2014/main" id="{9ED58ED8-A82C-2F41-8FAF-5E4BA4047FDC}"/>
            </a:ext>
          </a:extLst>
        </xdr:cNvPr>
        <xdr:cNvSpPr txBox="1"/>
      </xdr:nvSpPr>
      <xdr:spPr>
        <a:xfrm>
          <a:off x="7456714" y="1386114"/>
          <a:ext cx="2437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c</a:t>
          </a:r>
        </a:p>
      </xdr:txBody>
    </xdr:sp>
    <xdr:clientData/>
  </xdr:oneCellAnchor>
  <xdr:oneCellAnchor>
    <xdr:from>
      <xdr:col>14</xdr:col>
      <xdr:colOff>457200</xdr:colOff>
      <xdr:row>5</xdr:row>
      <xdr:rowOff>97971</xdr:rowOff>
    </xdr:from>
    <xdr:ext cx="260392" cy="264560"/>
    <xdr:sp macro="" textlink="">
      <xdr:nvSpPr>
        <xdr:cNvPr id="63" name="CasellaDiTesto 62">
          <a:extLst>
            <a:ext uri="{FF2B5EF4-FFF2-40B4-BE49-F238E27FC236}">
              <a16:creationId xmlns:a16="http://schemas.microsoft.com/office/drawing/2014/main" id="{A94431E8-5CCC-594D-9361-6487497B366B}"/>
            </a:ext>
          </a:extLst>
        </xdr:cNvPr>
        <xdr:cNvSpPr txBox="1"/>
      </xdr:nvSpPr>
      <xdr:spPr>
        <a:xfrm>
          <a:off x="10160000" y="1101271"/>
          <a:ext cx="260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d</a:t>
          </a:r>
        </a:p>
      </xdr:txBody>
    </xdr:sp>
    <xdr:clientData/>
  </xdr:oneCellAnchor>
  <xdr:oneCellAnchor>
    <xdr:from>
      <xdr:col>15</xdr:col>
      <xdr:colOff>478972</xdr:colOff>
      <xdr:row>5</xdr:row>
      <xdr:rowOff>97971</xdr:rowOff>
    </xdr:from>
    <xdr:ext cx="255711" cy="264560"/>
    <xdr:sp macro="" textlink="">
      <xdr:nvSpPr>
        <xdr:cNvPr id="64" name="CasellaDiTesto 63">
          <a:extLst>
            <a:ext uri="{FF2B5EF4-FFF2-40B4-BE49-F238E27FC236}">
              <a16:creationId xmlns:a16="http://schemas.microsoft.com/office/drawing/2014/main" id="{F0A95337-A44E-4944-A578-458118FF66EE}"/>
            </a:ext>
          </a:extLst>
        </xdr:cNvPr>
        <xdr:cNvSpPr txBox="1"/>
      </xdr:nvSpPr>
      <xdr:spPr>
        <a:xfrm>
          <a:off x="10854872" y="1101271"/>
          <a:ext cx="2557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e</a:t>
          </a:r>
        </a:p>
      </xdr:txBody>
    </xdr:sp>
    <xdr:clientData/>
  </xdr:oneCellAnchor>
  <xdr:oneCellAnchor>
    <xdr:from>
      <xdr:col>19</xdr:col>
      <xdr:colOff>711199</xdr:colOff>
      <xdr:row>19</xdr:row>
      <xdr:rowOff>118533</xdr:rowOff>
    </xdr:from>
    <xdr:ext cx="215639" cy="264431"/>
    <xdr:sp macro="" textlink="">
      <xdr:nvSpPr>
        <xdr:cNvPr id="65" name="CasellaDiTesto 64">
          <a:extLst>
            <a:ext uri="{FF2B5EF4-FFF2-40B4-BE49-F238E27FC236}">
              <a16:creationId xmlns:a16="http://schemas.microsoft.com/office/drawing/2014/main" id="{D50DD38D-18EB-CE4A-B8EE-8762F349C664}"/>
            </a:ext>
          </a:extLst>
        </xdr:cNvPr>
        <xdr:cNvSpPr txBox="1"/>
      </xdr:nvSpPr>
      <xdr:spPr>
        <a:xfrm>
          <a:off x="13779499" y="3953933"/>
          <a:ext cx="215639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f</a:t>
          </a:r>
        </a:p>
      </xdr:txBody>
    </xdr:sp>
    <xdr:clientData/>
  </xdr:oneCellAnchor>
  <xdr:oneCellAnchor>
    <xdr:from>
      <xdr:col>19</xdr:col>
      <xdr:colOff>695475</xdr:colOff>
      <xdr:row>22</xdr:row>
      <xdr:rowOff>81039</xdr:rowOff>
    </xdr:from>
    <xdr:ext cx="251544" cy="264431"/>
    <xdr:sp macro="" textlink="">
      <xdr:nvSpPr>
        <xdr:cNvPr id="66" name="CasellaDiTesto 65">
          <a:extLst>
            <a:ext uri="{FF2B5EF4-FFF2-40B4-BE49-F238E27FC236}">
              <a16:creationId xmlns:a16="http://schemas.microsoft.com/office/drawing/2014/main" id="{5304B8F7-2E9B-284C-929F-5DC3A3023668}"/>
            </a:ext>
          </a:extLst>
        </xdr:cNvPr>
        <xdr:cNvSpPr txBox="1"/>
      </xdr:nvSpPr>
      <xdr:spPr>
        <a:xfrm>
          <a:off x="13763775" y="4500639"/>
          <a:ext cx="251544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g</a:t>
          </a:r>
        </a:p>
      </xdr:txBody>
    </xdr:sp>
    <xdr:clientData/>
  </xdr:oneCellAnchor>
  <xdr:oneCellAnchor>
    <xdr:from>
      <xdr:col>16</xdr:col>
      <xdr:colOff>94343</xdr:colOff>
      <xdr:row>28</xdr:row>
      <xdr:rowOff>149981</xdr:rowOff>
    </xdr:from>
    <xdr:ext cx="260392" cy="264431"/>
    <xdr:sp macro="" textlink="">
      <xdr:nvSpPr>
        <xdr:cNvPr id="67" name="CasellaDiTesto 66">
          <a:extLst>
            <a:ext uri="{FF2B5EF4-FFF2-40B4-BE49-F238E27FC236}">
              <a16:creationId xmlns:a16="http://schemas.microsoft.com/office/drawing/2014/main" id="{4B4FAA18-0BD2-9843-9855-B2A5169A9C12}"/>
            </a:ext>
          </a:extLst>
        </xdr:cNvPr>
        <xdr:cNvSpPr txBox="1"/>
      </xdr:nvSpPr>
      <xdr:spPr>
        <a:xfrm>
          <a:off x="11143343" y="5737981"/>
          <a:ext cx="260392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h</a:t>
          </a:r>
        </a:p>
      </xdr:txBody>
    </xdr:sp>
    <xdr:clientData/>
  </xdr:oneCellAnchor>
  <xdr:oneCellAnchor>
    <xdr:from>
      <xdr:col>16</xdr:col>
      <xdr:colOff>56848</xdr:colOff>
      <xdr:row>36</xdr:row>
      <xdr:rowOff>94343</xdr:rowOff>
    </xdr:from>
    <xdr:ext cx="219291" cy="264431"/>
    <xdr:sp macro="" textlink="">
      <xdr:nvSpPr>
        <xdr:cNvPr id="68" name="CasellaDiTesto 67">
          <a:extLst>
            <a:ext uri="{FF2B5EF4-FFF2-40B4-BE49-F238E27FC236}">
              <a16:creationId xmlns:a16="http://schemas.microsoft.com/office/drawing/2014/main" id="{28FA4359-9437-A94F-939F-919CCF00D661}"/>
            </a:ext>
          </a:extLst>
        </xdr:cNvPr>
        <xdr:cNvSpPr txBox="1"/>
      </xdr:nvSpPr>
      <xdr:spPr>
        <a:xfrm>
          <a:off x="11105848" y="7269843"/>
          <a:ext cx="21929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i</a:t>
          </a:r>
        </a:p>
      </xdr:txBody>
    </xdr:sp>
    <xdr:clientData/>
  </xdr:oneCellAnchor>
  <xdr:oneCellAnchor>
    <xdr:from>
      <xdr:col>19</xdr:col>
      <xdr:colOff>679297</xdr:colOff>
      <xdr:row>38</xdr:row>
      <xdr:rowOff>143705</xdr:rowOff>
    </xdr:from>
    <xdr:ext cx="219291" cy="264431"/>
    <xdr:sp macro="" textlink="">
      <xdr:nvSpPr>
        <xdr:cNvPr id="69" name="CasellaDiTesto 68">
          <a:extLst>
            <a:ext uri="{FF2B5EF4-FFF2-40B4-BE49-F238E27FC236}">
              <a16:creationId xmlns:a16="http://schemas.microsoft.com/office/drawing/2014/main" id="{92087016-E0A4-A046-A8C2-2B8DD9D423AE}"/>
            </a:ext>
          </a:extLst>
        </xdr:cNvPr>
        <xdr:cNvSpPr txBox="1"/>
      </xdr:nvSpPr>
      <xdr:spPr>
        <a:xfrm>
          <a:off x="13747597" y="7700205"/>
          <a:ext cx="21929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l</a:t>
          </a:r>
        </a:p>
      </xdr:txBody>
    </xdr:sp>
    <xdr:clientData/>
  </xdr:oneCellAnchor>
  <xdr:oneCellAnchor>
    <xdr:from>
      <xdr:col>20</xdr:col>
      <xdr:colOff>10886</xdr:colOff>
      <xdr:row>60</xdr:row>
      <xdr:rowOff>43543</xdr:rowOff>
    </xdr:from>
    <xdr:ext cx="299441" cy="264431"/>
    <xdr:sp macro="" textlink="">
      <xdr:nvSpPr>
        <xdr:cNvPr id="70" name="CasellaDiTesto 69">
          <a:extLst>
            <a:ext uri="{FF2B5EF4-FFF2-40B4-BE49-F238E27FC236}">
              <a16:creationId xmlns:a16="http://schemas.microsoft.com/office/drawing/2014/main" id="{9FF66BE1-4C2F-7A4A-8AF7-C7F7A529DBE0}"/>
            </a:ext>
          </a:extLst>
        </xdr:cNvPr>
        <xdr:cNvSpPr txBox="1"/>
      </xdr:nvSpPr>
      <xdr:spPr>
        <a:xfrm>
          <a:off x="13790386" y="11930743"/>
          <a:ext cx="29944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m</a:t>
          </a:r>
        </a:p>
      </xdr:txBody>
    </xdr:sp>
    <xdr:clientData/>
  </xdr:oneCellAnchor>
  <xdr:oneCellAnchor>
    <xdr:from>
      <xdr:col>13</xdr:col>
      <xdr:colOff>32658</xdr:colOff>
      <xdr:row>77</xdr:row>
      <xdr:rowOff>0</xdr:rowOff>
    </xdr:from>
    <xdr:ext cx="260392" cy="264431"/>
    <xdr:sp macro="" textlink="">
      <xdr:nvSpPr>
        <xdr:cNvPr id="71" name="CasellaDiTesto 70">
          <a:extLst>
            <a:ext uri="{FF2B5EF4-FFF2-40B4-BE49-F238E27FC236}">
              <a16:creationId xmlns:a16="http://schemas.microsoft.com/office/drawing/2014/main" id="{D0A50378-D7DC-A943-BD79-01726338B596}"/>
            </a:ext>
          </a:extLst>
        </xdr:cNvPr>
        <xdr:cNvSpPr txBox="1"/>
      </xdr:nvSpPr>
      <xdr:spPr>
        <a:xfrm>
          <a:off x="9062358" y="15214600"/>
          <a:ext cx="260392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n</a:t>
          </a:r>
        </a:p>
      </xdr:txBody>
    </xdr:sp>
    <xdr:clientData/>
  </xdr:oneCellAnchor>
  <xdr:oneCellAnchor>
    <xdr:from>
      <xdr:col>19</xdr:col>
      <xdr:colOff>326572</xdr:colOff>
      <xdr:row>76</xdr:row>
      <xdr:rowOff>119743</xdr:rowOff>
    </xdr:from>
    <xdr:ext cx="260521" cy="264431"/>
    <xdr:sp macro="" textlink="">
      <xdr:nvSpPr>
        <xdr:cNvPr id="72" name="CasellaDiTesto 71">
          <a:extLst>
            <a:ext uri="{FF2B5EF4-FFF2-40B4-BE49-F238E27FC236}">
              <a16:creationId xmlns:a16="http://schemas.microsoft.com/office/drawing/2014/main" id="{D7031CE9-59EC-5841-9850-ECB00E6ACEB9}"/>
            </a:ext>
          </a:extLst>
        </xdr:cNvPr>
        <xdr:cNvSpPr txBox="1"/>
      </xdr:nvSpPr>
      <xdr:spPr>
        <a:xfrm>
          <a:off x="13394872" y="15131143"/>
          <a:ext cx="26052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o</a:t>
          </a:r>
        </a:p>
      </xdr:txBody>
    </xdr:sp>
    <xdr:clientData/>
  </xdr:oneCellAnchor>
  <xdr:oneCellAnchor>
    <xdr:from>
      <xdr:col>16</xdr:col>
      <xdr:colOff>108857</xdr:colOff>
      <xdr:row>78</xdr:row>
      <xdr:rowOff>87085</xdr:rowOff>
    </xdr:from>
    <xdr:ext cx="260392" cy="264431"/>
    <xdr:sp macro="" textlink="">
      <xdr:nvSpPr>
        <xdr:cNvPr id="73" name="CasellaDiTesto 72">
          <a:extLst>
            <a:ext uri="{FF2B5EF4-FFF2-40B4-BE49-F238E27FC236}">
              <a16:creationId xmlns:a16="http://schemas.microsoft.com/office/drawing/2014/main" id="{A53E4811-615E-D341-82BB-D1A58FBD0B92}"/>
            </a:ext>
          </a:extLst>
        </xdr:cNvPr>
        <xdr:cNvSpPr txBox="1"/>
      </xdr:nvSpPr>
      <xdr:spPr>
        <a:xfrm>
          <a:off x="11157857" y="15492185"/>
          <a:ext cx="260392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 b="1">
              <a:solidFill>
                <a:srgbClr val="FF0000"/>
              </a:solidFill>
            </a:rPr>
            <a:t>p</a:t>
          </a:r>
        </a:p>
      </xdr:txBody>
    </xdr:sp>
    <xdr:clientData/>
  </xdr:oneCellAnchor>
  <xdr:twoCellAnchor>
    <xdr:from>
      <xdr:col>11</xdr:col>
      <xdr:colOff>152400</xdr:colOff>
      <xdr:row>5</xdr:row>
      <xdr:rowOff>32657</xdr:rowOff>
    </xdr:from>
    <xdr:to>
      <xdr:col>11</xdr:col>
      <xdr:colOff>152400</xdr:colOff>
      <xdr:row>6</xdr:row>
      <xdr:rowOff>141514</xdr:rowOff>
    </xdr:to>
    <xdr:cxnSp macro="">
      <xdr:nvCxnSpPr>
        <xdr:cNvPr id="74" name="Connettore 2 146">
          <a:extLst>
            <a:ext uri="{FF2B5EF4-FFF2-40B4-BE49-F238E27FC236}">
              <a16:creationId xmlns:a16="http://schemas.microsoft.com/office/drawing/2014/main" id="{3FABE4E1-EDEB-B948-B093-DA0C926A58F0}"/>
            </a:ext>
          </a:extLst>
        </xdr:cNvPr>
        <xdr:cNvCxnSpPr/>
      </xdr:nvCxnSpPr>
      <xdr:spPr>
        <a:xfrm>
          <a:off x="7835900" y="1035957"/>
          <a:ext cx="0" cy="350157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101600</xdr:colOff>
      <xdr:row>24</xdr:row>
      <xdr:rowOff>101600</xdr:rowOff>
    </xdr:from>
    <xdr:to>
      <xdr:col>15</xdr:col>
      <xdr:colOff>504371</xdr:colOff>
      <xdr:row>26</xdr:row>
      <xdr:rowOff>25398</xdr:rowOff>
    </xdr:to>
    <xdr:sp macro="" textlink="">
      <xdr:nvSpPr>
        <xdr:cNvPr id="75" name="CasellaDiTesto 153">
          <a:extLst>
            <a:ext uri="{FF2B5EF4-FFF2-40B4-BE49-F238E27FC236}">
              <a16:creationId xmlns:a16="http://schemas.microsoft.com/office/drawing/2014/main" id="{5F7D2E9B-987A-3A43-92FE-F9167967383A}"/>
            </a:ext>
          </a:extLst>
        </xdr:cNvPr>
        <xdr:cNvSpPr txBox="1"/>
      </xdr:nvSpPr>
      <xdr:spPr>
        <a:xfrm>
          <a:off x="9804400" y="4914900"/>
          <a:ext cx="1075871" cy="3047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aseline="0"/>
            <a:t>g</a:t>
          </a:r>
          <a:r>
            <a:rPr lang="it-IT" sz="1100"/>
            <a:t>    100%(A)</a:t>
          </a:r>
        </a:p>
      </xdr:txBody>
    </xdr:sp>
    <xdr:clientData/>
  </xdr:twoCellAnchor>
  <xdr:twoCellAnchor>
    <xdr:from>
      <xdr:col>20</xdr:col>
      <xdr:colOff>239275</xdr:colOff>
      <xdr:row>44</xdr:row>
      <xdr:rowOff>128841</xdr:rowOff>
    </xdr:from>
    <xdr:to>
      <xdr:col>22</xdr:col>
      <xdr:colOff>173960</xdr:colOff>
      <xdr:row>46</xdr:row>
      <xdr:rowOff>88664</xdr:rowOff>
    </xdr:to>
    <xdr:sp macro="" textlink="">
      <xdr:nvSpPr>
        <xdr:cNvPr id="76" name="CasellaDiTesto 153">
          <a:extLst>
            <a:ext uri="{FF2B5EF4-FFF2-40B4-BE49-F238E27FC236}">
              <a16:creationId xmlns:a16="http://schemas.microsoft.com/office/drawing/2014/main" id="{7CA8839B-AD73-884A-ADC6-F62842D8B2CB}"/>
            </a:ext>
          </a:extLst>
        </xdr:cNvPr>
        <xdr:cNvSpPr txBox="1"/>
      </xdr:nvSpPr>
      <xdr:spPr>
        <a:xfrm>
          <a:off x="14018775" y="8866441"/>
          <a:ext cx="1344385" cy="3535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aseline="0"/>
            <a:t>p     100%(A+B+C)</a:t>
          </a:r>
          <a:endParaRPr lang="it-IT" sz="1100"/>
        </a:p>
      </xdr:txBody>
    </xdr:sp>
    <xdr:clientData/>
  </xdr:twoCellAnchor>
  <xdr:twoCellAnchor>
    <xdr:from>
      <xdr:col>10</xdr:col>
      <xdr:colOff>552174</xdr:colOff>
      <xdr:row>61</xdr:row>
      <xdr:rowOff>128841</xdr:rowOff>
    </xdr:from>
    <xdr:to>
      <xdr:col>12</xdr:col>
      <xdr:colOff>573945</xdr:colOff>
      <xdr:row>63</xdr:row>
      <xdr:rowOff>53640</xdr:rowOff>
    </xdr:to>
    <xdr:sp macro="" textlink="">
      <xdr:nvSpPr>
        <xdr:cNvPr id="77" name="CasellaDiTesto 153">
          <a:extLst>
            <a:ext uri="{FF2B5EF4-FFF2-40B4-BE49-F238E27FC236}">
              <a16:creationId xmlns:a16="http://schemas.microsoft.com/office/drawing/2014/main" id="{E17A2904-4E03-EB46-A92D-833E55D212F4}"/>
            </a:ext>
          </a:extLst>
        </xdr:cNvPr>
        <xdr:cNvSpPr txBox="1"/>
      </xdr:nvSpPr>
      <xdr:spPr>
        <a:xfrm>
          <a:off x="7562574" y="12206541"/>
          <a:ext cx="1367971" cy="305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q    60%(A+B+C)</a:t>
          </a:r>
        </a:p>
      </xdr:txBody>
    </xdr:sp>
    <xdr:clientData/>
  </xdr:twoCellAnchor>
  <xdr:twoCellAnchor>
    <xdr:from>
      <xdr:col>20</xdr:col>
      <xdr:colOff>165653</xdr:colOff>
      <xdr:row>63</xdr:row>
      <xdr:rowOff>0</xdr:rowOff>
    </xdr:from>
    <xdr:to>
      <xdr:col>22</xdr:col>
      <xdr:colOff>132206</xdr:colOff>
      <xdr:row>64</xdr:row>
      <xdr:rowOff>90451</xdr:rowOff>
    </xdr:to>
    <xdr:sp macro="" textlink="">
      <xdr:nvSpPr>
        <xdr:cNvPr id="78" name="CasellaDiTesto 153">
          <a:extLst>
            <a:ext uri="{FF2B5EF4-FFF2-40B4-BE49-F238E27FC236}">
              <a16:creationId xmlns:a16="http://schemas.microsoft.com/office/drawing/2014/main" id="{3B0712D3-EB40-6846-A0DD-A9C1010DA039}"/>
            </a:ext>
          </a:extLst>
        </xdr:cNvPr>
        <xdr:cNvSpPr txBox="1"/>
      </xdr:nvSpPr>
      <xdr:spPr>
        <a:xfrm>
          <a:off x="13945153" y="12458700"/>
          <a:ext cx="1376253" cy="293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r    40%(A+B+C)</a:t>
          </a:r>
        </a:p>
      </xdr:txBody>
    </xdr:sp>
    <xdr:clientData/>
  </xdr:twoCellAnchor>
  <xdr:twoCellAnchor>
    <xdr:from>
      <xdr:col>12</xdr:col>
      <xdr:colOff>0</xdr:colOff>
      <xdr:row>81</xdr:row>
      <xdr:rowOff>1</xdr:rowOff>
    </xdr:from>
    <xdr:to>
      <xdr:col>14</xdr:col>
      <xdr:colOff>21771</xdr:colOff>
      <xdr:row>82</xdr:row>
      <xdr:rowOff>90452</xdr:rowOff>
    </xdr:to>
    <xdr:sp macro="" textlink="">
      <xdr:nvSpPr>
        <xdr:cNvPr id="79" name="CasellaDiTesto 153">
          <a:extLst>
            <a:ext uri="{FF2B5EF4-FFF2-40B4-BE49-F238E27FC236}">
              <a16:creationId xmlns:a16="http://schemas.microsoft.com/office/drawing/2014/main" id="{72BFBD7B-43B2-8C42-81A3-4AA74CCC39B3}"/>
            </a:ext>
          </a:extLst>
        </xdr:cNvPr>
        <xdr:cNvSpPr txBox="1"/>
      </xdr:nvSpPr>
      <xdr:spPr>
        <a:xfrm>
          <a:off x="8356600" y="15976601"/>
          <a:ext cx="1367971" cy="293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u   97%(A+B+C)</a:t>
          </a:r>
        </a:p>
      </xdr:txBody>
    </xdr:sp>
    <xdr:clientData/>
  </xdr:twoCellAnchor>
  <xdr:twoCellAnchor>
    <xdr:from>
      <xdr:col>19</xdr:col>
      <xdr:colOff>55217</xdr:colOff>
      <xdr:row>81</xdr:row>
      <xdr:rowOff>18406</xdr:rowOff>
    </xdr:from>
    <xdr:to>
      <xdr:col>20</xdr:col>
      <xdr:colOff>721191</xdr:colOff>
      <xdr:row>82</xdr:row>
      <xdr:rowOff>110435</xdr:rowOff>
    </xdr:to>
    <xdr:sp macro="" textlink="">
      <xdr:nvSpPr>
        <xdr:cNvPr id="80" name="CasellaDiTesto 153">
          <a:extLst>
            <a:ext uri="{FF2B5EF4-FFF2-40B4-BE49-F238E27FC236}">
              <a16:creationId xmlns:a16="http://schemas.microsoft.com/office/drawing/2014/main" id="{0910CEEC-EFFC-234A-9330-CD82C57BE440}"/>
            </a:ext>
          </a:extLst>
        </xdr:cNvPr>
        <xdr:cNvSpPr txBox="1"/>
      </xdr:nvSpPr>
      <xdr:spPr>
        <a:xfrm>
          <a:off x="13123517" y="15995006"/>
          <a:ext cx="1377174" cy="2952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v</a:t>
          </a:r>
          <a:r>
            <a:rPr lang="it-IT" sz="1100" baseline="0"/>
            <a:t>     95</a:t>
          </a:r>
          <a:r>
            <a:rPr lang="it-IT" sz="1100"/>
            <a:t>%(A+B+C)</a:t>
          </a:r>
        </a:p>
      </xdr:txBody>
    </xdr:sp>
    <xdr:clientData/>
  </xdr:twoCellAnchor>
  <xdr:oneCellAnchor>
    <xdr:from>
      <xdr:col>53</xdr:col>
      <xdr:colOff>0</xdr:colOff>
      <xdr:row>100</xdr:row>
      <xdr:rowOff>917</xdr:rowOff>
    </xdr:from>
    <xdr:ext cx="65" cy="172227"/>
    <xdr:sp macro="" textlink="">
      <xdr:nvSpPr>
        <xdr:cNvPr id="81" name="CasellaDiTesto 80">
          <a:extLst>
            <a:ext uri="{FF2B5EF4-FFF2-40B4-BE49-F238E27FC236}">
              <a16:creationId xmlns:a16="http://schemas.microsoft.com/office/drawing/2014/main" id="{5A5B8398-89B5-744D-9C17-C5C5F4CD3ECB}"/>
            </a:ext>
          </a:extLst>
        </xdr:cNvPr>
        <xdr:cNvSpPr txBox="1"/>
      </xdr:nvSpPr>
      <xdr:spPr>
        <a:xfrm rot="10800000">
          <a:off x="49390300" y="2128611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 b="1"/>
        </a:p>
      </xdr:txBody>
    </xdr:sp>
    <xdr:clientData/>
  </xdr:oneCellAnchor>
  <xdr:twoCellAnchor editAs="oneCell">
    <xdr:from>
      <xdr:col>2</xdr:col>
      <xdr:colOff>520700</xdr:colOff>
      <xdr:row>114</xdr:row>
      <xdr:rowOff>64</xdr:rowOff>
    </xdr:from>
    <xdr:to>
      <xdr:col>3</xdr:col>
      <xdr:colOff>85751</xdr:colOff>
      <xdr:row>122</xdr:row>
      <xdr:rowOff>174635</xdr:rowOff>
    </xdr:to>
    <xdr:sp macro="" textlink="">
      <xdr:nvSpPr>
        <xdr:cNvPr id="82" name="CasellaDiTesto 16">
          <a:extLst>
            <a:ext uri="{FF2B5EF4-FFF2-40B4-BE49-F238E27FC236}">
              <a16:creationId xmlns:a16="http://schemas.microsoft.com/office/drawing/2014/main" id="{60897BA7-FD58-4142-98F2-6E9BD91F1B11}"/>
            </a:ext>
          </a:extLst>
        </xdr:cNvPr>
        <xdr:cNvSpPr txBox="1"/>
      </xdr:nvSpPr>
      <xdr:spPr>
        <a:xfrm rot="10800000">
          <a:off x="1866900" y="24257064"/>
          <a:ext cx="365151" cy="16985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0" tIns="0" rIns="0" bIns="0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it-IT" sz="1800" b="1"/>
        </a:p>
      </xdr:txBody>
    </xdr:sp>
    <xdr:clientData/>
  </xdr:twoCellAnchor>
  <xdr:oneCellAnchor>
    <xdr:from>
      <xdr:col>39</xdr:col>
      <xdr:colOff>0</xdr:colOff>
      <xdr:row>100</xdr:row>
      <xdr:rowOff>917</xdr:rowOff>
    </xdr:from>
    <xdr:ext cx="65" cy="172227"/>
    <xdr:sp macro="" textlink="">
      <xdr:nvSpPr>
        <xdr:cNvPr id="83" name="CasellaDiTesto 82">
          <a:extLst>
            <a:ext uri="{FF2B5EF4-FFF2-40B4-BE49-F238E27FC236}">
              <a16:creationId xmlns:a16="http://schemas.microsoft.com/office/drawing/2014/main" id="{76469944-019A-A54C-8AB6-5700C39F0C39}"/>
            </a:ext>
          </a:extLst>
        </xdr:cNvPr>
        <xdr:cNvSpPr txBox="1"/>
      </xdr:nvSpPr>
      <xdr:spPr>
        <a:xfrm rot="10800000">
          <a:off x="39966900" y="2128611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 b="1"/>
        </a:p>
      </xdr:txBody>
    </xdr:sp>
    <xdr:clientData/>
  </xdr:oneCellAnchor>
  <xdr:twoCellAnchor editAs="oneCell">
    <xdr:from>
      <xdr:col>38</xdr:col>
      <xdr:colOff>520700</xdr:colOff>
      <xdr:row>101</xdr:row>
      <xdr:rowOff>64</xdr:rowOff>
    </xdr:from>
    <xdr:to>
      <xdr:col>39</xdr:col>
      <xdr:colOff>211591</xdr:colOff>
      <xdr:row>103</xdr:row>
      <xdr:rowOff>157702</xdr:rowOff>
    </xdr:to>
    <xdr:sp macro="" textlink="">
      <xdr:nvSpPr>
        <xdr:cNvPr id="84" name="CasellaDiTesto 16">
          <a:extLst>
            <a:ext uri="{FF2B5EF4-FFF2-40B4-BE49-F238E27FC236}">
              <a16:creationId xmlns:a16="http://schemas.microsoft.com/office/drawing/2014/main" id="{90D3DAF0-B141-4A45-BF8D-EB23394B73EA}"/>
            </a:ext>
          </a:extLst>
        </xdr:cNvPr>
        <xdr:cNvSpPr txBox="1"/>
      </xdr:nvSpPr>
      <xdr:spPr>
        <a:xfrm rot="10800000">
          <a:off x="39814500" y="21513864"/>
          <a:ext cx="363991" cy="576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0" tIns="0" rIns="0" bIns="0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it-IT" sz="18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8</xdr:row>
      <xdr:rowOff>95250</xdr:rowOff>
    </xdr:from>
    <xdr:to>
      <xdr:col>7</xdr:col>
      <xdr:colOff>1638300</xdr:colOff>
      <xdr:row>8</xdr:row>
      <xdr:rowOff>104775</xdr:rowOff>
    </xdr:to>
    <xdr:cxnSp macro="">
      <xdr:nvCxnSpPr>
        <xdr:cNvPr id="2" name="Connettore 2 146">
          <a:extLst>
            <a:ext uri="{FF2B5EF4-FFF2-40B4-BE49-F238E27FC236}">
              <a16:creationId xmlns:a16="http://schemas.microsoft.com/office/drawing/2014/main" id="{1D5B188F-EA23-4AA1-A215-A96D6ECAA4D2}"/>
            </a:ext>
          </a:extLst>
        </xdr:cNvPr>
        <xdr:cNvCxnSpPr>
          <a:cxnSpLocks/>
        </xdr:cNvCxnSpPr>
      </xdr:nvCxnSpPr>
      <xdr:spPr>
        <a:xfrm flipV="1">
          <a:off x="1676400" y="6960870"/>
          <a:ext cx="13205460" cy="9525"/>
        </a:xfrm>
        <a:prstGeom prst="straightConnector1">
          <a:avLst/>
        </a:prstGeom>
        <a:ln>
          <a:tailEnd type="triangl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895421</xdr:colOff>
      <xdr:row>7</xdr:row>
      <xdr:rowOff>56187</xdr:rowOff>
    </xdr:from>
    <xdr:to>
      <xdr:col>1</xdr:col>
      <xdr:colOff>895421</xdr:colOff>
      <xdr:row>10</xdr:row>
      <xdr:rowOff>176112</xdr:rowOff>
    </xdr:to>
    <xdr:cxnSp macro="">
      <xdr:nvCxnSpPr>
        <xdr:cNvPr id="3" name="Straight Connector 34">
          <a:extLst>
            <a:ext uri="{FF2B5EF4-FFF2-40B4-BE49-F238E27FC236}">
              <a16:creationId xmlns:a16="http://schemas.microsoft.com/office/drawing/2014/main" id="{984C94DC-356C-4ED4-8FC8-C993A63863D9}"/>
            </a:ext>
          </a:extLst>
        </xdr:cNvPr>
        <xdr:cNvCxnSpPr/>
      </xdr:nvCxnSpPr>
      <xdr:spPr>
        <a:xfrm flipH="1" flipV="1">
          <a:off x="2343221" y="6723687"/>
          <a:ext cx="0" cy="714285"/>
        </a:xfrm>
        <a:prstGeom prst="line">
          <a:avLst/>
        </a:prstGeom>
        <a:ln>
          <a:tailEnd type="non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1055485</xdr:colOff>
      <xdr:row>7</xdr:row>
      <xdr:rowOff>46661</xdr:rowOff>
    </xdr:from>
    <xdr:to>
      <xdr:col>2</xdr:col>
      <xdr:colOff>1055485</xdr:colOff>
      <xdr:row>10</xdr:row>
      <xdr:rowOff>179418</xdr:rowOff>
    </xdr:to>
    <xdr:cxnSp macro="">
      <xdr:nvCxnSpPr>
        <xdr:cNvPr id="4" name="Straight Connector 34">
          <a:extLst>
            <a:ext uri="{FF2B5EF4-FFF2-40B4-BE49-F238E27FC236}">
              <a16:creationId xmlns:a16="http://schemas.microsoft.com/office/drawing/2014/main" id="{F03AC977-1DB1-48E3-AE9E-973917FCED33}"/>
            </a:ext>
          </a:extLst>
        </xdr:cNvPr>
        <xdr:cNvCxnSpPr/>
      </xdr:nvCxnSpPr>
      <xdr:spPr>
        <a:xfrm flipH="1" flipV="1">
          <a:off x="4446385" y="6714161"/>
          <a:ext cx="0" cy="727117"/>
        </a:xfrm>
        <a:prstGeom prst="line">
          <a:avLst/>
        </a:prstGeom>
        <a:ln>
          <a:tailEnd type="non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294797</xdr:colOff>
      <xdr:row>7</xdr:row>
      <xdr:rowOff>37137</xdr:rowOff>
    </xdr:from>
    <xdr:to>
      <xdr:col>6</xdr:col>
      <xdr:colOff>294797</xdr:colOff>
      <xdr:row>10</xdr:row>
      <xdr:rowOff>157062</xdr:rowOff>
    </xdr:to>
    <xdr:cxnSp macro="">
      <xdr:nvCxnSpPr>
        <xdr:cNvPr id="5" name="Straight Connector 34">
          <a:extLst>
            <a:ext uri="{FF2B5EF4-FFF2-40B4-BE49-F238E27FC236}">
              <a16:creationId xmlns:a16="http://schemas.microsoft.com/office/drawing/2014/main" id="{C75D2CF8-1456-4C3A-96BA-130FDEA052CB}"/>
            </a:ext>
          </a:extLst>
        </xdr:cNvPr>
        <xdr:cNvCxnSpPr/>
      </xdr:nvCxnSpPr>
      <xdr:spPr>
        <a:xfrm>
          <a:off x="11595257" y="6704637"/>
          <a:ext cx="0" cy="714285"/>
        </a:xfrm>
        <a:prstGeom prst="line">
          <a:avLst/>
        </a:prstGeom>
        <a:ln>
          <a:tailEnd type="non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1337945</xdr:colOff>
      <xdr:row>6</xdr:row>
      <xdr:rowOff>23495</xdr:rowOff>
    </xdr:from>
    <xdr:to>
      <xdr:col>7</xdr:col>
      <xdr:colOff>121285</xdr:colOff>
      <xdr:row>7</xdr:row>
      <xdr:rowOff>59146</xdr:rowOff>
    </xdr:to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516A6E33-8A7D-4294-8B70-2263805627CD}"/>
            </a:ext>
          </a:extLst>
        </xdr:cNvPr>
        <xdr:cNvSpPr txBox="1"/>
      </xdr:nvSpPr>
      <xdr:spPr>
        <a:xfrm>
          <a:off x="12638405" y="6492875"/>
          <a:ext cx="726440" cy="233771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>
              <a:latin typeface="+mn-lt"/>
              <a:ea typeface="+mn-lt"/>
              <a:cs typeface="+mn-lt"/>
            </a:rPr>
            <a:t>- 10 Days</a:t>
          </a:r>
        </a:p>
      </xdr:txBody>
    </xdr:sp>
    <xdr:clientData/>
  </xdr:twoCellAnchor>
  <xdr:twoCellAnchor>
    <xdr:from>
      <xdr:col>2</xdr:col>
      <xdr:colOff>109007</xdr:colOff>
      <xdr:row>5</xdr:row>
      <xdr:rowOff>157417</xdr:rowOff>
    </xdr:from>
    <xdr:to>
      <xdr:col>3</xdr:col>
      <xdr:colOff>51857</xdr:colOff>
      <xdr:row>6</xdr:row>
      <xdr:rowOff>192469</xdr:rowOff>
    </xdr:to>
    <xdr:sp macro="" textlink="">
      <xdr:nvSpPr>
        <xdr:cNvPr id="7" name="CasellaDiTesto 6">
          <a:extLst>
            <a:ext uri="{FF2B5EF4-FFF2-40B4-BE49-F238E27FC236}">
              <a16:creationId xmlns:a16="http://schemas.microsoft.com/office/drawing/2014/main" id="{B020B927-5B67-4046-863F-3D66C870F55D}"/>
            </a:ext>
          </a:extLst>
        </xdr:cNvPr>
        <xdr:cNvSpPr txBox="1"/>
      </xdr:nvSpPr>
      <xdr:spPr>
        <a:xfrm>
          <a:off x="3499907" y="6428677"/>
          <a:ext cx="1885950" cy="233172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latin typeface="+mn-lt"/>
              <a:ea typeface="+mn-lt"/>
              <a:cs typeface="+mn-lt"/>
            </a:rPr>
            <a:t>- 90 Days</a:t>
          </a:r>
        </a:p>
      </xdr:txBody>
    </xdr:sp>
    <xdr:clientData/>
  </xdr:twoCellAnchor>
  <xdr:twoCellAnchor>
    <xdr:from>
      <xdr:col>1</xdr:col>
      <xdr:colOff>523875</xdr:colOff>
      <xdr:row>5</xdr:row>
      <xdr:rowOff>133350</xdr:rowOff>
    </xdr:from>
    <xdr:to>
      <xdr:col>2</xdr:col>
      <xdr:colOff>479475</xdr:colOff>
      <xdr:row>6</xdr:row>
      <xdr:rowOff>194209</xdr:rowOff>
    </xdr:to>
    <xdr:sp macro="" textlink="">
      <xdr:nvSpPr>
        <xdr:cNvPr id="8" name="CasellaDiTesto 7">
          <a:extLst>
            <a:ext uri="{FF2B5EF4-FFF2-40B4-BE49-F238E27FC236}">
              <a16:creationId xmlns:a16="http://schemas.microsoft.com/office/drawing/2014/main" id="{0AF26C63-14F3-4D7C-A6A5-5972593F13E9}"/>
            </a:ext>
          </a:extLst>
        </xdr:cNvPr>
        <xdr:cNvSpPr txBox="1"/>
      </xdr:nvSpPr>
      <xdr:spPr>
        <a:xfrm>
          <a:off x="1971675" y="6404610"/>
          <a:ext cx="1898700" cy="258979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latin typeface="+mn-lt"/>
              <a:ea typeface="+mn-lt"/>
              <a:cs typeface="+mn-lt"/>
            </a:rPr>
            <a:t>- 120 Days</a:t>
          </a:r>
        </a:p>
      </xdr:txBody>
    </xdr:sp>
    <xdr:clientData/>
  </xdr:twoCellAnchor>
  <xdr:twoCellAnchor>
    <xdr:from>
      <xdr:col>2</xdr:col>
      <xdr:colOff>1104471</xdr:colOff>
      <xdr:row>9</xdr:row>
      <xdr:rowOff>77056</xdr:rowOff>
    </xdr:from>
    <xdr:to>
      <xdr:col>6</xdr:col>
      <xdr:colOff>248294</xdr:colOff>
      <xdr:row>10</xdr:row>
      <xdr:rowOff>155425</xdr:rowOff>
    </xdr:to>
    <xdr:sp macro="" textlink="">
      <xdr:nvSpPr>
        <xdr:cNvPr id="9" name="Parentesi graffa aperta 45">
          <a:extLst>
            <a:ext uri="{FF2B5EF4-FFF2-40B4-BE49-F238E27FC236}">
              <a16:creationId xmlns:a16="http://schemas.microsoft.com/office/drawing/2014/main" id="{2B07196E-71DF-4C04-BC5B-32E895EB428D}"/>
            </a:ext>
          </a:extLst>
        </xdr:cNvPr>
        <xdr:cNvSpPr/>
      </xdr:nvSpPr>
      <xdr:spPr>
        <a:xfrm rot="16200000">
          <a:off x="7883818" y="3752349"/>
          <a:ext cx="276489" cy="7053383"/>
        </a:xfrm>
        <a:prstGeom prst="lef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spcFirstLastPara="0" wrap="square" lIns="91440" tIns="45720" rIns="91440" bIns="45720" rtlCol="0" anchor="t">
          <a:noAutofit/>
        </a:bodyPr>
        <a:lstStyle/>
        <a:p>
          <a:endParaRPr lang="it-IT"/>
        </a:p>
      </xdr:txBody>
    </xdr:sp>
    <xdr:clientData/>
  </xdr:twoCellAnchor>
  <xdr:twoCellAnchor>
    <xdr:from>
      <xdr:col>1</xdr:col>
      <xdr:colOff>916119</xdr:colOff>
      <xdr:row>9</xdr:row>
      <xdr:rowOff>59932</xdr:rowOff>
    </xdr:from>
    <xdr:to>
      <xdr:col>2</xdr:col>
      <xdr:colOff>1018857</xdr:colOff>
      <xdr:row>10</xdr:row>
      <xdr:rowOff>189673</xdr:rowOff>
    </xdr:to>
    <xdr:sp macro="" textlink="">
      <xdr:nvSpPr>
        <xdr:cNvPr id="10" name="Parentesi graffa aperta 45">
          <a:extLst>
            <a:ext uri="{FF2B5EF4-FFF2-40B4-BE49-F238E27FC236}">
              <a16:creationId xmlns:a16="http://schemas.microsoft.com/office/drawing/2014/main" id="{4E7742DA-56DF-4999-AFD5-9BD3FDC690D4}"/>
            </a:ext>
          </a:extLst>
        </xdr:cNvPr>
        <xdr:cNvSpPr/>
      </xdr:nvSpPr>
      <xdr:spPr>
        <a:xfrm rot="16200000">
          <a:off x="3222907" y="6264684"/>
          <a:ext cx="327861" cy="2045838"/>
        </a:xfrm>
        <a:prstGeom prst="lef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spcFirstLastPara="0" wrap="square" lIns="91440" tIns="45720" rIns="91440" bIns="45720" rtlCol="0" anchor="t">
          <a:noAutofit/>
        </a:bodyPr>
        <a:lstStyle/>
        <a:p>
          <a:endParaRPr lang="it-IT"/>
        </a:p>
      </xdr:txBody>
    </xdr:sp>
    <xdr:clientData/>
  </xdr:twoCellAnchor>
  <xdr:twoCellAnchor>
    <xdr:from>
      <xdr:col>6</xdr:col>
      <xdr:colOff>342473</xdr:colOff>
      <xdr:row>9</xdr:row>
      <xdr:rowOff>81194</xdr:rowOff>
    </xdr:from>
    <xdr:to>
      <xdr:col>7</xdr:col>
      <xdr:colOff>1335643</xdr:colOff>
      <xdr:row>11</xdr:row>
      <xdr:rowOff>18367</xdr:rowOff>
    </xdr:to>
    <xdr:sp macro="" textlink="">
      <xdr:nvSpPr>
        <xdr:cNvPr id="11" name="Parentesi graffa aperta 45">
          <a:extLst>
            <a:ext uri="{FF2B5EF4-FFF2-40B4-BE49-F238E27FC236}">
              <a16:creationId xmlns:a16="http://schemas.microsoft.com/office/drawing/2014/main" id="{9E37E2BC-CF20-4FFB-86F2-9E60B1487527}"/>
            </a:ext>
          </a:extLst>
        </xdr:cNvPr>
        <xdr:cNvSpPr/>
      </xdr:nvSpPr>
      <xdr:spPr>
        <a:xfrm rot="16200000">
          <a:off x="12944361" y="5843506"/>
          <a:ext cx="333413" cy="2936270"/>
        </a:xfrm>
        <a:prstGeom prst="lef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spcFirstLastPara="0" wrap="square" lIns="91440" tIns="45720" rIns="91440" bIns="45720" rtlCol="0" anchor="t">
          <a:noAutofit/>
        </a:bodyPr>
        <a:lstStyle/>
        <a:p>
          <a:endParaRPr lang="it-IT"/>
        </a:p>
      </xdr:txBody>
    </xdr:sp>
    <xdr:clientData/>
  </xdr:twoCellAnchor>
  <xdr:twoCellAnchor>
    <xdr:from>
      <xdr:col>0</xdr:col>
      <xdr:colOff>723900</xdr:colOff>
      <xdr:row>153</xdr:row>
      <xdr:rowOff>96392</xdr:rowOff>
    </xdr:from>
    <xdr:to>
      <xdr:col>0</xdr:col>
      <xdr:colOff>723900</xdr:colOff>
      <xdr:row>157</xdr:row>
      <xdr:rowOff>32125</xdr:rowOff>
    </xdr:to>
    <xdr:cxnSp macro="">
      <xdr:nvCxnSpPr>
        <xdr:cNvPr id="12" name="Straight Connector 34">
          <a:extLst>
            <a:ext uri="{FF2B5EF4-FFF2-40B4-BE49-F238E27FC236}">
              <a16:creationId xmlns:a16="http://schemas.microsoft.com/office/drawing/2014/main" id="{2E34B511-0822-4158-AED1-5C382761F2A9}"/>
            </a:ext>
          </a:extLst>
        </xdr:cNvPr>
        <xdr:cNvCxnSpPr/>
      </xdr:nvCxnSpPr>
      <xdr:spPr>
        <a:xfrm>
          <a:off x="723900" y="35697032"/>
          <a:ext cx="0" cy="728213"/>
        </a:xfrm>
        <a:prstGeom prst="line">
          <a:avLst/>
        </a:prstGeom>
        <a:ln>
          <a:tailEnd type="non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1369888</xdr:colOff>
      <xdr:row>7</xdr:row>
      <xdr:rowOff>34247</xdr:rowOff>
    </xdr:from>
    <xdr:to>
      <xdr:col>7</xdr:col>
      <xdr:colOff>1369888</xdr:colOff>
      <xdr:row>10</xdr:row>
      <xdr:rowOff>154172</xdr:rowOff>
    </xdr:to>
    <xdr:cxnSp macro="">
      <xdr:nvCxnSpPr>
        <xdr:cNvPr id="13" name="Straight Connector 34">
          <a:extLst>
            <a:ext uri="{FF2B5EF4-FFF2-40B4-BE49-F238E27FC236}">
              <a16:creationId xmlns:a16="http://schemas.microsoft.com/office/drawing/2014/main" id="{BE0AC655-BAFB-4F94-B897-FDCE3A163E98}"/>
            </a:ext>
          </a:extLst>
        </xdr:cNvPr>
        <xdr:cNvCxnSpPr/>
      </xdr:nvCxnSpPr>
      <xdr:spPr>
        <a:xfrm>
          <a:off x="14613448" y="6701747"/>
          <a:ext cx="0" cy="714285"/>
        </a:xfrm>
        <a:prstGeom prst="line">
          <a:avLst/>
        </a:prstGeom>
        <a:ln>
          <a:tailEnd type="none" w="lg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6B0D1D-C253-7140-A3F3-BC561CB036D5}" name="Tabella1" displayName="Tabella1" ref="Q3:Y60" totalsRowShown="0" headerRowDxfId="56" dataDxfId="54" headerRowBorderDxfId="55" tableBorderDxfId="53" totalsRowBorderDxfId="52">
  <autoFilter ref="Q3:Y60" xr:uid="{936B0D1D-C253-7140-A3F3-BC561CB036D5}"/>
  <tableColumns count="9">
    <tableColumn id="1" xr3:uid="{F45904A3-06CB-D04A-A761-1155A2637BEA}" name="𝝆 " dataDxfId="51"/>
    <tableColumn id="2" xr3:uid="{004A426F-CD32-634E-A793-29BEB6F66FFA}" name="C=1" dataDxfId="50"/>
    <tableColumn id="3" xr3:uid="{A6A8B09D-48E7-6E47-9B7A-F7EA53CFE54A}" name="c=2" dataDxfId="49"/>
    <tableColumn id="4" xr3:uid="{BD9AFC9A-7F93-F640-BBB7-D1A1C432D65C}" name="c=3" dataDxfId="48"/>
    <tableColumn id="5" xr3:uid="{F34950E3-2627-9A46-B50D-AF1B8B6226E3}" name="C=4" dataDxfId="47"/>
    <tableColumn id="6" xr3:uid="{C186945E-3B79-DF44-B46D-D9C14E91E9CB}" name="c=5" dataDxfId="46"/>
    <tableColumn id="7" xr3:uid="{CCC88003-4604-054F-96FC-FE59EFDDE5ED}" name="C=6" dataDxfId="45"/>
    <tableColumn id="8" xr3:uid="{BD23307D-F33B-E149-96F5-0EB6BCBBC7A9}" name="c=7" dataDxfId="44"/>
    <tableColumn id="9" xr3:uid="{04BB15DA-31C5-1B41-A2D8-90286F0B5707}" name="c=8" dataDxfId="4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645359-855B-E14D-BF7E-B0C61B26E1D9}" name="Tabella5" displayName="Tabella5" ref="D8:Q40" totalsRowShown="0" headerRowDxfId="77" headerRowCellStyle="Normale 2">
  <autoFilter ref="D8:Q40" xr:uid="{31162D2C-57BC-944B-9A68-B4AC8157EB04}"/>
  <tableColumns count="14">
    <tableColumn id="1" xr3:uid="{41A0B0BD-3EED-8C41-A367-25A6698514AA}" name="PATH ID"/>
    <tableColumn id="2" xr3:uid="{D6863935-5AD4-6042-A881-CE0C334EC862}" name="CHECK-IN 1" dataDxfId="76"/>
    <tableColumn id="3" xr3:uid="{19ADAD42-A85F-8646-9118-38DAEBEDA901}" name="CHECK-IN 2"/>
    <tableColumn id="4" xr3:uid="{A50B3CA8-3C28-8447-B3C1-D8599B0CA089}" name="SECURITY 1" dataDxfId="75"/>
    <tableColumn id="5" xr3:uid="{B198EFBE-4A9B-7746-8153-DF91BE18D4D9}" name="SECURITY 2"/>
    <tableColumn id="6" xr3:uid="{B3F349DE-B670-6146-BAA9-45F0C931208F}" name="ID CHECK- DOM"/>
    <tableColumn id="7" xr3:uid="{40C2A09A-44A3-4548-8571-E6B82A0B9F21}" name="ID CHECK-INT" dataDxfId="74"/>
    <tableColumn id="8" xr3:uid="{019D3FCC-4060-4F45-9E65-88042DD96B38}" name="FAST FOOD"/>
    <tableColumn id="9" xr3:uid="{0AC52355-E2E9-2F47-890F-1C702D8A7BB4}" name="RESTAURANT " dataDxfId="73"/>
    <tableColumn id="10" xr3:uid="{B093662E-2325-3B44-9107-A66F3167331C}" name="RELA1ATION AREA" dataDxfId="72"/>
    <tableColumn id="11" xr3:uid="{FC4BA894-C6E3-3346-941E-D7DC56C4153A}" name="BOARDING- DOM"/>
    <tableColumn id="12" xr3:uid="{2C24EB61-CCC6-CC40-B573-D214BA622655}" name="SCRAP1" dataDxfId="71"/>
    <tableColumn id="13" xr3:uid="{A04383F3-917E-B04A-B0C2-E60CF3E808B4}" name="BOARDING-INT" dataDxfId="70"/>
    <tableColumn id="14" xr3:uid="{ED7C0E99-EF7B-4644-8879-00A5E3564163}" name="SCRAP2" dataDxfId="6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CC3894-7EFC-A546-A64D-C79D368C722C}" name="Tabella57" displayName="Tabella57" ref="D42:W76" totalsRowCount="1" headerRowDxfId="68" headerRowCellStyle="Normale 2">
  <autoFilter ref="D42:W75" xr:uid="{14A3E436-8D47-A146-A840-B8F34F0A2BC5}"/>
  <tableColumns count="20">
    <tableColumn id="1" xr3:uid="{F74CEDA4-096B-5442-8978-984AE567E26D}" name="PATH ID"/>
    <tableColumn id="2" xr3:uid="{43224FF0-970C-D04A-8308-6841FA2DC2BE}" name="CHECK-IN 1" dataDxfId="67" totalsRowDxfId="10"/>
    <tableColumn id="3" xr3:uid="{90C14E69-8074-6B41-AB7C-CBCEA1658C55}" name="CHECK-IN 2"/>
    <tableColumn id="4" xr3:uid="{79F0E522-B418-9544-A1B7-D5D16DE416EB}" name="SECURITY 1" dataDxfId="66" totalsRowDxfId="9"/>
    <tableColumn id="5" xr3:uid="{816720F8-C0C4-384A-B4DB-B1576C8E45E3}" name="SECURITY 2"/>
    <tableColumn id="6" xr3:uid="{F3D05A42-0E16-DA45-B673-19F1CC630613}" name="ID CHECK- DOM"/>
    <tableColumn id="7" xr3:uid="{4A776070-85C4-BA43-B1C3-AB11A64A7CD0}" name="ID CHECK-INT" dataDxfId="65" totalsRowDxfId="8"/>
    <tableColumn id="8" xr3:uid="{C53C372C-14C0-AC44-A3FB-B1F334B4F0B7}" name="FAST FOOD"/>
    <tableColumn id="9" xr3:uid="{00E948BA-7AF1-A94B-879B-F74C42891388}" name="RESTAURANT " dataDxfId="64" totalsRowDxfId="7"/>
    <tableColumn id="10" xr3:uid="{B3756B27-7FB6-EB4E-A131-FD7943A270AA}" name="RELA1ATION AREA" dataDxfId="63" totalsRowDxfId="6"/>
    <tableColumn id="11" xr3:uid="{41192998-9DA2-9740-9EF7-6C6F894C6E9E}" name="BOARDING- DOM"/>
    <tableColumn id="12" xr3:uid="{7805820F-4E1D-9443-B6FD-361667586FF7}" name="SCRAP1"/>
    <tableColumn id="13" xr3:uid="{CE052AF9-F481-8848-827B-27DE8BFA872D}" name="BOARDING-INT" dataDxfId="62" totalsRowDxfId="5"/>
    <tableColumn id="14" xr3:uid="{24A55954-7498-4746-AC89-AFD96A681B9C}" name="SCRAP2"/>
    <tableColumn id="15" xr3:uid="{00DCAE59-B354-F545-AA2D-39AC01B8EC89}" name="Frequency computations" dataDxfId="61" totalsRowDxfId="4"/>
    <tableColumn id="16" xr3:uid="{5340EA95-1451-2846-89C4-1C0C71DB0898}" name="Frequency results" dataDxfId="60" totalsRowDxfId="3"/>
    <tableColumn id="17" xr3:uid="{9FAD2FA9-DD44-3D42-8ADE-B0B550385520}" name="Ws computations" totalsRowFunction="custom" dataDxfId="0" totalsRowDxfId="2">
      <calculatedColumnFormula>Tabella57[[#This Row],[Ws '[min']]]*Tabella57[[#This Row],[Frequency results]]</calculatedColumnFormula>
      <totalsRowFormula>S44+S46+S48+S50+S52+S54+S56+S58+S60+S62+S64+S66+S68+S70+S72+S74</totalsRowFormula>
    </tableColumn>
    <tableColumn id="18" xr3:uid="{CD8F5D23-BF5F-A849-80F2-9C3525258979}" name="Ws [min]" dataDxfId="59"/>
    <tableColumn id="19" xr3:uid="{0ECCA075-561D-3543-8067-A6406C0797FD}" name="Frequency Adj" dataDxfId="58" totalsRowDxfId="1"/>
    <tableColumn id="22" xr3:uid="{B992AFB8-591B-C345-9519-D156C311AEEA}" name="Ws * Frequency Adj" dataDxfId="5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3A7F1A-6B9C-2641-A195-D33FF65C8E25}" name="Tabella55" displayName="Tabella55" ref="I22:V54" totalsRowShown="0" headerRowDxfId="42" headerRowCellStyle="Normale 2">
  <autoFilter ref="I22:V54" xr:uid="{20EDD826-2BA4-E449-B8C1-D186FD08B32C}"/>
  <tableColumns count="14">
    <tableColumn id="1" xr3:uid="{2A27D0AD-2423-3746-9AA1-E8178F6AD714}" name="PATH ID"/>
    <tableColumn id="2" xr3:uid="{45475E8B-B3A5-1749-B7E7-427F4B21A6B3}" name="CHECK-IN 1" dataDxfId="41"/>
    <tableColumn id="3" xr3:uid="{D7D1079A-6997-514C-B967-A09F94B72CE0}" name="CHECK-IN 2"/>
    <tableColumn id="4" xr3:uid="{3B71E6FE-6F1F-404B-8A67-87CB842B0B52}" name="SECURITY 1" dataDxfId="40"/>
    <tableColumn id="5" xr3:uid="{31CD8C9C-5B36-2946-88C9-7D9A42E9EBE9}" name="SECURITY 2"/>
    <tableColumn id="6" xr3:uid="{B9E223C5-D614-374B-8F8C-0262985A1A10}" name="ID CHECK- DOM"/>
    <tableColumn id="7" xr3:uid="{23C4501D-52BF-EB48-A7E0-44FA897092B3}" name="ID CHECK-INT" dataDxfId="39"/>
    <tableColumn id="8" xr3:uid="{3A3D6AEF-E4BB-7742-9CCF-BB3393B496B6}" name="FAST FOOD"/>
    <tableColumn id="9" xr3:uid="{F22C7328-11CF-9D4B-A71D-B5296AD06F84}" name="RESTAURANT " dataDxfId="38"/>
    <tableColumn id="10" xr3:uid="{FA3BFAAC-F6CF-BA46-9FCF-A6F771A62BD5}" name="RELA1ATION AREA" dataDxfId="37"/>
    <tableColumn id="11" xr3:uid="{996DA303-1B24-754D-9C65-7718AAFE534D}" name="BOARDING- DOM"/>
    <tableColumn id="12" xr3:uid="{9FDEF9FE-A93F-A24E-8915-3A6A027FC3F1}" name="SCRAP1" dataDxfId="36"/>
    <tableColumn id="13" xr3:uid="{E2847DBF-A23D-D543-8ABC-541838AA0B0A}" name="BOARDING-INT" dataDxfId="35"/>
    <tableColumn id="14" xr3:uid="{0BB9A35D-5EFC-2E4C-AFAA-47B57F105AF1}" name="SCRAP2" dataDxfId="3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D898932-901F-5140-9BEA-B5E4940C7E14}" name="Tabella578" displayName="Tabella578" ref="I56:AB90" totalsRowCount="1" headerRowDxfId="33" headerRowCellStyle="Normale 2">
  <autoFilter ref="I56:AB89" xr:uid="{AB30A66B-DAB0-CA4F-B72C-4F75E23B5104}"/>
  <tableColumns count="20">
    <tableColumn id="1" xr3:uid="{159A7591-1125-DE49-9E01-FCFBD2292FAA}" name="PATH ID"/>
    <tableColumn id="2" xr3:uid="{8FD052A0-8592-A443-904C-C9D7DEE97AD1}" name="CHECK-IN 1" dataDxfId="32" totalsRowDxfId="31"/>
    <tableColumn id="3" xr3:uid="{5FBECF72-B833-9F46-A8FB-46B96A7F4B1E}" name="CHECK-IN 2"/>
    <tableColumn id="4" xr3:uid="{0AD23040-8ED9-8349-B93C-2B540473BDEC}" name="SECURITY 1" dataDxfId="30" totalsRowDxfId="29"/>
    <tableColumn id="5" xr3:uid="{14436B4A-188F-744E-8E85-B5DCDD1A5CB4}" name="SECURITY 2"/>
    <tableColumn id="6" xr3:uid="{689C14CE-A38E-F249-96FA-DD90C71E78AE}" name="ID CHECK- DOM"/>
    <tableColumn id="7" xr3:uid="{690B64E6-EC92-1D4B-AC7A-6B4ED4437D94}" name="ID CHECK-INT" dataDxfId="28" totalsRowDxfId="27"/>
    <tableColumn id="8" xr3:uid="{39AE42D2-6E9D-0D4B-9182-4E613AEE9CFB}" name="FAST FOOD"/>
    <tableColumn id="9" xr3:uid="{B3820030-681F-4644-A5FA-CCD272B38DC1}" name="RESTAURANT " dataDxfId="26" totalsRowDxfId="25"/>
    <tableColumn id="10" xr3:uid="{26E9F794-6F45-CD48-B288-65CBA15E8CCF}" name="RELA1ATION AREA" dataDxfId="24" totalsRowDxfId="23"/>
    <tableColumn id="11" xr3:uid="{27B32D49-FC6D-0142-9A2D-5722622FC5EB}" name="BOARDING- DOM"/>
    <tableColumn id="12" xr3:uid="{177571CE-A37C-D34D-BD4F-8FFB9FB932B7}" name="SCRAP1"/>
    <tableColumn id="13" xr3:uid="{0BC10DE3-2BB1-B34A-A910-8F3DFC7B6AE0}" name="BOARDING-INT" dataDxfId="22" totalsRowDxfId="21"/>
    <tableColumn id="14" xr3:uid="{760C9078-E248-9943-98F2-D9E5500124CB}" name="SCRAP2"/>
    <tableColumn id="15" xr3:uid="{105DC7AD-4F08-C24E-A377-513F75084B30}" name="Frequency computations" dataDxfId="20" totalsRowDxfId="19"/>
    <tableColumn id="16" xr3:uid="{974BB837-4AB5-1642-AAB6-6EC668FDC071}" name="Frequency results" dataDxfId="18" totalsRowDxfId="17">
      <calculatedColumnFormula>PRODUCT(Tabella578[[#This Row],[CHECK-IN 1]:[SCRAP2]])</calculatedColumnFormula>
    </tableColumn>
    <tableColumn id="17" xr3:uid="{8B6796C9-967D-2941-9F51-ED27E9462F37}" name="Ws computations" totalsRowFunction="custom" dataDxfId="16" totalsRowDxfId="15">
      <totalsRowFormula>X58+X60+X62+X64+X66+X68+X70+X72+X74+X76+X78+X80+X82+X84+X86+X88</totalsRowFormula>
    </tableColumn>
    <tableColumn id="18" xr3:uid="{202EC153-509F-C243-97DD-EA06CBC73527}" name="Ws [min]" dataDxfId="14">
      <calculatedColumnFormula array="1">MMULT(J23:V23,$T$65:$T$77)</calculatedColumnFormula>
    </tableColumn>
    <tableColumn id="19" xr3:uid="{95672689-AEA2-5348-81BB-08D20CA5FF54}" name="Frequency Adj" dataDxfId="13" totalsRowDxfId="12">
      <calculatedColumnFormula>PRODUCT(Tabella578[[#This Row],[CHECK-IN 1]:[RELA1ATION AREA]])</calculatedColumnFormula>
    </tableColumn>
    <tableColumn id="22" xr3:uid="{74184D13-FC11-034A-9CF5-A36B8B5ED1DD}" name="Ws * Frequency Adj" dataDxfId="11">
      <calculatedColumnFormula>Tabella578[[#This Row],[Ws '[min']]]*Tabella578[[#This Row],[Frequency Adj]]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vio.mancosu@mail.polimi.it" TargetMode="External"/><Relationship Id="rId2" Type="http://schemas.openxmlformats.org/officeDocument/2006/relationships/hyperlink" Target="mailto:isabella.spinardi@mail.polimi.it" TargetMode="External"/><Relationship Id="rId1" Type="http://schemas.openxmlformats.org/officeDocument/2006/relationships/hyperlink" Target="mailto:carolina.trotta@mail.polimi.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ynar.suleimenova@mail.polimi.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0306-C2E2-1A4D-A0E9-43EA4C2694D5}">
  <dimension ref="C3:F7"/>
  <sheetViews>
    <sheetView zoomScale="125" workbookViewId="0">
      <selection activeCell="J2" sqref="J2"/>
    </sheetView>
  </sheetViews>
  <sheetFormatPr defaultColWidth="10.796875" defaultRowHeight="15.6" x14ac:dyDescent="0.3"/>
  <cols>
    <col min="6" max="6" width="11.796875" customWidth="1"/>
  </cols>
  <sheetData>
    <row r="3" spans="3:6" x14ac:dyDescent="0.3">
      <c r="C3" s="245" t="s">
        <v>112</v>
      </c>
      <c r="D3" s="245"/>
      <c r="E3" s="245"/>
      <c r="F3" s="245"/>
    </row>
    <row r="4" spans="3:6" x14ac:dyDescent="0.3">
      <c r="C4" t="s">
        <v>0</v>
      </c>
      <c r="D4" t="s">
        <v>1</v>
      </c>
      <c r="E4">
        <v>10933444</v>
      </c>
      <c r="F4" s="37" t="s">
        <v>116</v>
      </c>
    </row>
    <row r="5" spans="3:6" x14ac:dyDescent="0.3">
      <c r="C5" t="s">
        <v>2</v>
      </c>
      <c r="D5" t="s">
        <v>3</v>
      </c>
      <c r="E5">
        <v>10935104</v>
      </c>
      <c r="F5" s="37" t="s">
        <v>117</v>
      </c>
    </row>
    <row r="6" spans="3:6" x14ac:dyDescent="0.3">
      <c r="C6" t="s">
        <v>97</v>
      </c>
      <c r="D6" t="s">
        <v>98</v>
      </c>
      <c r="E6">
        <v>10897214</v>
      </c>
      <c r="F6" s="37" t="s">
        <v>119</v>
      </c>
    </row>
    <row r="7" spans="3:6" x14ac:dyDescent="0.3">
      <c r="C7" t="s">
        <v>99</v>
      </c>
      <c r="D7" t="s">
        <v>100</v>
      </c>
      <c r="E7">
        <v>10728014</v>
      </c>
      <c r="F7" s="37" t="s">
        <v>118</v>
      </c>
    </row>
  </sheetData>
  <mergeCells count="1">
    <mergeCell ref="C3:F3"/>
  </mergeCells>
  <hyperlinks>
    <hyperlink ref="F4" r:id="rId1" xr:uid="{AB2AD3C4-0236-6B47-8560-FA67233B422B}"/>
    <hyperlink ref="F5" r:id="rId2" xr:uid="{087C7F56-96ED-A546-A7E4-DBF51E4B0196}"/>
    <hyperlink ref="F7" r:id="rId3" xr:uid="{03DF61F9-5CFF-554A-ACFE-23F7DB6C9512}"/>
    <hyperlink ref="F6" r:id="rId4" xr:uid="{F12EE404-95CE-114C-8E18-251EE109F7BA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80D9-F667-C447-8409-751D7BF4C703}">
  <dimension ref="B2:AI122"/>
  <sheetViews>
    <sheetView topLeftCell="AF15" zoomScale="86" zoomScaleNormal="88" workbookViewId="0">
      <selection activeCell="U27" sqref="U27"/>
    </sheetView>
  </sheetViews>
  <sheetFormatPr defaultColWidth="8.796875" defaultRowHeight="14.4" x14ac:dyDescent="0.3"/>
  <cols>
    <col min="1" max="18" width="8.796875" style="1"/>
    <col min="19" max="19" width="8.796875" style="1" customWidth="1"/>
    <col min="20" max="20" width="9.296875" style="1" customWidth="1"/>
    <col min="21" max="21" width="9.69921875" style="1" customWidth="1"/>
    <col min="22" max="28" width="8.796875" style="1"/>
    <col min="29" max="29" width="16.296875" style="1" customWidth="1"/>
    <col min="30" max="30" width="18.5" style="1" customWidth="1"/>
    <col min="31" max="31" width="18.69921875" style="1" customWidth="1"/>
    <col min="32" max="32" width="86.5" style="1" customWidth="1"/>
    <col min="33" max="33" width="79.19921875" style="1" customWidth="1"/>
    <col min="34" max="39" width="8.796875" style="1" customWidth="1"/>
    <col min="40" max="16384" width="8.796875" style="1"/>
  </cols>
  <sheetData>
    <row r="2" spans="2:35" x14ac:dyDescent="0.3">
      <c r="B2" s="270" t="s">
        <v>4</v>
      </c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70"/>
      <c r="N2" s="270"/>
      <c r="O2" s="270"/>
      <c r="P2" s="270"/>
      <c r="Q2" s="270"/>
      <c r="R2" s="270"/>
      <c r="S2" s="270"/>
      <c r="T2" s="270"/>
      <c r="U2" s="270"/>
      <c r="V2" s="270"/>
      <c r="W2" s="270"/>
      <c r="X2" s="270"/>
      <c r="Y2" s="270"/>
      <c r="Z2" s="270"/>
      <c r="AA2" s="270"/>
    </row>
    <row r="4" spans="2:35" ht="15" thickBot="1" x14ac:dyDescent="0.35">
      <c r="AC4" s="2" t="s">
        <v>5</v>
      </c>
      <c r="AD4" s="2" t="s">
        <v>6</v>
      </c>
    </row>
    <row r="5" spans="2:35" ht="16.2" thickBot="1" x14ac:dyDescent="0.35">
      <c r="AC5" s="3" t="s">
        <v>7</v>
      </c>
      <c r="AD5" s="4">
        <f>15%*80000</f>
        <v>12000</v>
      </c>
      <c r="AE5" s="5" t="s">
        <v>8</v>
      </c>
      <c r="AF5" s="6"/>
      <c r="AG5" s="6"/>
      <c r="AH5" s="6"/>
      <c r="AI5" s="7"/>
    </row>
    <row r="6" spans="2:35" x14ac:dyDescent="0.3">
      <c r="F6" s="252" t="s">
        <v>9</v>
      </c>
      <c r="G6" s="253"/>
      <c r="M6" s="271" t="s">
        <v>10</v>
      </c>
      <c r="N6" s="272"/>
      <c r="T6" s="277" t="s">
        <v>11</v>
      </c>
      <c r="U6" s="278"/>
      <c r="AC6" s="3" t="s">
        <v>12</v>
      </c>
      <c r="AD6" s="4">
        <f>30%*80000</f>
        <v>24000</v>
      </c>
      <c r="AE6" s="22" t="s">
        <v>13</v>
      </c>
      <c r="AF6" s="8" t="s">
        <v>14</v>
      </c>
      <c r="AG6" s="9" t="s">
        <v>15</v>
      </c>
      <c r="AH6" s="9">
        <f>100%*(36000)+10%*36000</f>
        <v>39600</v>
      </c>
      <c r="AI6" s="10"/>
    </row>
    <row r="7" spans="2:35" x14ac:dyDescent="0.3">
      <c r="F7" s="254"/>
      <c r="G7" s="255"/>
      <c r="M7" s="273"/>
      <c r="N7" s="274"/>
      <c r="T7" s="279"/>
      <c r="U7" s="280"/>
      <c r="AC7" s="3" t="s">
        <v>16</v>
      </c>
      <c r="AD7" s="4">
        <f>55%*80000</f>
        <v>44000</v>
      </c>
      <c r="AE7" s="22"/>
      <c r="AF7" s="11" t="s">
        <v>17</v>
      </c>
      <c r="AG7" s="8"/>
      <c r="AH7" s="11" t="s">
        <v>18</v>
      </c>
      <c r="AI7" s="10"/>
    </row>
    <row r="8" spans="2:35" x14ac:dyDescent="0.3">
      <c r="C8" s="1" t="s">
        <v>19</v>
      </c>
      <c r="F8" s="254"/>
      <c r="G8" s="255"/>
      <c r="M8" s="273"/>
      <c r="N8" s="274"/>
      <c r="T8" s="279"/>
      <c r="U8" s="280"/>
      <c r="AE8" s="23" t="s">
        <v>20</v>
      </c>
      <c r="AF8" s="8" t="s">
        <v>21</v>
      </c>
      <c r="AG8" s="9" t="s">
        <v>22</v>
      </c>
      <c r="AH8" s="9">
        <f>100%*(36000)+10%*36000</f>
        <v>39600</v>
      </c>
      <c r="AI8" s="10"/>
    </row>
    <row r="9" spans="2:35" ht="15" thickBot="1" x14ac:dyDescent="0.35">
      <c r="F9" s="256"/>
      <c r="G9" s="257"/>
      <c r="M9" s="275"/>
      <c r="N9" s="276"/>
      <c r="T9" s="281"/>
      <c r="U9" s="282"/>
      <c r="AE9" s="12"/>
      <c r="AI9" s="10"/>
    </row>
    <row r="10" spans="2:35" ht="15" thickBot="1" x14ac:dyDescent="0.35">
      <c r="AE10" s="12"/>
      <c r="AF10" s="13"/>
      <c r="AG10" s="13"/>
      <c r="AH10" s="13"/>
      <c r="AI10" s="10"/>
    </row>
    <row r="11" spans="2:35" ht="15.6" x14ac:dyDescent="0.3">
      <c r="AE11" s="14" t="s">
        <v>23</v>
      </c>
      <c r="AF11" s="6"/>
      <c r="AG11" s="6"/>
      <c r="AH11" s="6"/>
      <c r="AI11" s="7"/>
    </row>
    <row r="12" spans="2:35" x14ac:dyDescent="0.3">
      <c r="AE12" s="23" t="s">
        <v>13</v>
      </c>
      <c r="AF12" s="24" t="s">
        <v>21</v>
      </c>
      <c r="AG12" s="9" t="s">
        <v>22</v>
      </c>
      <c r="AH12" s="9">
        <f>110%*(36000)</f>
        <v>39600</v>
      </c>
      <c r="AI12" s="10"/>
    </row>
    <row r="13" spans="2:35" ht="15" thickBot="1" x14ac:dyDescent="0.35">
      <c r="AE13" s="23"/>
      <c r="AF13" s="11" t="s">
        <v>17</v>
      </c>
      <c r="AG13" s="8"/>
      <c r="AH13" s="11" t="s">
        <v>18</v>
      </c>
      <c r="AI13" s="10"/>
    </row>
    <row r="14" spans="2:35" x14ac:dyDescent="0.3">
      <c r="P14" s="283" t="s">
        <v>24</v>
      </c>
      <c r="Q14" s="284"/>
      <c r="AE14" s="23" t="s">
        <v>20</v>
      </c>
      <c r="AF14" s="24" t="s">
        <v>25</v>
      </c>
      <c r="AG14" s="9" t="s">
        <v>26</v>
      </c>
      <c r="AH14" s="9">
        <f>100%*(12000+24000)+10%*(12000+24000)</f>
        <v>39600</v>
      </c>
      <c r="AI14" s="10"/>
    </row>
    <row r="15" spans="2:35" x14ac:dyDescent="0.3">
      <c r="P15" s="285"/>
      <c r="Q15" s="286"/>
      <c r="AE15" s="25"/>
      <c r="AI15" s="10"/>
    </row>
    <row r="16" spans="2:35" ht="14.55" customHeight="1" thickBot="1" x14ac:dyDescent="0.35">
      <c r="P16" s="285"/>
      <c r="Q16" s="286"/>
      <c r="AE16" s="25"/>
      <c r="AF16" s="26"/>
      <c r="AG16" s="13"/>
      <c r="AH16" s="13"/>
      <c r="AI16" s="10"/>
    </row>
    <row r="17" spans="16:35" ht="16.2" thickBot="1" x14ac:dyDescent="0.35">
      <c r="P17" s="287"/>
      <c r="Q17" s="288"/>
      <c r="AE17" s="27" t="s">
        <v>27</v>
      </c>
      <c r="AF17" s="28"/>
      <c r="AG17" s="6"/>
      <c r="AH17" s="6"/>
      <c r="AI17" s="7"/>
    </row>
    <row r="18" spans="16:35" x14ac:dyDescent="0.3">
      <c r="AE18" s="23" t="s">
        <v>13</v>
      </c>
      <c r="AF18" s="24" t="s">
        <v>28</v>
      </c>
      <c r="AG18" s="9" t="s">
        <v>29</v>
      </c>
      <c r="AH18" s="9">
        <f>100%*(12000+24000+44000)+15%*(12000+24000+44000)</f>
        <v>92000</v>
      </c>
      <c r="AI18" s="10"/>
    </row>
    <row r="19" spans="16:35" x14ac:dyDescent="0.3">
      <c r="AE19" s="23"/>
      <c r="AF19" s="11" t="s">
        <v>17</v>
      </c>
      <c r="AG19" s="8"/>
      <c r="AH19" s="11" t="s">
        <v>18</v>
      </c>
      <c r="AI19" s="10"/>
    </row>
    <row r="20" spans="16:35" x14ac:dyDescent="0.3">
      <c r="AE20" s="23" t="s">
        <v>20</v>
      </c>
      <c r="AF20" s="24" t="s">
        <v>30</v>
      </c>
      <c r="AG20" s="9" t="s">
        <v>31</v>
      </c>
      <c r="AH20" s="9">
        <f>80000+(15%*80000)</f>
        <v>92000</v>
      </c>
      <c r="AI20" s="10"/>
    </row>
    <row r="21" spans="16:35" x14ac:dyDescent="0.3">
      <c r="AE21" s="25"/>
      <c r="AI21" s="10"/>
    </row>
    <row r="22" spans="16:35" ht="15" thickBot="1" x14ac:dyDescent="0.35">
      <c r="AE22" s="25"/>
      <c r="AF22" s="26"/>
      <c r="AG22" s="13"/>
      <c r="AH22" s="13"/>
      <c r="AI22" s="10"/>
    </row>
    <row r="23" spans="16:35" ht="15.6" x14ac:dyDescent="0.3">
      <c r="AE23" s="27" t="s">
        <v>32</v>
      </c>
      <c r="AF23" s="28"/>
      <c r="AG23" s="6"/>
      <c r="AH23" s="6"/>
      <c r="AI23" s="7"/>
    </row>
    <row r="24" spans="16:35" x14ac:dyDescent="0.3">
      <c r="AE24" s="23" t="s">
        <v>33</v>
      </c>
      <c r="AF24" s="24" t="s">
        <v>30</v>
      </c>
      <c r="AG24" s="9" t="s">
        <v>34</v>
      </c>
      <c r="AH24" s="9">
        <f>80000+(15%*80000)</f>
        <v>92000</v>
      </c>
      <c r="AI24" s="10"/>
    </row>
    <row r="25" spans="16:35" x14ac:dyDescent="0.3">
      <c r="U25" s="15"/>
      <c r="AE25" s="23"/>
      <c r="AF25" s="11" t="s">
        <v>17</v>
      </c>
      <c r="AG25" s="8"/>
      <c r="AH25" s="11" t="s">
        <v>18</v>
      </c>
      <c r="AI25" s="10"/>
    </row>
    <row r="26" spans="16:35" x14ac:dyDescent="0.3">
      <c r="AE26" s="23" t="s">
        <v>35</v>
      </c>
      <c r="AF26" s="24" t="s">
        <v>36</v>
      </c>
      <c r="AG26" s="9" t="s">
        <v>37</v>
      </c>
      <c r="AH26" s="9">
        <f>80000+80000*15%</f>
        <v>92000</v>
      </c>
      <c r="AI26" s="10"/>
    </row>
    <row r="27" spans="16:35" x14ac:dyDescent="0.3">
      <c r="AE27" s="25"/>
      <c r="AI27" s="10"/>
    </row>
    <row r="28" spans="16:35" ht="15" thickBot="1" x14ac:dyDescent="0.35">
      <c r="AE28" s="25"/>
      <c r="AF28" s="26"/>
      <c r="AG28" s="13"/>
      <c r="AH28" s="13"/>
      <c r="AI28" s="10"/>
    </row>
    <row r="29" spans="16:35" ht="15.6" x14ac:dyDescent="0.3">
      <c r="AE29" s="27" t="s">
        <v>38</v>
      </c>
      <c r="AF29" s="28"/>
      <c r="AG29" s="6"/>
      <c r="AH29" s="6"/>
      <c r="AI29" s="7"/>
    </row>
    <row r="30" spans="16:35" ht="15" customHeight="1" x14ac:dyDescent="0.3">
      <c r="AE30" s="23" t="s">
        <v>33</v>
      </c>
      <c r="AF30" s="24" t="s">
        <v>39</v>
      </c>
      <c r="AG30" s="9" t="s">
        <v>40</v>
      </c>
      <c r="AH30" s="9">
        <f>80000</f>
        <v>80000</v>
      </c>
      <c r="AI30" s="10"/>
    </row>
    <row r="31" spans="16:35" x14ac:dyDescent="0.3">
      <c r="AE31" s="23"/>
      <c r="AF31" s="11" t="s">
        <v>17</v>
      </c>
      <c r="AG31" s="8"/>
      <c r="AH31" s="11" t="s">
        <v>18</v>
      </c>
      <c r="AI31" s="10"/>
    </row>
    <row r="32" spans="16:35" ht="15" thickBot="1" x14ac:dyDescent="0.35">
      <c r="AE32" s="23" t="s">
        <v>35</v>
      </c>
      <c r="AF32" s="24" t="s">
        <v>41</v>
      </c>
      <c r="AG32" s="9" t="s">
        <v>42</v>
      </c>
      <c r="AH32" s="9">
        <f>60%*80000+40%*80000</f>
        <v>80000</v>
      </c>
      <c r="AI32" s="10"/>
    </row>
    <row r="33" spans="13:35" ht="14.55" customHeight="1" x14ac:dyDescent="0.3">
      <c r="P33" s="246" t="s">
        <v>43</v>
      </c>
      <c r="Q33" s="247"/>
      <c r="T33" s="252" t="s">
        <v>44</v>
      </c>
      <c r="U33" s="253"/>
      <c r="X33" s="258" t="s">
        <v>45</v>
      </c>
      <c r="Y33" s="259"/>
      <c r="AE33" s="25"/>
      <c r="AI33" s="10"/>
    </row>
    <row r="34" spans="13:35" ht="15" thickBot="1" x14ac:dyDescent="0.35">
      <c r="P34" s="248"/>
      <c r="Q34" s="249"/>
      <c r="T34" s="254"/>
      <c r="U34" s="255"/>
      <c r="X34" s="260"/>
      <c r="Y34" s="261"/>
      <c r="AE34" s="25"/>
      <c r="AF34" s="26"/>
      <c r="AG34" s="13"/>
      <c r="AH34" s="13"/>
      <c r="AI34" s="10"/>
    </row>
    <row r="35" spans="13:35" ht="16.2" thickBot="1" x14ac:dyDescent="0.35">
      <c r="P35" s="248"/>
      <c r="Q35" s="249"/>
      <c r="T35" s="254"/>
      <c r="U35" s="255"/>
      <c r="X35" s="260"/>
      <c r="Y35" s="261"/>
      <c r="AE35" s="27" t="s">
        <v>46</v>
      </c>
      <c r="AF35" s="28"/>
      <c r="AG35" s="6"/>
      <c r="AH35" s="6"/>
      <c r="AI35" s="7"/>
    </row>
    <row r="36" spans="13:35" ht="15" thickBot="1" x14ac:dyDescent="0.35">
      <c r="M36" s="264" t="s">
        <v>47</v>
      </c>
      <c r="N36" s="265"/>
      <c r="P36" s="250"/>
      <c r="Q36" s="251"/>
      <c r="T36" s="256"/>
      <c r="U36" s="257"/>
      <c r="X36" s="262"/>
      <c r="Y36" s="263"/>
      <c r="AE36" s="23" t="s">
        <v>33</v>
      </c>
      <c r="AF36" s="24" t="s">
        <v>48</v>
      </c>
      <c r="AG36" s="9" t="s">
        <v>49</v>
      </c>
      <c r="AH36" s="9">
        <v>80000</v>
      </c>
      <c r="AI36" s="10"/>
    </row>
    <row r="37" spans="13:35" x14ac:dyDescent="0.3">
      <c r="M37" s="266"/>
      <c r="N37" s="267"/>
      <c r="AE37" s="23"/>
      <c r="AF37" s="11" t="s">
        <v>17</v>
      </c>
      <c r="AH37" s="11" t="s">
        <v>18</v>
      </c>
      <c r="AI37" s="10"/>
    </row>
    <row r="38" spans="13:35" x14ac:dyDescent="0.3">
      <c r="M38" s="266"/>
      <c r="N38" s="267"/>
      <c r="AE38" s="23" t="s">
        <v>35</v>
      </c>
      <c r="AF38" s="24" t="s">
        <v>39</v>
      </c>
      <c r="AG38" s="9" t="s">
        <v>40</v>
      </c>
      <c r="AH38" s="9">
        <v>80000</v>
      </c>
      <c r="AI38" s="10"/>
    </row>
    <row r="39" spans="13:35" ht="15" thickBot="1" x14ac:dyDescent="0.35">
      <c r="M39" s="268"/>
      <c r="N39" s="269"/>
      <c r="AE39" s="25"/>
      <c r="AI39" s="10"/>
    </row>
    <row r="40" spans="13:35" ht="15" thickBot="1" x14ac:dyDescent="0.35">
      <c r="AE40" s="25"/>
      <c r="AF40" s="26"/>
      <c r="AG40" s="13"/>
      <c r="AH40" s="13"/>
      <c r="AI40" s="10"/>
    </row>
    <row r="41" spans="13:35" ht="15.6" x14ac:dyDescent="0.3">
      <c r="AE41" s="27" t="s">
        <v>50</v>
      </c>
      <c r="AF41" s="28"/>
      <c r="AG41" s="6"/>
      <c r="AH41" s="6"/>
      <c r="AI41" s="7"/>
    </row>
    <row r="42" spans="13:35" x14ac:dyDescent="0.3">
      <c r="AE42" s="23" t="s">
        <v>33</v>
      </c>
      <c r="AF42" s="24" t="s">
        <v>39</v>
      </c>
      <c r="AG42" s="9" t="s">
        <v>40</v>
      </c>
      <c r="AH42" s="9">
        <v>80000</v>
      </c>
      <c r="AI42" s="10"/>
    </row>
    <row r="43" spans="13:35" x14ac:dyDescent="0.3">
      <c r="AE43" s="23"/>
      <c r="AF43" s="11" t="s">
        <v>17</v>
      </c>
      <c r="AI43" s="10"/>
    </row>
    <row r="44" spans="13:35" x14ac:dyDescent="0.3">
      <c r="AE44" s="23" t="s">
        <v>35</v>
      </c>
      <c r="AF44" s="24" t="s">
        <v>51</v>
      </c>
      <c r="AG44" s="8" t="s">
        <v>52</v>
      </c>
      <c r="AH44" s="9">
        <v>80000</v>
      </c>
      <c r="AI44" s="10"/>
    </row>
    <row r="45" spans="13:35" x14ac:dyDescent="0.3">
      <c r="AE45" s="25"/>
      <c r="AI45" s="10"/>
    </row>
    <row r="46" spans="13:35" ht="15" thickBot="1" x14ac:dyDescent="0.35">
      <c r="AE46" s="25"/>
      <c r="AF46" s="26"/>
      <c r="AG46" s="13"/>
      <c r="AH46" s="13"/>
      <c r="AI46" s="10"/>
    </row>
    <row r="47" spans="13:35" ht="15.6" x14ac:dyDescent="0.3">
      <c r="AE47" s="27" t="s">
        <v>53</v>
      </c>
      <c r="AF47" s="28"/>
      <c r="AG47" s="6"/>
      <c r="AH47" s="6"/>
      <c r="AI47" s="7"/>
    </row>
    <row r="48" spans="13:35" x14ac:dyDescent="0.3">
      <c r="AE48" s="23" t="s">
        <v>33</v>
      </c>
      <c r="AF48" s="24" t="s">
        <v>54</v>
      </c>
      <c r="AG48" s="16" t="s">
        <v>55</v>
      </c>
      <c r="AH48" s="9">
        <v>14400</v>
      </c>
      <c r="AI48" s="10"/>
    </row>
    <row r="49" spans="20:35" x14ac:dyDescent="0.3">
      <c r="AE49" s="23"/>
      <c r="AF49" s="11" t="s">
        <v>17</v>
      </c>
      <c r="AI49" s="10"/>
    </row>
    <row r="50" spans="20:35" ht="15" thickBot="1" x14ac:dyDescent="0.35">
      <c r="AE50" s="23" t="s">
        <v>35</v>
      </c>
      <c r="AF50" s="24" t="s">
        <v>56</v>
      </c>
      <c r="AG50" s="16" t="s">
        <v>57</v>
      </c>
      <c r="AH50" s="9">
        <v>14400</v>
      </c>
      <c r="AI50" s="10"/>
    </row>
    <row r="51" spans="20:35" ht="15" customHeight="1" x14ac:dyDescent="0.3">
      <c r="T51" s="277" t="s">
        <v>58</v>
      </c>
      <c r="U51" s="278"/>
      <c r="AE51" s="25"/>
      <c r="AI51" s="10"/>
    </row>
    <row r="52" spans="20:35" ht="15" thickBot="1" x14ac:dyDescent="0.35">
      <c r="T52" s="279"/>
      <c r="U52" s="280"/>
      <c r="AE52" s="25"/>
      <c r="AF52" s="26"/>
      <c r="AG52" s="13"/>
      <c r="AH52" s="13"/>
      <c r="AI52" s="10"/>
    </row>
    <row r="53" spans="20:35" ht="15.6" x14ac:dyDescent="0.3">
      <c r="T53" s="279"/>
      <c r="U53" s="280"/>
      <c r="AE53" s="27" t="s">
        <v>59</v>
      </c>
      <c r="AF53" s="28"/>
      <c r="AG53" s="6"/>
      <c r="AH53" s="6"/>
      <c r="AI53" s="7"/>
    </row>
    <row r="54" spans="20:35" ht="15" thickBot="1" x14ac:dyDescent="0.35">
      <c r="T54" s="281"/>
      <c r="U54" s="282"/>
      <c r="AE54" s="23" t="s">
        <v>33</v>
      </c>
      <c r="AF54" s="24" t="s">
        <v>56</v>
      </c>
      <c r="AG54" s="16" t="s">
        <v>57</v>
      </c>
      <c r="AH54" s="9">
        <v>14400</v>
      </c>
      <c r="AI54" s="10"/>
    </row>
    <row r="55" spans="20:35" x14ac:dyDescent="0.3">
      <c r="AE55" s="23"/>
      <c r="AF55" s="11" t="s">
        <v>17</v>
      </c>
      <c r="AG55" s="8"/>
      <c r="AH55" s="11" t="s">
        <v>18</v>
      </c>
      <c r="AI55" s="10"/>
    </row>
    <row r="56" spans="20:35" x14ac:dyDescent="0.3">
      <c r="AE56" s="23" t="s">
        <v>35</v>
      </c>
      <c r="AF56" s="29" t="s">
        <v>54</v>
      </c>
      <c r="AG56" s="16" t="s">
        <v>55</v>
      </c>
      <c r="AH56" s="9">
        <v>14400</v>
      </c>
      <c r="AI56" s="10"/>
    </row>
    <row r="57" spans="20:35" x14ac:dyDescent="0.3">
      <c r="AE57" s="25"/>
      <c r="AF57" s="30"/>
      <c r="AI57" s="10"/>
    </row>
    <row r="58" spans="20:35" ht="15" thickBot="1" x14ac:dyDescent="0.35">
      <c r="AE58" s="289"/>
      <c r="AF58" s="290"/>
      <c r="AG58" s="13"/>
      <c r="AH58" s="13"/>
      <c r="AI58" s="10"/>
    </row>
    <row r="59" spans="20:35" ht="15.6" x14ac:dyDescent="0.3">
      <c r="AE59" s="31" t="s">
        <v>60</v>
      </c>
      <c r="AF59" s="26"/>
      <c r="AG59" s="6"/>
      <c r="AH59" s="6"/>
      <c r="AI59" s="7"/>
    </row>
    <row r="60" spans="20:35" x14ac:dyDescent="0.3">
      <c r="AE60" s="23" t="s">
        <v>33</v>
      </c>
      <c r="AF60" s="24" t="s">
        <v>51</v>
      </c>
      <c r="AG60" s="9" t="s">
        <v>61</v>
      </c>
      <c r="AH60" s="9">
        <v>80000</v>
      </c>
      <c r="AI60" s="10"/>
    </row>
    <row r="61" spans="20:35" x14ac:dyDescent="0.3">
      <c r="AE61" s="23"/>
      <c r="AF61" s="11" t="s">
        <v>17</v>
      </c>
      <c r="AG61" s="8"/>
      <c r="AH61" s="11" t="s">
        <v>18</v>
      </c>
      <c r="AI61" s="10"/>
    </row>
    <row r="62" spans="20:35" x14ac:dyDescent="0.3">
      <c r="AE62" s="23" t="s">
        <v>35</v>
      </c>
      <c r="AF62" s="24" t="s">
        <v>39</v>
      </c>
      <c r="AG62" s="9" t="s">
        <v>62</v>
      </c>
      <c r="AH62" s="9">
        <v>80000</v>
      </c>
      <c r="AI62" s="10"/>
    </row>
    <row r="63" spans="20:35" x14ac:dyDescent="0.3">
      <c r="AE63" s="25"/>
      <c r="AI63" s="10"/>
    </row>
    <row r="64" spans="20:35" ht="15" thickBot="1" x14ac:dyDescent="0.35">
      <c r="AE64" s="25"/>
      <c r="AF64" s="26"/>
      <c r="AG64" s="13"/>
      <c r="AH64" s="13"/>
      <c r="AI64" s="10"/>
    </row>
    <row r="65" spans="13:35" ht="15.6" x14ac:dyDescent="0.3">
      <c r="AE65" s="27" t="s">
        <v>63</v>
      </c>
      <c r="AF65" s="28"/>
      <c r="AG65" s="6"/>
      <c r="AH65" s="6"/>
      <c r="AI65" s="7"/>
    </row>
    <row r="66" spans="13:35" x14ac:dyDescent="0.3">
      <c r="AE66" s="23" t="s">
        <v>33</v>
      </c>
      <c r="AF66" s="24" t="s">
        <v>39</v>
      </c>
      <c r="AG66" s="9" t="s">
        <v>62</v>
      </c>
      <c r="AH66" s="9">
        <v>80000</v>
      </c>
      <c r="AI66" s="10"/>
    </row>
    <row r="67" spans="13:35" x14ac:dyDescent="0.3">
      <c r="AE67" s="23"/>
      <c r="AF67" s="11" t="s">
        <v>17</v>
      </c>
      <c r="AG67" s="8"/>
      <c r="AH67" s="11" t="s">
        <v>18</v>
      </c>
      <c r="AI67" s="10"/>
    </row>
    <row r="68" spans="13:35" x14ac:dyDescent="0.3">
      <c r="AE68" s="23" t="s">
        <v>35</v>
      </c>
      <c r="AF68" s="24" t="s">
        <v>41</v>
      </c>
      <c r="AG68" s="8" t="s">
        <v>42</v>
      </c>
      <c r="AH68" s="9">
        <v>80000</v>
      </c>
      <c r="AI68" s="10"/>
    </row>
    <row r="69" spans="13:35" x14ac:dyDescent="0.3">
      <c r="AE69" s="25"/>
      <c r="AI69" s="10"/>
    </row>
    <row r="70" spans="13:35" ht="15" thickBot="1" x14ac:dyDescent="0.35">
      <c r="AE70" s="25"/>
      <c r="AF70" s="26"/>
      <c r="AG70" s="13"/>
      <c r="AH70" s="13"/>
      <c r="AI70" s="10"/>
    </row>
    <row r="71" spans="13:35" ht="15.6" x14ac:dyDescent="0.3">
      <c r="M71" s="291" t="s">
        <v>64</v>
      </c>
      <c r="N71" s="292"/>
      <c r="T71" s="297" t="s">
        <v>65</v>
      </c>
      <c r="U71" s="298"/>
      <c r="AE71" s="27" t="s">
        <v>66</v>
      </c>
      <c r="AF71" s="28"/>
      <c r="AG71" s="6"/>
      <c r="AH71" s="6"/>
      <c r="AI71" s="7"/>
    </row>
    <row r="72" spans="13:35" x14ac:dyDescent="0.3">
      <c r="M72" s="293"/>
      <c r="N72" s="294"/>
      <c r="T72" s="299"/>
      <c r="U72" s="300"/>
      <c r="AE72" s="23" t="s">
        <v>33</v>
      </c>
      <c r="AF72" s="24" t="s">
        <v>67</v>
      </c>
      <c r="AG72" s="8" t="s">
        <v>68</v>
      </c>
      <c r="AH72" s="9">
        <v>48000</v>
      </c>
      <c r="AI72" s="10"/>
    </row>
    <row r="73" spans="13:35" x14ac:dyDescent="0.3">
      <c r="M73" s="293"/>
      <c r="N73" s="294"/>
      <c r="T73" s="299"/>
      <c r="U73" s="300"/>
      <c r="AE73" s="23"/>
      <c r="AF73" s="11" t="s">
        <v>17</v>
      </c>
      <c r="AG73" s="8"/>
      <c r="AH73" s="11" t="s">
        <v>18</v>
      </c>
      <c r="AI73" s="10"/>
    </row>
    <row r="74" spans="13:35" ht="15" thickBot="1" x14ac:dyDescent="0.35">
      <c r="M74" s="295"/>
      <c r="N74" s="296"/>
      <c r="T74" s="301"/>
      <c r="U74" s="302"/>
      <c r="AE74" s="23" t="s">
        <v>35</v>
      </c>
      <c r="AF74" s="24" t="s">
        <v>69</v>
      </c>
      <c r="AG74" s="8" t="s">
        <v>70</v>
      </c>
      <c r="AH74" s="9">
        <v>48000</v>
      </c>
      <c r="AI74" s="10"/>
    </row>
    <row r="75" spans="13:35" x14ac:dyDescent="0.3">
      <c r="AE75" s="25"/>
      <c r="AI75" s="10"/>
    </row>
    <row r="76" spans="13:35" ht="15" thickBot="1" x14ac:dyDescent="0.35">
      <c r="AE76" s="25"/>
      <c r="AF76" s="26"/>
      <c r="AG76" s="13"/>
      <c r="AH76" s="13"/>
      <c r="AI76" s="10"/>
    </row>
    <row r="77" spans="13:35" ht="15.6" x14ac:dyDescent="0.3">
      <c r="AE77" s="27" t="s">
        <v>71</v>
      </c>
      <c r="AF77" s="28"/>
      <c r="AG77" s="6"/>
      <c r="AH77" s="6"/>
      <c r="AI77" s="7"/>
    </row>
    <row r="78" spans="13:35" x14ac:dyDescent="0.3">
      <c r="R78" s="17"/>
      <c r="S78" s="17"/>
      <c r="AE78" s="23" t="s">
        <v>33</v>
      </c>
      <c r="AF78" s="24" t="s">
        <v>72</v>
      </c>
      <c r="AG78" s="8" t="s">
        <v>73</v>
      </c>
      <c r="AH78" s="9">
        <v>32000</v>
      </c>
      <c r="AI78" s="10"/>
    </row>
    <row r="79" spans="13:35" x14ac:dyDescent="0.3">
      <c r="R79" s="17"/>
      <c r="S79" s="17"/>
      <c r="AE79" s="23"/>
      <c r="AF79" s="11" t="s">
        <v>17</v>
      </c>
      <c r="AG79" s="8"/>
      <c r="AH79" s="11" t="s">
        <v>18</v>
      </c>
      <c r="AI79" s="10"/>
    </row>
    <row r="80" spans="13:35" x14ac:dyDescent="0.3">
      <c r="R80" s="17"/>
      <c r="S80" s="17"/>
      <c r="AE80" s="23" t="s">
        <v>35</v>
      </c>
      <c r="AF80" s="24" t="s">
        <v>74</v>
      </c>
      <c r="AG80" s="8" t="s">
        <v>75</v>
      </c>
      <c r="AH80" s="9">
        <v>32000</v>
      </c>
      <c r="AI80" s="10"/>
    </row>
    <row r="81" spans="7:35" x14ac:dyDescent="0.3">
      <c r="R81" s="17"/>
      <c r="S81" s="17"/>
      <c r="AE81" s="25"/>
      <c r="AI81" s="10"/>
    </row>
    <row r="82" spans="7:35" ht="15" thickBot="1" x14ac:dyDescent="0.35">
      <c r="AE82" s="25"/>
      <c r="AF82" s="26"/>
      <c r="AG82" s="13"/>
      <c r="AH82" s="13"/>
      <c r="AI82" s="10"/>
    </row>
    <row r="83" spans="7:35" ht="15.6" x14ac:dyDescent="0.3">
      <c r="AE83" s="27" t="s">
        <v>76</v>
      </c>
      <c r="AF83" s="28"/>
      <c r="AG83" s="6"/>
      <c r="AH83" s="6"/>
      <c r="AI83" s="7"/>
    </row>
    <row r="84" spans="7:35" x14ac:dyDescent="0.3">
      <c r="AE84" s="23" t="s">
        <v>33</v>
      </c>
      <c r="AF84" s="18" t="s">
        <v>77</v>
      </c>
      <c r="AG84" s="18" t="s">
        <v>78</v>
      </c>
      <c r="AH84" s="9">
        <v>76960</v>
      </c>
      <c r="AI84" s="10"/>
    </row>
    <row r="85" spans="7:35" x14ac:dyDescent="0.3">
      <c r="AE85" s="23"/>
      <c r="AF85" s="11" t="s">
        <v>17</v>
      </c>
      <c r="AG85" s="8"/>
      <c r="AH85" s="11" t="s">
        <v>18</v>
      </c>
      <c r="AI85" s="10"/>
    </row>
    <row r="86" spans="7:35" x14ac:dyDescent="0.3">
      <c r="R86" s="1" t="s">
        <v>79</v>
      </c>
      <c r="AE86" s="23" t="s">
        <v>35</v>
      </c>
      <c r="AF86" s="18" t="s">
        <v>77</v>
      </c>
      <c r="AG86" s="18" t="s">
        <v>78</v>
      </c>
      <c r="AH86" s="9">
        <v>76960</v>
      </c>
      <c r="AI86" s="10"/>
    </row>
    <row r="87" spans="7:35" ht="15" thickBot="1" x14ac:dyDescent="0.35">
      <c r="AE87" s="32"/>
      <c r="AF87" s="19"/>
      <c r="AG87" s="19"/>
      <c r="AH87" s="19"/>
      <c r="AI87" s="20"/>
    </row>
    <row r="92" spans="7:35" ht="15" thickBot="1" x14ac:dyDescent="0.35"/>
    <row r="93" spans="7:35" ht="15.45" customHeight="1" x14ac:dyDescent="0.3">
      <c r="G93" s="303" t="s">
        <v>80</v>
      </c>
      <c r="H93" s="304"/>
      <c r="I93" s="309" t="s">
        <v>81</v>
      </c>
      <c r="J93" s="310"/>
      <c r="K93" s="311" t="s">
        <v>82</v>
      </c>
      <c r="L93" s="311"/>
      <c r="M93" s="312" t="s">
        <v>83</v>
      </c>
      <c r="N93" s="312"/>
      <c r="O93" s="313" t="s">
        <v>84</v>
      </c>
      <c r="P93" s="313"/>
      <c r="Q93" s="314" t="s">
        <v>85</v>
      </c>
      <c r="R93" s="315"/>
    </row>
    <row r="94" spans="7:35" ht="15.6" x14ac:dyDescent="0.3">
      <c r="G94" s="305"/>
      <c r="H94" s="306"/>
      <c r="I94" s="316" t="s">
        <v>86</v>
      </c>
      <c r="J94" s="317"/>
      <c r="K94" s="318">
        <f>12000</f>
        <v>12000</v>
      </c>
      <c r="L94" s="318"/>
      <c r="M94" s="318">
        <v>24000</v>
      </c>
      <c r="N94" s="318"/>
      <c r="O94" s="318">
        <v>0</v>
      </c>
      <c r="P94" s="318"/>
      <c r="Q94" s="318">
        <f>K94+M94+O94</f>
        <v>36000</v>
      </c>
      <c r="R94" s="319"/>
    </row>
    <row r="95" spans="7:35" ht="15.6" x14ac:dyDescent="0.3">
      <c r="G95" s="305"/>
      <c r="H95" s="306"/>
      <c r="I95" s="316" t="s">
        <v>87</v>
      </c>
      <c r="J95" s="317"/>
      <c r="K95" s="318">
        <f>12000</f>
        <v>12000</v>
      </c>
      <c r="L95" s="318"/>
      <c r="M95" s="318">
        <v>24000</v>
      </c>
      <c r="N95" s="318"/>
      <c r="O95" s="318">
        <v>44000</v>
      </c>
      <c r="P95" s="318"/>
      <c r="Q95" s="318">
        <f t="shared" ref="Q95" si="0">K95+M95+O95</f>
        <v>80000</v>
      </c>
      <c r="R95" s="319"/>
    </row>
    <row r="96" spans="7:35" ht="15" thickBot="1" x14ac:dyDescent="0.35">
      <c r="G96" s="305"/>
      <c r="H96" s="306"/>
      <c r="I96" s="316" t="s">
        <v>88</v>
      </c>
      <c r="J96" s="317"/>
      <c r="K96" s="320">
        <f>12000*0.6</f>
        <v>7200</v>
      </c>
      <c r="L96" s="320"/>
      <c r="M96" s="320">
        <f>24000*0.6</f>
        <v>14400</v>
      </c>
      <c r="N96" s="320"/>
      <c r="O96" s="320">
        <f>44000*0.6</f>
        <v>26400</v>
      </c>
      <c r="P96" s="320"/>
      <c r="Q96" s="320">
        <f>SUM(K96:P96)</f>
        <v>48000</v>
      </c>
      <c r="R96" s="321"/>
    </row>
    <row r="97" spans="7:24" x14ac:dyDescent="0.3">
      <c r="G97" s="305"/>
      <c r="H97" s="306"/>
      <c r="I97" s="316" t="s">
        <v>89</v>
      </c>
      <c r="J97" s="317"/>
      <c r="K97" s="320">
        <f>12000*0.4</f>
        <v>4800</v>
      </c>
      <c r="L97" s="320"/>
      <c r="M97" s="320">
        <f>24000*0.4</f>
        <v>9600</v>
      </c>
      <c r="N97" s="320"/>
      <c r="O97" s="320">
        <f>44000*0.4</f>
        <v>17600</v>
      </c>
      <c r="P97" s="320"/>
      <c r="Q97" s="320">
        <f>SUM(K97:P97)</f>
        <v>32000</v>
      </c>
      <c r="R97" s="321"/>
      <c r="V97" s="322" t="s">
        <v>90</v>
      </c>
      <c r="W97" s="323"/>
      <c r="X97" s="328">
        <f>(Q102*(1-0.03))+(Q103*(1-0.05))</f>
        <v>76960</v>
      </c>
    </row>
    <row r="98" spans="7:24" ht="15.6" x14ac:dyDescent="0.3">
      <c r="G98" s="305"/>
      <c r="H98" s="306"/>
      <c r="I98" s="316" t="s">
        <v>91</v>
      </c>
      <c r="J98" s="317"/>
      <c r="K98" s="318">
        <v>12000</v>
      </c>
      <c r="L98" s="318"/>
      <c r="M98" s="318">
        <v>0</v>
      </c>
      <c r="N98" s="318"/>
      <c r="O98" s="318">
        <v>0</v>
      </c>
      <c r="P98" s="318"/>
      <c r="Q98" s="318">
        <f>K98</f>
        <v>12000</v>
      </c>
      <c r="R98" s="319"/>
      <c r="V98" s="324"/>
      <c r="W98" s="325"/>
      <c r="X98" s="329"/>
    </row>
    <row r="99" spans="7:24" ht="15.6" x14ac:dyDescent="0.3">
      <c r="G99" s="305"/>
      <c r="H99" s="306"/>
      <c r="I99" s="316" t="s">
        <v>92</v>
      </c>
      <c r="J99" s="317"/>
      <c r="K99" s="318">
        <v>0</v>
      </c>
      <c r="L99" s="318"/>
      <c r="M99" s="318">
        <f>0.8*(24000)</f>
        <v>19200</v>
      </c>
      <c r="N99" s="318"/>
      <c r="O99" s="318">
        <f>0.8*44000</f>
        <v>35200</v>
      </c>
      <c r="P99" s="318"/>
      <c r="Q99" s="318">
        <f t="shared" ref="Q99:Q101" si="1">K99+M99+O99</f>
        <v>54400</v>
      </c>
      <c r="R99" s="319"/>
      <c r="V99" s="324"/>
      <c r="W99" s="325"/>
      <c r="X99" s="329"/>
    </row>
    <row r="100" spans="7:24" ht="16.2" thickBot="1" x14ac:dyDescent="0.35">
      <c r="G100" s="305"/>
      <c r="H100" s="306"/>
      <c r="I100" s="316" t="s">
        <v>93</v>
      </c>
      <c r="J100" s="317"/>
      <c r="K100" s="318">
        <v>0</v>
      </c>
      <c r="L100" s="318"/>
      <c r="M100" s="318">
        <f>0.2*24000</f>
        <v>4800</v>
      </c>
      <c r="N100" s="318"/>
      <c r="O100" s="318">
        <f>0.2*44000</f>
        <v>8800</v>
      </c>
      <c r="P100" s="318"/>
      <c r="Q100" s="318">
        <f t="shared" si="1"/>
        <v>13600</v>
      </c>
      <c r="R100" s="319"/>
      <c r="V100" s="326"/>
      <c r="W100" s="327"/>
      <c r="X100" s="330"/>
    </row>
    <row r="101" spans="7:24" ht="15.6" x14ac:dyDescent="0.3">
      <c r="G101" s="305"/>
      <c r="H101" s="306"/>
      <c r="I101" s="316" t="s">
        <v>94</v>
      </c>
      <c r="J101" s="317"/>
      <c r="K101" s="318">
        <v>12000</v>
      </c>
      <c r="L101" s="318"/>
      <c r="M101" s="318">
        <v>24000</v>
      </c>
      <c r="N101" s="318"/>
      <c r="O101" s="318">
        <v>44000</v>
      </c>
      <c r="P101" s="318"/>
      <c r="Q101" s="318">
        <f t="shared" si="1"/>
        <v>80000</v>
      </c>
      <c r="R101" s="319"/>
    </row>
    <row r="102" spans="7:24" ht="15.6" x14ac:dyDescent="0.3">
      <c r="G102" s="305"/>
      <c r="H102" s="306"/>
      <c r="I102" s="331" t="s">
        <v>95</v>
      </c>
      <c r="J102" s="332"/>
      <c r="K102" s="333">
        <f>12000*0.6</f>
        <v>7200</v>
      </c>
      <c r="L102" s="333"/>
      <c r="M102" s="333">
        <f>24000*0.6</f>
        <v>14400</v>
      </c>
      <c r="N102" s="333"/>
      <c r="O102" s="333">
        <f>0.6*44000</f>
        <v>26400</v>
      </c>
      <c r="P102" s="333"/>
      <c r="Q102" s="320">
        <f>O102+M102+K102</f>
        <v>48000</v>
      </c>
      <c r="R102" s="321"/>
    </row>
    <row r="103" spans="7:24" ht="16.2" thickBot="1" x14ac:dyDescent="0.35">
      <c r="G103" s="307"/>
      <c r="H103" s="308"/>
      <c r="I103" s="334" t="s">
        <v>96</v>
      </c>
      <c r="J103" s="335"/>
      <c r="K103" s="336">
        <f>12000*0.4</f>
        <v>4800</v>
      </c>
      <c r="L103" s="336"/>
      <c r="M103" s="336">
        <f>24000*0.4</f>
        <v>9600</v>
      </c>
      <c r="N103" s="336"/>
      <c r="O103" s="336">
        <f>0.4*44000</f>
        <v>17600</v>
      </c>
      <c r="P103" s="336"/>
      <c r="Q103" s="337">
        <f>K103+M103+O103</f>
        <v>32000</v>
      </c>
      <c r="R103" s="338"/>
    </row>
    <row r="104" spans="7:24" ht="16.05" customHeight="1" x14ac:dyDescent="0.3"/>
    <row r="121" spans="9:10" x14ac:dyDescent="0.3">
      <c r="I121" s="21"/>
      <c r="J121" s="21"/>
    </row>
    <row r="122" spans="9:10" x14ac:dyDescent="0.3">
      <c r="I122" s="21"/>
      <c r="J122" s="21"/>
    </row>
  </sheetData>
  <mergeCells count="71">
    <mergeCell ref="I103:J103"/>
    <mergeCell ref="K103:L103"/>
    <mergeCell ref="M103:N103"/>
    <mergeCell ref="O103:P103"/>
    <mergeCell ref="Q103:R103"/>
    <mergeCell ref="I101:J101"/>
    <mergeCell ref="K101:L101"/>
    <mergeCell ref="M101:N101"/>
    <mergeCell ref="O101:P101"/>
    <mergeCell ref="Q101:R101"/>
    <mergeCell ref="I102:J102"/>
    <mergeCell ref="K102:L102"/>
    <mergeCell ref="M102:N102"/>
    <mergeCell ref="O102:P102"/>
    <mergeCell ref="Q102:R102"/>
    <mergeCell ref="Q99:R99"/>
    <mergeCell ref="I100:J100"/>
    <mergeCell ref="K100:L100"/>
    <mergeCell ref="M100:N100"/>
    <mergeCell ref="O100:P100"/>
    <mergeCell ref="Q100:R100"/>
    <mergeCell ref="V97:W100"/>
    <mergeCell ref="X97:X100"/>
    <mergeCell ref="I98:J98"/>
    <mergeCell ref="K98:L98"/>
    <mergeCell ref="M98:N98"/>
    <mergeCell ref="O98:P98"/>
    <mergeCell ref="Q98:R98"/>
    <mergeCell ref="I99:J99"/>
    <mergeCell ref="K99:L99"/>
    <mergeCell ref="M99:N99"/>
    <mergeCell ref="I97:J97"/>
    <mergeCell ref="K97:L97"/>
    <mergeCell ref="M97:N97"/>
    <mergeCell ref="O97:P97"/>
    <mergeCell ref="Q97:R97"/>
    <mergeCell ref="O99:P99"/>
    <mergeCell ref="K94:L94"/>
    <mergeCell ref="M94:N94"/>
    <mergeCell ref="O94:P94"/>
    <mergeCell ref="Q94:R94"/>
    <mergeCell ref="I96:J96"/>
    <mergeCell ref="K96:L96"/>
    <mergeCell ref="M96:N96"/>
    <mergeCell ref="O96:P96"/>
    <mergeCell ref="Q96:R96"/>
    <mergeCell ref="T51:U54"/>
    <mergeCell ref="AE58:AF58"/>
    <mergeCell ref="M71:N74"/>
    <mergeCell ref="T71:U74"/>
    <mergeCell ref="G93:H103"/>
    <mergeCell ref="I93:J93"/>
    <mergeCell ref="K93:L93"/>
    <mergeCell ref="M93:N93"/>
    <mergeCell ref="O93:P93"/>
    <mergeCell ref="Q93:R93"/>
    <mergeCell ref="I95:J95"/>
    <mergeCell ref="K95:L95"/>
    <mergeCell ref="M95:N95"/>
    <mergeCell ref="O95:P95"/>
    <mergeCell ref="Q95:R95"/>
    <mergeCell ref="I94:J94"/>
    <mergeCell ref="P33:Q36"/>
    <mergeCell ref="T33:U36"/>
    <mergeCell ref="X33:Y36"/>
    <mergeCell ref="M36:N39"/>
    <mergeCell ref="B2:AA2"/>
    <mergeCell ref="F6:G9"/>
    <mergeCell ref="M6:N9"/>
    <mergeCell ref="T6:U9"/>
    <mergeCell ref="P14:Q1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78DE-94AD-854F-B9EC-9C6A02E33E0D}">
  <dimension ref="B1:Y60"/>
  <sheetViews>
    <sheetView topLeftCell="C1" zoomScale="80" zoomScaleNormal="80" workbookViewId="0">
      <selection activeCell="G19" sqref="G19"/>
    </sheetView>
  </sheetViews>
  <sheetFormatPr defaultColWidth="11.19921875" defaultRowHeight="15.6" x14ac:dyDescent="0.3"/>
  <cols>
    <col min="1" max="1" width="30" customWidth="1"/>
    <col min="2" max="3" width="22" customWidth="1"/>
    <col min="4" max="15" width="22.296875" customWidth="1"/>
  </cols>
  <sheetData>
    <row r="1" spans="2:25" s="81" customFormat="1" ht="16.2" thickBot="1" x14ac:dyDescent="0.35"/>
    <row r="2" spans="2:25" ht="22.05" customHeight="1" thickBot="1" x14ac:dyDescent="0.35">
      <c r="B2" s="347" t="s">
        <v>210</v>
      </c>
      <c r="C2" s="348"/>
      <c r="D2" s="348"/>
      <c r="E2" s="348"/>
      <c r="F2" s="348"/>
      <c r="G2" s="348"/>
      <c r="H2" s="348"/>
      <c r="I2" s="348"/>
      <c r="J2" s="348"/>
      <c r="K2" s="348"/>
      <c r="L2" s="348"/>
      <c r="M2" s="348"/>
      <c r="N2" s="349"/>
    </row>
    <row r="3" spans="2:25" ht="22.05" customHeight="1" x14ac:dyDescent="0.4">
      <c r="B3" s="101"/>
      <c r="C3" s="102"/>
      <c r="D3" s="103" t="s">
        <v>124</v>
      </c>
      <c r="E3" s="103" t="s">
        <v>163</v>
      </c>
      <c r="F3" s="103" t="s">
        <v>164</v>
      </c>
      <c r="G3" s="103" t="s">
        <v>125</v>
      </c>
      <c r="H3" s="103" t="s">
        <v>126</v>
      </c>
      <c r="I3" s="103" t="s">
        <v>91</v>
      </c>
      <c r="J3" s="103" t="s">
        <v>92</v>
      </c>
      <c r="K3" s="103" t="s">
        <v>127</v>
      </c>
      <c r="L3" s="104" t="s">
        <v>111</v>
      </c>
      <c r="M3" s="104" t="s">
        <v>128</v>
      </c>
      <c r="N3" s="105" t="s">
        <v>129</v>
      </c>
      <c r="Q3" s="89" t="s">
        <v>123</v>
      </c>
      <c r="R3" s="90" t="s">
        <v>169</v>
      </c>
      <c r="S3" s="90" t="s">
        <v>170</v>
      </c>
      <c r="T3" s="90" t="s">
        <v>171</v>
      </c>
      <c r="U3" s="90" t="s">
        <v>172</v>
      </c>
      <c r="V3" s="90" t="s">
        <v>173</v>
      </c>
      <c r="W3" s="90" t="s">
        <v>174</v>
      </c>
      <c r="X3" s="90" t="s">
        <v>175</v>
      </c>
      <c r="Y3" s="91" t="s">
        <v>176</v>
      </c>
    </row>
    <row r="4" spans="2:25" ht="22.05" customHeight="1" x14ac:dyDescent="0.4">
      <c r="B4" s="343" t="s">
        <v>165</v>
      </c>
      <c r="C4" s="80" t="s">
        <v>120</v>
      </c>
      <c r="D4" s="122"/>
      <c r="E4" s="123"/>
      <c r="F4" s="123"/>
      <c r="G4" s="123"/>
      <c r="H4" s="123"/>
      <c r="I4" s="123"/>
      <c r="J4" s="123"/>
      <c r="K4" s="123"/>
      <c r="L4" s="123"/>
      <c r="M4" s="123"/>
      <c r="N4" s="124"/>
      <c r="Q4" s="87" t="s">
        <v>177</v>
      </c>
      <c r="R4" s="86">
        <v>2.5999999999999999E-2</v>
      </c>
      <c r="S4" s="86" t="s">
        <v>178</v>
      </c>
      <c r="T4" s="86"/>
      <c r="U4" s="86"/>
      <c r="V4" s="86"/>
      <c r="W4" s="86"/>
      <c r="X4" s="86"/>
      <c r="Y4" s="88"/>
    </row>
    <row r="5" spans="2:25" ht="22.05" customHeight="1" x14ac:dyDescent="0.4">
      <c r="B5" s="343"/>
      <c r="C5" s="80" t="s">
        <v>121</v>
      </c>
      <c r="D5" s="39">
        <v>5.6</v>
      </c>
      <c r="E5" s="39">
        <v>63.958333333333336</v>
      </c>
      <c r="F5" s="39">
        <v>63.958333333333336</v>
      </c>
      <c r="G5" s="39">
        <v>6.7</v>
      </c>
      <c r="H5" s="39">
        <v>4.5</v>
      </c>
      <c r="I5" s="39">
        <v>5.5555555555555554</v>
      </c>
      <c r="J5" s="85">
        <v>3.4722222222222223</v>
      </c>
      <c r="K5" s="39">
        <v>2.3958333333333335</v>
      </c>
      <c r="L5" s="39">
        <v>11.25</v>
      </c>
      <c r="M5" s="39">
        <v>11.381944444444445</v>
      </c>
      <c r="N5" s="84">
        <v>7.6388888888888884</v>
      </c>
      <c r="Q5" s="87" t="s">
        <v>179</v>
      </c>
      <c r="R5" s="86">
        <v>0.05</v>
      </c>
      <c r="S5" s="86">
        <v>2E-3</v>
      </c>
      <c r="T5" s="86"/>
      <c r="U5" s="86"/>
      <c r="V5" s="86"/>
      <c r="W5" s="86"/>
      <c r="X5" s="86"/>
      <c r="Y5" s="88"/>
    </row>
    <row r="6" spans="2:25" ht="22.05" customHeight="1" x14ac:dyDescent="0.4">
      <c r="B6" s="343"/>
      <c r="C6" s="118"/>
      <c r="D6" s="119"/>
      <c r="E6" s="120"/>
      <c r="F6" s="119"/>
      <c r="G6" s="120"/>
      <c r="H6" s="120"/>
      <c r="I6" s="120"/>
      <c r="J6" s="120"/>
      <c r="K6" s="120"/>
      <c r="L6" s="120"/>
      <c r="M6" s="120"/>
      <c r="N6" s="121"/>
      <c r="Q6" s="87" t="s">
        <v>180</v>
      </c>
      <c r="R6" s="86">
        <v>8.3000000000000004E-2</v>
      </c>
      <c r="S6" s="86">
        <v>4.0000000000000001E-3</v>
      </c>
      <c r="T6" s="86"/>
      <c r="U6" s="86"/>
      <c r="V6" s="86"/>
      <c r="W6" s="86"/>
      <c r="X6" s="86"/>
      <c r="Y6" s="88"/>
    </row>
    <row r="7" spans="2:25" ht="37.950000000000003" customHeight="1" x14ac:dyDescent="0.4">
      <c r="B7" s="344" t="s">
        <v>166</v>
      </c>
      <c r="C7" s="80" t="s">
        <v>120</v>
      </c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7"/>
      <c r="Q7" s="87">
        <v>0.3</v>
      </c>
      <c r="R7" s="86">
        <v>0.129</v>
      </c>
      <c r="S7" s="86">
        <v>7.0000000000000001E-3</v>
      </c>
      <c r="T7" s="86"/>
      <c r="U7" s="86"/>
      <c r="V7" s="86"/>
      <c r="W7" s="86"/>
      <c r="X7" s="86"/>
      <c r="Y7" s="88"/>
    </row>
    <row r="8" spans="2:25" ht="22.05" customHeight="1" x14ac:dyDescent="0.4">
      <c r="B8" s="344"/>
      <c r="C8" s="80" t="s">
        <v>121</v>
      </c>
      <c r="D8" s="116">
        <v>27.5</v>
      </c>
      <c r="E8" s="116">
        <v>9.5833333333333339</v>
      </c>
      <c r="F8" s="116">
        <v>54.305555555555557</v>
      </c>
      <c r="G8" s="116">
        <v>33.333333333333336</v>
      </c>
      <c r="H8" s="116">
        <v>22.222222222222221</v>
      </c>
      <c r="I8" s="116">
        <v>10</v>
      </c>
      <c r="J8" s="116">
        <v>37.777777777777779</v>
      </c>
      <c r="K8" s="116">
        <v>9.4444444444444446</v>
      </c>
      <c r="L8" s="116">
        <v>55.555555555555557</v>
      </c>
      <c r="M8" s="116">
        <v>33.333333333333336</v>
      </c>
      <c r="N8" s="117">
        <v>22.222222222222221</v>
      </c>
      <c r="Q8" s="87" t="s">
        <v>181</v>
      </c>
      <c r="R8" s="86">
        <v>0.188</v>
      </c>
      <c r="S8" s="86">
        <v>1.0999999999999999E-2</v>
      </c>
      <c r="T8" s="86"/>
      <c r="U8" s="86"/>
      <c r="V8" s="86"/>
      <c r="W8" s="86"/>
      <c r="X8" s="86"/>
      <c r="Y8" s="88"/>
    </row>
    <row r="9" spans="2:25" ht="22.05" customHeight="1" x14ac:dyDescent="0.4">
      <c r="B9" s="106" t="s">
        <v>101</v>
      </c>
      <c r="C9" s="80" t="s">
        <v>122</v>
      </c>
      <c r="D9" s="38" t="s">
        <v>102</v>
      </c>
      <c r="E9" s="82" t="s">
        <v>103</v>
      </c>
      <c r="F9" s="82" t="s">
        <v>103</v>
      </c>
      <c r="G9" s="82" t="s">
        <v>104</v>
      </c>
      <c r="H9" s="82" t="s">
        <v>104</v>
      </c>
      <c r="I9" s="82" t="s">
        <v>107</v>
      </c>
      <c r="J9" s="82" t="s">
        <v>105</v>
      </c>
      <c r="K9" s="82" t="s">
        <v>106</v>
      </c>
      <c r="L9" s="82" t="s">
        <v>104</v>
      </c>
      <c r="M9" s="82" t="s">
        <v>108</v>
      </c>
      <c r="N9" s="83" t="s">
        <v>108</v>
      </c>
      <c r="Q9" s="87" t="s">
        <v>182</v>
      </c>
      <c r="R9" s="86">
        <v>0.26700000000000002</v>
      </c>
      <c r="S9" s="86">
        <v>1.7000000000000001E-2</v>
      </c>
      <c r="T9" s="86"/>
      <c r="U9" s="86"/>
      <c r="V9" s="86"/>
      <c r="W9" s="86"/>
      <c r="X9" s="86"/>
      <c r="Y9" s="88"/>
    </row>
    <row r="10" spans="2:25" ht="22.05" customHeight="1" x14ac:dyDescent="0.4">
      <c r="B10" s="106" t="s">
        <v>168</v>
      </c>
      <c r="C10" s="80"/>
      <c r="D10" s="38">
        <v>1</v>
      </c>
      <c r="E10" s="82">
        <v>1</v>
      </c>
      <c r="F10" s="82">
        <v>1</v>
      </c>
      <c r="G10" s="82">
        <v>5</v>
      </c>
      <c r="H10" s="82">
        <v>5</v>
      </c>
      <c r="I10" s="82">
        <v>1</v>
      </c>
      <c r="J10" s="82">
        <v>12</v>
      </c>
      <c r="K10" s="82">
        <v>1</v>
      </c>
      <c r="L10" s="82">
        <v>5</v>
      </c>
      <c r="M10" s="82">
        <v>1</v>
      </c>
      <c r="N10" s="83">
        <v>1</v>
      </c>
      <c r="Q10" s="87">
        <v>0.45</v>
      </c>
      <c r="R10" s="86">
        <v>0.36799999999999999</v>
      </c>
      <c r="S10" s="86">
        <v>2.4E-2</v>
      </c>
      <c r="T10" s="86">
        <v>2E-3</v>
      </c>
      <c r="U10" s="86"/>
      <c r="V10" s="86"/>
      <c r="W10" s="86"/>
      <c r="X10" s="86"/>
      <c r="Y10" s="88"/>
    </row>
    <row r="11" spans="2:25" ht="22.05" customHeight="1" x14ac:dyDescent="0.4">
      <c r="B11" s="345" t="s">
        <v>167</v>
      </c>
      <c r="C11" s="80" t="s">
        <v>120</v>
      </c>
      <c r="D11" s="113"/>
      <c r="E11" s="114"/>
      <c r="F11" s="114"/>
      <c r="G11" s="114"/>
      <c r="H11" s="114"/>
      <c r="I11" s="114"/>
      <c r="J11" s="114"/>
      <c r="K11" s="125"/>
      <c r="L11" s="114"/>
      <c r="M11" s="114"/>
      <c r="N11" s="115"/>
      <c r="Q11" s="87">
        <v>0.5</v>
      </c>
      <c r="R11" s="86">
        <v>0.5</v>
      </c>
      <c r="S11" s="86">
        <v>3.3000000000000002E-2</v>
      </c>
      <c r="T11" s="86">
        <v>3.0000000000000001E-3</v>
      </c>
      <c r="U11" s="86"/>
      <c r="V11" s="86"/>
      <c r="W11" s="86"/>
      <c r="X11" s="86"/>
      <c r="Y11" s="88"/>
    </row>
    <row r="12" spans="2:25" ht="22.05" customHeight="1" x14ac:dyDescent="0.4">
      <c r="B12" s="345"/>
      <c r="C12" s="80" t="s">
        <v>121</v>
      </c>
      <c r="D12" s="128">
        <f>(D15/D8) + (1/D5)</f>
        <v>1.8718805194805197</v>
      </c>
      <c r="E12" s="131">
        <f xml:space="preserve"> ((1+F14)/E5)/(1-E14)</f>
        <v>3.4006015450472375E-2</v>
      </c>
      <c r="F12" s="129">
        <f>((1-E14*(1-E14-F14))/F5)/((1-E14)*(1-E14-F14))</f>
        <v>16.935175409039879</v>
      </c>
      <c r="G12" s="129">
        <f>1/(G5-(G8/G10))</f>
        <v>30.000000000000107</v>
      </c>
      <c r="H12" s="129">
        <f>1/(H5-(H8/H10))</f>
        <v>18.000000000000064</v>
      </c>
      <c r="I12" s="128">
        <f>(I15/I8) + (1/I5)</f>
        <v>0.94740000000000002</v>
      </c>
      <c r="J12" s="129">
        <f>1/(J5-(J8/J10))</f>
        <v>3.0857142857142867</v>
      </c>
      <c r="K12" s="128">
        <f>(K15/K8) + (1/K5)</f>
        <v>4.3201089514066497</v>
      </c>
      <c r="L12" s="129">
        <f>1/(L5-(L8/L10))</f>
        <v>7.1999999999999797</v>
      </c>
      <c r="M12" s="128">
        <f>(M15/M8) + (1/M5)</f>
        <v>0.90364845027455765</v>
      </c>
      <c r="N12" s="130">
        <f>(N15/N8) + (1/N5)</f>
        <v>1.354594090909091</v>
      </c>
      <c r="Q12" s="87">
        <v>0.55000000000000004</v>
      </c>
      <c r="R12" s="86">
        <v>0.67200000000000004</v>
      </c>
      <c r="S12" s="86">
        <v>4.4999999999999998E-2</v>
      </c>
      <c r="T12" s="86">
        <v>4.0000000000000001E-3</v>
      </c>
      <c r="U12" s="86"/>
      <c r="V12" s="86"/>
      <c r="W12" s="86"/>
      <c r="X12" s="86"/>
      <c r="Y12" s="88"/>
    </row>
    <row r="13" spans="2:25" ht="22.05" customHeight="1" x14ac:dyDescent="0.4">
      <c r="B13" s="346" t="s">
        <v>123</v>
      </c>
      <c r="C13" s="80" t="s">
        <v>120</v>
      </c>
      <c r="D13" s="98" t="s">
        <v>130</v>
      </c>
      <c r="E13" s="99" t="s">
        <v>130</v>
      </c>
      <c r="F13" s="99" t="s">
        <v>130</v>
      </c>
      <c r="G13" s="99" t="s">
        <v>130</v>
      </c>
      <c r="H13" s="99" t="s">
        <v>130</v>
      </c>
      <c r="I13" s="99" t="s">
        <v>130</v>
      </c>
      <c r="J13" s="99" t="s">
        <v>130</v>
      </c>
      <c r="K13" s="99" t="s">
        <v>130</v>
      </c>
      <c r="L13" s="99" t="s">
        <v>130</v>
      </c>
      <c r="M13" s="99" t="s">
        <v>130</v>
      </c>
      <c r="N13" s="107" t="s">
        <v>130</v>
      </c>
      <c r="Q13" s="87" t="s">
        <v>183</v>
      </c>
      <c r="R13" s="86">
        <v>0.9</v>
      </c>
      <c r="S13" s="86">
        <v>5.8999999999999997E-2</v>
      </c>
      <c r="T13" s="86">
        <v>6.0000000000000001E-3</v>
      </c>
      <c r="U13" s="86"/>
      <c r="V13" s="86"/>
      <c r="W13" s="86"/>
      <c r="X13" s="86"/>
      <c r="Y13" s="88"/>
    </row>
    <row r="14" spans="2:25" ht="21" x14ac:dyDescent="0.4">
      <c r="B14" s="346"/>
      <c r="C14" s="80" t="s">
        <v>121</v>
      </c>
      <c r="D14" s="100">
        <f t="shared" ref="D14:N14" si="0">(D8/D10)/D5</f>
        <v>4.9107142857142856</v>
      </c>
      <c r="E14" s="421">
        <f t="shared" si="0"/>
        <v>0.14983713355048861</v>
      </c>
      <c r="F14" s="421">
        <f t="shared" si="0"/>
        <v>0.84907709011943544</v>
      </c>
      <c r="G14" s="100">
        <f>(G8/G10)/G5</f>
        <v>0.99502487562189057</v>
      </c>
      <c r="H14" s="100">
        <f t="shared" si="0"/>
        <v>0.98765432098765438</v>
      </c>
      <c r="I14" s="100">
        <f t="shared" si="0"/>
        <v>1.8</v>
      </c>
      <c r="J14" s="100">
        <f t="shared" si="0"/>
        <v>0.90666666666666673</v>
      </c>
      <c r="K14" s="100">
        <f t="shared" si="0"/>
        <v>3.9420289855072461</v>
      </c>
      <c r="L14" s="100">
        <f t="shared" si="0"/>
        <v>0.98765432098765427</v>
      </c>
      <c r="M14" s="100">
        <f t="shared" si="0"/>
        <v>2.9286150091519221</v>
      </c>
      <c r="N14" s="108">
        <f t="shared" si="0"/>
        <v>2.9090909090909092</v>
      </c>
      <c r="Q14" s="87">
        <v>0.65</v>
      </c>
      <c r="R14" s="86">
        <v>1.2070000000000001</v>
      </c>
      <c r="S14" s="86">
        <v>7.6999999999999999E-2</v>
      </c>
      <c r="T14" s="86">
        <v>8.0000000000000002E-3</v>
      </c>
      <c r="U14" s="86"/>
      <c r="V14" s="86"/>
      <c r="W14" s="86"/>
      <c r="X14" s="86"/>
      <c r="Y14" s="88"/>
    </row>
    <row r="15" spans="2:25" ht="21.6" thickBot="1" x14ac:dyDescent="0.45">
      <c r="B15" s="109" t="s">
        <v>109</v>
      </c>
      <c r="C15" s="110" t="s">
        <v>121</v>
      </c>
      <c r="D15" s="111">
        <v>46.566000000000003</v>
      </c>
      <c r="E15" s="112">
        <f>+(E14*E8)/(E5-E8)</f>
        <v>2.6408077177480754E-2</v>
      </c>
      <c r="F15" s="112">
        <f>+(F14*F8)/(F5-F8)</f>
        <v>4.7768221904561043</v>
      </c>
      <c r="G15" s="112">
        <f>(G14*G8/5)/(G5-G8/5)</f>
        <v>199.00497512437883</v>
      </c>
      <c r="H15" s="112">
        <f>(H14*H8/H10)/(H5-H8/H10)</f>
        <v>79.012345679012626</v>
      </c>
      <c r="I15" s="112">
        <v>7.6740000000000004</v>
      </c>
      <c r="J15" s="112">
        <f>(J14*J8/J10)/(J5-J8/J10)</f>
        <v>8.8076190476190508</v>
      </c>
      <c r="K15" s="112">
        <v>36.859000000000002</v>
      </c>
      <c r="L15" s="112">
        <f>(L14*L8/5)/(L5-L8/5)</f>
        <v>79.012345679012114</v>
      </c>
      <c r="M15" s="112">
        <v>27.193000000000001</v>
      </c>
      <c r="N15" s="97">
        <v>27.193000000000001</v>
      </c>
      <c r="Q15" s="87" t="s">
        <v>184</v>
      </c>
      <c r="R15" s="86">
        <v>1.633</v>
      </c>
      <c r="S15" s="86" t="s">
        <v>185</v>
      </c>
      <c r="T15" s="86">
        <v>1.0999999999999999E-2</v>
      </c>
      <c r="U15" s="86"/>
      <c r="V15" s="86"/>
      <c r="W15" s="86"/>
      <c r="X15" s="86"/>
      <c r="Y15" s="88"/>
    </row>
    <row r="16" spans="2:25" ht="21" x14ac:dyDescent="0.4">
      <c r="Q16" s="87" t="s">
        <v>186</v>
      </c>
      <c r="R16" s="86">
        <v>2.25</v>
      </c>
      <c r="S16" s="86">
        <v>0.123</v>
      </c>
      <c r="T16" s="86">
        <v>1.4999999999999999E-2</v>
      </c>
      <c r="U16" s="86"/>
      <c r="V16" s="86"/>
      <c r="W16" s="86"/>
      <c r="X16" s="86"/>
      <c r="Y16" s="88"/>
    </row>
    <row r="17" spans="5:25" ht="21" x14ac:dyDescent="0.4">
      <c r="E17" s="158"/>
      <c r="Q17" s="87">
        <v>0.8</v>
      </c>
      <c r="R17" s="86">
        <v>3.2</v>
      </c>
      <c r="S17" s="86">
        <v>0.152</v>
      </c>
      <c r="T17" s="86">
        <v>1.9E-2</v>
      </c>
      <c r="U17" s="86"/>
      <c r="V17" s="86"/>
      <c r="W17" s="86"/>
      <c r="X17" s="86"/>
      <c r="Y17" s="88"/>
    </row>
    <row r="18" spans="5:25" ht="21" x14ac:dyDescent="0.4">
      <c r="Q18" s="87" t="s">
        <v>187</v>
      </c>
      <c r="R18" s="86">
        <v>4.8170000000000002</v>
      </c>
      <c r="S18" s="86">
        <v>0.187</v>
      </c>
      <c r="T18" s="86">
        <v>2.4E-2</v>
      </c>
      <c r="U18" s="86">
        <v>3.0000000000000001E-3</v>
      </c>
      <c r="V18" s="86"/>
      <c r="W18" s="86"/>
      <c r="X18" s="86"/>
      <c r="Y18" s="88"/>
    </row>
    <row r="19" spans="5:25" ht="21" x14ac:dyDescent="0.4">
      <c r="Q19" s="87" t="s">
        <v>188</v>
      </c>
      <c r="R19" s="86">
        <v>8.1</v>
      </c>
      <c r="S19" s="86">
        <v>0.22900000000000001</v>
      </c>
      <c r="T19" s="86">
        <v>0.03</v>
      </c>
      <c r="U19" s="86">
        <v>4.0000000000000001E-3</v>
      </c>
      <c r="V19" s="86"/>
      <c r="W19" s="86"/>
      <c r="X19" s="86"/>
      <c r="Y19" s="88"/>
    </row>
    <row r="20" spans="5:25" ht="21" x14ac:dyDescent="0.4">
      <c r="Q20" s="87">
        <v>0.95</v>
      </c>
      <c r="R20" s="86">
        <v>18.05</v>
      </c>
      <c r="S20" s="86">
        <v>0.27700000000000002</v>
      </c>
      <c r="T20" s="86">
        <v>3.6999999999999998E-2</v>
      </c>
      <c r="U20" s="86">
        <v>5.0000000000000001E-3</v>
      </c>
      <c r="V20" s="86"/>
      <c r="W20" s="86"/>
      <c r="X20" s="86"/>
      <c r="Y20" s="88"/>
    </row>
    <row r="21" spans="5:25" ht="21" x14ac:dyDescent="0.4">
      <c r="Q21" s="87">
        <v>1</v>
      </c>
      <c r="R21" s="86"/>
      <c r="S21" s="86">
        <v>0.33300000000000002</v>
      </c>
      <c r="T21" s="86">
        <v>4.4999999999999998E-2</v>
      </c>
      <c r="U21" s="86" t="s">
        <v>189</v>
      </c>
      <c r="V21" s="86"/>
      <c r="W21" s="86"/>
      <c r="X21" s="86"/>
      <c r="Y21" s="88"/>
    </row>
    <row r="22" spans="5:25" ht="21" x14ac:dyDescent="0.4">
      <c r="Q22" s="87" t="s">
        <v>190</v>
      </c>
      <c r="R22" s="86"/>
      <c r="S22" s="86">
        <v>0.47699999999999998</v>
      </c>
      <c r="T22" s="86">
        <v>6.6000000000000003E-2</v>
      </c>
      <c r="U22" s="86">
        <v>1.0999999999999999E-2</v>
      </c>
      <c r="V22" s="86"/>
      <c r="W22" s="86"/>
      <c r="X22" s="86"/>
      <c r="Y22" s="88"/>
    </row>
    <row r="23" spans="5:25" ht="21" x14ac:dyDescent="0.4">
      <c r="Q23" s="87">
        <v>1.2</v>
      </c>
      <c r="R23" s="86"/>
      <c r="S23" s="86">
        <v>0.67500000000000004</v>
      </c>
      <c r="T23" s="86">
        <v>9.4E-2</v>
      </c>
      <c r="U23" s="86" t="s">
        <v>191</v>
      </c>
      <c r="V23" s="86">
        <v>3.0000000000000001E-3</v>
      </c>
      <c r="W23" s="86"/>
      <c r="X23" s="86"/>
      <c r="Y23" s="88"/>
    </row>
    <row r="24" spans="5:25" ht="21" x14ac:dyDescent="0.4">
      <c r="Q24" s="87">
        <v>1.3</v>
      </c>
      <c r="R24" s="86"/>
      <c r="S24" s="86">
        <v>0.95099999999999996</v>
      </c>
      <c r="T24" s="86">
        <v>0.13</v>
      </c>
      <c r="U24" s="86" t="s">
        <v>192</v>
      </c>
      <c r="V24" s="86">
        <v>4.0000000000000001E-3</v>
      </c>
      <c r="W24" s="86"/>
      <c r="X24" s="86"/>
      <c r="Y24" s="88"/>
    </row>
    <row r="25" spans="5:25" ht="22.95" customHeight="1" x14ac:dyDescent="0.4">
      <c r="Q25" s="87">
        <v>1.4</v>
      </c>
      <c r="R25" s="86"/>
      <c r="S25" s="86">
        <v>1.345</v>
      </c>
      <c r="T25" s="86">
        <v>0.17699999999999999</v>
      </c>
      <c r="U25" s="86">
        <v>3.2000000000000001E-2</v>
      </c>
      <c r="V25" s="86">
        <v>6.0000000000000001E-3</v>
      </c>
      <c r="W25" s="86"/>
      <c r="X25" s="86"/>
      <c r="Y25" s="88"/>
    </row>
    <row r="26" spans="5:25" ht="21" x14ac:dyDescent="0.4">
      <c r="Q26" s="87">
        <v>1.5</v>
      </c>
      <c r="R26" s="86"/>
      <c r="S26" s="86">
        <v>1.929</v>
      </c>
      <c r="T26" s="86">
        <v>0.23699999999999999</v>
      </c>
      <c r="U26" s="86" t="s">
        <v>193</v>
      </c>
      <c r="V26" s="86" t="s">
        <v>194</v>
      </c>
      <c r="W26" s="86"/>
      <c r="X26" s="86"/>
      <c r="Y26" s="88"/>
    </row>
    <row r="27" spans="5:25" ht="21" x14ac:dyDescent="0.4">
      <c r="Q27" s="87">
        <v>1.6</v>
      </c>
      <c r="R27" s="86"/>
      <c r="S27" s="86">
        <v>2.8439999999999999</v>
      </c>
      <c r="T27" s="86">
        <v>0.313</v>
      </c>
      <c r="U27" s="86">
        <v>0.06</v>
      </c>
      <c r="V27" s="86">
        <v>1.2E-2</v>
      </c>
      <c r="W27" s="86"/>
      <c r="X27" s="86"/>
      <c r="Y27" s="88"/>
    </row>
    <row r="28" spans="5:25" ht="21" x14ac:dyDescent="0.4">
      <c r="Q28" s="87">
        <v>1.7</v>
      </c>
      <c r="R28" s="86"/>
      <c r="S28" s="86">
        <v>4.4260000000000002</v>
      </c>
      <c r="T28" s="86">
        <v>0.40899999999999997</v>
      </c>
      <c r="U28" s="86">
        <v>0.08</v>
      </c>
      <c r="V28" s="86">
        <v>1.7000000000000001E-2</v>
      </c>
      <c r="W28" s="86"/>
      <c r="X28" s="86"/>
      <c r="Y28" s="88"/>
    </row>
    <row r="29" spans="5:25" ht="21" x14ac:dyDescent="0.4">
      <c r="Q29" s="87">
        <v>1.8</v>
      </c>
      <c r="R29" s="86"/>
      <c r="S29" s="96">
        <v>7.6740000000000004</v>
      </c>
      <c r="T29" s="86">
        <v>0.53200000000000003</v>
      </c>
      <c r="U29" s="86" t="s">
        <v>195</v>
      </c>
      <c r="V29" s="86">
        <v>2.3E-2</v>
      </c>
      <c r="W29" s="86"/>
      <c r="X29" s="86"/>
      <c r="Y29" s="88"/>
    </row>
    <row r="30" spans="5:25" ht="21" x14ac:dyDescent="0.4">
      <c r="Q30" s="87">
        <v>1.9</v>
      </c>
      <c r="R30" s="86"/>
      <c r="S30" s="86">
        <v>17.587</v>
      </c>
      <c r="T30" s="86">
        <v>0.68799999999999994</v>
      </c>
      <c r="U30" s="86">
        <v>0.13600000000000001</v>
      </c>
      <c r="V30" s="86">
        <v>0.03</v>
      </c>
      <c r="W30" s="86">
        <v>7.0000000000000001E-3</v>
      </c>
      <c r="X30" s="86"/>
      <c r="Y30" s="88"/>
    </row>
    <row r="31" spans="5:25" ht="21" x14ac:dyDescent="0.4">
      <c r="Q31" s="87">
        <v>2</v>
      </c>
      <c r="R31" s="86"/>
      <c r="S31" s="86"/>
      <c r="T31" s="86">
        <v>0.88900000000000001</v>
      </c>
      <c r="U31" s="86">
        <v>0.17399999999999999</v>
      </c>
      <c r="V31" s="86">
        <v>0.04</v>
      </c>
      <c r="W31" s="86">
        <v>8.9999999999999993E-3</v>
      </c>
      <c r="X31" s="86"/>
      <c r="Y31" s="88"/>
    </row>
    <row r="32" spans="5:25" ht="21" x14ac:dyDescent="0.4">
      <c r="Q32" s="87">
        <v>2.1</v>
      </c>
      <c r="R32" s="86"/>
      <c r="S32" s="86"/>
      <c r="T32" s="86">
        <v>1.149</v>
      </c>
      <c r="U32" s="86">
        <v>0.22</v>
      </c>
      <c r="V32" s="86" t="s">
        <v>196</v>
      </c>
      <c r="W32" s="86">
        <v>1.2E-2</v>
      </c>
      <c r="X32" s="86"/>
      <c r="Y32" s="88"/>
    </row>
    <row r="33" spans="17:25" ht="21" x14ac:dyDescent="0.4">
      <c r="Q33" s="87">
        <v>2.2000000000000002</v>
      </c>
      <c r="R33" s="86"/>
      <c r="S33" s="86"/>
      <c r="T33" s="86">
        <v>1.4910000000000001</v>
      </c>
      <c r="U33" s="86">
        <v>0.27700000000000002</v>
      </c>
      <c r="V33" s="86">
        <v>6.6000000000000003E-2</v>
      </c>
      <c r="W33" s="86">
        <v>1.6E-2</v>
      </c>
      <c r="X33" s="86"/>
      <c r="Y33" s="88"/>
    </row>
    <row r="34" spans="17:25" ht="21" x14ac:dyDescent="0.4">
      <c r="Q34" s="87" t="s">
        <v>197</v>
      </c>
      <c r="R34" s="86"/>
      <c r="S34" s="86"/>
      <c r="T34" s="86">
        <v>1.9510000000000001</v>
      </c>
      <c r="U34" s="86">
        <v>0.34599999999999997</v>
      </c>
      <c r="V34" s="86" t="s">
        <v>198</v>
      </c>
      <c r="W34" s="86" t="s">
        <v>199</v>
      </c>
      <c r="X34" s="86"/>
      <c r="Y34" s="88"/>
    </row>
    <row r="35" spans="17:25" ht="21" x14ac:dyDescent="0.4">
      <c r="Q35" s="87">
        <v>2.4</v>
      </c>
      <c r="R35" s="86"/>
      <c r="S35" s="86"/>
      <c r="T35" s="86">
        <v>2.589</v>
      </c>
      <c r="U35" s="86">
        <v>0.43099999999999999</v>
      </c>
      <c r="V35" s="86">
        <v>0.105</v>
      </c>
      <c r="W35" s="86" t="s">
        <v>200</v>
      </c>
      <c r="X35" s="86">
        <v>7.0000000000000001E-3</v>
      </c>
      <c r="Y35" s="88"/>
    </row>
    <row r="36" spans="17:25" ht="21" x14ac:dyDescent="0.4">
      <c r="Q36" s="87">
        <v>2.5</v>
      </c>
      <c r="R36" s="86"/>
      <c r="S36" s="86"/>
      <c r="T36" s="86">
        <v>3.5110000000000001</v>
      </c>
      <c r="U36" s="86">
        <v>0.53300000000000003</v>
      </c>
      <c r="V36" s="86">
        <v>0.13</v>
      </c>
      <c r="W36" s="86">
        <v>3.4000000000000002E-2</v>
      </c>
      <c r="X36" s="86">
        <v>8.9999999999999993E-3</v>
      </c>
      <c r="Y36" s="88"/>
    </row>
    <row r="37" spans="17:25" ht="21" x14ac:dyDescent="0.4">
      <c r="Q37" s="87">
        <v>2.6</v>
      </c>
      <c r="R37" s="86"/>
      <c r="S37" s="86"/>
      <c r="T37" s="86">
        <v>4.9329999999999998</v>
      </c>
      <c r="U37" s="86">
        <v>0.65800000000000003</v>
      </c>
      <c r="V37" s="86">
        <v>0.161</v>
      </c>
      <c r="W37" s="86">
        <v>4.2999999999999997E-2</v>
      </c>
      <c r="X37" s="86">
        <v>1.0999999999999999E-2</v>
      </c>
      <c r="Y37" s="88"/>
    </row>
    <row r="38" spans="17:25" ht="21" x14ac:dyDescent="0.4">
      <c r="Q38" s="87">
        <v>2.7</v>
      </c>
      <c r="R38" s="86"/>
      <c r="S38" s="86"/>
      <c r="T38" s="86">
        <v>7.3540000000000001</v>
      </c>
      <c r="U38" s="86">
        <v>0.81100000000000005</v>
      </c>
      <c r="V38" s="86">
        <v>0.19800000000000001</v>
      </c>
      <c r="W38" s="86">
        <v>5.2999999999999999E-2</v>
      </c>
      <c r="X38" s="86">
        <v>1.4E-2</v>
      </c>
      <c r="Y38" s="88"/>
    </row>
    <row r="39" spans="17:25" ht="21" x14ac:dyDescent="0.4">
      <c r="Q39" s="87">
        <v>2.8</v>
      </c>
      <c r="R39" s="86"/>
      <c r="S39" s="86"/>
      <c r="T39" s="86">
        <v>12.273</v>
      </c>
      <c r="U39" s="86">
        <v>1</v>
      </c>
      <c r="V39" s="86">
        <v>0.24099999999999999</v>
      </c>
      <c r="W39" s="86">
        <v>6.6000000000000003E-2</v>
      </c>
      <c r="X39" s="86">
        <v>1.7999999999999999E-2</v>
      </c>
      <c r="Y39" s="88"/>
    </row>
    <row r="40" spans="17:25" ht="21" x14ac:dyDescent="0.4">
      <c r="Q40" s="87">
        <v>2.9</v>
      </c>
      <c r="R40" s="86"/>
      <c r="S40" s="86"/>
      <c r="T40" s="96">
        <v>27.193000000000001</v>
      </c>
      <c r="U40" s="86">
        <v>1.234</v>
      </c>
      <c r="V40" s="86">
        <v>0.29299999999999998</v>
      </c>
      <c r="W40" s="86">
        <v>8.1000000000000003E-2</v>
      </c>
      <c r="X40" s="86">
        <v>2.3E-2</v>
      </c>
      <c r="Y40" s="88"/>
    </row>
    <row r="41" spans="17:25" ht="21" x14ac:dyDescent="0.4">
      <c r="Q41" s="87">
        <v>3</v>
      </c>
      <c r="R41" s="86"/>
      <c r="S41" s="86"/>
      <c r="T41" s="86"/>
      <c r="U41" s="86">
        <v>1.528</v>
      </c>
      <c r="V41" s="86">
        <v>0.35399999999999998</v>
      </c>
      <c r="W41" s="86">
        <v>9.9000000000000005E-2</v>
      </c>
      <c r="X41" s="86">
        <v>2.8000000000000001E-2</v>
      </c>
      <c r="Y41" s="88">
        <v>8.0000000000000002E-3</v>
      </c>
    </row>
    <row r="42" spans="17:25" ht="21" x14ac:dyDescent="0.4">
      <c r="Q42" s="87" t="s">
        <v>201</v>
      </c>
      <c r="R42" s="86"/>
      <c r="S42" s="86"/>
      <c r="T42" s="86"/>
      <c r="U42" s="86">
        <v>1.9019999999999999</v>
      </c>
      <c r="V42" s="86">
        <v>0.42699999999999999</v>
      </c>
      <c r="W42" s="86">
        <v>0.12</v>
      </c>
      <c r="X42" s="86">
        <v>3.5000000000000003E-2</v>
      </c>
      <c r="Y42" s="88">
        <v>0.01</v>
      </c>
    </row>
    <row r="43" spans="17:25" ht="21" x14ac:dyDescent="0.4">
      <c r="Q43" s="87" t="s">
        <v>202</v>
      </c>
      <c r="R43" s="86"/>
      <c r="S43" s="86"/>
      <c r="T43" s="86"/>
      <c r="U43" s="86">
        <v>2.3860000000000001</v>
      </c>
      <c r="V43" s="86">
        <v>0.51300000000000001</v>
      </c>
      <c r="W43" s="86">
        <v>0.14499999999999999</v>
      </c>
      <c r="X43" s="86">
        <v>4.2999999999999997E-2</v>
      </c>
      <c r="Y43" s="88">
        <v>1.2E-2</v>
      </c>
    </row>
    <row r="44" spans="17:25" ht="21" x14ac:dyDescent="0.4">
      <c r="Q44" s="87">
        <v>3.3</v>
      </c>
      <c r="R44" s="86"/>
      <c r="S44" s="86"/>
      <c r="T44" s="86"/>
      <c r="U44" s="86">
        <v>3.0270000000000001</v>
      </c>
      <c r="V44" s="86">
        <v>0.61499999999999999</v>
      </c>
      <c r="W44" s="86">
        <v>0.17399999999999999</v>
      </c>
      <c r="X44" s="86">
        <v>5.1999999999999998E-2</v>
      </c>
      <c r="Y44" s="88">
        <v>1.4999999999999999E-2</v>
      </c>
    </row>
    <row r="45" spans="17:25" ht="21" x14ac:dyDescent="0.4">
      <c r="Q45" s="87">
        <v>3.4</v>
      </c>
      <c r="R45" s="86"/>
      <c r="S45" s="86"/>
      <c r="T45" s="86"/>
      <c r="U45" s="86">
        <v>3.9060000000000001</v>
      </c>
      <c r="V45" s="86">
        <v>0.73699999999999999</v>
      </c>
      <c r="W45" s="86" t="s">
        <v>203</v>
      </c>
      <c r="X45" s="86">
        <v>6.3E-2</v>
      </c>
      <c r="Y45" s="88">
        <v>1.9E-2</v>
      </c>
    </row>
    <row r="46" spans="17:25" ht="21" x14ac:dyDescent="0.4">
      <c r="Q46" s="87">
        <v>3.5</v>
      </c>
      <c r="R46" s="86"/>
      <c r="S46" s="86"/>
      <c r="T46" s="86"/>
      <c r="U46" s="86">
        <v>5.165</v>
      </c>
      <c r="V46" s="86">
        <v>0.88200000000000001</v>
      </c>
      <c r="W46" s="86">
        <v>0.248</v>
      </c>
      <c r="X46" s="86">
        <v>7.5999999999999998E-2</v>
      </c>
      <c r="Y46" s="88" t="s">
        <v>192</v>
      </c>
    </row>
    <row r="47" spans="17:25" ht="21" x14ac:dyDescent="0.4">
      <c r="Q47" s="87">
        <v>3.6</v>
      </c>
      <c r="R47" s="86"/>
      <c r="S47" s="86"/>
      <c r="T47" s="86"/>
      <c r="U47" s="86">
        <v>7.09</v>
      </c>
      <c r="V47" s="86">
        <v>1.0549999999999999</v>
      </c>
      <c r="W47" s="86">
        <v>0.29499999999999998</v>
      </c>
      <c r="X47" s="86">
        <v>9.0999999999999998E-2</v>
      </c>
      <c r="Y47" s="88">
        <v>2.8000000000000001E-2</v>
      </c>
    </row>
    <row r="48" spans="17:25" ht="21" x14ac:dyDescent="0.4">
      <c r="Q48" s="87">
        <v>3.7</v>
      </c>
      <c r="R48" s="86"/>
      <c r="S48" s="86"/>
      <c r="T48" s="86"/>
      <c r="U48" s="86">
        <v>10.347</v>
      </c>
      <c r="V48" s="86">
        <v>1.2649999999999999</v>
      </c>
      <c r="W48" s="86">
        <v>0.34899999999999998</v>
      </c>
      <c r="X48" s="86">
        <v>0.109</v>
      </c>
      <c r="Y48" s="88">
        <v>3.4000000000000002E-2</v>
      </c>
    </row>
    <row r="49" spans="17:25" ht="21" x14ac:dyDescent="0.4">
      <c r="Q49" s="87">
        <v>3.8</v>
      </c>
      <c r="R49" s="86"/>
      <c r="S49" s="86"/>
      <c r="T49" s="86"/>
      <c r="U49" s="86">
        <v>16.937000000000001</v>
      </c>
      <c r="V49" s="86">
        <v>1.5189999999999999</v>
      </c>
      <c r="W49" s="86">
        <v>0.41199999999999998</v>
      </c>
      <c r="X49" s="86">
        <v>0.129</v>
      </c>
      <c r="Y49" s="88">
        <v>4.1000000000000002E-2</v>
      </c>
    </row>
    <row r="50" spans="17:25" ht="21" x14ac:dyDescent="0.4">
      <c r="Q50" s="87">
        <v>3.9</v>
      </c>
      <c r="R50" s="86"/>
      <c r="S50" s="86"/>
      <c r="T50" s="86"/>
      <c r="U50" s="96">
        <v>36.859000000000002</v>
      </c>
      <c r="V50" s="86">
        <v>1.83</v>
      </c>
      <c r="W50" s="86">
        <v>0.48499999999999999</v>
      </c>
      <c r="X50" s="86">
        <v>0.153</v>
      </c>
      <c r="Y50" s="88">
        <v>0.05</v>
      </c>
    </row>
    <row r="51" spans="17:25" ht="21" x14ac:dyDescent="0.4">
      <c r="Q51" s="87">
        <v>4</v>
      </c>
      <c r="R51" s="86"/>
      <c r="S51" s="86"/>
      <c r="T51" s="86"/>
      <c r="U51" s="86"/>
      <c r="V51" s="86">
        <v>2.2160000000000002</v>
      </c>
      <c r="W51" s="86">
        <v>0.56999999999999995</v>
      </c>
      <c r="X51" s="86">
        <v>0.18</v>
      </c>
      <c r="Y51" s="88">
        <v>5.8999999999999997E-2</v>
      </c>
    </row>
    <row r="52" spans="17:25" ht="21" x14ac:dyDescent="0.4">
      <c r="Q52" s="87" t="s">
        <v>204</v>
      </c>
      <c r="R52" s="86"/>
      <c r="S52" s="86"/>
      <c r="T52" s="86"/>
      <c r="U52" s="86"/>
      <c r="V52" s="86">
        <v>2.7029999999999998</v>
      </c>
      <c r="W52" s="86">
        <v>0.66800000000000004</v>
      </c>
      <c r="X52" s="86">
        <v>0.21199999999999999</v>
      </c>
      <c r="Y52" s="88">
        <v>7.0000000000000007E-2</v>
      </c>
    </row>
    <row r="53" spans="17:25" ht="21" x14ac:dyDescent="0.4">
      <c r="Q53" s="87" t="s">
        <v>205</v>
      </c>
      <c r="R53" s="86"/>
      <c r="S53" s="86"/>
      <c r="T53" s="86"/>
      <c r="U53" s="86"/>
      <c r="V53" s="86">
        <v>3.327</v>
      </c>
      <c r="W53" s="86">
        <v>0.78400000000000003</v>
      </c>
      <c r="X53" s="86">
        <v>0.248</v>
      </c>
      <c r="Y53" s="88">
        <v>8.3000000000000004E-2</v>
      </c>
    </row>
    <row r="54" spans="17:25" ht="21" x14ac:dyDescent="0.4">
      <c r="Q54" s="87" t="s">
        <v>206</v>
      </c>
      <c r="R54" s="86"/>
      <c r="S54" s="86"/>
      <c r="T54" s="86"/>
      <c r="U54" s="86"/>
      <c r="V54" s="86">
        <v>4.149</v>
      </c>
      <c r="W54" s="86">
        <v>0.91900000000000004</v>
      </c>
      <c r="X54" s="86">
        <v>0.28899999999999998</v>
      </c>
      <c r="Y54" s="88">
        <v>9.7000000000000003E-2</v>
      </c>
    </row>
    <row r="55" spans="17:25" ht="21" x14ac:dyDescent="0.4">
      <c r="Q55" s="87">
        <v>4.4000000000000004</v>
      </c>
      <c r="R55" s="86"/>
      <c r="S55" s="86"/>
      <c r="T55" s="86"/>
      <c r="U55" s="86"/>
      <c r="V55" s="86">
        <v>5.2679999999999998</v>
      </c>
      <c r="W55" s="86">
        <v>1.0780000000000001</v>
      </c>
      <c r="X55" s="86">
        <v>0.33700000000000002</v>
      </c>
      <c r="Y55" s="88">
        <v>0.114</v>
      </c>
    </row>
    <row r="56" spans="17:25" ht="21" x14ac:dyDescent="0.4">
      <c r="Q56" s="87" t="s">
        <v>207</v>
      </c>
      <c r="R56" s="86"/>
      <c r="S56" s="86"/>
      <c r="T56" s="86"/>
      <c r="U56" s="86"/>
      <c r="V56" s="86">
        <v>6.8620000000000001</v>
      </c>
      <c r="W56" s="86">
        <v>1.2649999999999999</v>
      </c>
      <c r="X56" s="86">
        <v>0.39100000000000001</v>
      </c>
      <c r="Y56" s="88">
        <v>0.13300000000000001</v>
      </c>
    </row>
    <row r="57" spans="17:25" ht="21" x14ac:dyDescent="0.4">
      <c r="Q57" s="87" t="s">
        <v>208</v>
      </c>
      <c r="R57" s="86"/>
      <c r="S57" s="86"/>
      <c r="T57" s="86"/>
      <c r="U57" s="86"/>
      <c r="V57" s="86">
        <v>9.2889999999999997</v>
      </c>
      <c r="W57" s="86">
        <v>1.4870000000000001</v>
      </c>
      <c r="X57" s="86">
        <v>0.45300000000000001</v>
      </c>
      <c r="Y57" s="88">
        <v>0.156</v>
      </c>
    </row>
    <row r="58" spans="17:25" ht="21" x14ac:dyDescent="0.4">
      <c r="Q58" s="87">
        <v>4.7</v>
      </c>
      <c r="R58" s="86"/>
      <c r="S58" s="86"/>
      <c r="T58" s="86"/>
      <c r="U58" s="86"/>
      <c r="V58" s="86">
        <v>13.382</v>
      </c>
      <c r="W58" s="86">
        <v>1.752</v>
      </c>
      <c r="X58" s="86">
        <v>0.52500000000000002</v>
      </c>
      <c r="Y58" s="88">
        <v>0.18099999999999999</v>
      </c>
    </row>
    <row r="59" spans="17:25" ht="21" x14ac:dyDescent="0.4">
      <c r="Q59" s="87">
        <v>4.8</v>
      </c>
      <c r="R59" s="86"/>
      <c r="S59" s="86"/>
      <c r="T59" s="86"/>
      <c r="U59" s="86"/>
      <c r="V59" s="86">
        <v>21.640999999999998</v>
      </c>
      <c r="W59" s="86">
        <v>2.0710000000000002</v>
      </c>
      <c r="X59" s="86">
        <v>0.60699999999999998</v>
      </c>
      <c r="Y59" s="88">
        <v>0.20899999999999999</v>
      </c>
    </row>
    <row r="60" spans="17:25" ht="21" x14ac:dyDescent="0.4">
      <c r="Q60" s="92">
        <v>4.9000000000000004</v>
      </c>
      <c r="R60" s="93"/>
      <c r="S60" s="93"/>
      <c r="T60" s="93"/>
      <c r="U60" s="93"/>
      <c r="V60" s="95">
        <v>46.566000000000003</v>
      </c>
      <c r="W60" s="93">
        <v>2.4590000000000001</v>
      </c>
      <c r="X60" s="93">
        <v>0.70199999999999996</v>
      </c>
      <c r="Y60" s="94" t="s">
        <v>209</v>
      </c>
    </row>
  </sheetData>
  <mergeCells count="5">
    <mergeCell ref="B4:B6"/>
    <mergeCell ref="B7:B8"/>
    <mergeCell ref="B11:B12"/>
    <mergeCell ref="B13:B14"/>
    <mergeCell ref="B2:N2"/>
  </mergeCells>
  <phoneticPr fontId="35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541B8-7070-AD49-8827-3E3719378561}">
  <sheetPr>
    <tabColor rgb="FFFF0000"/>
  </sheetPr>
  <dimension ref="A1:AC81"/>
  <sheetViews>
    <sheetView tabSelected="1" topLeftCell="N39" zoomScale="58" zoomScaleNormal="50" workbookViewId="0">
      <selection activeCell="AE56" sqref="AE56"/>
    </sheetView>
  </sheetViews>
  <sheetFormatPr defaultColWidth="8.796875" defaultRowHeight="15.6" x14ac:dyDescent="0.3"/>
  <cols>
    <col min="2" max="3" width="15.296875" customWidth="1"/>
    <col min="4" max="4" width="19.19921875" customWidth="1"/>
    <col min="5" max="12" width="19.69921875" customWidth="1"/>
    <col min="13" max="13" width="22.5" customWidth="1"/>
    <col min="14" max="14" width="21.19921875" customWidth="1"/>
    <col min="15" max="17" width="19.69921875" customWidth="1"/>
    <col min="18" max="20" width="19.19921875" customWidth="1"/>
    <col min="21" max="21" width="20.296875" customWidth="1"/>
    <col min="22" max="22" width="22.69921875" customWidth="1"/>
    <col min="23" max="23" width="22.796875" customWidth="1"/>
    <col min="257" max="258" width="15.296875" customWidth="1"/>
    <col min="259" max="259" width="19.19921875" customWidth="1"/>
    <col min="260" max="267" width="19.69921875" customWidth="1"/>
    <col min="268" max="268" width="22.5" customWidth="1"/>
    <col min="269" max="269" width="21.19921875" customWidth="1"/>
    <col min="270" max="272" width="19.69921875" customWidth="1"/>
    <col min="273" max="275" width="19.19921875" customWidth="1"/>
    <col min="276" max="276" width="20.296875" customWidth="1"/>
    <col min="277" max="277" width="22.69921875" customWidth="1"/>
    <col min="278" max="278" width="22.796875" customWidth="1"/>
    <col min="513" max="514" width="15.296875" customWidth="1"/>
    <col min="515" max="515" width="19.19921875" customWidth="1"/>
    <col min="516" max="523" width="19.69921875" customWidth="1"/>
    <col min="524" max="524" width="22.5" customWidth="1"/>
    <col min="525" max="525" width="21.19921875" customWidth="1"/>
    <col min="526" max="528" width="19.69921875" customWidth="1"/>
    <col min="529" max="531" width="19.19921875" customWidth="1"/>
    <col min="532" max="532" width="20.296875" customWidth="1"/>
    <col min="533" max="533" width="22.69921875" customWidth="1"/>
    <col min="534" max="534" width="22.796875" customWidth="1"/>
    <col min="769" max="770" width="15.296875" customWidth="1"/>
    <col min="771" max="771" width="19.19921875" customWidth="1"/>
    <col min="772" max="779" width="19.69921875" customWidth="1"/>
    <col min="780" max="780" width="22.5" customWidth="1"/>
    <col min="781" max="781" width="21.19921875" customWidth="1"/>
    <col min="782" max="784" width="19.69921875" customWidth="1"/>
    <col min="785" max="787" width="19.19921875" customWidth="1"/>
    <col min="788" max="788" width="20.296875" customWidth="1"/>
    <col min="789" max="789" width="22.69921875" customWidth="1"/>
    <col min="790" max="790" width="22.796875" customWidth="1"/>
    <col min="1025" max="1026" width="15.296875" customWidth="1"/>
    <col min="1027" max="1027" width="19.19921875" customWidth="1"/>
    <col min="1028" max="1035" width="19.69921875" customWidth="1"/>
    <col min="1036" max="1036" width="22.5" customWidth="1"/>
    <col min="1037" max="1037" width="21.19921875" customWidth="1"/>
    <col min="1038" max="1040" width="19.69921875" customWidth="1"/>
    <col min="1041" max="1043" width="19.19921875" customWidth="1"/>
    <col min="1044" max="1044" width="20.296875" customWidth="1"/>
    <col min="1045" max="1045" width="22.69921875" customWidth="1"/>
    <col min="1046" max="1046" width="22.796875" customWidth="1"/>
    <col min="1281" max="1282" width="15.296875" customWidth="1"/>
    <col min="1283" max="1283" width="19.19921875" customWidth="1"/>
    <col min="1284" max="1291" width="19.69921875" customWidth="1"/>
    <col min="1292" max="1292" width="22.5" customWidth="1"/>
    <col min="1293" max="1293" width="21.19921875" customWidth="1"/>
    <col min="1294" max="1296" width="19.69921875" customWidth="1"/>
    <col min="1297" max="1299" width="19.19921875" customWidth="1"/>
    <col min="1300" max="1300" width="20.296875" customWidth="1"/>
    <col min="1301" max="1301" width="22.69921875" customWidth="1"/>
    <col min="1302" max="1302" width="22.796875" customWidth="1"/>
    <col min="1537" max="1538" width="15.296875" customWidth="1"/>
    <col min="1539" max="1539" width="19.19921875" customWidth="1"/>
    <col min="1540" max="1547" width="19.69921875" customWidth="1"/>
    <col min="1548" max="1548" width="22.5" customWidth="1"/>
    <col min="1549" max="1549" width="21.19921875" customWidth="1"/>
    <col min="1550" max="1552" width="19.69921875" customWidth="1"/>
    <col min="1553" max="1555" width="19.19921875" customWidth="1"/>
    <col min="1556" max="1556" width="20.296875" customWidth="1"/>
    <col min="1557" max="1557" width="22.69921875" customWidth="1"/>
    <col min="1558" max="1558" width="22.796875" customWidth="1"/>
    <col min="1793" max="1794" width="15.296875" customWidth="1"/>
    <col min="1795" max="1795" width="19.19921875" customWidth="1"/>
    <col min="1796" max="1803" width="19.69921875" customWidth="1"/>
    <col min="1804" max="1804" width="22.5" customWidth="1"/>
    <col min="1805" max="1805" width="21.19921875" customWidth="1"/>
    <col min="1806" max="1808" width="19.69921875" customWidth="1"/>
    <col min="1809" max="1811" width="19.19921875" customWidth="1"/>
    <col min="1812" max="1812" width="20.296875" customWidth="1"/>
    <col min="1813" max="1813" width="22.69921875" customWidth="1"/>
    <col min="1814" max="1814" width="22.796875" customWidth="1"/>
    <col min="2049" max="2050" width="15.296875" customWidth="1"/>
    <col min="2051" max="2051" width="19.19921875" customWidth="1"/>
    <col min="2052" max="2059" width="19.69921875" customWidth="1"/>
    <col min="2060" max="2060" width="22.5" customWidth="1"/>
    <col min="2061" max="2061" width="21.19921875" customWidth="1"/>
    <col min="2062" max="2064" width="19.69921875" customWidth="1"/>
    <col min="2065" max="2067" width="19.19921875" customWidth="1"/>
    <col min="2068" max="2068" width="20.296875" customWidth="1"/>
    <col min="2069" max="2069" width="22.69921875" customWidth="1"/>
    <col min="2070" max="2070" width="22.796875" customWidth="1"/>
    <col min="2305" max="2306" width="15.296875" customWidth="1"/>
    <col min="2307" max="2307" width="19.19921875" customWidth="1"/>
    <col min="2308" max="2315" width="19.69921875" customWidth="1"/>
    <col min="2316" max="2316" width="22.5" customWidth="1"/>
    <col min="2317" max="2317" width="21.19921875" customWidth="1"/>
    <col min="2318" max="2320" width="19.69921875" customWidth="1"/>
    <col min="2321" max="2323" width="19.19921875" customWidth="1"/>
    <col min="2324" max="2324" width="20.296875" customWidth="1"/>
    <col min="2325" max="2325" width="22.69921875" customWidth="1"/>
    <col min="2326" max="2326" width="22.796875" customWidth="1"/>
    <col min="2561" max="2562" width="15.296875" customWidth="1"/>
    <col min="2563" max="2563" width="19.19921875" customWidth="1"/>
    <col min="2564" max="2571" width="19.69921875" customWidth="1"/>
    <col min="2572" max="2572" width="22.5" customWidth="1"/>
    <col min="2573" max="2573" width="21.19921875" customWidth="1"/>
    <col min="2574" max="2576" width="19.69921875" customWidth="1"/>
    <col min="2577" max="2579" width="19.19921875" customWidth="1"/>
    <col min="2580" max="2580" width="20.296875" customWidth="1"/>
    <col min="2581" max="2581" width="22.69921875" customWidth="1"/>
    <col min="2582" max="2582" width="22.796875" customWidth="1"/>
    <col min="2817" max="2818" width="15.296875" customWidth="1"/>
    <col min="2819" max="2819" width="19.19921875" customWidth="1"/>
    <col min="2820" max="2827" width="19.69921875" customWidth="1"/>
    <col min="2828" max="2828" width="22.5" customWidth="1"/>
    <col min="2829" max="2829" width="21.19921875" customWidth="1"/>
    <col min="2830" max="2832" width="19.69921875" customWidth="1"/>
    <col min="2833" max="2835" width="19.19921875" customWidth="1"/>
    <col min="2836" max="2836" width="20.296875" customWidth="1"/>
    <col min="2837" max="2837" width="22.69921875" customWidth="1"/>
    <col min="2838" max="2838" width="22.796875" customWidth="1"/>
    <col min="3073" max="3074" width="15.296875" customWidth="1"/>
    <col min="3075" max="3075" width="19.19921875" customWidth="1"/>
    <col min="3076" max="3083" width="19.69921875" customWidth="1"/>
    <col min="3084" max="3084" width="22.5" customWidth="1"/>
    <col min="3085" max="3085" width="21.19921875" customWidth="1"/>
    <col min="3086" max="3088" width="19.69921875" customWidth="1"/>
    <col min="3089" max="3091" width="19.19921875" customWidth="1"/>
    <col min="3092" max="3092" width="20.296875" customWidth="1"/>
    <col min="3093" max="3093" width="22.69921875" customWidth="1"/>
    <col min="3094" max="3094" width="22.796875" customWidth="1"/>
    <col min="3329" max="3330" width="15.296875" customWidth="1"/>
    <col min="3331" max="3331" width="19.19921875" customWidth="1"/>
    <col min="3332" max="3339" width="19.69921875" customWidth="1"/>
    <col min="3340" max="3340" width="22.5" customWidth="1"/>
    <col min="3341" max="3341" width="21.19921875" customWidth="1"/>
    <col min="3342" max="3344" width="19.69921875" customWidth="1"/>
    <col min="3345" max="3347" width="19.19921875" customWidth="1"/>
    <col min="3348" max="3348" width="20.296875" customWidth="1"/>
    <col min="3349" max="3349" width="22.69921875" customWidth="1"/>
    <col min="3350" max="3350" width="22.796875" customWidth="1"/>
    <col min="3585" max="3586" width="15.296875" customWidth="1"/>
    <col min="3587" max="3587" width="19.19921875" customWidth="1"/>
    <col min="3588" max="3595" width="19.69921875" customWidth="1"/>
    <col min="3596" max="3596" width="22.5" customWidth="1"/>
    <col min="3597" max="3597" width="21.19921875" customWidth="1"/>
    <col min="3598" max="3600" width="19.69921875" customWidth="1"/>
    <col min="3601" max="3603" width="19.19921875" customWidth="1"/>
    <col min="3604" max="3604" width="20.296875" customWidth="1"/>
    <col min="3605" max="3605" width="22.69921875" customWidth="1"/>
    <col min="3606" max="3606" width="22.796875" customWidth="1"/>
    <col min="3841" max="3842" width="15.296875" customWidth="1"/>
    <col min="3843" max="3843" width="19.19921875" customWidth="1"/>
    <col min="3844" max="3851" width="19.69921875" customWidth="1"/>
    <col min="3852" max="3852" width="22.5" customWidth="1"/>
    <col min="3853" max="3853" width="21.19921875" customWidth="1"/>
    <col min="3854" max="3856" width="19.69921875" customWidth="1"/>
    <col min="3857" max="3859" width="19.19921875" customWidth="1"/>
    <col min="3860" max="3860" width="20.296875" customWidth="1"/>
    <col min="3861" max="3861" width="22.69921875" customWidth="1"/>
    <col min="3862" max="3862" width="22.796875" customWidth="1"/>
    <col min="4097" max="4098" width="15.296875" customWidth="1"/>
    <col min="4099" max="4099" width="19.19921875" customWidth="1"/>
    <col min="4100" max="4107" width="19.69921875" customWidth="1"/>
    <col min="4108" max="4108" width="22.5" customWidth="1"/>
    <col min="4109" max="4109" width="21.19921875" customWidth="1"/>
    <col min="4110" max="4112" width="19.69921875" customWidth="1"/>
    <col min="4113" max="4115" width="19.19921875" customWidth="1"/>
    <col min="4116" max="4116" width="20.296875" customWidth="1"/>
    <col min="4117" max="4117" width="22.69921875" customWidth="1"/>
    <col min="4118" max="4118" width="22.796875" customWidth="1"/>
    <col min="4353" max="4354" width="15.296875" customWidth="1"/>
    <col min="4355" max="4355" width="19.19921875" customWidth="1"/>
    <col min="4356" max="4363" width="19.69921875" customWidth="1"/>
    <col min="4364" max="4364" width="22.5" customWidth="1"/>
    <col min="4365" max="4365" width="21.19921875" customWidth="1"/>
    <col min="4366" max="4368" width="19.69921875" customWidth="1"/>
    <col min="4369" max="4371" width="19.19921875" customWidth="1"/>
    <col min="4372" max="4372" width="20.296875" customWidth="1"/>
    <col min="4373" max="4373" width="22.69921875" customWidth="1"/>
    <col min="4374" max="4374" width="22.796875" customWidth="1"/>
    <col min="4609" max="4610" width="15.296875" customWidth="1"/>
    <col min="4611" max="4611" width="19.19921875" customWidth="1"/>
    <col min="4612" max="4619" width="19.69921875" customWidth="1"/>
    <col min="4620" max="4620" width="22.5" customWidth="1"/>
    <col min="4621" max="4621" width="21.19921875" customWidth="1"/>
    <col min="4622" max="4624" width="19.69921875" customWidth="1"/>
    <col min="4625" max="4627" width="19.19921875" customWidth="1"/>
    <col min="4628" max="4628" width="20.296875" customWidth="1"/>
    <col min="4629" max="4629" width="22.69921875" customWidth="1"/>
    <col min="4630" max="4630" width="22.796875" customWidth="1"/>
    <col min="4865" max="4866" width="15.296875" customWidth="1"/>
    <col min="4867" max="4867" width="19.19921875" customWidth="1"/>
    <col min="4868" max="4875" width="19.69921875" customWidth="1"/>
    <col min="4876" max="4876" width="22.5" customWidth="1"/>
    <col min="4877" max="4877" width="21.19921875" customWidth="1"/>
    <col min="4878" max="4880" width="19.69921875" customWidth="1"/>
    <col min="4881" max="4883" width="19.19921875" customWidth="1"/>
    <col min="4884" max="4884" width="20.296875" customWidth="1"/>
    <col min="4885" max="4885" width="22.69921875" customWidth="1"/>
    <col min="4886" max="4886" width="22.796875" customWidth="1"/>
    <col min="5121" max="5122" width="15.296875" customWidth="1"/>
    <col min="5123" max="5123" width="19.19921875" customWidth="1"/>
    <col min="5124" max="5131" width="19.69921875" customWidth="1"/>
    <col min="5132" max="5132" width="22.5" customWidth="1"/>
    <col min="5133" max="5133" width="21.19921875" customWidth="1"/>
    <col min="5134" max="5136" width="19.69921875" customWidth="1"/>
    <col min="5137" max="5139" width="19.19921875" customWidth="1"/>
    <col min="5140" max="5140" width="20.296875" customWidth="1"/>
    <col min="5141" max="5141" width="22.69921875" customWidth="1"/>
    <col min="5142" max="5142" width="22.796875" customWidth="1"/>
    <col min="5377" max="5378" width="15.296875" customWidth="1"/>
    <col min="5379" max="5379" width="19.19921875" customWidth="1"/>
    <col min="5380" max="5387" width="19.69921875" customWidth="1"/>
    <col min="5388" max="5388" width="22.5" customWidth="1"/>
    <col min="5389" max="5389" width="21.19921875" customWidth="1"/>
    <col min="5390" max="5392" width="19.69921875" customWidth="1"/>
    <col min="5393" max="5395" width="19.19921875" customWidth="1"/>
    <col min="5396" max="5396" width="20.296875" customWidth="1"/>
    <col min="5397" max="5397" width="22.69921875" customWidth="1"/>
    <col min="5398" max="5398" width="22.796875" customWidth="1"/>
    <col min="5633" max="5634" width="15.296875" customWidth="1"/>
    <col min="5635" max="5635" width="19.19921875" customWidth="1"/>
    <col min="5636" max="5643" width="19.69921875" customWidth="1"/>
    <col min="5644" max="5644" width="22.5" customWidth="1"/>
    <col min="5645" max="5645" width="21.19921875" customWidth="1"/>
    <col min="5646" max="5648" width="19.69921875" customWidth="1"/>
    <col min="5649" max="5651" width="19.19921875" customWidth="1"/>
    <col min="5652" max="5652" width="20.296875" customWidth="1"/>
    <col min="5653" max="5653" width="22.69921875" customWidth="1"/>
    <col min="5654" max="5654" width="22.796875" customWidth="1"/>
    <col min="5889" max="5890" width="15.296875" customWidth="1"/>
    <col min="5891" max="5891" width="19.19921875" customWidth="1"/>
    <col min="5892" max="5899" width="19.69921875" customWidth="1"/>
    <col min="5900" max="5900" width="22.5" customWidth="1"/>
    <col min="5901" max="5901" width="21.19921875" customWidth="1"/>
    <col min="5902" max="5904" width="19.69921875" customWidth="1"/>
    <col min="5905" max="5907" width="19.19921875" customWidth="1"/>
    <col min="5908" max="5908" width="20.296875" customWidth="1"/>
    <col min="5909" max="5909" width="22.69921875" customWidth="1"/>
    <col min="5910" max="5910" width="22.796875" customWidth="1"/>
    <col min="6145" max="6146" width="15.296875" customWidth="1"/>
    <col min="6147" max="6147" width="19.19921875" customWidth="1"/>
    <col min="6148" max="6155" width="19.69921875" customWidth="1"/>
    <col min="6156" max="6156" width="22.5" customWidth="1"/>
    <col min="6157" max="6157" width="21.19921875" customWidth="1"/>
    <col min="6158" max="6160" width="19.69921875" customWidth="1"/>
    <col min="6161" max="6163" width="19.19921875" customWidth="1"/>
    <col min="6164" max="6164" width="20.296875" customWidth="1"/>
    <col min="6165" max="6165" width="22.69921875" customWidth="1"/>
    <col min="6166" max="6166" width="22.796875" customWidth="1"/>
    <col min="6401" max="6402" width="15.296875" customWidth="1"/>
    <col min="6403" max="6403" width="19.19921875" customWidth="1"/>
    <col min="6404" max="6411" width="19.69921875" customWidth="1"/>
    <col min="6412" max="6412" width="22.5" customWidth="1"/>
    <col min="6413" max="6413" width="21.19921875" customWidth="1"/>
    <col min="6414" max="6416" width="19.69921875" customWidth="1"/>
    <col min="6417" max="6419" width="19.19921875" customWidth="1"/>
    <col min="6420" max="6420" width="20.296875" customWidth="1"/>
    <col min="6421" max="6421" width="22.69921875" customWidth="1"/>
    <col min="6422" max="6422" width="22.796875" customWidth="1"/>
    <col min="6657" max="6658" width="15.296875" customWidth="1"/>
    <col min="6659" max="6659" width="19.19921875" customWidth="1"/>
    <col min="6660" max="6667" width="19.69921875" customWidth="1"/>
    <col min="6668" max="6668" width="22.5" customWidth="1"/>
    <col min="6669" max="6669" width="21.19921875" customWidth="1"/>
    <col min="6670" max="6672" width="19.69921875" customWidth="1"/>
    <col min="6673" max="6675" width="19.19921875" customWidth="1"/>
    <col min="6676" max="6676" width="20.296875" customWidth="1"/>
    <col min="6677" max="6677" width="22.69921875" customWidth="1"/>
    <col min="6678" max="6678" width="22.796875" customWidth="1"/>
    <col min="6913" max="6914" width="15.296875" customWidth="1"/>
    <col min="6915" max="6915" width="19.19921875" customWidth="1"/>
    <col min="6916" max="6923" width="19.69921875" customWidth="1"/>
    <col min="6924" max="6924" width="22.5" customWidth="1"/>
    <col min="6925" max="6925" width="21.19921875" customWidth="1"/>
    <col min="6926" max="6928" width="19.69921875" customWidth="1"/>
    <col min="6929" max="6931" width="19.19921875" customWidth="1"/>
    <col min="6932" max="6932" width="20.296875" customWidth="1"/>
    <col min="6933" max="6933" width="22.69921875" customWidth="1"/>
    <col min="6934" max="6934" width="22.796875" customWidth="1"/>
    <col min="7169" max="7170" width="15.296875" customWidth="1"/>
    <col min="7171" max="7171" width="19.19921875" customWidth="1"/>
    <col min="7172" max="7179" width="19.69921875" customWidth="1"/>
    <col min="7180" max="7180" width="22.5" customWidth="1"/>
    <col min="7181" max="7181" width="21.19921875" customWidth="1"/>
    <col min="7182" max="7184" width="19.69921875" customWidth="1"/>
    <col min="7185" max="7187" width="19.19921875" customWidth="1"/>
    <col min="7188" max="7188" width="20.296875" customWidth="1"/>
    <col min="7189" max="7189" width="22.69921875" customWidth="1"/>
    <col min="7190" max="7190" width="22.796875" customWidth="1"/>
    <col min="7425" max="7426" width="15.296875" customWidth="1"/>
    <col min="7427" max="7427" width="19.19921875" customWidth="1"/>
    <col min="7428" max="7435" width="19.69921875" customWidth="1"/>
    <col min="7436" max="7436" width="22.5" customWidth="1"/>
    <col min="7437" max="7437" width="21.19921875" customWidth="1"/>
    <col min="7438" max="7440" width="19.69921875" customWidth="1"/>
    <col min="7441" max="7443" width="19.19921875" customWidth="1"/>
    <col min="7444" max="7444" width="20.296875" customWidth="1"/>
    <col min="7445" max="7445" width="22.69921875" customWidth="1"/>
    <col min="7446" max="7446" width="22.796875" customWidth="1"/>
    <col min="7681" max="7682" width="15.296875" customWidth="1"/>
    <col min="7683" max="7683" width="19.19921875" customWidth="1"/>
    <col min="7684" max="7691" width="19.69921875" customWidth="1"/>
    <col min="7692" max="7692" width="22.5" customWidth="1"/>
    <col min="7693" max="7693" width="21.19921875" customWidth="1"/>
    <col min="7694" max="7696" width="19.69921875" customWidth="1"/>
    <col min="7697" max="7699" width="19.19921875" customWidth="1"/>
    <col min="7700" max="7700" width="20.296875" customWidth="1"/>
    <col min="7701" max="7701" width="22.69921875" customWidth="1"/>
    <col min="7702" max="7702" width="22.796875" customWidth="1"/>
    <col min="7937" max="7938" width="15.296875" customWidth="1"/>
    <col min="7939" max="7939" width="19.19921875" customWidth="1"/>
    <col min="7940" max="7947" width="19.69921875" customWidth="1"/>
    <col min="7948" max="7948" width="22.5" customWidth="1"/>
    <col min="7949" max="7949" width="21.19921875" customWidth="1"/>
    <col min="7950" max="7952" width="19.69921875" customWidth="1"/>
    <col min="7953" max="7955" width="19.19921875" customWidth="1"/>
    <col min="7956" max="7956" width="20.296875" customWidth="1"/>
    <col min="7957" max="7957" width="22.69921875" customWidth="1"/>
    <col min="7958" max="7958" width="22.796875" customWidth="1"/>
    <col min="8193" max="8194" width="15.296875" customWidth="1"/>
    <col min="8195" max="8195" width="19.19921875" customWidth="1"/>
    <col min="8196" max="8203" width="19.69921875" customWidth="1"/>
    <col min="8204" max="8204" width="22.5" customWidth="1"/>
    <col min="8205" max="8205" width="21.19921875" customWidth="1"/>
    <col min="8206" max="8208" width="19.69921875" customWidth="1"/>
    <col min="8209" max="8211" width="19.19921875" customWidth="1"/>
    <col min="8212" max="8212" width="20.296875" customWidth="1"/>
    <col min="8213" max="8213" width="22.69921875" customWidth="1"/>
    <col min="8214" max="8214" width="22.796875" customWidth="1"/>
    <col min="8449" max="8450" width="15.296875" customWidth="1"/>
    <col min="8451" max="8451" width="19.19921875" customWidth="1"/>
    <col min="8452" max="8459" width="19.69921875" customWidth="1"/>
    <col min="8460" max="8460" width="22.5" customWidth="1"/>
    <col min="8461" max="8461" width="21.19921875" customWidth="1"/>
    <col min="8462" max="8464" width="19.69921875" customWidth="1"/>
    <col min="8465" max="8467" width="19.19921875" customWidth="1"/>
    <col min="8468" max="8468" width="20.296875" customWidth="1"/>
    <col min="8469" max="8469" width="22.69921875" customWidth="1"/>
    <col min="8470" max="8470" width="22.796875" customWidth="1"/>
    <col min="8705" max="8706" width="15.296875" customWidth="1"/>
    <col min="8707" max="8707" width="19.19921875" customWidth="1"/>
    <col min="8708" max="8715" width="19.69921875" customWidth="1"/>
    <col min="8716" max="8716" width="22.5" customWidth="1"/>
    <col min="8717" max="8717" width="21.19921875" customWidth="1"/>
    <col min="8718" max="8720" width="19.69921875" customWidth="1"/>
    <col min="8721" max="8723" width="19.19921875" customWidth="1"/>
    <col min="8724" max="8724" width="20.296875" customWidth="1"/>
    <col min="8725" max="8725" width="22.69921875" customWidth="1"/>
    <col min="8726" max="8726" width="22.796875" customWidth="1"/>
    <col min="8961" max="8962" width="15.296875" customWidth="1"/>
    <col min="8963" max="8963" width="19.19921875" customWidth="1"/>
    <col min="8964" max="8971" width="19.69921875" customWidth="1"/>
    <col min="8972" max="8972" width="22.5" customWidth="1"/>
    <col min="8973" max="8973" width="21.19921875" customWidth="1"/>
    <col min="8974" max="8976" width="19.69921875" customWidth="1"/>
    <col min="8977" max="8979" width="19.19921875" customWidth="1"/>
    <col min="8980" max="8980" width="20.296875" customWidth="1"/>
    <col min="8981" max="8981" width="22.69921875" customWidth="1"/>
    <col min="8982" max="8982" width="22.796875" customWidth="1"/>
    <col min="9217" max="9218" width="15.296875" customWidth="1"/>
    <col min="9219" max="9219" width="19.19921875" customWidth="1"/>
    <col min="9220" max="9227" width="19.69921875" customWidth="1"/>
    <col min="9228" max="9228" width="22.5" customWidth="1"/>
    <col min="9229" max="9229" width="21.19921875" customWidth="1"/>
    <col min="9230" max="9232" width="19.69921875" customWidth="1"/>
    <col min="9233" max="9235" width="19.19921875" customWidth="1"/>
    <col min="9236" max="9236" width="20.296875" customWidth="1"/>
    <col min="9237" max="9237" width="22.69921875" customWidth="1"/>
    <col min="9238" max="9238" width="22.796875" customWidth="1"/>
    <col min="9473" max="9474" width="15.296875" customWidth="1"/>
    <col min="9475" max="9475" width="19.19921875" customWidth="1"/>
    <col min="9476" max="9483" width="19.69921875" customWidth="1"/>
    <col min="9484" max="9484" width="22.5" customWidth="1"/>
    <col min="9485" max="9485" width="21.19921875" customWidth="1"/>
    <col min="9486" max="9488" width="19.69921875" customWidth="1"/>
    <col min="9489" max="9491" width="19.19921875" customWidth="1"/>
    <col min="9492" max="9492" width="20.296875" customWidth="1"/>
    <col min="9493" max="9493" width="22.69921875" customWidth="1"/>
    <col min="9494" max="9494" width="22.796875" customWidth="1"/>
    <col min="9729" max="9730" width="15.296875" customWidth="1"/>
    <col min="9731" max="9731" width="19.19921875" customWidth="1"/>
    <col min="9732" max="9739" width="19.69921875" customWidth="1"/>
    <col min="9740" max="9740" width="22.5" customWidth="1"/>
    <col min="9741" max="9741" width="21.19921875" customWidth="1"/>
    <col min="9742" max="9744" width="19.69921875" customWidth="1"/>
    <col min="9745" max="9747" width="19.19921875" customWidth="1"/>
    <col min="9748" max="9748" width="20.296875" customWidth="1"/>
    <col min="9749" max="9749" width="22.69921875" customWidth="1"/>
    <col min="9750" max="9750" width="22.796875" customWidth="1"/>
    <col min="9985" max="9986" width="15.296875" customWidth="1"/>
    <col min="9987" max="9987" width="19.19921875" customWidth="1"/>
    <col min="9988" max="9995" width="19.69921875" customWidth="1"/>
    <col min="9996" max="9996" width="22.5" customWidth="1"/>
    <col min="9997" max="9997" width="21.19921875" customWidth="1"/>
    <col min="9998" max="10000" width="19.69921875" customWidth="1"/>
    <col min="10001" max="10003" width="19.19921875" customWidth="1"/>
    <col min="10004" max="10004" width="20.296875" customWidth="1"/>
    <col min="10005" max="10005" width="22.69921875" customWidth="1"/>
    <col min="10006" max="10006" width="22.796875" customWidth="1"/>
    <col min="10241" max="10242" width="15.296875" customWidth="1"/>
    <col min="10243" max="10243" width="19.19921875" customWidth="1"/>
    <col min="10244" max="10251" width="19.69921875" customWidth="1"/>
    <col min="10252" max="10252" width="22.5" customWidth="1"/>
    <col min="10253" max="10253" width="21.19921875" customWidth="1"/>
    <col min="10254" max="10256" width="19.69921875" customWidth="1"/>
    <col min="10257" max="10259" width="19.19921875" customWidth="1"/>
    <col min="10260" max="10260" width="20.296875" customWidth="1"/>
    <col min="10261" max="10261" width="22.69921875" customWidth="1"/>
    <col min="10262" max="10262" width="22.796875" customWidth="1"/>
    <col min="10497" max="10498" width="15.296875" customWidth="1"/>
    <col min="10499" max="10499" width="19.19921875" customWidth="1"/>
    <col min="10500" max="10507" width="19.69921875" customWidth="1"/>
    <col min="10508" max="10508" width="22.5" customWidth="1"/>
    <col min="10509" max="10509" width="21.19921875" customWidth="1"/>
    <col min="10510" max="10512" width="19.69921875" customWidth="1"/>
    <col min="10513" max="10515" width="19.19921875" customWidth="1"/>
    <col min="10516" max="10516" width="20.296875" customWidth="1"/>
    <col min="10517" max="10517" width="22.69921875" customWidth="1"/>
    <col min="10518" max="10518" width="22.796875" customWidth="1"/>
    <col min="10753" max="10754" width="15.296875" customWidth="1"/>
    <col min="10755" max="10755" width="19.19921875" customWidth="1"/>
    <col min="10756" max="10763" width="19.69921875" customWidth="1"/>
    <col min="10764" max="10764" width="22.5" customWidth="1"/>
    <col min="10765" max="10765" width="21.19921875" customWidth="1"/>
    <col min="10766" max="10768" width="19.69921875" customWidth="1"/>
    <col min="10769" max="10771" width="19.19921875" customWidth="1"/>
    <col min="10772" max="10772" width="20.296875" customWidth="1"/>
    <col min="10773" max="10773" width="22.69921875" customWidth="1"/>
    <col min="10774" max="10774" width="22.796875" customWidth="1"/>
    <col min="11009" max="11010" width="15.296875" customWidth="1"/>
    <col min="11011" max="11011" width="19.19921875" customWidth="1"/>
    <col min="11012" max="11019" width="19.69921875" customWidth="1"/>
    <col min="11020" max="11020" width="22.5" customWidth="1"/>
    <col min="11021" max="11021" width="21.19921875" customWidth="1"/>
    <col min="11022" max="11024" width="19.69921875" customWidth="1"/>
    <col min="11025" max="11027" width="19.19921875" customWidth="1"/>
    <col min="11028" max="11028" width="20.296875" customWidth="1"/>
    <col min="11029" max="11029" width="22.69921875" customWidth="1"/>
    <col min="11030" max="11030" width="22.796875" customWidth="1"/>
    <col min="11265" max="11266" width="15.296875" customWidth="1"/>
    <col min="11267" max="11267" width="19.19921875" customWidth="1"/>
    <col min="11268" max="11275" width="19.69921875" customWidth="1"/>
    <col min="11276" max="11276" width="22.5" customWidth="1"/>
    <col min="11277" max="11277" width="21.19921875" customWidth="1"/>
    <col min="11278" max="11280" width="19.69921875" customWidth="1"/>
    <col min="11281" max="11283" width="19.19921875" customWidth="1"/>
    <col min="11284" max="11284" width="20.296875" customWidth="1"/>
    <col min="11285" max="11285" width="22.69921875" customWidth="1"/>
    <col min="11286" max="11286" width="22.796875" customWidth="1"/>
    <col min="11521" max="11522" width="15.296875" customWidth="1"/>
    <col min="11523" max="11523" width="19.19921875" customWidth="1"/>
    <col min="11524" max="11531" width="19.69921875" customWidth="1"/>
    <col min="11532" max="11532" width="22.5" customWidth="1"/>
    <col min="11533" max="11533" width="21.19921875" customWidth="1"/>
    <col min="11534" max="11536" width="19.69921875" customWidth="1"/>
    <col min="11537" max="11539" width="19.19921875" customWidth="1"/>
    <col min="11540" max="11540" width="20.296875" customWidth="1"/>
    <col min="11541" max="11541" width="22.69921875" customWidth="1"/>
    <col min="11542" max="11542" width="22.796875" customWidth="1"/>
    <col min="11777" max="11778" width="15.296875" customWidth="1"/>
    <col min="11779" max="11779" width="19.19921875" customWidth="1"/>
    <col min="11780" max="11787" width="19.69921875" customWidth="1"/>
    <col min="11788" max="11788" width="22.5" customWidth="1"/>
    <col min="11789" max="11789" width="21.19921875" customWidth="1"/>
    <col min="11790" max="11792" width="19.69921875" customWidth="1"/>
    <col min="11793" max="11795" width="19.19921875" customWidth="1"/>
    <col min="11796" max="11796" width="20.296875" customWidth="1"/>
    <col min="11797" max="11797" width="22.69921875" customWidth="1"/>
    <col min="11798" max="11798" width="22.796875" customWidth="1"/>
    <col min="12033" max="12034" width="15.296875" customWidth="1"/>
    <col min="12035" max="12035" width="19.19921875" customWidth="1"/>
    <col min="12036" max="12043" width="19.69921875" customWidth="1"/>
    <col min="12044" max="12044" width="22.5" customWidth="1"/>
    <col min="12045" max="12045" width="21.19921875" customWidth="1"/>
    <col min="12046" max="12048" width="19.69921875" customWidth="1"/>
    <col min="12049" max="12051" width="19.19921875" customWidth="1"/>
    <col min="12052" max="12052" width="20.296875" customWidth="1"/>
    <col min="12053" max="12053" width="22.69921875" customWidth="1"/>
    <col min="12054" max="12054" width="22.796875" customWidth="1"/>
    <col min="12289" max="12290" width="15.296875" customWidth="1"/>
    <col min="12291" max="12291" width="19.19921875" customWidth="1"/>
    <col min="12292" max="12299" width="19.69921875" customWidth="1"/>
    <col min="12300" max="12300" width="22.5" customWidth="1"/>
    <col min="12301" max="12301" width="21.19921875" customWidth="1"/>
    <col min="12302" max="12304" width="19.69921875" customWidth="1"/>
    <col min="12305" max="12307" width="19.19921875" customWidth="1"/>
    <col min="12308" max="12308" width="20.296875" customWidth="1"/>
    <col min="12309" max="12309" width="22.69921875" customWidth="1"/>
    <col min="12310" max="12310" width="22.796875" customWidth="1"/>
    <col min="12545" max="12546" width="15.296875" customWidth="1"/>
    <col min="12547" max="12547" width="19.19921875" customWidth="1"/>
    <col min="12548" max="12555" width="19.69921875" customWidth="1"/>
    <col min="12556" max="12556" width="22.5" customWidth="1"/>
    <col min="12557" max="12557" width="21.19921875" customWidth="1"/>
    <col min="12558" max="12560" width="19.69921875" customWidth="1"/>
    <col min="12561" max="12563" width="19.19921875" customWidth="1"/>
    <col min="12564" max="12564" width="20.296875" customWidth="1"/>
    <col min="12565" max="12565" width="22.69921875" customWidth="1"/>
    <col min="12566" max="12566" width="22.796875" customWidth="1"/>
    <col min="12801" max="12802" width="15.296875" customWidth="1"/>
    <col min="12803" max="12803" width="19.19921875" customWidth="1"/>
    <col min="12804" max="12811" width="19.69921875" customWidth="1"/>
    <col min="12812" max="12812" width="22.5" customWidth="1"/>
    <col min="12813" max="12813" width="21.19921875" customWidth="1"/>
    <col min="12814" max="12816" width="19.69921875" customWidth="1"/>
    <col min="12817" max="12819" width="19.19921875" customWidth="1"/>
    <col min="12820" max="12820" width="20.296875" customWidth="1"/>
    <col min="12821" max="12821" width="22.69921875" customWidth="1"/>
    <col min="12822" max="12822" width="22.796875" customWidth="1"/>
    <col min="13057" max="13058" width="15.296875" customWidth="1"/>
    <col min="13059" max="13059" width="19.19921875" customWidth="1"/>
    <col min="13060" max="13067" width="19.69921875" customWidth="1"/>
    <col min="13068" max="13068" width="22.5" customWidth="1"/>
    <col min="13069" max="13069" width="21.19921875" customWidth="1"/>
    <col min="13070" max="13072" width="19.69921875" customWidth="1"/>
    <col min="13073" max="13075" width="19.19921875" customWidth="1"/>
    <col min="13076" max="13076" width="20.296875" customWidth="1"/>
    <col min="13077" max="13077" width="22.69921875" customWidth="1"/>
    <col min="13078" max="13078" width="22.796875" customWidth="1"/>
    <col min="13313" max="13314" width="15.296875" customWidth="1"/>
    <col min="13315" max="13315" width="19.19921875" customWidth="1"/>
    <col min="13316" max="13323" width="19.69921875" customWidth="1"/>
    <col min="13324" max="13324" width="22.5" customWidth="1"/>
    <col min="13325" max="13325" width="21.19921875" customWidth="1"/>
    <col min="13326" max="13328" width="19.69921875" customWidth="1"/>
    <col min="13329" max="13331" width="19.19921875" customWidth="1"/>
    <col min="13332" max="13332" width="20.296875" customWidth="1"/>
    <col min="13333" max="13333" width="22.69921875" customWidth="1"/>
    <col min="13334" max="13334" width="22.796875" customWidth="1"/>
    <col min="13569" max="13570" width="15.296875" customWidth="1"/>
    <col min="13571" max="13571" width="19.19921875" customWidth="1"/>
    <col min="13572" max="13579" width="19.69921875" customWidth="1"/>
    <col min="13580" max="13580" width="22.5" customWidth="1"/>
    <col min="13581" max="13581" width="21.19921875" customWidth="1"/>
    <col min="13582" max="13584" width="19.69921875" customWidth="1"/>
    <col min="13585" max="13587" width="19.19921875" customWidth="1"/>
    <col min="13588" max="13588" width="20.296875" customWidth="1"/>
    <col min="13589" max="13589" width="22.69921875" customWidth="1"/>
    <col min="13590" max="13590" width="22.796875" customWidth="1"/>
    <col min="13825" max="13826" width="15.296875" customWidth="1"/>
    <col min="13827" max="13827" width="19.19921875" customWidth="1"/>
    <col min="13828" max="13835" width="19.69921875" customWidth="1"/>
    <col min="13836" max="13836" width="22.5" customWidth="1"/>
    <col min="13837" max="13837" width="21.19921875" customWidth="1"/>
    <col min="13838" max="13840" width="19.69921875" customWidth="1"/>
    <col min="13841" max="13843" width="19.19921875" customWidth="1"/>
    <col min="13844" max="13844" width="20.296875" customWidth="1"/>
    <col min="13845" max="13845" width="22.69921875" customWidth="1"/>
    <col min="13846" max="13846" width="22.796875" customWidth="1"/>
    <col min="14081" max="14082" width="15.296875" customWidth="1"/>
    <col min="14083" max="14083" width="19.19921875" customWidth="1"/>
    <col min="14084" max="14091" width="19.69921875" customWidth="1"/>
    <col min="14092" max="14092" width="22.5" customWidth="1"/>
    <col min="14093" max="14093" width="21.19921875" customWidth="1"/>
    <col min="14094" max="14096" width="19.69921875" customWidth="1"/>
    <col min="14097" max="14099" width="19.19921875" customWidth="1"/>
    <col min="14100" max="14100" width="20.296875" customWidth="1"/>
    <col min="14101" max="14101" width="22.69921875" customWidth="1"/>
    <col min="14102" max="14102" width="22.796875" customWidth="1"/>
    <col min="14337" max="14338" width="15.296875" customWidth="1"/>
    <col min="14339" max="14339" width="19.19921875" customWidth="1"/>
    <col min="14340" max="14347" width="19.69921875" customWidth="1"/>
    <col min="14348" max="14348" width="22.5" customWidth="1"/>
    <col min="14349" max="14349" width="21.19921875" customWidth="1"/>
    <col min="14350" max="14352" width="19.69921875" customWidth="1"/>
    <col min="14353" max="14355" width="19.19921875" customWidth="1"/>
    <col min="14356" max="14356" width="20.296875" customWidth="1"/>
    <col min="14357" max="14357" width="22.69921875" customWidth="1"/>
    <col min="14358" max="14358" width="22.796875" customWidth="1"/>
    <col min="14593" max="14594" width="15.296875" customWidth="1"/>
    <col min="14595" max="14595" width="19.19921875" customWidth="1"/>
    <col min="14596" max="14603" width="19.69921875" customWidth="1"/>
    <col min="14604" max="14604" width="22.5" customWidth="1"/>
    <col min="14605" max="14605" width="21.19921875" customWidth="1"/>
    <col min="14606" max="14608" width="19.69921875" customWidth="1"/>
    <col min="14609" max="14611" width="19.19921875" customWidth="1"/>
    <col min="14612" max="14612" width="20.296875" customWidth="1"/>
    <col min="14613" max="14613" width="22.69921875" customWidth="1"/>
    <col min="14614" max="14614" width="22.796875" customWidth="1"/>
    <col min="14849" max="14850" width="15.296875" customWidth="1"/>
    <col min="14851" max="14851" width="19.19921875" customWidth="1"/>
    <col min="14852" max="14859" width="19.69921875" customWidth="1"/>
    <col min="14860" max="14860" width="22.5" customWidth="1"/>
    <col min="14861" max="14861" width="21.19921875" customWidth="1"/>
    <col min="14862" max="14864" width="19.69921875" customWidth="1"/>
    <col min="14865" max="14867" width="19.19921875" customWidth="1"/>
    <col min="14868" max="14868" width="20.296875" customWidth="1"/>
    <col min="14869" max="14869" width="22.69921875" customWidth="1"/>
    <col min="14870" max="14870" width="22.796875" customWidth="1"/>
    <col min="15105" max="15106" width="15.296875" customWidth="1"/>
    <col min="15107" max="15107" width="19.19921875" customWidth="1"/>
    <col min="15108" max="15115" width="19.69921875" customWidth="1"/>
    <col min="15116" max="15116" width="22.5" customWidth="1"/>
    <col min="15117" max="15117" width="21.19921875" customWidth="1"/>
    <col min="15118" max="15120" width="19.69921875" customWidth="1"/>
    <col min="15121" max="15123" width="19.19921875" customWidth="1"/>
    <col min="15124" max="15124" width="20.296875" customWidth="1"/>
    <col min="15125" max="15125" width="22.69921875" customWidth="1"/>
    <col min="15126" max="15126" width="22.796875" customWidth="1"/>
    <col min="15361" max="15362" width="15.296875" customWidth="1"/>
    <col min="15363" max="15363" width="19.19921875" customWidth="1"/>
    <col min="15364" max="15371" width="19.69921875" customWidth="1"/>
    <col min="15372" max="15372" width="22.5" customWidth="1"/>
    <col min="15373" max="15373" width="21.19921875" customWidth="1"/>
    <col min="15374" max="15376" width="19.69921875" customWidth="1"/>
    <col min="15377" max="15379" width="19.19921875" customWidth="1"/>
    <col min="15380" max="15380" width="20.296875" customWidth="1"/>
    <col min="15381" max="15381" width="22.69921875" customWidth="1"/>
    <col min="15382" max="15382" width="22.796875" customWidth="1"/>
    <col min="15617" max="15618" width="15.296875" customWidth="1"/>
    <col min="15619" max="15619" width="19.19921875" customWidth="1"/>
    <col min="15620" max="15627" width="19.69921875" customWidth="1"/>
    <col min="15628" max="15628" width="22.5" customWidth="1"/>
    <col min="15629" max="15629" width="21.19921875" customWidth="1"/>
    <col min="15630" max="15632" width="19.69921875" customWidth="1"/>
    <col min="15633" max="15635" width="19.19921875" customWidth="1"/>
    <col min="15636" max="15636" width="20.296875" customWidth="1"/>
    <col min="15637" max="15637" width="22.69921875" customWidth="1"/>
    <col min="15638" max="15638" width="22.796875" customWidth="1"/>
    <col min="15873" max="15874" width="15.296875" customWidth="1"/>
    <col min="15875" max="15875" width="19.19921875" customWidth="1"/>
    <col min="15876" max="15883" width="19.69921875" customWidth="1"/>
    <col min="15884" max="15884" width="22.5" customWidth="1"/>
    <col min="15885" max="15885" width="21.19921875" customWidth="1"/>
    <col min="15886" max="15888" width="19.69921875" customWidth="1"/>
    <col min="15889" max="15891" width="19.19921875" customWidth="1"/>
    <col min="15892" max="15892" width="20.296875" customWidth="1"/>
    <col min="15893" max="15893" width="22.69921875" customWidth="1"/>
    <col min="15894" max="15894" width="22.796875" customWidth="1"/>
    <col min="16129" max="16130" width="15.296875" customWidth="1"/>
    <col min="16131" max="16131" width="19.19921875" customWidth="1"/>
    <col min="16132" max="16139" width="19.69921875" customWidth="1"/>
    <col min="16140" max="16140" width="22.5" customWidth="1"/>
    <col min="16141" max="16141" width="21.19921875" customWidth="1"/>
    <col min="16142" max="16144" width="19.69921875" customWidth="1"/>
    <col min="16145" max="16147" width="19.19921875" customWidth="1"/>
    <col min="16148" max="16148" width="20.296875" customWidth="1"/>
    <col min="16149" max="16149" width="22.69921875" customWidth="1"/>
    <col min="16150" max="16150" width="22.796875" customWidth="1"/>
  </cols>
  <sheetData>
    <row r="1" spans="1:2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3" x14ac:dyDescent="0.3">
      <c r="A2" s="1"/>
      <c r="B2" s="1"/>
      <c r="C2" s="342" t="s">
        <v>115</v>
      </c>
      <c r="D2" s="342"/>
      <c r="E2" s="342"/>
      <c r="F2" s="342"/>
      <c r="G2" s="342"/>
      <c r="H2" s="342"/>
      <c r="I2" s="342"/>
      <c r="J2" s="342"/>
      <c r="K2" s="342"/>
      <c r="L2" s="342"/>
      <c r="M2" s="342"/>
      <c r="N2" s="342"/>
      <c r="O2" s="342"/>
      <c r="P2" s="342"/>
      <c r="Q2" s="342"/>
      <c r="R2" s="342"/>
      <c r="S2" s="342"/>
      <c r="T2" s="342"/>
      <c r="U2" s="342"/>
      <c r="V2" s="342"/>
      <c r="W2" s="342"/>
    </row>
    <row r="3" spans="1:2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3" x14ac:dyDescent="0.3">
      <c r="A4" s="1"/>
      <c r="B4" s="33"/>
      <c r="C4" s="33"/>
      <c r="D4" s="36"/>
      <c r="E4" s="35"/>
      <c r="F4" s="35"/>
      <c r="G4" s="34"/>
      <c r="H4" s="35"/>
      <c r="I4" s="34"/>
      <c r="J4" s="35"/>
      <c r="K4" s="21"/>
      <c r="L4" s="21"/>
    </row>
    <row r="8" spans="1:23" ht="18" x14ac:dyDescent="0.3">
      <c r="D8" s="132" t="s">
        <v>211</v>
      </c>
      <c r="E8" s="132" t="s">
        <v>212</v>
      </c>
      <c r="F8" s="132" t="s">
        <v>213</v>
      </c>
      <c r="G8" s="132" t="s">
        <v>214</v>
      </c>
      <c r="H8" s="132" t="s">
        <v>215</v>
      </c>
      <c r="I8" s="132" t="s">
        <v>125</v>
      </c>
      <c r="J8" s="132" t="s">
        <v>126</v>
      </c>
      <c r="K8" s="132" t="s">
        <v>92</v>
      </c>
      <c r="L8" s="132" t="s">
        <v>127</v>
      </c>
      <c r="M8" s="132" t="s">
        <v>222</v>
      </c>
      <c r="N8" s="132" t="s">
        <v>128</v>
      </c>
      <c r="O8" s="132" t="s">
        <v>223</v>
      </c>
      <c r="P8" s="132" t="s">
        <v>129</v>
      </c>
      <c r="Q8" s="132" t="s">
        <v>216</v>
      </c>
      <c r="R8" s="146"/>
      <c r="S8" s="141" t="s">
        <v>81</v>
      </c>
      <c r="T8" s="141" t="s">
        <v>110</v>
      </c>
    </row>
    <row r="9" spans="1:23" x14ac:dyDescent="0.3">
      <c r="D9">
        <v>1</v>
      </c>
      <c r="E9" s="132">
        <v>1</v>
      </c>
      <c r="F9" s="132">
        <f t="shared" ref="F9:N9" si="0">IF(F43&lt;&gt;0,1,0)</f>
        <v>1</v>
      </c>
      <c r="G9" s="132">
        <f t="shared" si="0"/>
        <v>1</v>
      </c>
      <c r="H9" s="132">
        <f t="shared" si="0"/>
        <v>1</v>
      </c>
      <c r="I9" s="132">
        <f t="shared" si="0"/>
        <v>1</v>
      </c>
      <c r="J9" s="132">
        <f>IF(J43&lt;&gt;0,1,0)</f>
        <v>0</v>
      </c>
      <c r="K9" s="132">
        <f t="shared" si="0"/>
        <v>1</v>
      </c>
      <c r="L9" s="132">
        <f t="shared" si="0"/>
        <v>0</v>
      </c>
      <c r="M9" s="132">
        <f t="shared" si="0"/>
        <v>1</v>
      </c>
      <c r="N9" s="132">
        <f t="shared" si="0"/>
        <v>1</v>
      </c>
      <c r="O9" s="132">
        <v>1</v>
      </c>
      <c r="P9" s="132">
        <v>0</v>
      </c>
      <c r="Q9" s="132">
        <v>0</v>
      </c>
      <c r="R9" s="132"/>
      <c r="S9" s="138" t="s">
        <v>212</v>
      </c>
      <c r="T9" s="139">
        <v>1.8718805194805197</v>
      </c>
    </row>
    <row r="10" spans="1:23" x14ac:dyDescent="0.3">
      <c r="D10">
        <v>2</v>
      </c>
      <c r="E10" s="132">
        <v>1</v>
      </c>
      <c r="F10" s="132">
        <v>1</v>
      </c>
      <c r="G10" s="132">
        <v>1</v>
      </c>
      <c r="H10" s="132">
        <v>1</v>
      </c>
      <c r="I10" s="132">
        <v>1</v>
      </c>
      <c r="J10">
        <v>0</v>
      </c>
      <c r="K10" s="132">
        <v>1</v>
      </c>
      <c r="L10">
        <v>0</v>
      </c>
      <c r="M10" s="132">
        <v>1</v>
      </c>
      <c r="N10" s="132">
        <v>1</v>
      </c>
      <c r="O10" s="132">
        <v>0</v>
      </c>
      <c r="P10" s="132">
        <v>0</v>
      </c>
      <c r="Q10" s="132">
        <v>0</v>
      </c>
      <c r="R10" s="132"/>
      <c r="S10" s="138" t="s">
        <v>213</v>
      </c>
      <c r="T10" s="139">
        <v>1.8718805194805197</v>
      </c>
    </row>
    <row r="11" spans="1:23" x14ac:dyDescent="0.3">
      <c r="D11">
        <v>3</v>
      </c>
      <c r="E11" s="132">
        <v>1</v>
      </c>
      <c r="F11" s="132">
        <v>1</v>
      </c>
      <c r="G11" s="132">
        <v>1</v>
      </c>
      <c r="H11" s="132">
        <v>1</v>
      </c>
      <c r="I11" s="132">
        <v>1</v>
      </c>
      <c r="J11">
        <v>0</v>
      </c>
      <c r="K11">
        <v>0</v>
      </c>
      <c r="L11" s="132">
        <v>1</v>
      </c>
      <c r="M11" s="132">
        <v>1</v>
      </c>
      <c r="N11" s="132">
        <v>1</v>
      </c>
      <c r="O11" s="132">
        <v>1</v>
      </c>
      <c r="P11" s="132">
        <v>0</v>
      </c>
      <c r="Q11" s="132">
        <v>0</v>
      </c>
      <c r="R11" s="132"/>
      <c r="S11" s="138" t="s">
        <v>214</v>
      </c>
      <c r="T11" s="139">
        <v>16.935175409039879</v>
      </c>
    </row>
    <row r="12" spans="1:23" x14ac:dyDescent="0.3">
      <c r="D12">
        <v>4</v>
      </c>
      <c r="E12" s="132">
        <v>1</v>
      </c>
      <c r="F12" s="132">
        <v>1</v>
      </c>
      <c r="G12" s="132">
        <v>1</v>
      </c>
      <c r="H12" s="132">
        <v>1</v>
      </c>
      <c r="I12" s="132">
        <v>1</v>
      </c>
      <c r="J12">
        <v>0</v>
      </c>
      <c r="K12">
        <v>0</v>
      </c>
      <c r="L12" s="132">
        <v>1</v>
      </c>
      <c r="M12" s="132">
        <v>1</v>
      </c>
      <c r="N12" s="132">
        <v>1</v>
      </c>
      <c r="O12" s="132">
        <v>0</v>
      </c>
      <c r="P12" s="132">
        <v>0</v>
      </c>
      <c r="Q12" s="132">
        <v>1</v>
      </c>
      <c r="R12" s="132"/>
      <c r="S12" s="138" t="s">
        <v>215</v>
      </c>
      <c r="T12" s="139">
        <v>16.935175409039879</v>
      </c>
    </row>
    <row r="13" spans="1:23" x14ac:dyDescent="0.3">
      <c r="D13">
        <v>5</v>
      </c>
      <c r="E13" s="132">
        <v>1</v>
      </c>
      <c r="F13" s="132">
        <v>1</v>
      </c>
      <c r="G13" s="132">
        <v>1</v>
      </c>
      <c r="H13" s="132">
        <v>1</v>
      </c>
      <c r="I13">
        <v>0</v>
      </c>
      <c r="J13">
        <v>0</v>
      </c>
      <c r="K13" s="132">
        <v>1</v>
      </c>
      <c r="L13">
        <v>0</v>
      </c>
      <c r="M13" s="132">
        <v>1</v>
      </c>
      <c r="N13">
        <v>0</v>
      </c>
      <c r="O13" s="132">
        <v>0</v>
      </c>
      <c r="P13" s="132">
        <v>1</v>
      </c>
      <c r="Q13" s="132">
        <v>0</v>
      </c>
      <c r="R13" s="132"/>
      <c r="S13" s="138" t="s">
        <v>125</v>
      </c>
      <c r="T13" s="139">
        <v>30.000000000000107</v>
      </c>
    </row>
    <row r="14" spans="1:23" x14ac:dyDescent="0.3">
      <c r="D14">
        <v>6</v>
      </c>
      <c r="E14" s="132">
        <v>1</v>
      </c>
      <c r="F14" s="132">
        <v>1</v>
      </c>
      <c r="G14" s="132">
        <v>1</v>
      </c>
      <c r="H14" s="132">
        <v>1</v>
      </c>
      <c r="I14">
        <v>0</v>
      </c>
      <c r="J14" s="132">
        <v>1</v>
      </c>
      <c r="K14" s="132">
        <v>1</v>
      </c>
      <c r="L14">
        <v>0</v>
      </c>
      <c r="M14" s="132">
        <v>1</v>
      </c>
      <c r="N14">
        <v>0</v>
      </c>
      <c r="O14" s="132">
        <v>0</v>
      </c>
      <c r="P14" s="132">
        <v>1</v>
      </c>
      <c r="Q14" s="132">
        <v>1</v>
      </c>
      <c r="R14" s="132"/>
      <c r="S14" s="138" t="s">
        <v>126</v>
      </c>
      <c r="T14" s="139">
        <v>18.000000000000064</v>
      </c>
    </row>
    <row r="15" spans="1:23" x14ac:dyDescent="0.3">
      <c r="D15">
        <v>7</v>
      </c>
      <c r="E15" s="132">
        <v>1</v>
      </c>
      <c r="F15" s="132">
        <v>1</v>
      </c>
      <c r="G15" s="132">
        <v>1</v>
      </c>
      <c r="H15" s="132">
        <v>1</v>
      </c>
      <c r="I15">
        <v>0</v>
      </c>
      <c r="J15" s="132">
        <v>1</v>
      </c>
      <c r="K15">
        <v>0</v>
      </c>
      <c r="L15" s="132">
        <v>1</v>
      </c>
      <c r="M15" s="132">
        <v>1</v>
      </c>
      <c r="N15">
        <v>0</v>
      </c>
      <c r="O15" s="132">
        <v>0</v>
      </c>
      <c r="P15" s="132">
        <v>1</v>
      </c>
      <c r="Q15" s="132">
        <v>0</v>
      </c>
      <c r="R15" s="132"/>
      <c r="S15" s="138" t="s">
        <v>92</v>
      </c>
      <c r="T15" s="139">
        <v>3.0857142857142867</v>
      </c>
    </row>
    <row r="16" spans="1:23" x14ac:dyDescent="0.3">
      <c r="D16">
        <v>8</v>
      </c>
      <c r="E16" s="132">
        <v>1</v>
      </c>
      <c r="F16" s="132">
        <v>1</v>
      </c>
      <c r="G16" s="132">
        <v>1</v>
      </c>
      <c r="H16" s="132">
        <v>1</v>
      </c>
      <c r="I16">
        <v>0</v>
      </c>
      <c r="J16" s="132">
        <v>1</v>
      </c>
      <c r="K16">
        <v>0</v>
      </c>
      <c r="L16" s="132">
        <v>1</v>
      </c>
      <c r="M16" s="132">
        <v>1</v>
      </c>
      <c r="N16">
        <v>0</v>
      </c>
      <c r="O16" s="132">
        <v>0</v>
      </c>
      <c r="P16" s="132">
        <v>1</v>
      </c>
      <c r="Q16" s="132">
        <v>0</v>
      </c>
      <c r="R16" s="132"/>
      <c r="S16" s="138" t="s">
        <v>127</v>
      </c>
      <c r="T16" s="139">
        <v>4.3201089514066497</v>
      </c>
    </row>
    <row r="17" spans="4:29" x14ac:dyDescent="0.3">
      <c r="D17">
        <v>9</v>
      </c>
      <c r="E17" s="132">
        <v>1</v>
      </c>
      <c r="F17" s="132">
        <v>1</v>
      </c>
      <c r="G17" s="132">
        <v>1</v>
      </c>
      <c r="H17">
        <v>0</v>
      </c>
      <c r="I17" s="132">
        <v>1</v>
      </c>
      <c r="J17">
        <v>0</v>
      </c>
      <c r="K17" s="132">
        <v>1</v>
      </c>
      <c r="L17">
        <v>0</v>
      </c>
      <c r="M17" s="132">
        <v>1</v>
      </c>
      <c r="N17" s="132">
        <v>1</v>
      </c>
      <c r="O17" s="132">
        <v>1</v>
      </c>
      <c r="P17" s="132">
        <v>0</v>
      </c>
      <c r="Q17" s="132">
        <v>0</v>
      </c>
      <c r="R17" s="132"/>
      <c r="S17" s="138" t="s">
        <v>222</v>
      </c>
      <c r="T17" s="139">
        <v>7.1999999999999797</v>
      </c>
    </row>
    <row r="18" spans="4:29" x14ac:dyDescent="0.3">
      <c r="D18">
        <v>10</v>
      </c>
      <c r="E18" s="132">
        <v>1</v>
      </c>
      <c r="F18" s="132">
        <v>1</v>
      </c>
      <c r="G18" s="132">
        <v>1</v>
      </c>
      <c r="H18">
        <v>0</v>
      </c>
      <c r="I18" s="132">
        <v>1</v>
      </c>
      <c r="J18">
        <v>0</v>
      </c>
      <c r="K18" s="132">
        <v>1</v>
      </c>
      <c r="L18">
        <v>0</v>
      </c>
      <c r="M18" s="132">
        <v>1</v>
      </c>
      <c r="N18" s="132">
        <v>1</v>
      </c>
      <c r="O18" s="132">
        <v>0</v>
      </c>
      <c r="P18" s="132">
        <v>0</v>
      </c>
      <c r="Q18" s="132">
        <v>0</v>
      </c>
      <c r="R18" s="132"/>
      <c r="S18" s="138" t="s">
        <v>128</v>
      </c>
      <c r="T18" s="139">
        <v>0.90364845027455765</v>
      </c>
    </row>
    <row r="19" spans="4:29" x14ac:dyDescent="0.3">
      <c r="D19">
        <v>11</v>
      </c>
      <c r="E19" s="132">
        <v>1</v>
      </c>
      <c r="F19" s="132">
        <v>1</v>
      </c>
      <c r="G19" s="132">
        <v>1</v>
      </c>
      <c r="H19">
        <v>0</v>
      </c>
      <c r="I19" s="132">
        <v>1</v>
      </c>
      <c r="J19">
        <v>0</v>
      </c>
      <c r="K19">
        <v>0</v>
      </c>
      <c r="L19" s="132">
        <v>1</v>
      </c>
      <c r="M19" s="132">
        <v>1</v>
      </c>
      <c r="N19" s="132">
        <v>1</v>
      </c>
      <c r="O19" s="132">
        <v>1</v>
      </c>
      <c r="P19" s="132">
        <v>0</v>
      </c>
      <c r="Q19" s="132">
        <v>0</v>
      </c>
      <c r="R19" s="132"/>
      <c r="S19" s="138" t="s">
        <v>223</v>
      </c>
      <c r="T19" s="139">
        <v>0</v>
      </c>
    </row>
    <row r="20" spans="4:29" x14ac:dyDescent="0.3">
      <c r="D20">
        <v>12</v>
      </c>
      <c r="E20" s="132">
        <v>1</v>
      </c>
      <c r="F20" s="132">
        <v>1</v>
      </c>
      <c r="G20" s="132">
        <v>1</v>
      </c>
      <c r="H20">
        <v>0</v>
      </c>
      <c r="I20" s="132">
        <v>1</v>
      </c>
      <c r="J20">
        <v>0</v>
      </c>
      <c r="K20">
        <v>0</v>
      </c>
      <c r="L20" s="132">
        <v>1</v>
      </c>
      <c r="M20" s="132">
        <v>1</v>
      </c>
      <c r="N20" s="132">
        <v>1</v>
      </c>
      <c r="O20" s="132">
        <v>0</v>
      </c>
      <c r="P20" s="132">
        <v>0</v>
      </c>
      <c r="Q20" s="132">
        <v>1</v>
      </c>
      <c r="R20" s="132"/>
      <c r="S20" s="138" t="s">
        <v>129</v>
      </c>
      <c r="T20" s="139">
        <v>1.354594090909091</v>
      </c>
    </row>
    <row r="21" spans="4:29" x14ac:dyDescent="0.3">
      <c r="D21">
        <v>13</v>
      </c>
      <c r="E21" s="132">
        <v>1</v>
      </c>
      <c r="F21" s="132">
        <v>1</v>
      </c>
      <c r="G21" s="132">
        <v>1</v>
      </c>
      <c r="H21">
        <v>0</v>
      </c>
      <c r="I21">
        <v>0</v>
      </c>
      <c r="J21" s="132">
        <v>1</v>
      </c>
      <c r="K21" s="132">
        <v>1</v>
      </c>
      <c r="L21">
        <v>0</v>
      </c>
      <c r="M21" s="132">
        <v>1</v>
      </c>
      <c r="N21">
        <v>0</v>
      </c>
      <c r="O21" s="132">
        <v>0</v>
      </c>
      <c r="P21" s="132">
        <v>1</v>
      </c>
      <c r="Q21" s="132">
        <v>0</v>
      </c>
      <c r="R21" s="132"/>
      <c r="S21" s="138" t="s">
        <v>216</v>
      </c>
      <c r="T21" s="140">
        <v>0</v>
      </c>
      <c r="AC21" t="s">
        <v>224</v>
      </c>
    </row>
    <row r="22" spans="4:29" x14ac:dyDescent="0.3">
      <c r="D22">
        <v>14</v>
      </c>
      <c r="E22" s="132">
        <v>1</v>
      </c>
      <c r="F22" s="132">
        <v>1</v>
      </c>
      <c r="G22" s="132">
        <v>1</v>
      </c>
      <c r="H22">
        <v>0</v>
      </c>
      <c r="I22">
        <v>0</v>
      </c>
      <c r="J22" s="132">
        <v>1</v>
      </c>
      <c r="K22" s="132">
        <v>1</v>
      </c>
      <c r="L22">
        <v>0</v>
      </c>
      <c r="M22" s="132">
        <v>1</v>
      </c>
      <c r="N22">
        <v>0</v>
      </c>
      <c r="O22" s="132">
        <v>0</v>
      </c>
      <c r="P22" s="132">
        <v>1</v>
      </c>
      <c r="Q22" s="132">
        <v>1</v>
      </c>
      <c r="R22" s="132"/>
    </row>
    <row r="23" spans="4:29" x14ac:dyDescent="0.3">
      <c r="D23">
        <v>15</v>
      </c>
      <c r="E23" s="132">
        <v>1</v>
      </c>
      <c r="F23" s="132">
        <v>1</v>
      </c>
      <c r="G23" s="132">
        <v>1</v>
      </c>
      <c r="H23">
        <v>0</v>
      </c>
      <c r="I23">
        <v>0</v>
      </c>
      <c r="J23" s="132">
        <v>1</v>
      </c>
      <c r="K23">
        <v>0</v>
      </c>
      <c r="L23" s="132">
        <v>1</v>
      </c>
      <c r="M23" s="132">
        <v>1</v>
      </c>
      <c r="N23">
        <v>0</v>
      </c>
      <c r="O23" s="132">
        <v>0</v>
      </c>
      <c r="P23" s="132">
        <v>1</v>
      </c>
      <c r="Q23" s="132">
        <v>0</v>
      </c>
      <c r="R23" s="132"/>
    </row>
    <row r="24" spans="4:29" x14ac:dyDescent="0.3">
      <c r="D24">
        <v>16</v>
      </c>
      <c r="E24" s="132">
        <v>1</v>
      </c>
      <c r="F24" s="132">
        <v>1</v>
      </c>
      <c r="G24" s="132">
        <v>1</v>
      </c>
      <c r="H24">
        <v>0</v>
      </c>
      <c r="I24">
        <v>0</v>
      </c>
      <c r="J24" s="132">
        <v>1</v>
      </c>
      <c r="K24">
        <v>0</v>
      </c>
      <c r="L24" s="132">
        <v>1</v>
      </c>
      <c r="M24" s="132">
        <v>1</v>
      </c>
      <c r="N24">
        <v>0</v>
      </c>
      <c r="O24" s="132">
        <v>0</v>
      </c>
      <c r="P24" s="132">
        <v>1</v>
      </c>
      <c r="Q24" s="132">
        <v>0</v>
      </c>
      <c r="R24" s="132"/>
    </row>
    <row r="25" spans="4:29" x14ac:dyDescent="0.3">
      <c r="D25">
        <v>17</v>
      </c>
      <c r="E25" s="132">
        <v>1</v>
      </c>
      <c r="F25">
        <v>0</v>
      </c>
      <c r="G25" s="132">
        <v>1</v>
      </c>
      <c r="H25" s="132">
        <v>1</v>
      </c>
      <c r="I25" s="132">
        <v>1</v>
      </c>
      <c r="J25">
        <v>0</v>
      </c>
      <c r="K25" s="132">
        <v>1</v>
      </c>
      <c r="L25">
        <v>0</v>
      </c>
      <c r="M25" s="132">
        <v>1</v>
      </c>
      <c r="N25" s="132">
        <v>1</v>
      </c>
      <c r="O25" s="132">
        <v>1</v>
      </c>
      <c r="P25" s="144">
        <v>0</v>
      </c>
      <c r="Q25" s="132">
        <v>0</v>
      </c>
      <c r="R25" s="132"/>
    </row>
    <row r="26" spans="4:29" x14ac:dyDescent="0.3">
      <c r="D26">
        <v>18</v>
      </c>
      <c r="E26" s="132">
        <v>1</v>
      </c>
      <c r="F26">
        <v>0</v>
      </c>
      <c r="G26" s="132">
        <v>1</v>
      </c>
      <c r="H26" s="132">
        <v>1</v>
      </c>
      <c r="I26" s="132">
        <v>1</v>
      </c>
      <c r="J26">
        <v>0</v>
      </c>
      <c r="K26" s="132">
        <v>1</v>
      </c>
      <c r="L26">
        <v>0</v>
      </c>
      <c r="M26" s="132">
        <v>1</v>
      </c>
      <c r="N26" s="132">
        <v>1</v>
      </c>
      <c r="O26" s="132">
        <v>0</v>
      </c>
      <c r="P26" s="145">
        <v>0</v>
      </c>
      <c r="Q26" s="132">
        <v>0</v>
      </c>
      <c r="R26" s="132"/>
    </row>
    <row r="27" spans="4:29" x14ac:dyDescent="0.3">
      <c r="D27">
        <v>19</v>
      </c>
      <c r="E27" s="132">
        <v>1</v>
      </c>
      <c r="F27">
        <v>0</v>
      </c>
      <c r="G27" s="132">
        <v>1</v>
      </c>
      <c r="H27" s="132">
        <v>1</v>
      </c>
      <c r="I27" s="132">
        <v>1</v>
      </c>
      <c r="J27">
        <v>0</v>
      </c>
      <c r="K27">
        <v>0</v>
      </c>
      <c r="L27" s="132">
        <v>1</v>
      </c>
      <c r="M27" s="132">
        <v>1</v>
      </c>
      <c r="N27" s="132">
        <v>1</v>
      </c>
      <c r="O27" s="132">
        <v>1</v>
      </c>
      <c r="P27" s="144">
        <v>0</v>
      </c>
      <c r="Q27" s="132">
        <v>0</v>
      </c>
      <c r="R27" s="132"/>
    </row>
    <row r="28" spans="4:29" x14ac:dyDescent="0.3">
      <c r="D28">
        <v>20</v>
      </c>
      <c r="E28" s="132">
        <v>1</v>
      </c>
      <c r="F28">
        <v>0</v>
      </c>
      <c r="G28" s="132">
        <v>1</v>
      </c>
      <c r="H28" s="132">
        <v>1</v>
      </c>
      <c r="I28" s="132">
        <v>1</v>
      </c>
      <c r="J28">
        <v>0</v>
      </c>
      <c r="K28">
        <v>0</v>
      </c>
      <c r="L28" s="132">
        <v>1</v>
      </c>
      <c r="M28" s="132">
        <v>1</v>
      </c>
      <c r="N28" s="132">
        <v>1</v>
      </c>
      <c r="O28" s="132">
        <v>0</v>
      </c>
      <c r="P28" s="145">
        <v>0</v>
      </c>
      <c r="Q28" s="132">
        <v>1</v>
      </c>
      <c r="R28" s="132"/>
    </row>
    <row r="29" spans="4:29" x14ac:dyDescent="0.3">
      <c r="D29">
        <v>21</v>
      </c>
      <c r="E29" s="132">
        <v>1</v>
      </c>
      <c r="F29">
        <v>0</v>
      </c>
      <c r="G29" s="132">
        <v>1</v>
      </c>
      <c r="H29" s="132">
        <v>1</v>
      </c>
      <c r="I29">
        <v>0</v>
      </c>
      <c r="J29" s="132">
        <v>1</v>
      </c>
      <c r="K29" s="132">
        <v>1</v>
      </c>
      <c r="L29">
        <v>0</v>
      </c>
      <c r="M29" s="132">
        <v>1</v>
      </c>
      <c r="N29">
        <v>0</v>
      </c>
      <c r="O29" s="132">
        <v>0</v>
      </c>
      <c r="P29" s="132">
        <v>1</v>
      </c>
      <c r="Q29" s="132">
        <v>0</v>
      </c>
      <c r="R29" s="132"/>
    </row>
    <row r="30" spans="4:29" x14ac:dyDescent="0.3">
      <c r="D30">
        <v>22</v>
      </c>
      <c r="E30" s="132">
        <v>1</v>
      </c>
      <c r="F30">
        <v>0</v>
      </c>
      <c r="G30" s="132">
        <v>1</v>
      </c>
      <c r="H30" s="132">
        <v>1</v>
      </c>
      <c r="I30">
        <v>0</v>
      </c>
      <c r="J30" s="132">
        <v>1</v>
      </c>
      <c r="K30" s="132">
        <v>1</v>
      </c>
      <c r="L30">
        <v>0</v>
      </c>
      <c r="M30" s="132">
        <v>1</v>
      </c>
      <c r="N30">
        <v>0</v>
      </c>
      <c r="O30" s="132">
        <v>0</v>
      </c>
      <c r="P30" s="132">
        <v>1</v>
      </c>
      <c r="Q30" s="132">
        <v>1</v>
      </c>
      <c r="R30" s="132"/>
    </row>
    <row r="31" spans="4:29" x14ac:dyDescent="0.3">
      <c r="D31">
        <v>23</v>
      </c>
      <c r="E31" s="132">
        <v>1</v>
      </c>
      <c r="F31">
        <v>0</v>
      </c>
      <c r="G31" s="132">
        <v>1</v>
      </c>
      <c r="H31" s="132">
        <v>1</v>
      </c>
      <c r="I31">
        <v>0</v>
      </c>
      <c r="J31" s="132">
        <v>1</v>
      </c>
      <c r="K31">
        <v>0</v>
      </c>
      <c r="L31" s="132">
        <v>1</v>
      </c>
      <c r="M31" s="132">
        <v>1</v>
      </c>
      <c r="N31">
        <v>0</v>
      </c>
      <c r="O31" s="132">
        <v>0</v>
      </c>
      <c r="P31" s="132">
        <v>1</v>
      </c>
      <c r="Q31" s="132">
        <v>0</v>
      </c>
      <c r="R31" s="132"/>
    </row>
    <row r="32" spans="4:29" x14ac:dyDescent="0.3">
      <c r="D32">
        <v>24</v>
      </c>
      <c r="E32" s="132">
        <v>1</v>
      </c>
      <c r="F32">
        <v>0</v>
      </c>
      <c r="G32" s="132">
        <v>1</v>
      </c>
      <c r="H32" s="132">
        <v>1</v>
      </c>
      <c r="I32">
        <v>0</v>
      </c>
      <c r="J32" s="132">
        <v>1</v>
      </c>
      <c r="K32">
        <v>0</v>
      </c>
      <c r="L32" s="132">
        <v>1</v>
      </c>
      <c r="M32" s="132">
        <v>1</v>
      </c>
      <c r="N32">
        <v>0</v>
      </c>
      <c r="O32" s="132">
        <v>0</v>
      </c>
      <c r="P32" s="132">
        <v>1</v>
      </c>
      <c r="Q32" s="132">
        <v>0</v>
      </c>
      <c r="R32" s="132"/>
    </row>
    <row r="33" spans="4:23" x14ac:dyDescent="0.3">
      <c r="D33">
        <v>25</v>
      </c>
      <c r="E33" s="132">
        <v>1</v>
      </c>
      <c r="F33">
        <v>0</v>
      </c>
      <c r="G33" s="132">
        <v>1</v>
      </c>
      <c r="H33">
        <v>0</v>
      </c>
      <c r="I33" s="132">
        <v>1</v>
      </c>
      <c r="J33">
        <v>0</v>
      </c>
      <c r="K33" s="132">
        <v>1</v>
      </c>
      <c r="L33">
        <v>0</v>
      </c>
      <c r="M33" s="132">
        <v>1</v>
      </c>
      <c r="N33" s="132">
        <v>1</v>
      </c>
      <c r="O33" s="132">
        <v>1</v>
      </c>
      <c r="P33" s="144">
        <v>0</v>
      </c>
      <c r="Q33" s="132">
        <v>0</v>
      </c>
      <c r="R33" s="132"/>
    </row>
    <row r="34" spans="4:23" x14ac:dyDescent="0.3">
      <c r="D34">
        <v>26</v>
      </c>
      <c r="E34" s="132">
        <v>1</v>
      </c>
      <c r="F34">
        <v>0</v>
      </c>
      <c r="G34" s="132">
        <v>1</v>
      </c>
      <c r="H34">
        <v>0</v>
      </c>
      <c r="I34" s="132">
        <v>1</v>
      </c>
      <c r="J34">
        <v>0</v>
      </c>
      <c r="K34" s="132">
        <v>1</v>
      </c>
      <c r="L34">
        <v>0</v>
      </c>
      <c r="M34" s="132">
        <v>1</v>
      </c>
      <c r="N34" s="132">
        <v>1</v>
      </c>
      <c r="O34" s="132">
        <v>0</v>
      </c>
      <c r="P34" s="145">
        <v>0</v>
      </c>
      <c r="Q34" s="132">
        <v>0</v>
      </c>
      <c r="R34" s="132"/>
    </row>
    <row r="35" spans="4:23" x14ac:dyDescent="0.3">
      <c r="D35">
        <v>27</v>
      </c>
      <c r="E35" s="132">
        <v>1</v>
      </c>
      <c r="F35">
        <v>0</v>
      </c>
      <c r="G35" s="132">
        <v>1</v>
      </c>
      <c r="H35">
        <v>0</v>
      </c>
      <c r="I35" s="132">
        <v>1</v>
      </c>
      <c r="J35">
        <v>0</v>
      </c>
      <c r="K35">
        <v>0</v>
      </c>
      <c r="L35" s="132">
        <v>1</v>
      </c>
      <c r="M35" s="132">
        <v>1</v>
      </c>
      <c r="N35" s="132">
        <v>1</v>
      </c>
      <c r="O35" s="132">
        <v>1</v>
      </c>
      <c r="P35" s="144">
        <v>0</v>
      </c>
      <c r="Q35" s="132">
        <v>0</v>
      </c>
      <c r="R35" s="132"/>
    </row>
    <row r="36" spans="4:23" x14ac:dyDescent="0.3">
      <c r="D36">
        <v>28</v>
      </c>
      <c r="E36" s="132">
        <v>1</v>
      </c>
      <c r="F36">
        <v>0</v>
      </c>
      <c r="G36" s="132">
        <v>1</v>
      </c>
      <c r="H36">
        <v>0</v>
      </c>
      <c r="I36" s="132">
        <v>1</v>
      </c>
      <c r="J36">
        <v>0</v>
      </c>
      <c r="K36">
        <v>0</v>
      </c>
      <c r="L36" s="132">
        <v>1</v>
      </c>
      <c r="M36" s="132">
        <v>1</v>
      </c>
      <c r="N36" s="132">
        <v>1</v>
      </c>
      <c r="O36" s="132">
        <v>0</v>
      </c>
      <c r="P36" s="145">
        <v>0</v>
      </c>
      <c r="Q36" s="132">
        <v>1</v>
      </c>
      <c r="R36" s="132"/>
    </row>
    <row r="37" spans="4:23" x14ac:dyDescent="0.3">
      <c r="D37">
        <v>29</v>
      </c>
      <c r="E37" s="132">
        <v>1</v>
      </c>
      <c r="F37">
        <v>0</v>
      </c>
      <c r="G37" s="132">
        <v>1</v>
      </c>
      <c r="H37">
        <v>0</v>
      </c>
      <c r="I37">
        <v>0</v>
      </c>
      <c r="J37" s="132">
        <v>1</v>
      </c>
      <c r="K37" s="132">
        <v>1</v>
      </c>
      <c r="L37">
        <v>0</v>
      </c>
      <c r="M37" s="132">
        <v>1</v>
      </c>
      <c r="N37">
        <v>0</v>
      </c>
      <c r="O37" s="132">
        <v>0</v>
      </c>
      <c r="P37" s="132">
        <v>1</v>
      </c>
      <c r="Q37" s="132">
        <v>0</v>
      </c>
      <c r="R37" s="132"/>
    </row>
    <row r="38" spans="4:23" x14ac:dyDescent="0.3">
      <c r="D38">
        <v>30</v>
      </c>
      <c r="E38" s="132">
        <v>1</v>
      </c>
      <c r="F38">
        <v>0</v>
      </c>
      <c r="G38" s="132">
        <v>1</v>
      </c>
      <c r="H38">
        <v>0</v>
      </c>
      <c r="I38">
        <v>0</v>
      </c>
      <c r="J38" s="132">
        <v>1</v>
      </c>
      <c r="K38" s="132">
        <v>1</v>
      </c>
      <c r="L38">
        <v>0</v>
      </c>
      <c r="M38" s="132">
        <v>1</v>
      </c>
      <c r="N38">
        <v>0</v>
      </c>
      <c r="O38" s="132">
        <v>0</v>
      </c>
      <c r="P38" s="132">
        <v>1</v>
      </c>
      <c r="Q38" s="132">
        <v>1</v>
      </c>
      <c r="R38" s="132"/>
    </row>
    <row r="39" spans="4:23" x14ac:dyDescent="0.3">
      <c r="D39">
        <v>31</v>
      </c>
      <c r="E39" s="132">
        <v>1</v>
      </c>
      <c r="F39">
        <v>0</v>
      </c>
      <c r="G39" s="132">
        <v>1</v>
      </c>
      <c r="H39">
        <v>0</v>
      </c>
      <c r="I39">
        <v>0</v>
      </c>
      <c r="J39" s="132">
        <v>1</v>
      </c>
      <c r="K39">
        <v>0</v>
      </c>
      <c r="L39" s="132">
        <v>1</v>
      </c>
      <c r="M39" s="132">
        <v>1</v>
      </c>
      <c r="N39">
        <v>0</v>
      </c>
      <c r="O39" s="132">
        <v>0</v>
      </c>
      <c r="P39" s="132">
        <v>1</v>
      </c>
      <c r="Q39" s="132">
        <v>0</v>
      </c>
      <c r="R39" s="132"/>
    </row>
    <row r="40" spans="4:23" x14ac:dyDescent="0.3">
      <c r="D40">
        <v>32</v>
      </c>
      <c r="E40" s="132">
        <v>1</v>
      </c>
      <c r="F40">
        <v>0</v>
      </c>
      <c r="G40" s="132">
        <v>1</v>
      </c>
      <c r="H40">
        <v>0</v>
      </c>
      <c r="I40">
        <v>0</v>
      </c>
      <c r="J40" s="132">
        <v>1</v>
      </c>
      <c r="K40">
        <v>0</v>
      </c>
      <c r="L40" s="132">
        <v>1</v>
      </c>
      <c r="M40" s="132">
        <v>1</v>
      </c>
      <c r="N40">
        <v>0</v>
      </c>
      <c r="O40" s="132">
        <v>0</v>
      </c>
      <c r="P40" s="132">
        <v>1</v>
      </c>
      <c r="Q40" s="132">
        <v>0</v>
      </c>
      <c r="R40" s="132"/>
    </row>
    <row r="41" spans="4:23" x14ac:dyDescent="0.3">
      <c r="D41" s="341"/>
      <c r="E41" s="341"/>
      <c r="F41" s="341"/>
      <c r="G41" s="341"/>
      <c r="H41" s="341"/>
      <c r="I41" s="341"/>
      <c r="J41" s="341"/>
      <c r="K41" s="341"/>
      <c r="L41" s="341"/>
      <c r="M41" s="341"/>
      <c r="N41" s="341"/>
      <c r="O41" s="341"/>
      <c r="P41" s="341"/>
      <c r="Q41" s="341"/>
    </row>
    <row r="42" spans="4:23" x14ac:dyDescent="0.3">
      <c r="D42" s="132" t="s">
        <v>211</v>
      </c>
      <c r="E42" s="132" t="s">
        <v>212</v>
      </c>
      <c r="F42" s="132" t="s">
        <v>213</v>
      </c>
      <c r="G42" s="132" t="s">
        <v>214</v>
      </c>
      <c r="H42" s="132" t="s">
        <v>215</v>
      </c>
      <c r="I42" s="132" t="s">
        <v>125</v>
      </c>
      <c r="J42" s="132" t="s">
        <v>126</v>
      </c>
      <c r="K42" s="132" t="s">
        <v>92</v>
      </c>
      <c r="L42" s="132" t="s">
        <v>127</v>
      </c>
      <c r="M42" s="132" t="s">
        <v>222</v>
      </c>
      <c r="N42" s="132" t="s">
        <v>128</v>
      </c>
      <c r="O42" s="132" t="s">
        <v>223</v>
      </c>
      <c r="P42" s="132" t="s">
        <v>129</v>
      </c>
      <c r="Q42" s="132" t="s">
        <v>216</v>
      </c>
      <c r="R42" s="198" t="s">
        <v>217</v>
      </c>
      <c r="S42" t="s">
        <v>220</v>
      </c>
      <c r="T42" t="s">
        <v>221</v>
      </c>
      <c r="U42" t="s">
        <v>113</v>
      </c>
      <c r="V42" t="s">
        <v>218</v>
      </c>
      <c r="W42" t="s">
        <v>219</v>
      </c>
    </row>
    <row r="43" spans="4:23" x14ac:dyDescent="0.3">
      <c r="D43">
        <v>1</v>
      </c>
      <c r="E43" s="132">
        <v>1</v>
      </c>
      <c r="F43" s="132">
        <v>0.1</v>
      </c>
      <c r="G43" s="132">
        <v>1</v>
      </c>
      <c r="H43" s="132">
        <v>0.15</v>
      </c>
      <c r="I43" s="132">
        <v>0.6</v>
      </c>
      <c r="K43" s="132">
        <v>0.8</v>
      </c>
      <c r="M43" s="132">
        <v>1</v>
      </c>
      <c r="N43" s="132">
        <v>1</v>
      </c>
      <c r="O43" s="132">
        <v>0.03</v>
      </c>
      <c r="R43" s="199"/>
      <c r="S43" s="200">
        <f>PRODUCT(Question3!$E43:$Q43)</f>
        <v>2.1599999999999999E-4</v>
      </c>
      <c r="T43" s="201">
        <f>Tabella57[[#This Row],[Ws '[min']]]*Tabella57[[#This Row],[Frequency results]]</f>
        <v>1.7021550512094422E-2</v>
      </c>
      <c r="U43">
        <f t="array" ref="U43">MMULT(E9:Q9,$T$9:$T$21)</f>
        <v>78.803474593029733</v>
      </c>
      <c r="V43" s="202">
        <v>0</v>
      </c>
      <c r="W43">
        <f>Question3!$U43*Question3!$V43</f>
        <v>0</v>
      </c>
    </row>
    <row r="44" spans="4:23" x14ac:dyDescent="0.3">
      <c r="D44">
        <v>2</v>
      </c>
      <c r="E44" s="132">
        <v>1</v>
      </c>
      <c r="F44" s="132">
        <v>0.1</v>
      </c>
      <c r="G44" s="132">
        <v>1</v>
      </c>
      <c r="H44" s="132">
        <v>0.15</v>
      </c>
      <c r="I44" s="132">
        <v>0.6</v>
      </c>
      <c r="K44" s="132">
        <v>0.8</v>
      </c>
      <c r="M44" s="132">
        <v>1</v>
      </c>
      <c r="N44" s="132">
        <v>1</v>
      </c>
      <c r="O44">
        <v>0.97</v>
      </c>
      <c r="R44" s="203"/>
      <c r="S44" s="204">
        <f>PRODUCT(Question3!$E44:$Q44)</f>
        <v>6.9839999999999998E-3</v>
      </c>
      <c r="T44" s="201">
        <f>Tabella57[[#This Row],[Ws '[min']]]*Tabella57[[#This Row],[Frequency results]]</f>
        <v>0.55036346655771962</v>
      </c>
      <c r="U44">
        <f t="array" ref="U44">MMULT(E10:Q10,$T$9:$T$21)</f>
        <v>78.803474593029733</v>
      </c>
      <c r="V44" s="202">
        <f>Question3!$S44/Question3!$T$76</f>
        <v>7.2598752598752592E-3</v>
      </c>
      <c r="W44">
        <f>Question3!$U44*Question3!$V44</f>
        <v>0.57210339559014511</v>
      </c>
    </row>
    <row r="45" spans="4:23" x14ac:dyDescent="0.3">
      <c r="D45">
        <v>3</v>
      </c>
      <c r="E45" s="132">
        <v>1</v>
      </c>
      <c r="F45" s="132">
        <v>0.1</v>
      </c>
      <c r="G45" s="132">
        <v>1</v>
      </c>
      <c r="H45" s="132">
        <v>0.15</v>
      </c>
      <c r="I45" s="132">
        <v>0.6</v>
      </c>
      <c r="L45" s="132">
        <v>0.2</v>
      </c>
      <c r="M45" s="132">
        <v>1</v>
      </c>
      <c r="N45" s="132">
        <v>1</v>
      </c>
      <c r="O45" s="132">
        <v>0.03</v>
      </c>
      <c r="R45" s="203"/>
      <c r="S45" s="204">
        <f>PRODUCT(Question3!$E45:$Q45)</f>
        <v>5.3999999999999998E-5</v>
      </c>
      <c r="T45" s="201">
        <f>Tabella57[[#This Row],[Ws '[min']]]*Tabella57[[#This Row],[Frequency results]]</f>
        <v>4.3220449399709931E-3</v>
      </c>
      <c r="U45">
        <f t="array" ref="U45">MMULT(E11:Q11,$T$9:$T$21)</f>
        <v>80.037869258722097</v>
      </c>
      <c r="V45" s="202">
        <v>0</v>
      </c>
      <c r="W45">
        <f>Question3!$U45*Question3!$V45</f>
        <v>0</v>
      </c>
    </row>
    <row r="46" spans="4:23" x14ac:dyDescent="0.3">
      <c r="D46">
        <v>4</v>
      </c>
      <c r="E46" s="132">
        <v>1</v>
      </c>
      <c r="F46" s="132">
        <v>0.1</v>
      </c>
      <c r="G46" s="132">
        <v>1</v>
      </c>
      <c r="H46" s="132">
        <v>0.15</v>
      </c>
      <c r="I46" s="132">
        <v>0.6</v>
      </c>
      <c r="L46" s="132">
        <v>0.2</v>
      </c>
      <c r="M46" s="132">
        <v>1</v>
      </c>
      <c r="N46" s="132">
        <v>1</v>
      </c>
      <c r="O46">
        <v>0.97</v>
      </c>
      <c r="R46" s="203"/>
      <c r="S46" s="204">
        <f>PRODUCT(Question3!$E46:$Q46)</f>
        <v>1.7459999999999999E-3</v>
      </c>
      <c r="T46" s="201">
        <f>Tabella57[[#This Row],[Ws '[min']]]*Tabella57[[#This Row],[Frequency results]]</f>
        <v>0.13974611972572878</v>
      </c>
      <c r="U46">
        <f t="array" ref="U46">MMULT(E12:Q12,$T$9:$T$21)</f>
        <v>80.037869258722097</v>
      </c>
      <c r="V46" s="202">
        <f>Question3!$S46/Question3!$T$76</f>
        <v>1.8149688149688148E-3</v>
      </c>
      <c r="W46">
        <f>Question3!$U46*Question3!$V46</f>
        <v>0.14526623672113179</v>
      </c>
    </row>
    <row r="47" spans="4:23" x14ac:dyDescent="0.3">
      <c r="D47">
        <v>5</v>
      </c>
      <c r="E47" s="132">
        <v>1</v>
      </c>
      <c r="F47" s="132">
        <v>0.1</v>
      </c>
      <c r="G47" s="132">
        <v>1</v>
      </c>
      <c r="H47" s="132">
        <v>0.15</v>
      </c>
      <c r="J47" s="132">
        <v>0.4</v>
      </c>
      <c r="K47" s="132">
        <v>0.8</v>
      </c>
      <c r="M47" s="132">
        <v>1</v>
      </c>
      <c r="P47" s="132">
        <v>1</v>
      </c>
      <c r="Q47" s="132">
        <v>0.05</v>
      </c>
      <c r="R47" s="203"/>
      <c r="S47" s="204">
        <f>PRODUCT(Question3!$E47:$Q47)</f>
        <v>2.4000000000000003E-4</v>
      </c>
      <c r="T47" s="201">
        <f>Tabella57[[#This Row],[Ws '[min']]]*Tabella57[[#This Row],[Frequency results]]</f>
        <v>1.18210608560794E-2</v>
      </c>
      <c r="U47">
        <f t="array" ref="U47">MMULT(E13:Q13,$T$9:$T$21)</f>
        <v>49.254420233664156</v>
      </c>
      <c r="V47" s="202">
        <v>0</v>
      </c>
      <c r="W47">
        <f>Question3!$U47*Question3!$V47</f>
        <v>0</v>
      </c>
    </row>
    <row r="48" spans="4:23" x14ac:dyDescent="0.3">
      <c r="D48">
        <v>6</v>
      </c>
      <c r="E48" s="132">
        <v>1</v>
      </c>
      <c r="F48" s="132">
        <v>0.1</v>
      </c>
      <c r="G48" s="132">
        <v>1</v>
      </c>
      <c r="H48" s="132">
        <v>0.15</v>
      </c>
      <c r="J48" s="132">
        <v>0.4</v>
      </c>
      <c r="K48" s="132">
        <v>0.8</v>
      </c>
      <c r="M48" s="132">
        <v>1</v>
      </c>
      <c r="P48" s="132">
        <v>1</v>
      </c>
      <c r="Q48">
        <v>0.95</v>
      </c>
      <c r="R48" s="203"/>
      <c r="S48" s="204">
        <f>PRODUCT(Question3!$E48:$Q48)</f>
        <v>4.5599999999999998E-3</v>
      </c>
      <c r="T48" s="201">
        <f>Tabella57[[#This Row],[Ws '[min']]]*Tabella57[[#This Row],[Frequency results]]</f>
        <v>0.30668015626550882</v>
      </c>
      <c r="U48">
        <f t="array" ref="U48">MMULT(E14:Q14,$T$9:$T$21)</f>
        <v>67.25442023366422</v>
      </c>
      <c r="V48" s="202">
        <f>Question3!$S48/Question3!$T$76</f>
        <v>4.7401247401247393E-3</v>
      </c>
      <c r="W48">
        <f>Question3!$U48*Question3!$V48</f>
        <v>0.31879434123233763</v>
      </c>
    </row>
    <row r="49" spans="4:23" x14ac:dyDescent="0.3">
      <c r="D49">
        <v>7</v>
      </c>
      <c r="E49" s="132">
        <v>1</v>
      </c>
      <c r="F49" s="132">
        <v>0.1</v>
      </c>
      <c r="G49" s="132">
        <v>1</v>
      </c>
      <c r="H49" s="132">
        <v>0.15</v>
      </c>
      <c r="J49" s="132">
        <v>0.4</v>
      </c>
      <c r="L49" s="132">
        <v>0.2</v>
      </c>
      <c r="M49" s="132">
        <v>1</v>
      </c>
      <c r="P49" s="132">
        <v>1</v>
      </c>
      <c r="Q49" s="132">
        <v>0.05</v>
      </c>
      <c r="R49" s="203"/>
      <c r="S49" s="204">
        <f>PRODUCT(Question3!$E49:$Q49)</f>
        <v>6.0000000000000008E-5</v>
      </c>
      <c r="T49" s="201">
        <f>Tabella57[[#This Row],[Ws '[min']]]*Tabella57[[#This Row],[Frequency results]]</f>
        <v>4.109328893961396E-3</v>
      </c>
      <c r="U49">
        <f t="array" ref="U49">MMULT(E15:Q15,$T$9:$T$21)</f>
        <v>68.488814899356584</v>
      </c>
      <c r="V49" s="202">
        <v>0</v>
      </c>
      <c r="W49">
        <f>Question3!$U49*Question3!$V49</f>
        <v>0</v>
      </c>
    </row>
    <row r="50" spans="4:23" x14ac:dyDescent="0.3">
      <c r="D50">
        <v>8</v>
      </c>
      <c r="E50" s="132">
        <v>1</v>
      </c>
      <c r="F50" s="132">
        <v>0.1</v>
      </c>
      <c r="G50" s="132">
        <v>1</v>
      </c>
      <c r="H50" s="132">
        <v>0.15</v>
      </c>
      <c r="J50" s="132">
        <v>0.4</v>
      </c>
      <c r="L50" s="132">
        <v>0.2</v>
      </c>
      <c r="M50" s="132">
        <v>1</v>
      </c>
      <c r="P50" s="132">
        <v>1</v>
      </c>
      <c r="Q50">
        <v>0.95</v>
      </c>
      <c r="R50" s="203"/>
      <c r="S50" s="204">
        <f>PRODUCT(Question3!$E50:$Q50)</f>
        <v>1.14E-3</v>
      </c>
      <c r="T50" s="201">
        <f>Tabella57[[#This Row],[Ws '[min']]]*Tabella57[[#This Row],[Frequency results]]</f>
        <v>7.8077248985266495E-2</v>
      </c>
      <c r="U50">
        <f t="array" ref="U50">MMULT(E16:Q16,$T$9:$T$21)</f>
        <v>68.488814899356584</v>
      </c>
      <c r="V50" s="202">
        <f>Question3!$S50/Question3!$T$76</f>
        <v>1.1850311850311848E-3</v>
      </c>
      <c r="W50">
        <f>Question3!$U50*Question3!$V50</f>
        <v>8.1161381481566E-2</v>
      </c>
    </row>
    <row r="51" spans="4:23" x14ac:dyDescent="0.3">
      <c r="D51">
        <v>9</v>
      </c>
      <c r="E51" s="132">
        <v>1</v>
      </c>
      <c r="F51" s="132">
        <v>0.1</v>
      </c>
      <c r="G51" s="132">
        <v>1</v>
      </c>
      <c r="H51">
        <v>0.85</v>
      </c>
      <c r="I51" s="132">
        <v>0.6</v>
      </c>
      <c r="K51" s="132">
        <v>0.8</v>
      </c>
      <c r="M51" s="132">
        <v>1</v>
      </c>
      <c r="N51" s="132">
        <v>1</v>
      </c>
      <c r="O51" s="132">
        <v>0.03</v>
      </c>
      <c r="R51" s="203"/>
      <c r="S51" s="204">
        <f>PRODUCT(Question3!$E51:$Q51)</f>
        <v>1.224E-3</v>
      </c>
      <c r="T51" s="201">
        <f>Tabella57[[#This Row],[Ws '[min']]]*Tabella57[[#This Row],[Frequency results]]</f>
        <v>7.572679820120358E-2</v>
      </c>
      <c r="U51">
        <f t="array" ref="U51">MMULT(E17:Q17,$T$9:$T$21)</f>
        <v>61.868299183989855</v>
      </c>
      <c r="V51" s="202">
        <v>0</v>
      </c>
      <c r="W51">
        <f>Question3!$U51*Question3!$V51</f>
        <v>0</v>
      </c>
    </row>
    <row r="52" spans="4:23" x14ac:dyDescent="0.3">
      <c r="D52">
        <v>10</v>
      </c>
      <c r="E52" s="132">
        <v>1</v>
      </c>
      <c r="F52" s="132">
        <v>0.1</v>
      </c>
      <c r="G52" s="132">
        <v>1</v>
      </c>
      <c r="H52">
        <v>0.85</v>
      </c>
      <c r="I52" s="132">
        <v>0.6</v>
      </c>
      <c r="K52" s="132">
        <v>0.8</v>
      </c>
      <c r="M52" s="132">
        <v>1</v>
      </c>
      <c r="N52" s="132">
        <v>1</v>
      </c>
      <c r="O52">
        <v>0.97</v>
      </c>
      <c r="R52" s="203"/>
      <c r="S52" s="204">
        <f>PRODUCT(Question3!$E52:$Q52)</f>
        <v>3.9576E-2</v>
      </c>
      <c r="T52" s="201">
        <f>Tabella57[[#This Row],[Ws '[min']]]*Tabella57[[#This Row],[Frequency results]]</f>
        <v>2.4484998085055825</v>
      </c>
      <c r="U52">
        <f t="array" ref="U52">MMULT(E18:Q18,$T$9:$T$21)</f>
        <v>61.868299183989855</v>
      </c>
      <c r="V52" s="202">
        <f>Question3!$S52/Question3!$T$76</f>
        <v>4.1139293139293133E-2</v>
      </c>
      <c r="W52">
        <f>Question3!$U52*Question3!$V52</f>
        <v>2.5452180961596489</v>
      </c>
    </row>
    <row r="53" spans="4:23" x14ac:dyDescent="0.3">
      <c r="D53">
        <v>11</v>
      </c>
      <c r="E53" s="132">
        <v>1</v>
      </c>
      <c r="F53" s="132">
        <v>0.1</v>
      </c>
      <c r="G53" s="132">
        <v>1</v>
      </c>
      <c r="H53">
        <v>0.85</v>
      </c>
      <c r="I53" s="132">
        <v>0.6</v>
      </c>
      <c r="L53" s="132">
        <v>0.2</v>
      </c>
      <c r="M53" s="132">
        <v>1</v>
      </c>
      <c r="N53" s="132">
        <v>1</v>
      </c>
      <c r="O53" s="132">
        <v>0.03</v>
      </c>
      <c r="R53" s="203"/>
      <c r="S53" s="204">
        <f>PRODUCT(Question3!$E53:$Q53)</f>
        <v>3.0600000000000001E-4</v>
      </c>
      <c r="T53" s="201">
        <f>Tabella57[[#This Row],[Ws '[min']]]*Tabella57[[#This Row],[Frequency results]]</f>
        <v>1.9309424318002758E-2</v>
      </c>
      <c r="U53">
        <f t="array" ref="U53">MMULT(E19:Q19,$T$9:$T$21)</f>
        <v>63.102693849682218</v>
      </c>
      <c r="V53" s="202">
        <v>0</v>
      </c>
      <c r="W53">
        <f>Question3!$U53*Question3!$V53</f>
        <v>0</v>
      </c>
    </row>
    <row r="54" spans="4:23" x14ac:dyDescent="0.3">
      <c r="D54">
        <v>12</v>
      </c>
      <c r="E54" s="132">
        <v>1</v>
      </c>
      <c r="F54" s="132">
        <v>0.1</v>
      </c>
      <c r="G54" s="132">
        <v>1</v>
      </c>
      <c r="H54">
        <v>0.85</v>
      </c>
      <c r="I54" s="132">
        <v>0.6</v>
      </c>
      <c r="L54" s="132">
        <v>0.2</v>
      </c>
      <c r="M54" s="132">
        <v>1</v>
      </c>
      <c r="N54" s="132">
        <v>1</v>
      </c>
      <c r="O54">
        <v>0.97</v>
      </c>
      <c r="R54" s="203"/>
      <c r="S54" s="204">
        <f>PRODUCT(Question3!$E54:$Q54)</f>
        <v>9.894E-3</v>
      </c>
      <c r="T54" s="201">
        <f>Tabella57[[#This Row],[Ws '[min']]]*Tabella57[[#This Row],[Frequency results]]</f>
        <v>0.62433805294875588</v>
      </c>
      <c r="U54">
        <f t="array" ref="U54">MMULT(E20:Q20,$T$9:$T$21)</f>
        <v>63.102693849682218</v>
      </c>
      <c r="V54" s="202">
        <f>Question3!$S54/Question3!$T$76</f>
        <v>1.0284823284823283E-2</v>
      </c>
      <c r="W54">
        <f>Question3!$U54*Question3!$V54</f>
        <v>0.64900005504028668</v>
      </c>
    </row>
    <row r="55" spans="4:23" x14ac:dyDescent="0.3">
      <c r="D55">
        <v>13</v>
      </c>
      <c r="E55" s="132">
        <v>1</v>
      </c>
      <c r="F55" s="132">
        <v>0.1</v>
      </c>
      <c r="G55" s="132">
        <v>1</v>
      </c>
      <c r="H55">
        <v>0.85</v>
      </c>
      <c r="J55" s="132">
        <v>0.4</v>
      </c>
      <c r="K55" s="132">
        <v>0.8</v>
      </c>
      <c r="M55" s="132">
        <v>1</v>
      </c>
      <c r="P55" s="132">
        <v>1</v>
      </c>
      <c r="Q55" s="132">
        <v>0.05</v>
      </c>
      <c r="R55" s="203"/>
      <c r="S55" s="204">
        <f>PRODUCT(Question3!$E55:$Q55)</f>
        <v>1.3600000000000001E-3</v>
      </c>
      <c r="T55" s="201">
        <f>Tabella57[[#This Row],[Ws '[min']]]*Tabella57[[#This Row],[Frequency results]]</f>
        <v>6.8434172961489112E-2</v>
      </c>
      <c r="U55">
        <f t="array" ref="U55">MMULT(E21:Q21,$T$9:$T$21)</f>
        <v>50.319244824624342</v>
      </c>
      <c r="V55" s="202">
        <v>0</v>
      </c>
      <c r="W55">
        <f>Question3!$U55*Question3!$V55</f>
        <v>0</v>
      </c>
    </row>
    <row r="56" spans="4:23" x14ac:dyDescent="0.3">
      <c r="D56">
        <v>14</v>
      </c>
      <c r="E56" s="132">
        <v>1</v>
      </c>
      <c r="F56" s="132">
        <v>0.1</v>
      </c>
      <c r="G56" s="132">
        <v>1</v>
      </c>
      <c r="H56">
        <v>0.85</v>
      </c>
      <c r="J56" s="132">
        <v>0.4</v>
      </c>
      <c r="K56" s="132">
        <v>0.8</v>
      </c>
      <c r="M56" s="132">
        <v>1</v>
      </c>
      <c r="P56" s="132">
        <v>1</v>
      </c>
      <c r="Q56">
        <v>0.95</v>
      </c>
      <c r="R56" s="203"/>
      <c r="S56" s="204">
        <f>PRODUCT(Question3!$E56:$Q56)</f>
        <v>2.5840000000000002E-2</v>
      </c>
      <c r="T56" s="201">
        <f>Tabella57[[#This Row],[Ws '[min']]]*Tabella57[[#This Row],[Frequency results]]</f>
        <v>1.3002492862682931</v>
      </c>
      <c r="U56">
        <f t="array" ref="U56">MMULT(E22:Q22,$T$9:$T$21)</f>
        <v>50.319244824624342</v>
      </c>
      <c r="V56" s="202">
        <f>Question3!$S56/Question3!$T$76</f>
        <v>2.6860706860706862E-2</v>
      </c>
      <c r="W56">
        <f>Question3!$U56*Question3!$V56</f>
        <v>1.3516104846863752</v>
      </c>
    </row>
    <row r="57" spans="4:23" x14ac:dyDescent="0.3">
      <c r="D57">
        <v>15</v>
      </c>
      <c r="E57" s="132">
        <v>1</v>
      </c>
      <c r="F57" s="132">
        <v>0.1</v>
      </c>
      <c r="G57" s="132">
        <v>1</v>
      </c>
      <c r="H57">
        <v>0.85</v>
      </c>
      <c r="J57" s="132">
        <v>0.4</v>
      </c>
      <c r="L57" s="132">
        <v>0.2</v>
      </c>
      <c r="M57" s="132">
        <v>1</v>
      </c>
      <c r="P57" s="132">
        <v>1</v>
      </c>
      <c r="Q57" s="132">
        <v>0.05</v>
      </c>
      <c r="R57" s="203"/>
      <c r="S57" s="204">
        <f>PRODUCT(Question3!$E57:$Q57)</f>
        <v>3.4000000000000002E-4</v>
      </c>
      <c r="T57" s="201">
        <f>Tabella57[[#This Row],[Ws '[min']]]*Tabella57[[#This Row],[Frequency results]]</f>
        <v>1.7528237426707682E-2</v>
      </c>
      <c r="U57">
        <f t="array" ref="U57">MMULT(E23:Q23,$T$9:$T$21)</f>
        <v>51.553639490316705</v>
      </c>
      <c r="V57" s="202">
        <v>0</v>
      </c>
      <c r="W57">
        <f>Question3!$U57*Question3!$V57</f>
        <v>0</v>
      </c>
    </row>
    <row r="58" spans="4:23" x14ac:dyDescent="0.3">
      <c r="D58">
        <v>16</v>
      </c>
      <c r="E58" s="132">
        <v>1</v>
      </c>
      <c r="F58" s="132">
        <v>0.1</v>
      </c>
      <c r="G58" s="132">
        <v>1</v>
      </c>
      <c r="H58">
        <v>0.85</v>
      </c>
      <c r="J58" s="132">
        <v>0.4</v>
      </c>
      <c r="L58" s="132">
        <v>0.2</v>
      </c>
      <c r="M58" s="132">
        <v>1</v>
      </c>
      <c r="P58" s="132">
        <v>1</v>
      </c>
      <c r="Q58">
        <v>0.95</v>
      </c>
      <c r="R58" s="203"/>
      <c r="S58" s="204">
        <f>PRODUCT(Question3!$E58:$Q58)</f>
        <v>6.4600000000000005E-3</v>
      </c>
      <c r="T58" s="201">
        <f>Tabella57[[#This Row],[Ws '[min']]]*Tabella57[[#This Row],[Frequency results]]</f>
        <v>0.33303651110744592</v>
      </c>
      <c r="U58">
        <f t="array" ref="U58">MMULT(E24:Q24,$T$9:$T$21)</f>
        <v>51.553639490316705</v>
      </c>
      <c r="V58" s="202">
        <f>Question3!$S58/Question3!$T$76</f>
        <v>6.7151767151767154E-3</v>
      </c>
      <c r="W58">
        <f>Question3!$U58*Question3!$V58</f>
        <v>0.3461917994879895</v>
      </c>
    </row>
    <row r="59" spans="4:23" x14ac:dyDescent="0.3">
      <c r="D59">
        <v>17</v>
      </c>
      <c r="E59" s="132">
        <v>1</v>
      </c>
      <c r="F59">
        <v>0.9</v>
      </c>
      <c r="G59" s="132">
        <v>1</v>
      </c>
      <c r="H59" s="132">
        <v>0.15</v>
      </c>
      <c r="I59" s="132">
        <v>0.6</v>
      </c>
      <c r="K59" s="132">
        <v>0.8</v>
      </c>
      <c r="M59" s="132">
        <v>1</v>
      </c>
      <c r="N59" s="132">
        <v>1</v>
      </c>
      <c r="O59" s="132">
        <v>0.03</v>
      </c>
      <c r="R59" s="203"/>
      <c r="S59" s="204">
        <f>PRODUCT(Question3!$E59:$Q59)</f>
        <v>1.9440000000000002E-3</v>
      </c>
      <c r="T59" s="201">
        <f>Tabella57[[#This Row],[Ws '[min']]]*Tabella57[[#This Row],[Frequency results]]</f>
        <v>0.14955501887897968</v>
      </c>
      <c r="U59">
        <f t="array" ref="U59">MMULT(E25:Q25,$T$9:$T$21)</f>
        <v>76.931594073549206</v>
      </c>
      <c r="V59" s="202">
        <v>0</v>
      </c>
      <c r="W59">
        <f>Question3!$U59*Question3!$V59</f>
        <v>0</v>
      </c>
    </row>
    <row r="60" spans="4:23" x14ac:dyDescent="0.3">
      <c r="D60">
        <v>18</v>
      </c>
      <c r="E60" s="132">
        <v>1</v>
      </c>
      <c r="F60">
        <v>0.9</v>
      </c>
      <c r="G60" s="132">
        <v>1</v>
      </c>
      <c r="H60" s="132">
        <v>0.15</v>
      </c>
      <c r="I60" s="132">
        <v>0.6</v>
      </c>
      <c r="K60" s="132">
        <v>0.8</v>
      </c>
      <c r="M60" s="132">
        <v>1</v>
      </c>
      <c r="N60" s="132">
        <v>1</v>
      </c>
      <c r="O60">
        <v>0.97</v>
      </c>
      <c r="R60" s="203"/>
      <c r="S60" s="204">
        <f>PRODUCT(Question3!$E60:$Q60)</f>
        <v>6.2856000000000009E-2</v>
      </c>
      <c r="T60" s="201">
        <f>Tabella57[[#This Row],[Ws '[min']]]*Tabella57[[#This Row],[Frequency results]]</f>
        <v>4.8356122770870096</v>
      </c>
      <c r="U60">
        <f t="array" ref="U60">MMULT(E26:Q26,$T$9:$T$21)</f>
        <v>76.931594073549206</v>
      </c>
      <c r="V60" s="202">
        <f>Question3!$S60/Question3!$T$76</f>
        <v>6.5338877338877346E-2</v>
      </c>
      <c r="W60">
        <f>Question3!$U60*Question3!$V60</f>
        <v>5.0266239886559347</v>
      </c>
    </row>
    <row r="61" spans="4:23" x14ac:dyDescent="0.3">
      <c r="D61">
        <v>19</v>
      </c>
      <c r="E61" s="132">
        <v>1</v>
      </c>
      <c r="F61">
        <v>0.9</v>
      </c>
      <c r="G61" s="132">
        <v>1</v>
      </c>
      <c r="H61" s="132">
        <v>0.15</v>
      </c>
      <c r="I61" s="132">
        <v>0.6</v>
      </c>
      <c r="L61" s="132">
        <v>0.2</v>
      </c>
      <c r="M61" s="132">
        <v>1</v>
      </c>
      <c r="N61" s="132">
        <v>1</v>
      </c>
      <c r="O61" s="132">
        <v>0.03</v>
      </c>
      <c r="R61" s="203"/>
      <c r="S61" s="204">
        <f>PRODUCT(Question3!$E61:$Q61)</f>
        <v>4.8600000000000005E-4</v>
      </c>
      <c r="T61" s="201">
        <f>Tabella57[[#This Row],[Ws '[min']]]*Tabella57[[#This Row],[Frequency results]]</f>
        <v>3.7988670527271409E-2</v>
      </c>
      <c r="U61">
        <f t="array" ref="U61">MMULT(E27:Q27,$T$9:$T$21)</f>
        <v>78.16598873924157</v>
      </c>
      <c r="V61" s="202">
        <v>0</v>
      </c>
      <c r="W61">
        <f>Question3!$U61*Question3!$V61</f>
        <v>0</v>
      </c>
    </row>
    <row r="62" spans="4:23" x14ac:dyDescent="0.3">
      <c r="D62">
        <v>20</v>
      </c>
      <c r="E62" s="132">
        <v>1</v>
      </c>
      <c r="F62">
        <v>0.9</v>
      </c>
      <c r="G62" s="132">
        <v>1</v>
      </c>
      <c r="H62" s="132">
        <v>0.15</v>
      </c>
      <c r="I62" s="132">
        <v>0.6</v>
      </c>
      <c r="L62" s="132">
        <v>0.2</v>
      </c>
      <c r="M62" s="132">
        <v>1</v>
      </c>
      <c r="N62" s="132">
        <v>1</v>
      </c>
      <c r="O62">
        <v>0.97</v>
      </c>
      <c r="R62" s="203"/>
      <c r="S62" s="204">
        <f>PRODUCT(Question3!$E62:$Q62)</f>
        <v>1.5714000000000002E-2</v>
      </c>
      <c r="T62" s="201">
        <f>Tabella57[[#This Row],[Ws '[min']]]*Tabella57[[#This Row],[Frequency results]]</f>
        <v>1.2283003470484422</v>
      </c>
      <c r="U62">
        <f t="array" ref="U62">MMULT(E28:Q28,$T$9:$T$21)</f>
        <v>78.16598873924157</v>
      </c>
      <c r="V62" s="202">
        <f>Question3!$S62/Question3!$T$76</f>
        <v>1.6334719334719337E-2</v>
      </c>
      <c r="W62">
        <f>Question3!$U62*Question3!$V62</f>
        <v>1.2768194875763432</v>
      </c>
    </row>
    <row r="63" spans="4:23" x14ac:dyDescent="0.3">
      <c r="D63">
        <v>21</v>
      </c>
      <c r="E63" s="132">
        <v>1</v>
      </c>
      <c r="F63">
        <v>0.9</v>
      </c>
      <c r="G63" s="132">
        <v>1</v>
      </c>
      <c r="H63" s="132">
        <v>0.15</v>
      </c>
      <c r="J63" s="132">
        <v>0.4</v>
      </c>
      <c r="K63" s="132">
        <v>0.8</v>
      </c>
      <c r="M63" s="132">
        <v>1</v>
      </c>
      <c r="P63" s="132">
        <v>1</v>
      </c>
      <c r="Q63" s="132">
        <v>0.05</v>
      </c>
      <c r="R63" s="203"/>
      <c r="S63" s="204">
        <f>PRODUCT(Question3!$E63:$Q63)</f>
        <v>2.1600000000000005E-3</v>
      </c>
      <c r="T63" s="201">
        <f>Tabella57[[#This Row],[Ws '[min']]]*Tabella57[[#This Row],[Frequency results]]</f>
        <v>0.1412262857826368</v>
      </c>
      <c r="U63">
        <f t="array" ref="U63">MMULT(E29:Q29,$T$9:$T$21)</f>
        <v>65.382539714183693</v>
      </c>
      <c r="V63" s="202">
        <v>0</v>
      </c>
      <c r="W63">
        <f>Question3!$U63*Question3!$V63</f>
        <v>0</v>
      </c>
    </row>
    <row r="64" spans="4:23" x14ac:dyDescent="0.3">
      <c r="D64">
        <v>22</v>
      </c>
      <c r="E64" s="132">
        <v>1</v>
      </c>
      <c r="F64">
        <v>0.9</v>
      </c>
      <c r="G64" s="132">
        <v>1</v>
      </c>
      <c r="H64" s="132">
        <v>0.15</v>
      </c>
      <c r="J64" s="132">
        <v>0.4</v>
      </c>
      <c r="K64" s="132">
        <v>0.8</v>
      </c>
      <c r="M64" s="132">
        <v>1</v>
      </c>
      <c r="P64" s="132">
        <v>1</v>
      </c>
      <c r="Q64">
        <v>0.95</v>
      </c>
      <c r="R64" s="203"/>
      <c r="S64" s="204">
        <f>PRODUCT(Question3!$E64:$Q64)</f>
        <v>4.1040000000000007E-2</v>
      </c>
      <c r="T64" s="201">
        <f>Tabella57[[#This Row],[Ws '[min']]]*Tabella57[[#This Row],[Frequency results]]</f>
        <v>2.6832994298700994</v>
      </c>
      <c r="U64">
        <f t="array" ref="U64">MMULT(E30:Q30,$T$9:$T$21)</f>
        <v>65.382539714183693</v>
      </c>
      <c r="V64" s="202">
        <f>Question3!$S64/Question3!$T$76</f>
        <v>4.2661122661122666E-2</v>
      </c>
      <c r="W64">
        <f>Question3!$U64*Question3!$V64</f>
        <v>2.7892925466425145</v>
      </c>
    </row>
    <row r="65" spans="4:23" x14ac:dyDescent="0.3">
      <c r="D65">
        <v>23</v>
      </c>
      <c r="E65" s="132">
        <v>1</v>
      </c>
      <c r="F65">
        <v>0.9</v>
      </c>
      <c r="G65" s="132">
        <v>1</v>
      </c>
      <c r="H65" s="132">
        <v>0.15</v>
      </c>
      <c r="J65" s="132">
        <v>0.4</v>
      </c>
      <c r="L65" s="132">
        <v>0.2</v>
      </c>
      <c r="M65" s="132">
        <v>1</v>
      </c>
      <c r="P65" s="132">
        <v>1</v>
      </c>
      <c r="Q65" s="132">
        <v>0.05</v>
      </c>
      <c r="R65" s="203"/>
      <c r="S65" s="204">
        <f>PRODUCT(Question3!$E65:$Q65)</f>
        <v>5.4000000000000012E-4</v>
      </c>
      <c r="T65" s="201">
        <f>Tabella57[[#This Row],[Ws '[min']]]*Tabella57[[#This Row],[Frequency results]]</f>
        <v>3.5973144565133078E-2</v>
      </c>
      <c r="U65">
        <f t="array" ref="U65">MMULT(E31:Q31,$T$9:$T$21)</f>
        <v>66.616934379876056</v>
      </c>
      <c r="V65" s="202">
        <v>0</v>
      </c>
      <c r="W65">
        <f>Question3!$U65*Question3!$V65</f>
        <v>0</v>
      </c>
    </row>
    <row r="66" spans="4:23" x14ac:dyDescent="0.3">
      <c r="D66">
        <v>24</v>
      </c>
      <c r="E66" s="132">
        <v>1</v>
      </c>
      <c r="F66">
        <v>0.9</v>
      </c>
      <c r="G66" s="132">
        <v>1</v>
      </c>
      <c r="H66" s="132">
        <v>0.15</v>
      </c>
      <c r="J66" s="132">
        <v>0.4</v>
      </c>
      <c r="L66" s="132">
        <v>0.2</v>
      </c>
      <c r="M66" s="132">
        <v>1</v>
      </c>
      <c r="P66" s="132">
        <v>1</v>
      </c>
      <c r="Q66">
        <v>0.95</v>
      </c>
      <c r="R66" s="203"/>
      <c r="S66" s="204">
        <f>PRODUCT(Question3!$E66:$Q66)</f>
        <v>1.0260000000000002E-2</v>
      </c>
      <c r="T66" s="201">
        <f>Tabella57[[#This Row],[Ws '[min']]]*Tabella57[[#This Row],[Frequency results]]</f>
        <v>0.68348974673752849</v>
      </c>
      <c r="U66">
        <f t="array" ref="U66">MMULT(E32:Q32,$T$9:$T$21)</f>
        <v>66.616934379876056</v>
      </c>
      <c r="V66" s="202">
        <f>Question3!$S66/Question3!$T$76</f>
        <v>1.0665280665280667E-2</v>
      </c>
      <c r="W66">
        <f>Question3!$U66*Question3!$V66</f>
        <v>0.71048830222196302</v>
      </c>
    </row>
    <row r="67" spans="4:23" x14ac:dyDescent="0.3">
      <c r="D67">
        <v>25</v>
      </c>
      <c r="E67" s="132">
        <v>1</v>
      </c>
      <c r="F67">
        <v>0.9</v>
      </c>
      <c r="G67" s="132">
        <v>1</v>
      </c>
      <c r="H67">
        <v>0.85</v>
      </c>
      <c r="I67" s="132">
        <v>0.6</v>
      </c>
      <c r="K67" s="132">
        <v>0.8</v>
      </c>
      <c r="M67" s="132">
        <v>1</v>
      </c>
      <c r="N67" s="132">
        <v>1</v>
      </c>
      <c r="O67" s="132">
        <v>0.03</v>
      </c>
      <c r="R67" s="203"/>
      <c r="S67" s="204">
        <f>PRODUCT(Question3!$E67:$Q67)</f>
        <v>1.1015999999999998E-2</v>
      </c>
      <c r="T67" s="201">
        <f>Tabella57[[#This Row],[Ws '[min']]]*Tabella57[[#This Row],[Frequency results]]</f>
        <v>0.66092054800823474</v>
      </c>
      <c r="U67">
        <f t="array" ref="U67">MMULT(E33:Q33,$T$9:$T$21)</f>
        <v>59.996418664509335</v>
      </c>
      <c r="V67" s="202">
        <v>0</v>
      </c>
      <c r="W67">
        <f>Question3!$U67*Question3!$V67</f>
        <v>0</v>
      </c>
    </row>
    <row r="68" spans="4:23" x14ac:dyDescent="0.3">
      <c r="D68">
        <v>26</v>
      </c>
      <c r="E68" s="132">
        <v>1</v>
      </c>
      <c r="F68">
        <v>0.9</v>
      </c>
      <c r="G68" s="132">
        <v>1</v>
      </c>
      <c r="H68">
        <v>0.85</v>
      </c>
      <c r="I68" s="132">
        <v>0.6</v>
      </c>
      <c r="K68" s="132">
        <v>0.8</v>
      </c>
      <c r="M68" s="132">
        <v>1</v>
      </c>
      <c r="N68" s="132">
        <v>1</v>
      </c>
      <c r="O68">
        <v>0.97</v>
      </c>
      <c r="R68" s="203"/>
      <c r="S68" s="204">
        <f>PRODUCT(Question3!$E68:$Q68)</f>
        <v>0.35618399999999995</v>
      </c>
      <c r="T68" s="201">
        <f>Tabella57[[#This Row],[Ws '[min']]]*Tabella57[[#This Row],[Frequency results]]</f>
        <v>21.369764385599591</v>
      </c>
      <c r="U68">
        <f t="array" ref="U68">MMULT(E34:Q34,$T$9:$T$21)</f>
        <v>59.996418664509335</v>
      </c>
      <c r="V68" s="202">
        <f>Question3!$S68/Question3!$T$76</f>
        <v>0.37025363825363816</v>
      </c>
      <c r="W68">
        <f>Question3!$U68*Question3!$V68</f>
        <v>22.213892292723063</v>
      </c>
    </row>
    <row r="69" spans="4:23" x14ac:dyDescent="0.3">
      <c r="D69">
        <v>27</v>
      </c>
      <c r="E69" s="132">
        <v>1</v>
      </c>
      <c r="F69">
        <v>0.9</v>
      </c>
      <c r="G69" s="132">
        <v>1</v>
      </c>
      <c r="H69">
        <v>0.85</v>
      </c>
      <c r="I69" s="132">
        <v>0.6</v>
      </c>
      <c r="L69" s="132">
        <v>0.2</v>
      </c>
      <c r="M69" s="132">
        <v>1</v>
      </c>
      <c r="N69" s="132">
        <v>1</v>
      </c>
      <c r="O69" s="132">
        <v>0.03</v>
      </c>
      <c r="R69" s="203"/>
      <c r="S69" s="204">
        <f>PRODUCT(Question3!$E69:$Q69)</f>
        <v>2.7539999999999995E-3</v>
      </c>
      <c r="T69" s="201">
        <f>Tabella57[[#This Row],[Ws '[min']]]*Tabella57[[#This Row],[Frequency results]]</f>
        <v>0.16862965991137543</v>
      </c>
      <c r="U69">
        <f t="array" ref="U69">MMULT(E35:Q35,$T$9:$T$21)</f>
        <v>61.230813330201698</v>
      </c>
      <c r="V69" s="202">
        <v>0</v>
      </c>
      <c r="W69">
        <f>Question3!$U69*Question3!$V69</f>
        <v>0</v>
      </c>
    </row>
    <row r="70" spans="4:23" x14ac:dyDescent="0.3">
      <c r="D70">
        <v>28</v>
      </c>
      <c r="E70" s="132">
        <v>1</v>
      </c>
      <c r="F70">
        <v>0.9</v>
      </c>
      <c r="G70" s="132">
        <v>1</v>
      </c>
      <c r="H70">
        <v>0.85</v>
      </c>
      <c r="I70" s="132">
        <v>0.6</v>
      </c>
      <c r="L70" s="132">
        <v>0.2</v>
      </c>
      <c r="M70" s="132">
        <v>1</v>
      </c>
      <c r="N70" s="132">
        <v>1</v>
      </c>
      <c r="O70">
        <v>0.97</v>
      </c>
      <c r="R70" s="203"/>
      <c r="S70" s="204">
        <f>PRODUCT(Question3!$E70:$Q70)</f>
        <v>8.9045999999999986E-2</v>
      </c>
      <c r="T70" s="201">
        <f>Tabella57[[#This Row],[Ws '[min']]]*Tabella57[[#This Row],[Frequency results]]</f>
        <v>5.4523590038011394</v>
      </c>
      <c r="U70">
        <f t="array" ref="U70">MMULT(E36:Q36,$T$9:$T$21)</f>
        <v>61.230813330201698</v>
      </c>
      <c r="V70" s="202">
        <f>Question3!$S70/Question3!$T$76</f>
        <v>9.2563409563409541E-2</v>
      </c>
      <c r="W70">
        <f>Question3!$U70*Question3!$V70</f>
        <v>5.6677328521841366</v>
      </c>
    </row>
    <row r="71" spans="4:23" x14ac:dyDescent="0.3">
      <c r="D71">
        <v>29</v>
      </c>
      <c r="E71" s="132">
        <v>1</v>
      </c>
      <c r="F71">
        <v>0.9</v>
      </c>
      <c r="G71" s="132">
        <v>1</v>
      </c>
      <c r="H71">
        <v>0.85</v>
      </c>
      <c r="J71" s="132">
        <v>0.4</v>
      </c>
      <c r="K71" s="132">
        <v>0.8</v>
      </c>
      <c r="M71" s="132">
        <v>1</v>
      </c>
      <c r="P71" s="132">
        <v>1</v>
      </c>
      <c r="Q71" s="132">
        <v>0.05</v>
      </c>
      <c r="R71" s="203"/>
      <c r="S71" s="204">
        <f>PRODUCT(Question3!$E71:$Q71)</f>
        <v>1.2240000000000003E-2</v>
      </c>
      <c r="T71" s="201">
        <f>Tabella57[[#This Row],[Ws '[min']]]*Tabella57[[#This Row],[Frequency results]]</f>
        <v>0.59299573909496051</v>
      </c>
      <c r="U71">
        <f t="array" ref="U71">MMULT(E37:Q37,$T$9:$T$21)</f>
        <v>48.447364305143822</v>
      </c>
      <c r="V71" s="202">
        <v>0</v>
      </c>
      <c r="W71">
        <f>Question3!$U71*Question3!$V71</f>
        <v>0</v>
      </c>
    </row>
    <row r="72" spans="4:23" x14ac:dyDescent="0.3">
      <c r="D72">
        <v>30</v>
      </c>
      <c r="E72" s="132">
        <v>1</v>
      </c>
      <c r="F72">
        <v>0.9</v>
      </c>
      <c r="G72" s="132">
        <v>1</v>
      </c>
      <c r="H72">
        <v>0.85</v>
      </c>
      <c r="J72" s="132">
        <v>0.4</v>
      </c>
      <c r="K72" s="132">
        <v>0.8</v>
      </c>
      <c r="M72" s="132">
        <v>1</v>
      </c>
      <c r="P72" s="132">
        <v>1</v>
      </c>
      <c r="Q72">
        <v>0.95</v>
      </c>
      <c r="R72" s="203"/>
      <c r="S72" s="204">
        <f>PRODUCT(Question3!$E72:$Q72)</f>
        <v>0.23256000000000004</v>
      </c>
      <c r="T72" s="201">
        <f>Tabella57[[#This Row],[Ws '[min']]]*Tabella57[[#This Row],[Frequency results]]</f>
        <v>11.266919042804249</v>
      </c>
      <c r="U72">
        <f t="array" ref="U72">MMULT(E38:Q38,$T$9:$T$21)</f>
        <v>48.447364305143822</v>
      </c>
      <c r="V72" s="202">
        <f>Question3!$S72/Question3!$T$76</f>
        <v>0.24174636174636177</v>
      </c>
      <c r="W72">
        <f>Question3!$U72*Question3!$V72</f>
        <v>11.711974056969073</v>
      </c>
    </row>
    <row r="73" spans="4:23" x14ac:dyDescent="0.3">
      <c r="D73">
        <v>31</v>
      </c>
      <c r="E73" s="132">
        <v>1</v>
      </c>
      <c r="F73">
        <v>0.9</v>
      </c>
      <c r="G73" s="132">
        <v>1</v>
      </c>
      <c r="H73">
        <v>0.85</v>
      </c>
      <c r="J73" s="132">
        <v>0.4</v>
      </c>
      <c r="L73" s="132">
        <v>0.2</v>
      </c>
      <c r="M73" s="132">
        <v>1</v>
      </c>
      <c r="P73" s="132">
        <v>1</v>
      </c>
      <c r="Q73" s="132">
        <v>0.05</v>
      </c>
      <c r="R73" s="203"/>
      <c r="S73" s="204">
        <f>PRODUCT(Question3!$E73:$Q73)</f>
        <v>3.0600000000000007E-3</v>
      </c>
      <c r="T73" s="201">
        <f>Tabella57[[#This Row],[Ws '[min']]]*Tabella57[[#This Row],[Frequency results]]</f>
        <v>0.15202618245075875</v>
      </c>
      <c r="U73">
        <f t="array" ref="U73">MMULT(E39:Q39,$T$9:$T$21)</f>
        <v>49.681758970836185</v>
      </c>
      <c r="V73" s="202">
        <v>0</v>
      </c>
      <c r="W73">
        <f>Question3!$U73*Question3!$V73</f>
        <v>0</v>
      </c>
    </row>
    <row r="74" spans="4:23" x14ac:dyDescent="0.3">
      <c r="D74">
        <v>32</v>
      </c>
      <c r="E74" s="132">
        <v>1</v>
      </c>
      <c r="F74">
        <v>0.9</v>
      </c>
      <c r="G74" s="132">
        <v>1</v>
      </c>
      <c r="H74">
        <v>0.85</v>
      </c>
      <c r="J74" s="132">
        <v>0.4</v>
      </c>
      <c r="L74" s="132">
        <v>0.2</v>
      </c>
      <c r="M74" s="132">
        <v>1</v>
      </c>
      <c r="P74" s="132">
        <v>1</v>
      </c>
      <c r="Q74">
        <v>0.95</v>
      </c>
      <c r="R74" s="203"/>
      <c r="S74" s="204">
        <f>PRODUCT(Question3!$E74:$Q74)</f>
        <v>5.8140000000000011E-2</v>
      </c>
      <c r="T74" s="201">
        <f>Tabella57[[#This Row],[Ws '[min']]]*Tabella57[[#This Row],[Frequency results]]</f>
        <v>2.8884974665644165</v>
      </c>
      <c r="U74">
        <f t="array" ref="U74">MMULT(E40:Q40,$T$9:$T$21)</f>
        <v>49.681758970836185</v>
      </c>
      <c r="V74" s="202">
        <f>Question3!$S74/Question3!$T$76</f>
        <v>6.0436590436590443E-2</v>
      </c>
      <c r="W74">
        <f>Question3!$U74*Question3!$V74</f>
        <v>3.0025961190898296</v>
      </c>
    </row>
    <row r="75" spans="4:23" ht="19.95" customHeight="1" x14ac:dyDescent="0.3">
      <c r="E75" s="132"/>
      <c r="G75" s="132"/>
      <c r="J75" s="132"/>
      <c r="L75" s="132"/>
      <c r="M75" s="132"/>
      <c r="P75" s="132"/>
      <c r="R75" s="203"/>
      <c r="S75" s="204"/>
      <c r="T75" s="201">
        <f>Tabella57[[#This Row],[Ws '[min']]]*Tabella57[[#This Row],[Frequency results]]</f>
        <v>0</v>
      </c>
      <c r="V75" s="202"/>
    </row>
    <row r="76" spans="4:23" x14ac:dyDescent="0.3">
      <c r="E76" s="132"/>
      <c r="G76" s="132"/>
      <c r="J76" s="132"/>
      <c r="L76" s="132"/>
      <c r="M76" s="132"/>
      <c r="P76" s="132"/>
      <c r="R76" s="205"/>
      <c r="S76" s="205"/>
      <c r="T76" s="206">
        <f>S44+S46+S48+S50+S52+S54+S56+S58+S60+S62+S64+S66+S68+S70+S72+S74</f>
        <v>0.96200000000000008</v>
      </c>
      <c r="V76" s="206"/>
    </row>
    <row r="77" spans="4:23" x14ac:dyDescent="0.3">
      <c r="R77" s="202"/>
    </row>
    <row r="78" spans="4:23" x14ac:dyDescent="0.3">
      <c r="D78" s="136" t="s">
        <v>113</v>
      </c>
      <c r="E78" s="142">
        <v>1.8718805194805197</v>
      </c>
      <c r="F78" s="142">
        <v>1.8718805194805197</v>
      </c>
      <c r="G78" s="142">
        <v>16.935175409039879</v>
      </c>
      <c r="H78" s="142">
        <v>16.935175409039879</v>
      </c>
      <c r="I78" s="142">
        <v>30.000000000000107</v>
      </c>
      <c r="J78" s="142">
        <v>18.000000000000064</v>
      </c>
      <c r="K78" s="142">
        <v>3.0857142857142867</v>
      </c>
      <c r="L78" s="142">
        <v>4.3201089514066497</v>
      </c>
      <c r="M78" s="142">
        <v>7.1999999999999797</v>
      </c>
      <c r="N78" s="142">
        <v>0.90364845027455765</v>
      </c>
      <c r="O78" s="142">
        <v>0</v>
      </c>
      <c r="P78" s="142">
        <v>1.354594090909091</v>
      </c>
      <c r="Q78" s="143">
        <v>0</v>
      </c>
      <c r="R78" s="137"/>
      <c r="S78" s="137"/>
      <c r="T78" s="137"/>
      <c r="U78" s="137"/>
      <c r="V78" s="207" t="s">
        <v>114</v>
      </c>
      <c r="W78" s="208">
        <f>SUM(W43:W74)</f>
        <v>58.408765436462346</v>
      </c>
    </row>
    <row r="81" spans="4:16" x14ac:dyDescent="0.3">
      <c r="D81" s="139"/>
      <c r="E81" s="139"/>
      <c r="F81" s="139"/>
      <c r="G81" s="139"/>
      <c r="H81" s="139"/>
      <c r="I81" s="139"/>
      <c r="J81" s="139"/>
      <c r="K81" s="139"/>
      <c r="L81" s="139"/>
      <c r="M81" s="139"/>
      <c r="N81" s="139"/>
      <c r="O81" s="139"/>
      <c r="P81" s="140"/>
    </row>
  </sheetData>
  <mergeCells count="2">
    <mergeCell ref="D41:Q41"/>
    <mergeCell ref="C2:W2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0066-2153-DE4A-A849-1F87076467B0}">
  <sheetPr>
    <tabColor rgb="FFC00000"/>
  </sheetPr>
  <dimension ref="B2:BM122"/>
  <sheetViews>
    <sheetView topLeftCell="AF83" zoomScale="59" zoomScaleNormal="90" workbookViewId="0">
      <selection activeCell="AN107" sqref="AN107"/>
    </sheetView>
  </sheetViews>
  <sheetFormatPr defaultColWidth="8.796875" defaultRowHeight="14.4" x14ac:dyDescent="0.3"/>
  <cols>
    <col min="1" max="2" width="8.796875" style="1"/>
    <col min="3" max="3" width="10.5" style="1" customWidth="1"/>
    <col min="4" max="4" width="9.796875" style="1" customWidth="1"/>
    <col min="5" max="6" width="8.796875" style="1"/>
    <col min="7" max="7" width="9.796875" style="1" customWidth="1"/>
    <col min="8" max="18" width="8.796875" style="1"/>
    <col min="19" max="19" width="8.796875" style="1" customWidth="1"/>
    <col min="20" max="20" width="9.296875" style="1" customWidth="1"/>
    <col min="21" max="21" width="9.69921875" style="1" customWidth="1"/>
    <col min="22" max="28" width="8.796875" style="1"/>
    <col min="29" max="29" width="16.296875" style="1" customWidth="1"/>
    <col min="30" max="30" width="18.5" style="1" customWidth="1"/>
    <col min="31" max="31" width="18.69921875" style="1" customWidth="1"/>
    <col min="32" max="32" width="86.5" style="1" customWidth="1"/>
    <col min="33" max="33" width="79.19921875" style="1" customWidth="1"/>
    <col min="34" max="40" width="8.796875" style="1" customWidth="1"/>
    <col min="41" max="53" width="8.796875" style="1"/>
    <col min="54" max="54" width="27.5" style="1" customWidth="1"/>
    <col min="55" max="16384" width="8.796875" style="1"/>
  </cols>
  <sheetData>
    <row r="2" spans="2:35" ht="16.05" customHeight="1" x14ac:dyDescent="0.3">
      <c r="B2" s="350" t="s">
        <v>269</v>
      </c>
      <c r="C2" s="350"/>
      <c r="D2" s="350"/>
      <c r="E2" s="350"/>
      <c r="F2" s="350"/>
      <c r="G2" s="350"/>
      <c r="H2" s="350"/>
      <c r="I2" s="350"/>
      <c r="J2" s="350"/>
      <c r="K2" s="350"/>
      <c r="L2" s="350"/>
      <c r="M2" s="350"/>
      <c r="N2" s="350"/>
      <c r="O2" s="350"/>
      <c r="P2" s="350"/>
      <c r="Q2" s="350"/>
      <c r="R2" s="350"/>
      <c r="S2" s="350"/>
      <c r="T2" s="350"/>
      <c r="U2" s="350"/>
      <c r="V2" s="350"/>
      <c r="W2" s="350"/>
      <c r="X2" s="350"/>
      <c r="Y2" s="350"/>
      <c r="Z2" s="350"/>
      <c r="AA2" s="350"/>
    </row>
    <row r="4" spans="2:35" ht="15" thickBot="1" x14ac:dyDescent="0.35">
      <c r="AC4" s="2" t="s">
        <v>5</v>
      </c>
      <c r="AD4" s="2" t="s">
        <v>6</v>
      </c>
    </row>
    <row r="5" spans="2:35" ht="16.2" thickBot="1" x14ac:dyDescent="0.35">
      <c r="AC5" s="3" t="s">
        <v>7</v>
      </c>
      <c r="AD5" s="4">
        <f>15%*80000</f>
        <v>12000</v>
      </c>
      <c r="AE5" s="5" t="s">
        <v>8</v>
      </c>
      <c r="AF5" s="6"/>
      <c r="AG5" s="6"/>
      <c r="AH5" s="6"/>
      <c r="AI5" s="7"/>
    </row>
    <row r="6" spans="2:35" ht="19.05" customHeight="1" x14ac:dyDescent="0.3">
      <c r="F6" s="252" t="s">
        <v>9</v>
      </c>
      <c r="G6" s="253"/>
      <c r="M6" s="271" t="s">
        <v>10</v>
      </c>
      <c r="N6" s="272"/>
      <c r="T6" s="277" t="s">
        <v>11</v>
      </c>
      <c r="U6" s="278"/>
      <c r="AC6" s="3" t="s">
        <v>12</v>
      </c>
      <c r="AD6" s="150">
        <f>(30%*80000)*0.93</f>
        <v>22320</v>
      </c>
      <c r="AE6" s="22" t="s">
        <v>13</v>
      </c>
      <c r="AF6" s="8" t="s">
        <v>14</v>
      </c>
      <c r="AG6" s="9" t="s">
        <v>251</v>
      </c>
      <c r="AH6" s="9">
        <f>100%*(34320)+10%*34320</f>
        <v>37752</v>
      </c>
      <c r="AI6" s="10"/>
    </row>
    <row r="7" spans="2:35" x14ac:dyDescent="0.3">
      <c r="F7" s="254"/>
      <c r="G7" s="255"/>
      <c r="M7" s="273"/>
      <c r="N7" s="274"/>
      <c r="T7" s="279"/>
      <c r="U7" s="280"/>
      <c r="AC7" s="3" t="s">
        <v>16</v>
      </c>
      <c r="AD7" s="4">
        <f>55%*80000</f>
        <v>44000</v>
      </c>
      <c r="AE7" s="22"/>
      <c r="AF7" s="11" t="s">
        <v>17</v>
      </c>
      <c r="AG7" s="8"/>
      <c r="AH7" s="11" t="s">
        <v>18</v>
      </c>
      <c r="AI7" s="10"/>
    </row>
    <row r="8" spans="2:35" x14ac:dyDescent="0.3">
      <c r="C8" s="1" t="s">
        <v>19</v>
      </c>
      <c r="F8" s="254"/>
      <c r="G8" s="255"/>
      <c r="M8" s="273"/>
      <c r="N8" s="274"/>
      <c r="T8" s="279"/>
      <c r="U8" s="280"/>
      <c r="AD8" s="1">
        <f>AD5+AD6+AD7</f>
        <v>78320</v>
      </c>
      <c r="AE8" s="23" t="s">
        <v>20</v>
      </c>
      <c r="AF8" s="8" t="s">
        <v>21</v>
      </c>
      <c r="AG8" s="9" t="s">
        <v>252</v>
      </c>
      <c r="AH8" s="9">
        <f>100%*34320+10%*34320</f>
        <v>37752</v>
      </c>
      <c r="AI8" s="10"/>
    </row>
    <row r="9" spans="2:35" ht="19.95" customHeight="1" thickBot="1" x14ac:dyDescent="0.35">
      <c r="F9" s="256"/>
      <c r="G9" s="257"/>
      <c r="M9" s="275"/>
      <c r="N9" s="276"/>
      <c r="T9" s="281"/>
      <c r="U9" s="282"/>
      <c r="AE9" s="12"/>
      <c r="AI9" s="10"/>
    </row>
    <row r="10" spans="2:35" ht="15" thickBot="1" x14ac:dyDescent="0.35">
      <c r="AE10" s="12"/>
      <c r="AF10" s="13"/>
      <c r="AG10" s="13"/>
      <c r="AH10" s="13"/>
      <c r="AI10" s="10"/>
    </row>
    <row r="11" spans="2:35" ht="15.6" x14ac:dyDescent="0.3">
      <c r="AE11" s="14" t="s">
        <v>23</v>
      </c>
      <c r="AF11" s="6"/>
      <c r="AG11" s="6"/>
      <c r="AH11" s="6"/>
      <c r="AI11" s="7"/>
    </row>
    <row r="12" spans="2:35" x14ac:dyDescent="0.3">
      <c r="AE12" s="23" t="s">
        <v>13</v>
      </c>
      <c r="AF12" s="24" t="s">
        <v>21</v>
      </c>
      <c r="AG12" s="9" t="s">
        <v>252</v>
      </c>
      <c r="AH12" s="9">
        <f>110%*(34320)</f>
        <v>37752</v>
      </c>
      <c r="AI12" s="10"/>
    </row>
    <row r="13" spans="2:35" ht="15" thickBot="1" x14ac:dyDescent="0.35">
      <c r="AE13" s="23"/>
      <c r="AF13" s="11" t="s">
        <v>17</v>
      </c>
      <c r="AG13" s="8"/>
      <c r="AH13" s="11" t="s">
        <v>18</v>
      </c>
      <c r="AI13" s="10"/>
    </row>
    <row r="14" spans="2:35" ht="15" customHeight="1" x14ac:dyDescent="0.3">
      <c r="P14" s="283" t="s">
        <v>24</v>
      </c>
      <c r="Q14" s="284"/>
      <c r="AE14" s="23" t="s">
        <v>20</v>
      </c>
      <c r="AF14" s="24" t="s">
        <v>25</v>
      </c>
      <c r="AG14" s="9" t="s">
        <v>253</v>
      </c>
      <c r="AH14" s="9">
        <f>100%*(12000+22320)+10%*(12000+22320)</f>
        <v>37752</v>
      </c>
      <c r="AI14" s="10"/>
    </row>
    <row r="15" spans="2:35" x14ac:dyDescent="0.3">
      <c r="P15" s="285"/>
      <c r="Q15" s="286"/>
      <c r="AE15" s="25"/>
      <c r="AI15" s="10"/>
    </row>
    <row r="16" spans="2:35" ht="14.55" customHeight="1" thickBot="1" x14ac:dyDescent="0.35">
      <c r="P16" s="285"/>
      <c r="Q16" s="286"/>
      <c r="AE16" s="25"/>
      <c r="AF16" s="26"/>
      <c r="AG16" s="13"/>
      <c r="AH16" s="13"/>
      <c r="AI16" s="10"/>
    </row>
    <row r="17" spans="16:35" ht="16.2" thickBot="1" x14ac:dyDescent="0.35">
      <c r="P17" s="287"/>
      <c r="Q17" s="288"/>
      <c r="AE17" s="27" t="s">
        <v>27</v>
      </c>
      <c r="AF17" s="28"/>
      <c r="AG17" s="6"/>
      <c r="AH17" s="6"/>
      <c r="AI17" s="7"/>
    </row>
    <row r="18" spans="16:35" x14ac:dyDescent="0.3">
      <c r="AE18" s="23" t="s">
        <v>13</v>
      </c>
      <c r="AF18" s="24" t="s">
        <v>28</v>
      </c>
      <c r="AG18" s="9" t="s">
        <v>254</v>
      </c>
      <c r="AH18" s="9">
        <f>100%*(12000+22320+44000)+15%*(12000+22320+44000)</f>
        <v>90068</v>
      </c>
      <c r="AI18" s="10"/>
    </row>
    <row r="19" spans="16:35" x14ac:dyDescent="0.3">
      <c r="AE19" s="23"/>
      <c r="AF19" s="11" t="s">
        <v>17</v>
      </c>
      <c r="AG19" s="8"/>
      <c r="AH19" s="11" t="s">
        <v>18</v>
      </c>
      <c r="AI19" s="10"/>
    </row>
    <row r="20" spans="16:35" x14ac:dyDescent="0.3">
      <c r="AE20" s="23" t="s">
        <v>20</v>
      </c>
      <c r="AF20" s="24" t="s">
        <v>30</v>
      </c>
      <c r="AG20" s="9" t="s">
        <v>255</v>
      </c>
      <c r="AH20" s="9">
        <f>78320+(15%*78320)</f>
        <v>90068</v>
      </c>
      <c r="AI20" s="10"/>
    </row>
    <row r="21" spans="16:35" x14ac:dyDescent="0.3">
      <c r="AE21" s="25"/>
      <c r="AI21" s="10"/>
    </row>
    <row r="22" spans="16:35" ht="15" thickBot="1" x14ac:dyDescent="0.35">
      <c r="AE22" s="25"/>
      <c r="AF22" s="26"/>
      <c r="AG22" s="13"/>
      <c r="AH22" s="13"/>
      <c r="AI22" s="10"/>
    </row>
    <row r="23" spans="16:35" ht="15.6" x14ac:dyDescent="0.3">
      <c r="AE23" s="27" t="s">
        <v>32</v>
      </c>
      <c r="AF23" s="28"/>
      <c r="AG23" s="6"/>
      <c r="AH23" s="6"/>
      <c r="AI23" s="7"/>
    </row>
    <row r="24" spans="16:35" x14ac:dyDescent="0.3">
      <c r="AE24" s="23" t="s">
        <v>33</v>
      </c>
      <c r="AF24" s="24" t="s">
        <v>30</v>
      </c>
      <c r="AG24" s="9" t="s">
        <v>256</v>
      </c>
      <c r="AH24" s="9">
        <f>78320+(15%*78320)</f>
        <v>90068</v>
      </c>
      <c r="AI24" s="10"/>
    </row>
    <row r="25" spans="16:35" x14ac:dyDescent="0.3">
      <c r="U25" s="15"/>
      <c r="AE25" s="23"/>
      <c r="AF25" s="11" t="s">
        <v>17</v>
      </c>
      <c r="AG25" s="8"/>
      <c r="AH25" s="11" t="s">
        <v>18</v>
      </c>
      <c r="AI25" s="10"/>
    </row>
    <row r="26" spans="16:35" x14ac:dyDescent="0.3">
      <c r="AE26" s="23" t="s">
        <v>35</v>
      </c>
      <c r="AF26" s="24" t="s">
        <v>36</v>
      </c>
      <c r="AG26" s="9" t="s">
        <v>257</v>
      </c>
      <c r="AH26" s="9">
        <f>78320+78320*15%</f>
        <v>90068</v>
      </c>
      <c r="AI26" s="10"/>
    </row>
    <row r="27" spans="16:35" x14ac:dyDescent="0.3">
      <c r="AE27" s="25"/>
      <c r="AI27" s="10"/>
    </row>
    <row r="28" spans="16:35" ht="15" thickBot="1" x14ac:dyDescent="0.35">
      <c r="AE28" s="25"/>
      <c r="AF28" s="26"/>
      <c r="AG28" s="13"/>
      <c r="AH28" s="13"/>
      <c r="AI28" s="10"/>
    </row>
    <row r="29" spans="16:35" ht="15.6" x14ac:dyDescent="0.3">
      <c r="AE29" s="27" t="s">
        <v>38</v>
      </c>
      <c r="AF29" s="28"/>
      <c r="AG29" s="6"/>
      <c r="AH29" s="6"/>
      <c r="AI29" s="7"/>
    </row>
    <row r="30" spans="16:35" ht="15" customHeight="1" x14ac:dyDescent="0.3">
      <c r="AE30" s="23" t="s">
        <v>33</v>
      </c>
      <c r="AF30" s="24" t="s">
        <v>39</v>
      </c>
      <c r="AG30" s="9" t="s">
        <v>258</v>
      </c>
      <c r="AH30" s="9">
        <f>78320</f>
        <v>78320</v>
      </c>
      <c r="AI30" s="10"/>
    </row>
    <row r="31" spans="16:35" x14ac:dyDescent="0.3">
      <c r="AE31" s="23"/>
      <c r="AF31" s="11" t="s">
        <v>17</v>
      </c>
      <c r="AG31" s="8"/>
      <c r="AH31" s="11" t="s">
        <v>18</v>
      </c>
      <c r="AI31" s="10"/>
    </row>
    <row r="32" spans="16:35" ht="15" thickBot="1" x14ac:dyDescent="0.35">
      <c r="AE32" s="23" t="s">
        <v>35</v>
      </c>
      <c r="AF32" s="24" t="s">
        <v>41</v>
      </c>
      <c r="AG32" s="9" t="s">
        <v>259</v>
      </c>
      <c r="AH32" s="9">
        <f>60%*78320+40%*78320</f>
        <v>78320</v>
      </c>
      <c r="AI32" s="10"/>
    </row>
    <row r="33" spans="13:35" ht="14.55" customHeight="1" x14ac:dyDescent="0.3">
      <c r="P33" s="246" t="s">
        <v>43</v>
      </c>
      <c r="Q33" s="247"/>
      <c r="T33" s="252" t="s">
        <v>44</v>
      </c>
      <c r="U33" s="253"/>
      <c r="X33" s="258" t="s">
        <v>45</v>
      </c>
      <c r="Y33" s="259"/>
      <c r="AE33" s="25"/>
      <c r="AI33" s="10"/>
    </row>
    <row r="34" spans="13:35" ht="15" thickBot="1" x14ac:dyDescent="0.35">
      <c r="P34" s="248"/>
      <c r="Q34" s="249"/>
      <c r="T34" s="254"/>
      <c r="U34" s="255"/>
      <c r="X34" s="260"/>
      <c r="Y34" s="261"/>
      <c r="AE34" s="25"/>
      <c r="AF34" s="26"/>
      <c r="AG34" s="13"/>
      <c r="AH34" s="13"/>
      <c r="AI34" s="10"/>
    </row>
    <row r="35" spans="13:35" ht="16.2" thickBot="1" x14ac:dyDescent="0.35">
      <c r="P35" s="248"/>
      <c r="Q35" s="249"/>
      <c r="T35" s="254"/>
      <c r="U35" s="255"/>
      <c r="X35" s="260"/>
      <c r="Y35" s="261"/>
      <c r="AE35" s="27" t="s">
        <v>46</v>
      </c>
      <c r="AF35" s="28"/>
      <c r="AG35" s="6"/>
      <c r="AH35" s="6"/>
      <c r="AI35" s="7"/>
    </row>
    <row r="36" spans="13:35" ht="16.05" customHeight="1" thickBot="1" x14ac:dyDescent="0.35">
      <c r="M36" s="264" t="s">
        <v>47</v>
      </c>
      <c r="N36" s="265"/>
      <c r="P36" s="250"/>
      <c r="Q36" s="251"/>
      <c r="T36" s="256"/>
      <c r="U36" s="257"/>
      <c r="X36" s="262"/>
      <c r="Y36" s="263"/>
      <c r="AE36" s="23" t="s">
        <v>33</v>
      </c>
      <c r="AF36" s="24" t="s">
        <v>48</v>
      </c>
      <c r="AG36" s="9" t="s">
        <v>260</v>
      </c>
      <c r="AH36" s="9">
        <f>(0.4*78320)+(0.6*78320)</f>
        <v>78320</v>
      </c>
      <c r="AI36" s="10"/>
    </row>
    <row r="37" spans="13:35" x14ac:dyDescent="0.3">
      <c r="M37" s="266"/>
      <c r="N37" s="267"/>
      <c r="AE37" s="23"/>
      <c r="AF37" s="11" t="s">
        <v>17</v>
      </c>
      <c r="AH37" s="11" t="s">
        <v>18</v>
      </c>
      <c r="AI37" s="10"/>
    </row>
    <row r="38" spans="13:35" x14ac:dyDescent="0.3">
      <c r="M38" s="266"/>
      <c r="N38" s="267"/>
      <c r="AE38" s="23" t="s">
        <v>35</v>
      </c>
      <c r="AF38" s="24" t="s">
        <v>39</v>
      </c>
      <c r="AG38" s="9" t="s">
        <v>258</v>
      </c>
      <c r="AH38" s="9">
        <v>78320</v>
      </c>
      <c r="AI38" s="10"/>
    </row>
    <row r="39" spans="13:35" ht="15" thickBot="1" x14ac:dyDescent="0.35">
      <c r="M39" s="268"/>
      <c r="N39" s="269"/>
      <c r="AE39" s="25"/>
      <c r="AI39" s="10"/>
    </row>
    <row r="40" spans="13:35" ht="15" thickBot="1" x14ac:dyDescent="0.35">
      <c r="AE40" s="25"/>
      <c r="AF40" s="26"/>
      <c r="AG40" s="13"/>
      <c r="AH40" s="13"/>
      <c r="AI40" s="10"/>
    </row>
    <row r="41" spans="13:35" ht="15.6" x14ac:dyDescent="0.3">
      <c r="AE41" s="27" t="s">
        <v>50</v>
      </c>
      <c r="AF41" s="28"/>
      <c r="AG41" s="6"/>
      <c r="AH41" s="6"/>
      <c r="AI41" s="7"/>
    </row>
    <row r="42" spans="13:35" x14ac:dyDescent="0.3">
      <c r="AE42" s="23" t="s">
        <v>33</v>
      </c>
      <c r="AF42" s="24" t="s">
        <v>39</v>
      </c>
      <c r="AG42" s="9" t="s">
        <v>258</v>
      </c>
      <c r="AH42" s="9">
        <v>78320</v>
      </c>
      <c r="AI42" s="10"/>
    </row>
    <row r="43" spans="13:35" x14ac:dyDescent="0.3">
      <c r="AE43" s="23"/>
      <c r="AF43" s="11" t="s">
        <v>17</v>
      </c>
      <c r="AI43" s="10"/>
    </row>
    <row r="44" spans="13:35" x14ac:dyDescent="0.3">
      <c r="AE44" s="23" t="s">
        <v>35</v>
      </c>
      <c r="AF44" s="24" t="s">
        <v>51</v>
      </c>
      <c r="AG44" s="8" t="s">
        <v>261</v>
      </c>
      <c r="AH44" s="9">
        <v>78320</v>
      </c>
      <c r="AI44" s="10"/>
    </row>
    <row r="45" spans="13:35" x14ac:dyDescent="0.3">
      <c r="AE45" s="25"/>
      <c r="AI45" s="10"/>
    </row>
    <row r="46" spans="13:35" ht="15" thickBot="1" x14ac:dyDescent="0.35">
      <c r="AE46" s="25"/>
      <c r="AF46" s="26"/>
      <c r="AG46" s="13"/>
      <c r="AH46" s="13"/>
      <c r="AI46" s="10"/>
    </row>
    <row r="47" spans="13:35" ht="15.6" x14ac:dyDescent="0.3">
      <c r="AE47" s="27" t="s">
        <v>53</v>
      </c>
      <c r="AF47" s="28"/>
      <c r="AG47" s="6"/>
      <c r="AH47" s="6"/>
      <c r="AI47" s="7"/>
    </row>
    <row r="48" spans="13:35" x14ac:dyDescent="0.3">
      <c r="AE48" s="23" t="s">
        <v>33</v>
      </c>
      <c r="AF48" s="24" t="s">
        <v>54</v>
      </c>
      <c r="AG48" s="16" t="s">
        <v>55</v>
      </c>
      <c r="AH48" s="9">
        <v>14400</v>
      </c>
      <c r="AI48" s="10"/>
    </row>
    <row r="49" spans="20:35" x14ac:dyDescent="0.3">
      <c r="AE49" s="23"/>
      <c r="AF49" s="11" t="s">
        <v>17</v>
      </c>
      <c r="AI49" s="10"/>
    </row>
    <row r="50" spans="20:35" ht="15" thickBot="1" x14ac:dyDescent="0.35">
      <c r="AE50" s="23" t="s">
        <v>35</v>
      </c>
      <c r="AF50" s="24" t="s">
        <v>56</v>
      </c>
      <c r="AG50" s="16" t="s">
        <v>57</v>
      </c>
      <c r="AH50" s="9">
        <v>14400</v>
      </c>
      <c r="AI50" s="10"/>
    </row>
    <row r="51" spans="20:35" ht="15" customHeight="1" x14ac:dyDescent="0.3">
      <c r="T51" s="277" t="s">
        <v>58</v>
      </c>
      <c r="U51" s="278"/>
      <c r="AE51" s="25"/>
      <c r="AI51" s="10"/>
    </row>
    <row r="52" spans="20:35" ht="15" thickBot="1" x14ac:dyDescent="0.35">
      <c r="T52" s="279"/>
      <c r="U52" s="280"/>
      <c r="AE52" s="25"/>
      <c r="AF52" s="26"/>
      <c r="AG52" s="13"/>
      <c r="AH52" s="13"/>
      <c r="AI52" s="10"/>
    </row>
    <row r="53" spans="20:35" ht="15.6" x14ac:dyDescent="0.3">
      <c r="T53" s="279"/>
      <c r="U53" s="280"/>
      <c r="AE53" s="27" t="s">
        <v>59</v>
      </c>
      <c r="AF53" s="28"/>
      <c r="AG53" s="6"/>
      <c r="AH53" s="6"/>
      <c r="AI53" s="7"/>
    </row>
    <row r="54" spans="20:35" ht="15" thickBot="1" x14ac:dyDescent="0.35">
      <c r="T54" s="281"/>
      <c r="U54" s="282"/>
      <c r="AE54" s="23" t="s">
        <v>33</v>
      </c>
      <c r="AF54" s="24" t="s">
        <v>56</v>
      </c>
      <c r="AG54" s="16" t="s">
        <v>57</v>
      </c>
      <c r="AH54" s="9">
        <v>14400</v>
      </c>
      <c r="AI54" s="10"/>
    </row>
    <row r="55" spans="20:35" x14ac:dyDescent="0.3">
      <c r="AE55" s="23"/>
      <c r="AF55" s="11" t="s">
        <v>17</v>
      </c>
      <c r="AG55" s="8"/>
      <c r="AH55" s="11" t="s">
        <v>18</v>
      </c>
      <c r="AI55" s="10"/>
    </row>
    <row r="56" spans="20:35" x14ac:dyDescent="0.3">
      <c r="AE56" s="23" t="s">
        <v>35</v>
      </c>
      <c r="AF56" s="29" t="s">
        <v>54</v>
      </c>
      <c r="AG56" s="16" t="s">
        <v>55</v>
      </c>
      <c r="AH56" s="9">
        <v>14400</v>
      </c>
      <c r="AI56" s="10"/>
    </row>
    <row r="57" spans="20:35" x14ac:dyDescent="0.3">
      <c r="AE57" s="25"/>
      <c r="AF57" s="30"/>
      <c r="AI57" s="10"/>
    </row>
    <row r="58" spans="20:35" ht="15" thickBot="1" x14ac:dyDescent="0.35">
      <c r="AE58" s="289"/>
      <c r="AF58" s="290"/>
      <c r="AG58" s="13"/>
      <c r="AH58" s="13"/>
      <c r="AI58" s="10"/>
    </row>
    <row r="59" spans="20:35" ht="15.6" x14ac:dyDescent="0.3">
      <c r="AE59" s="31" t="s">
        <v>60</v>
      </c>
      <c r="AF59" s="26"/>
      <c r="AG59" s="6"/>
      <c r="AH59" s="6"/>
      <c r="AI59" s="7"/>
    </row>
    <row r="60" spans="20:35" x14ac:dyDescent="0.3">
      <c r="AE60" s="23" t="s">
        <v>33</v>
      </c>
      <c r="AF60" s="24" t="s">
        <v>51</v>
      </c>
      <c r="AG60" s="9" t="s">
        <v>262</v>
      </c>
      <c r="AH60" s="9">
        <v>78320</v>
      </c>
      <c r="AI60" s="10"/>
    </row>
    <row r="61" spans="20:35" x14ac:dyDescent="0.3">
      <c r="AE61" s="23"/>
      <c r="AF61" s="11" t="s">
        <v>17</v>
      </c>
      <c r="AG61" s="8"/>
      <c r="AH61" s="11" t="s">
        <v>18</v>
      </c>
      <c r="AI61" s="10"/>
    </row>
    <row r="62" spans="20:35" x14ac:dyDescent="0.3">
      <c r="AE62" s="23" t="s">
        <v>35</v>
      </c>
      <c r="AF62" s="24" t="s">
        <v>39</v>
      </c>
      <c r="AG62" s="9" t="s">
        <v>263</v>
      </c>
      <c r="AH62" s="9">
        <v>78320</v>
      </c>
      <c r="AI62" s="10"/>
    </row>
    <row r="63" spans="20:35" x14ac:dyDescent="0.3">
      <c r="AE63" s="25"/>
      <c r="AI63" s="10"/>
    </row>
    <row r="64" spans="20:35" ht="15" thickBot="1" x14ac:dyDescent="0.35">
      <c r="AE64" s="25"/>
      <c r="AF64" s="26"/>
      <c r="AG64" s="13"/>
      <c r="AH64" s="13"/>
      <c r="AI64" s="10"/>
    </row>
    <row r="65" spans="13:35" ht="15.6" x14ac:dyDescent="0.3">
      <c r="AE65" s="27" t="s">
        <v>63</v>
      </c>
      <c r="AF65" s="28"/>
      <c r="AG65" s="6"/>
      <c r="AH65" s="6"/>
      <c r="AI65" s="7"/>
    </row>
    <row r="66" spans="13:35" x14ac:dyDescent="0.3">
      <c r="AE66" s="23" t="s">
        <v>33</v>
      </c>
      <c r="AF66" s="24" t="s">
        <v>39</v>
      </c>
      <c r="AG66" s="9" t="s">
        <v>263</v>
      </c>
      <c r="AH66" s="9">
        <v>78320</v>
      </c>
      <c r="AI66" s="10"/>
    </row>
    <row r="67" spans="13:35" x14ac:dyDescent="0.3">
      <c r="AE67" s="23"/>
      <c r="AF67" s="11" t="s">
        <v>17</v>
      </c>
      <c r="AG67" s="8"/>
      <c r="AH67" s="11" t="s">
        <v>18</v>
      </c>
      <c r="AI67" s="10"/>
    </row>
    <row r="68" spans="13:35" x14ac:dyDescent="0.3">
      <c r="AE68" s="23" t="s">
        <v>35</v>
      </c>
      <c r="AF68" s="24" t="s">
        <v>41</v>
      </c>
      <c r="AG68" s="8" t="s">
        <v>259</v>
      </c>
      <c r="AH68" s="9">
        <v>78320</v>
      </c>
      <c r="AI68" s="10"/>
    </row>
    <row r="69" spans="13:35" x14ac:dyDescent="0.3">
      <c r="AE69" s="25"/>
      <c r="AI69" s="10"/>
    </row>
    <row r="70" spans="13:35" ht="15" thickBot="1" x14ac:dyDescent="0.35">
      <c r="AE70" s="25"/>
      <c r="AF70" s="26"/>
      <c r="AG70" s="13"/>
      <c r="AH70" s="13"/>
      <c r="AI70" s="10"/>
    </row>
    <row r="71" spans="13:35" ht="16.05" customHeight="1" x14ac:dyDescent="0.3">
      <c r="M71" s="291" t="s">
        <v>64</v>
      </c>
      <c r="N71" s="292"/>
      <c r="T71" s="297" t="s">
        <v>65</v>
      </c>
      <c r="U71" s="298"/>
      <c r="AE71" s="27" t="s">
        <v>66</v>
      </c>
      <c r="AF71" s="28"/>
      <c r="AG71" s="6"/>
      <c r="AH71" s="6"/>
      <c r="AI71" s="7"/>
    </row>
    <row r="72" spans="13:35" x14ac:dyDescent="0.3">
      <c r="M72" s="293"/>
      <c r="N72" s="294"/>
      <c r="T72" s="299"/>
      <c r="U72" s="300"/>
      <c r="AE72" s="23" t="s">
        <v>33</v>
      </c>
      <c r="AF72" s="24" t="s">
        <v>67</v>
      </c>
      <c r="AG72" s="8" t="s">
        <v>264</v>
      </c>
      <c r="AH72" s="9">
        <v>46992</v>
      </c>
      <c r="AI72" s="10"/>
    </row>
    <row r="73" spans="13:35" x14ac:dyDescent="0.3">
      <c r="M73" s="293"/>
      <c r="N73" s="294"/>
      <c r="T73" s="299"/>
      <c r="U73" s="300"/>
      <c r="AE73" s="23"/>
      <c r="AF73" s="11" t="s">
        <v>17</v>
      </c>
      <c r="AG73" s="8"/>
      <c r="AH73" s="11" t="s">
        <v>18</v>
      </c>
      <c r="AI73" s="10"/>
    </row>
    <row r="74" spans="13:35" ht="15" thickBot="1" x14ac:dyDescent="0.35">
      <c r="M74" s="295"/>
      <c r="N74" s="296"/>
      <c r="T74" s="301"/>
      <c r="U74" s="302"/>
      <c r="AE74" s="23" t="s">
        <v>35</v>
      </c>
      <c r="AF74" s="24" t="s">
        <v>69</v>
      </c>
      <c r="AG74" s="8" t="s">
        <v>265</v>
      </c>
      <c r="AH74" s="9">
        <v>46992</v>
      </c>
      <c r="AI74" s="10"/>
    </row>
    <row r="75" spans="13:35" x14ac:dyDescent="0.3">
      <c r="AE75" s="25"/>
      <c r="AI75" s="10"/>
    </row>
    <row r="76" spans="13:35" ht="15" thickBot="1" x14ac:dyDescent="0.35">
      <c r="AE76" s="25"/>
      <c r="AF76" s="26"/>
      <c r="AG76" s="13"/>
      <c r="AH76" s="13"/>
      <c r="AI76" s="10"/>
    </row>
    <row r="77" spans="13:35" ht="15.6" x14ac:dyDescent="0.3">
      <c r="AE77" s="27" t="s">
        <v>71</v>
      </c>
      <c r="AF77" s="28"/>
      <c r="AG77" s="6"/>
      <c r="AH77" s="6"/>
      <c r="AI77" s="7"/>
    </row>
    <row r="78" spans="13:35" x14ac:dyDescent="0.3">
      <c r="R78" s="17"/>
      <c r="S78" s="17"/>
      <c r="AE78" s="23" t="s">
        <v>33</v>
      </c>
      <c r="AF78" s="24" t="s">
        <v>72</v>
      </c>
      <c r="AG78" s="8" t="s">
        <v>266</v>
      </c>
      <c r="AH78" s="9">
        <f>78320*0.4</f>
        <v>31328</v>
      </c>
      <c r="AI78" s="10"/>
    </row>
    <row r="79" spans="13:35" x14ac:dyDescent="0.3">
      <c r="R79" s="17"/>
      <c r="S79" s="17"/>
      <c r="AE79" s="23"/>
      <c r="AF79" s="11" t="s">
        <v>17</v>
      </c>
      <c r="AG79" s="8"/>
      <c r="AH79" s="11" t="s">
        <v>18</v>
      </c>
      <c r="AI79" s="10"/>
    </row>
    <row r="80" spans="13:35" x14ac:dyDescent="0.3">
      <c r="R80" s="17"/>
      <c r="S80" s="17"/>
      <c r="AE80" s="23" t="s">
        <v>35</v>
      </c>
      <c r="AF80" s="24" t="s">
        <v>74</v>
      </c>
      <c r="AG80" s="8" t="s">
        <v>267</v>
      </c>
      <c r="AH80" s="9">
        <v>31328</v>
      </c>
      <c r="AI80" s="10"/>
    </row>
    <row r="81" spans="7:56" x14ac:dyDescent="0.3">
      <c r="R81" s="17"/>
      <c r="S81" s="17"/>
      <c r="AE81" s="25"/>
      <c r="AI81" s="10"/>
    </row>
    <row r="82" spans="7:56" ht="15" thickBot="1" x14ac:dyDescent="0.35">
      <c r="AE82" s="25"/>
      <c r="AF82" s="26"/>
      <c r="AG82" s="13"/>
      <c r="AH82" s="13"/>
      <c r="AI82" s="10"/>
    </row>
    <row r="83" spans="7:56" ht="15.6" x14ac:dyDescent="0.3">
      <c r="AE83" s="27" t="s">
        <v>76</v>
      </c>
      <c r="AF83" s="28"/>
      <c r="AG83" s="6"/>
      <c r="AH83" s="6"/>
      <c r="AI83" s="7"/>
    </row>
    <row r="84" spans="7:56" x14ac:dyDescent="0.3">
      <c r="AE84" s="23" t="s">
        <v>33</v>
      </c>
      <c r="AF84" s="18" t="s">
        <v>77</v>
      </c>
      <c r="AG84" s="18" t="s">
        <v>268</v>
      </c>
      <c r="AH84" s="11">
        <v>75343.839999999997</v>
      </c>
      <c r="AI84" s="10"/>
    </row>
    <row r="85" spans="7:56" x14ac:dyDescent="0.3">
      <c r="AE85" s="23"/>
      <c r="AF85" s="11" t="s">
        <v>17</v>
      </c>
      <c r="AG85" s="8"/>
      <c r="AH85" s="11" t="s">
        <v>18</v>
      </c>
      <c r="AI85" s="10"/>
    </row>
    <row r="86" spans="7:56" x14ac:dyDescent="0.3">
      <c r="R86" s="1" t="s">
        <v>79</v>
      </c>
      <c r="AE86" s="23" t="s">
        <v>35</v>
      </c>
      <c r="AF86" s="18" t="s">
        <v>77</v>
      </c>
      <c r="AG86" s="18" t="s">
        <v>268</v>
      </c>
      <c r="AH86" s="11">
        <v>75343.839999999997</v>
      </c>
      <c r="AI86" s="10"/>
    </row>
    <row r="87" spans="7:56" ht="15" thickBot="1" x14ac:dyDescent="0.35">
      <c r="AE87" s="32"/>
      <c r="AF87" s="19"/>
      <c r="AG87" s="19"/>
      <c r="AH87" s="19"/>
      <c r="AI87" s="20"/>
    </row>
    <row r="89" spans="7:56" x14ac:dyDescent="0.3">
      <c r="AF89" s="151"/>
    </row>
    <row r="92" spans="7:56" ht="15" thickBot="1" x14ac:dyDescent="0.35"/>
    <row r="93" spans="7:56" ht="15.45" customHeight="1" x14ac:dyDescent="0.3">
      <c r="G93" s="303" t="s">
        <v>80</v>
      </c>
      <c r="H93" s="304"/>
      <c r="I93" s="351" t="s">
        <v>81</v>
      </c>
      <c r="J93" s="309"/>
      <c r="K93" s="352" t="s">
        <v>82</v>
      </c>
      <c r="L93" s="353"/>
      <c r="M93" s="354" t="s">
        <v>83</v>
      </c>
      <c r="N93" s="355"/>
      <c r="O93" s="356" t="s">
        <v>84</v>
      </c>
      <c r="P93" s="357"/>
      <c r="Q93" s="358" t="s">
        <v>85</v>
      </c>
      <c r="R93" s="359"/>
    </row>
    <row r="94" spans="7:56" ht="15.6" x14ac:dyDescent="0.3">
      <c r="G94" s="305"/>
      <c r="H94" s="306"/>
      <c r="I94" s="360" t="s">
        <v>86</v>
      </c>
      <c r="J94" s="316"/>
      <c r="K94" s="361">
        <f>12000</f>
        <v>12000</v>
      </c>
      <c r="L94" s="362"/>
      <c r="M94" s="361">
        <v>22320</v>
      </c>
      <c r="N94" s="362"/>
      <c r="O94" s="361">
        <v>0</v>
      </c>
      <c r="P94" s="362"/>
      <c r="Q94" s="361">
        <f>K94+M94+O94</f>
        <v>34320</v>
      </c>
      <c r="R94" s="363"/>
      <c r="BD94" s="1" t="s">
        <v>276</v>
      </c>
    </row>
    <row r="95" spans="7:56" ht="15.6" x14ac:dyDescent="0.3">
      <c r="G95" s="305"/>
      <c r="H95" s="306"/>
      <c r="I95" s="360" t="s">
        <v>87</v>
      </c>
      <c r="J95" s="316"/>
      <c r="K95" s="361">
        <f>12000</f>
        <v>12000</v>
      </c>
      <c r="L95" s="362"/>
      <c r="M95" s="361">
        <v>22320</v>
      </c>
      <c r="N95" s="362"/>
      <c r="O95" s="361">
        <v>44000</v>
      </c>
      <c r="P95" s="362"/>
      <c r="Q95" s="361">
        <f t="shared" ref="Q95" si="0">K95+M95+O95</f>
        <v>78320</v>
      </c>
      <c r="R95" s="363"/>
    </row>
    <row r="96" spans="7:56" ht="21.6" thickBot="1" x14ac:dyDescent="0.45">
      <c r="G96" s="305"/>
      <c r="H96" s="306"/>
      <c r="I96" s="360" t="s">
        <v>88</v>
      </c>
      <c r="J96" s="316"/>
      <c r="K96" s="364">
        <f>12000*0.6</f>
        <v>7200</v>
      </c>
      <c r="L96" s="365"/>
      <c r="M96" s="364">
        <f>22320*0.6</f>
        <v>13392</v>
      </c>
      <c r="N96" s="365"/>
      <c r="O96" s="364">
        <f>44000*0.6</f>
        <v>26400</v>
      </c>
      <c r="P96" s="365"/>
      <c r="Q96" s="364">
        <f>SUM(K96:P96)</f>
        <v>46992</v>
      </c>
      <c r="R96" s="366"/>
      <c r="AM96" s="209"/>
      <c r="AN96" s="209"/>
      <c r="AO96" s="210"/>
      <c r="AP96" s="210"/>
      <c r="AQ96" s="210"/>
      <c r="AR96" s="210"/>
      <c r="AS96" s="210"/>
      <c r="AT96" s="210"/>
      <c r="AU96" s="210"/>
      <c r="AV96" s="210"/>
      <c r="AW96" s="211"/>
      <c r="AX96" s="211"/>
      <c r="AY96" s="211"/>
    </row>
    <row r="97" spans="7:65" ht="16.05" customHeight="1" x14ac:dyDescent="0.4">
      <c r="G97" s="305"/>
      <c r="H97" s="306"/>
      <c r="I97" s="360" t="s">
        <v>89</v>
      </c>
      <c r="J97" s="316"/>
      <c r="K97" s="364">
        <f>12000*0.4</f>
        <v>4800</v>
      </c>
      <c r="L97" s="365"/>
      <c r="M97" s="364">
        <f>22320*0.4</f>
        <v>8928</v>
      </c>
      <c r="N97" s="365"/>
      <c r="O97" s="364">
        <f>44000*0.4</f>
        <v>17600</v>
      </c>
      <c r="P97" s="365"/>
      <c r="Q97" s="364">
        <f>SUM(K97:P97)</f>
        <v>31328</v>
      </c>
      <c r="R97" s="366"/>
      <c r="V97" s="367" t="s">
        <v>90</v>
      </c>
      <c r="W97" s="368"/>
      <c r="X97" s="328">
        <f>(Q102*(1-0.03))+(Q103*(1-0.05))</f>
        <v>75343.839999999997</v>
      </c>
      <c r="AM97" s="209"/>
      <c r="AN97" s="212"/>
      <c r="AO97" s="213"/>
      <c r="AP97" s="214"/>
      <c r="AQ97" s="214"/>
      <c r="AR97" s="214"/>
      <c r="AS97" s="214"/>
      <c r="AT97" s="214"/>
      <c r="AU97" s="214"/>
      <c r="AV97" s="214"/>
      <c r="AW97" s="214"/>
      <c r="AX97" s="214"/>
      <c r="AY97" s="214"/>
      <c r="BA97" s="152"/>
      <c r="BB97" s="153"/>
      <c r="BC97" s="154" t="s">
        <v>124</v>
      </c>
      <c r="BD97" s="154" t="s">
        <v>163</v>
      </c>
      <c r="BE97" s="154" t="s">
        <v>164</v>
      </c>
      <c r="BF97" s="154" t="s">
        <v>125</v>
      </c>
      <c r="BG97" s="154" t="s">
        <v>126</v>
      </c>
      <c r="BH97" s="154" t="s">
        <v>91</v>
      </c>
      <c r="BI97" s="154" t="s">
        <v>92</v>
      </c>
      <c r="BJ97" s="154" t="s">
        <v>127</v>
      </c>
      <c r="BK97" s="155" t="s">
        <v>111</v>
      </c>
      <c r="BL97" s="155" t="s">
        <v>128</v>
      </c>
      <c r="BM97" s="156" t="s">
        <v>129</v>
      </c>
    </row>
    <row r="98" spans="7:65" ht="19.05" customHeight="1" x14ac:dyDescent="0.4">
      <c r="G98" s="305"/>
      <c r="H98" s="306"/>
      <c r="I98" s="360" t="s">
        <v>91</v>
      </c>
      <c r="J98" s="316"/>
      <c r="K98" s="361">
        <v>12000</v>
      </c>
      <c r="L98" s="362"/>
      <c r="M98" s="361">
        <v>0</v>
      </c>
      <c r="N98" s="362"/>
      <c r="O98" s="361">
        <v>0</v>
      </c>
      <c r="P98" s="362"/>
      <c r="Q98" s="361">
        <f>K98</f>
        <v>12000</v>
      </c>
      <c r="R98" s="363"/>
      <c r="V98" s="369"/>
      <c r="W98" s="370"/>
      <c r="X98" s="329"/>
      <c r="AM98" s="209"/>
      <c r="AN98" s="212"/>
      <c r="AO98" s="215"/>
      <c r="AP98" s="215"/>
      <c r="AQ98" s="215"/>
      <c r="AR98" s="215"/>
      <c r="AS98" s="215"/>
      <c r="AT98" s="215"/>
      <c r="AU98" s="216"/>
      <c r="AV98" s="215"/>
      <c r="AW98" s="215"/>
      <c r="AX98" s="215"/>
      <c r="AY98" s="215"/>
      <c r="BA98" s="343" t="s">
        <v>165</v>
      </c>
      <c r="BB98" s="80" t="s">
        <v>120</v>
      </c>
      <c r="BC98" s="122"/>
      <c r="BD98" s="123"/>
      <c r="BE98" s="123"/>
      <c r="BF98" s="123"/>
      <c r="BG98" s="123"/>
      <c r="BH98" s="123"/>
      <c r="BI98" s="123"/>
      <c r="BJ98" s="123"/>
      <c r="BK98" s="123"/>
      <c r="BL98" s="123"/>
      <c r="BM98" s="124"/>
    </row>
    <row r="99" spans="7:65" ht="19.05" customHeight="1" x14ac:dyDescent="0.4">
      <c r="G99" s="305"/>
      <c r="H99" s="306"/>
      <c r="I99" s="360" t="s">
        <v>92</v>
      </c>
      <c r="J99" s="316"/>
      <c r="K99" s="361">
        <v>0</v>
      </c>
      <c r="L99" s="362"/>
      <c r="M99" s="361">
        <f>0.8*(22320)</f>
        <v>17856</v>
      </c>
      <c r="N99" s="362"/>
      <c r="O99" s="361">
        <f>0.8*44000</f>
        <v>35200</v>
      </c>
      <c r="P99" s="362"/>
      <c r="Q99" s="361">
        <f t="shared" ref="Q99:Q101" si="1">K99+M99+O99</f>
        <v>53056</v>
      </c>
      <c r="R99" s="363"/>
      <c r="V99" s="369"/>
      <c r="W99" s="370"/>
      <c r="X99" s="329"/>
      <c r="AM99" s="209"/>
      <c r="AN99" s="217"/>
      <c r="AO99" s="218"/>
      <c r="AP99" s="215"/>
      <c r="AQ99" s="218"/>
      <c r="AR99" s="215"/>
      <c r="AS99" s="215"/>
      <c r="AT99" s="215"/>
      <c r="AU99" s="215"/>
      <c r="AV99" s="215"/>
      <c r="AW99" s="215"/>
      <c r="AX99" s="215"/>
      <c r="AY99" s="215"/>
      <c r="BA99" s="343"/>
      <c r="BB99" s="80" t="s">
        <v>121</v>
      </c>
      <c r="BC99" s="39">
        <v>5.6</v>
      </c>
      <c r="BD99" s="39">
        <v>63.958333333333336</v>
      </c>
      <c r="BE99" s="39">
        <v>63.958333333333336</v>
      </c>
      <c r="BF99" s="39">
        <v>6.7</v>
      </c>
      <c r="BG99" s="39">
        <v>4.5</v>
      </c>
      <c r="BH99" s="39">
        <v>5.5555555555555554</v>
      </c>
      <c r="BI99" s="85">
        <v>3.4722222222222223</v>
      </c>
      <c r="BJ99" s="39">
        <v>2.3958333333333335</v>
      </c>
      <c r="BK99" s="39">
        <v>11.25</v>
      </c>
      <c r="BL99" s="39">
        <v>11.381944444444445</v>
      </c>
      <c r="BM99" s="84">
        <v>7.6388888888888884</v>
      </c>
    </row>
    <row r="100" spans="7:65" ht="19.95" customHeight="1" thickBot="1" x14ac:dyDescent="0.45">
      <c r="G100" s="305"/>
      <c r="H100" s="306"/>
      <c r="I100" s="360" t="s">
        <v>93</v>
      </c>
      <c r="J100" s="316"/>
      <c r="K100" s="361">
        <v>0</v>
      </c>
      <c r="L100" s="362"/>
      <c r="M100" s="361">
        <f>0.2*22320</f>
        <v>4464</v>
      </c>
      <c r="N100" s="362"/>
      <c r="O100" s="361">
        <f>0.2*44000</f>
        <v>8800</v>
      </c>
      <c r="P100" s="362"/>
      <c r="Q100" s="361">
        <f t="shared" si="1"/>
        <v>13264</v>
      </c>
      <c r="R100" s="363"/>
      <c r="V100" s="371"/>
      <c r="W100" s="372"/>
      <c r="X100" s="330"/>
      <c r="AM100" s="209"/>
      <c r="AN100" s="212"/>
      <c r="AO100"/>
      <c r="AP100"/>
      <c r="AQ100"/>
      <c r="AR100"/>
      <c r="AS100"/>
      <c r="AT100"/>
      <c r="AU100"/>
      <c r="AV100"/>
      <c r="AW100"/>
      <c r="AX100"/>
      <c r="AY100"/>
      <c r="BA100" s="343"/>
      <c r="BB100" s="118"/>
      <c r="BC100" s="119"/>
      <c r="BD100" s="120"/>
      <c r="BE100" s="119"/>
      <c r="BF100" s="120"/>
      <c r="BG100" s="120"/>
      <c r="BH100" s="120"/>
      <c r="BI100" s="120"/>
      <c r="BJ100" s="120"/>
      <c r="BK100" s="120"/>
      <c r="BL100" s="120"/>
      <c r="BM100" s="121"/>
    </row>
    <row r="101" spans="7:65" ht="19.05" customHeight="1" x14ac:dyDescent="0.4">
      <c r="G101" s="305"/>
      <c r="H101" s="306"/>
      <c r="I101" s="360" t="s">
        <v>94</v>
      </c>
      <c r="J101" s="316"/>
      <c r="K101" s="361">
        <v>12000</v>
      </c>
      <c r="L101" s="362"/>
      <c r="M101" s="361">
        <v>22320</v>
      </c>
      <c r="N101" s="362"/>
      <c r="O101" s="361">
        <v>44000</v>
      </c>
      <c r="P101" s="362"/>
      <c r="Q101" s="361">
        <f t="shared" si="1"/>
        <v>78320</v>
      </c>
      <c r="R101" s="363"/>
      <c r="AM101" s="209"/>
      <c r="AN101" s="212"/>
      <c r="AO101" s="215"/>
      <c r="AP101" s="215"/>
      <c r="AQ101" s="215"/>
      <c r="AR101" s="215"/>
      <c r="AS101" s="215"/>
      <c r="AT101" s="215"/>
      <c r="AU101" s="215"/>
      <c r="AV101" s="215"/>
      <c r="AW101" s="215"/>
      <c r="AX101" s="215"/>
      <c r="AY101" s="215"/>
      <c r="BA101" s="344" t="s">
        <v>166</v>
      </c>
      <c r="BB101" s="80" t="s">
        <v>120</v>
      </c>
      <c r="BC101" s="126"/>
      <c r="BD101" s="126"/>
      <c r="BE101" s="126"/>
      <c r="BF101" s="126"/>
      <c r="BG101" s="126"/>
      <c r="BH101" s="126"/>
      <c r="BI101" s="126"/>
      <c r="BJ101" s="126"/>
      <c r="BK101" s="126"/>
      <c r="BL101" s="126"/>
      <c r="BM101" s="127"/>
    </row>
    <row r="102" spans="7:65" ht="16.95" customHeight="1" x14ac:dyDescent="0.4">
      <c r="G102" s="305"/>
      <c r="H102" s="306"/>
      <c r="I102" s="373" t="s">
        <v>95</v>
      </c>
      <c r="J102" s="374"/>
      <c r="K102" s="361">
        <f>12000*0.6</f>
        <v>7200</v>
      </c>
      <c r="L102" s="362"/>
      <c r="M102" s="361">
        <f>22320*0.6</f>
        <v>13392</v>
      </c>
      <c r="N102" s="362"/>
      <c r="O102" s="361">
        <f>0.6*44000</f>
        <v>26400</v>
      </c>
      <c r="P102" s="362"/>
      <c r="Q102" s="364">
        <f>O102+M102+K102</f>
        <v>46992</v>
      </c>
      <c r="R102" s="366"/>
      <c r="AM102" s="209"/>
      <c r="AN102" s="212"/>
      <c r="AO102" s="219"/>
      <c r="AP102" s="220"/>
      <c r="AQ102" s="220"/>
      <c r="AR102" s="220"/>
      <c r="AS102" s="220"/>
      <c r="AT102" s="220"/>
      <c r="AU102" s="220"/>
      <c r="AV102" s="220"/>
      <c r="AW102" s="220"/>
      <c r="AX102" s="220"/>
      <c r="AY102" s="220"/>
      <c r="BA102" s="344"/>
      <c r="BB102" s="80" t="s">
        <v>121</v>
      </c>
      <c r="BC102" s="116">
        <f>+(AD5+AD6)/1440</f>
        <v>23.833333333333332</v>
      </c>
      <c r="BD102" s="116">
        <v>9.5833333333333339</v>
      </c>
      <c r="BE102" s="116">
        <f>1.15*(AD6+AD7)/1440</f>
        <v>52.963888888888889</v>
      </c>
      <c r="BF102" s="116">
        <f>0.6*(AD5+AD6+AD7)/1440</f>
        <v>32.633333333333333</v>
      </c>
      <c r="BG102" s="116">
        <f>0.4*(AD5+AD6+AD7)/1440</f>
        <v>21.755555555555556</v>
      </c>
      <c r="BH102" s="116">
        <v>10</v>
      </c>
      <c r="BI102" s="116">
        <f>0.8*(AD6+AD7)/1440</f>
        <v>36.844444444444441</v>
      </c>
      <c r="BJ102" s="116">
        <f>0.2*(AD6+AD7)/1440</f>
        <v>9.2111111111111104</v>
      </c>
      <c r="BK102" s="116">
        <f>+(AD5+AD6+AD7)/1440</f>
        <v>54.388888888888886</v>
      </c>
      <c r="BL102" s="116">
        <f>0.6*(AD5+AD6+AD7)/1440</f>
        <v>32.633333333333333</v>
      </c>
      <c r="BM102" s="117">
        <f>0.4*(AD5+AD6+AD7)/1440</f>
        <v>21.755555555555556</v>
      </c>
    </row>
    <row r="103" spans="7:65" ht="16.05" customHeight="1" thickBot="1" x14ac:dyDescent="0.45">
      <c r="G103" s="307"/>
      <c r="H103" s="308"/>
      <c r="I103" s="375" t="s">
        <v>96</v>
      </c>
      <c r="J103" s="376"/>
      <c r="K103" s="377">
        <f>12000*0.4</f>
        <v>4800</v>
      </c>
      <c r="L103" s="378"/>
      <c r="M103" s="377">
        <f>22320*0.4</f>
        <v>8928</v>
      </c>
      <c r="N103" s="378"/>
      <c r="O103" s="377">
        <f>0.4*44000</f>
        <v>17600</v>
      </c>
      <c r="P103" s="378"/>
      <c r="Q103" s="377">
        <f>K103+M103+O103</f>
        <v>31328</v>
      </c>
      <c r="R103" s="379"/>
      <c r="AM103" s="209"/>
      <c r="AN103" s="212"/>
      <c r="AO103" s="219"/>
      <c r="AP103" s="220"/>
      <c r="AQ103" s="220"/>
      <c r="AR103" s="220"/>
      <c r="AS103" s="220"/>
      <c r="AT103" s="220"/>
      <c r="AU103" s="220"/>
      <c r="AV103" s="220"/>
      <c r="AW103" s="220"/>
      <c r="AX103" s="220"/>
      <c r="AY103" s="220"/>
      <c r="BA103" s="106" t="s">
        <v>101</v>
      </c>
      <c r="BB103" s="80" t="s">
        <v>122</v>
      </c>
      <c r="BC103" s="38" t="s">
        <v>102</v>
      </c>
      <c r="BD103" s="82" t="s">
        <v>103</v>
      </c>
      <c r="BE103" s="82" t="s">
        <v>103</v>
      </c>
      <c r="BF103" s="82" t="s">
        <v>104</v>
      </c>
      <c r="BG103" s="82" t="s">
        <v>104</v>
      </c>
      <c r="BH103" s="82" t="s">
        <v>107</v>
      </c>
      <c r="BI103" s="82" t="s">
        <v>105</v>
      </c>
      <c r="BJ103" s="82" t="s">
        <v>106</v>
      </c>
      <c r="BK103" s="82" t="s">
        <v>104</v>
      </c>
      <c r="BL103" s="82" t="s">
        <v>108</v>
      </c>
      <c r="BM103" s="83" t="s">
        <v>108</v>
      </c>
    </row>
    <row r="104" spans="7:65" ht="16.05" customHeight="1" x14ac:dyDescent="0.4">
      <c r="AM104" s="209"/>
      <c r="AN104" s="212"/>
      <c r="AO104" s="221"/>
      <c r="AP104" s="222"/>
      <c r="AQ104" s="222"/>
      <c r="AR104" s="222"/>
      <c r="AS104" s="222"/>
      <c r="AT104" s="222"/>
      <c r="AU104" s="222"/>
      <c r="AV104" s="223"/>
      <c r="AW104" s="222"/>
      <c r="AX104" s="222"/>
      <c r="AY104" s="222"/>
      <c r="BA104" s="106" t="s">
        <v>168</v>
      </c>
      <c r="BB104" s="80"/>
      <c r="BC104" s="38">
        <v>1</v>
      </c>
      <c r="BD104" s="82">
        <v>1</v>
      </c>
      <c r="BE104" s="82">
        <v>1</v>
      </c>
      <c r="BF104" s="82">
        <v>5</v>
      </c>
      <c r="BG104" s="82">
        <v>5</v>
      </c>
      <c r="BH104" s="82">
        <v>1</v>
      </c>
      <c r="BI104" s="82">
        <v>12</v>
      </c>
      <c r="BJ104" s="82">
        <v>1</v>
      </c>
      <c r="BK104" s="82">
        <v>5</v>
      </c>
      <c r="BL104" s="82">
        <v>1</v>
      </c>
      <c r="BM104" s="83">
        <v>1</v>
      </c>
    </row>
    <row r="105" spans="7:65" ht="54" x14ac:dyDescent="0.4">
      <c r="AM105" s="209"/>
      <c r="AN105" s="212"/>
      <c r="AO105" s="224"/>
      <c r="AP105" s="225"/>
      <c r="AQ105" s="226"/>
      <c r="AR105" s="226"/>
      <c r="AS105" s="226"/>
      <c r="AT105" s="224"/>
      <c r="AU105" s="226"/>
      <c r="AV105" s="224"/>
      <c r="AW105" s="226"/>
      <c r="AX105" s="224"/>
      <c r="AY105" s="224"/>
      <c r="BA105" s="345" t="s">
        <v>167</v>
      </c>
      <c r="BB105" s="80" t="s">
        <v>120</v>
      </c>
      <c r="BC105" s="164" t="s">
        <v>271</v>
      </c>
      <c r="BD105" s="165" t="s">
        <v>272</v>
      </c>
      <c r="BE105" s="159" t="s">
        <v>273</v>
      </c>
      <c r="BF105" s="165" t="s">
        <v>274</v>
      </c>
      <c r="BG105" s="165" t="s">
        <v>274</v>
      </c>
      <c r="BH105" s="164" t="s">
        <v>271</v>
      </c>
      <c r="BI105" s="165" t="s">
        <v>274</v>
      </c>
      <c r="BJ105" s="164" t="s">
        <v>271</v>
      </c>
      <c r="BK105" s="165" t="s">
        <v>274</v>
      </c>
      <c r="BL105" s="164" t="s">
        <v>271</v>
      </c>
      <c r="BM105" s="164" t="s">
        <v>271</v>
      </c>
    </row>
    <row r="106" spans="7:65" ht="19.05" customHeight="1" x14ac:dyDescent="0.4">
      <c r="AM106" s="209"/>
      <c r="AN106" s="212"/>
      <c r="AO106" s="227"/>
      <c r="AP106" s="228"/>
      <c r="AQ106" s="228"/>
      <c r="AR106" s="228"/>
      <c r="AS106" s="228"/>
      <c r="AT106" s="228"/>
      <c r="AU106" s="228"/>
      <c r="AV106" s="228"/>
      <c r="AW106" s="228"/>
      <c r="AX106" s="228"/>
      <c r="AY106" s="228"/>
      <c r="BA106" s="345"/>
      <c r="BB106" s="80" t="s">
        <v>121</v>
      </c>
      <c r="BC106" s="168">
        <f>(BC109/BC102) + (1/BC99)</f>
        <v>0.35265534465534465</v>
      </c>
      <c r="BD106" s="169">
        <f xml:space="preserve"> ((1+BE108)/BD99)/(1-BD108)</f>
        <v>3.3620227888227439E-2</v>
      </c>
      <c r="BE106" s="167">
        <f>((1-BD108*(1-BD108-BE108))/BE99)/((1-BD108)*(1-BD108-BE108))</f>
        <v>0.83080397270907347</v>
      </c>
      <c r="BF106" s="167">
        <f>1/(BF99-(BF102/BF104))</f>
        <v>5.7692307692307541</v>
      </c>
      <c r="BG106" s="167">
        <f>1/(BG99-(BG102/BG104))</f>
        <v>6.7164179104477526</v>
      </c>
      <c r="BH106" s="160">
        <f>(BH109/BH102) + (1/BH99)</f>
        <v>0.94740000000000002</v>
      </c>
      <c r="BI106" s="170">
        <f>1/(BI99-(BI102/BI104))</f>
        <v>2.4884792626728078</v>
      </c>
      <c r="BJ106" s="168">
        <f>(BJ109/BJ102) + (1/BJ99)</f>
        <v>2.2561488435516863</v>
      </c>
      <c r="BK106" s="167">
        <f>1/(BK99-(BK102/BK104))</f>
        <v>2.6865671641790949</v>
      </c>
      <c r="BL106" s="166">
        <f>(BL109/BL102) + (1/BL99)</f>
        <v>0.92114752075463935</v>
      </c>
      <c r="BM106" s="171">
        <f>(BM109/BM102) + (1/BM99)</f>
        <v>0.695040858018386</v>
      </c>
    </row>
    <row r="107" spans="7:65" ht="19.05" customHeight="1" x14ac:dyDescent="0.4">
      <c r="AM107" s="209"/>
      <c r="AN107" s="212"/>
      <c r="AO107" s="229"/>
      <c r="AP107" s="229"/>
      <c r="AQ107" s="229"/>
      <c r="AR107" s="229"/>
      <c r="AS107" s="229"/>
      <c r="AT107" s="229"/>
      <c r="AU107" s="229"/>
      <c r="AV107" s="229"/>
      <c r="AW107" s="229"/>
      <c r="AX107" s="229"/>
      <c r="AY107" s="229"/>
      <c r="BA107" s="346" t="s">
        <v>123</v>
      </c>
      <c r="BB107" s="80" t="s">
        <v>120</v>
      </c>
      <c r="BC107" s="161" t="s">
        <v>270</v>
      </c>
      <c r="BD107" s="161" t="s">
        <v>270</v>
      </c>
      <c r="BE107" s="161" t="s">
        <v>270</v>
      </c>
      <c r="BF107" s="161" t="s">
        <v>270</v>
      </c>
      <c r="BG107" s="161" t="s">
        <v>270</v>
      </c>
      <c r="BH107" s="161" t="s">
        <v>270</v>
      </c>
      <c r="BI107" s="161" t="s">
        <v>270</v>
      </c>
      <c r="BJ107" s="161" t="s">
        <v>270</v>
      </c>
      <c r="BK107" s="161" t="s">
        <v>270</v>
      </c>
      <c r="BL107" s="161" t="s">
        <v>270</v>
      </c>
      <c r="BM107" s="161" t="s">
        <v>270</v>
      </c>
    </row>
    <row r="108" spans="7:65" ht="19.05" customHeight="1" x14ac:dyDescent="0.4">
      <c r="AM108" s="209"/>
      <c r="AN108" s="212"/>
      <c r="AO108" s="227"/>
      <c r="AP108" s="228"/>
      <c r="AQ108" s="228"/>
      <c r="AR108" s="228"/>
      <c r="AS108" s="228"/>
      <c r="AT108" s="228"/>
      <c r="AU108" s="228"/>
      <c r="AV108" s="228"/>
      <c r="AW108" s="228"/>
      <c r="AX108" s="228"/>
      <c r="AY108" s="228"/>
      <c r="BA108" s="346"/>
      <c r="BB108" s="80" t="s">
        <v>121</v>
      </c>
      <c r="BC108" s="162">
        <f>(BC102/BC104)/BC99</f>
        <v>4.2559523809523814</v>
      </c>
      <c r="BD108" s="162">
        <f t="shared" ref="BD108:BM108" si="2">(BD102/BD104)/BD99</f>
        <v>0.14983713355048861</v>
      </c>
      <c r="BE108" s="162">
        <f t="shared" si="2"/>
        <v>0.82809989142236695</v>
      </c>
      <c r="BF108" s="162">
        <f t="shared" si="2"/>
        <v>0.97412935323383076</v>
      </c>
      <c r="BG108" s="162">
        <f t="shared" si="2"/>
        <v>0.96691358024691354</v>
      </c>
      <c r="BH108" s="162">
        <f t="shared" si="2"/>
        <v>1.8</v>
      </c>
      <c r="BI108" s="162">
        <f t="shared" si="2"/>
        <v>0.88426666666666653</v>
      </c>
      <c r="BJ108" s="162">
        <f t="shared" si="2"/>
        <v>3.8446376811594196</v>
      </c>
      <c r="BK108" s="162">
        <f t="shared" si="2"/>
        <v>0.96691358024691343</v>
      </c>
      <c r="BL108" s="100">
        <f t="shared" si="2"/>
        <v>2.8671140939597315</v>
      </c>
      <c r="BM108" s="108">
        <f t="shared" si="2"/>
        <v>2.8480000000000003</v>
      </c>
    </row>
    <row r="109" spans="7:65" ht="18.600000000000001" thickBot="1" x14ac:dyDescent="0.35">
      <c r="BA109" s="109" t="s">
        <v>109</v>
      </c>
      <c r="BB109" s="110" t="s">
        <v>121</v>
      </c>
      <c r="BC109" s="163">
        <v>4.149</v>
      </c>
      <c r="BD109" s="112">
        <f>+(BD108*BD102)/(BD99-BD102)</f>
        <v>2.6408077177480754E-2</v>
      </c>
      <c r="BE109" s="112">
        <f>+(BE108*BE102)/(BE99-BE102)</f>
        <v>3.9892320944290716</v>
      </c>
      <c r="BF109" s="112">
        <f>(BF108*BF102/BF104)/(BF99-BF102/5)</f>
        <v>36.679716800612226</v>
      </c>
      <c r="BG109" s="112">
        <f>(BG108*BG102/BG104)/(BG99-BG102/BG104)</f>
        <v>28.25696701676798</v>
      </c>
      <c r="BH109" s="163">
        <v>7.6740000000000004</v>
      </c>
      <c r="BI109" s="112">
        <f>(BI108*BI102/BI104)/(BI99-BI102/BI104)</f>
        <v>6.7562863287250288</v>
      </c>
      <c r="BJ109" s="163">
        <v>16.937000000000001</v>
      </c>
      <c r="BK109" s="112">
        <f>(BK108*BK102/5)/(BK99-BK102/5)</f>
        <v>28.256967016767902</v>
      </c>
      <c r="BL109" s="112">
        <v>27.193000000000001</v>
      </c>
      <c r="BM109" s="97">
        <v>12.273</v>
      </c>
    </row>
    <row r="115" spans="9:54" x14ac:dyDescent="0.3">
      <c r="AS115" s="172"/>
      <c r="BB115" s="173"/>
    </row>
    <row r="122" spans="9:54" x14ac:dyDescent="0.3">
      <c r="I122" s="21"/>
      <c r="J122" s="21"/>
    </row>
  </sheetData>
  <mergeCells count="75">
    <mergeCell ref="BA105:BA106"/>
    <mergeCell ref="BA107:BA108"/>
    <mergeCell ref="BA98:BA100"/>
    <mergeCell ref="BA101:BA102"/>
    <mergeCell ref="I103:J103"/>
    <mergeCell ref="K103:L103"/>
    <mergeCell ref="M103:N103"/>
    <mergeCell ref="O103:P103"/>
    <mergeCell ref="Q103:R103"/>
    <mergeCell ref="I101:J101"/>
    <mergeCell ref="K101:L101"/>
    <mergeCell ref="M101:N101"/>
    <mergeCell ref="O101:P101"/>
    <mergeCell ref="Q101:R101"/>
    <mergeCell ref="I102:J102"/>
    <mergeCell ref="K102:L102"/>
    <mergeCell ref="M102:N102"/>
    <mergeCell ref="O102:P102"/>
    <mergeCell ref="Q102:R102"/>
    <mergeCell ref="Q99:R99"/>
    <mergeCell ref="I100:J100"/>
    <mergeCell ref="K100:L100"/>
    <mergeCell ref="M100:N100"/>
    <mergeCell ref="O100:P100"/>
    <mergeCell ref="Q100:R100"/>
    <mergeCell ref="V97:W100"/>
    <mergeCell ref="X97:X100"/>
    <mergeCell ref="I98:J98"/>
    <mergeCell ref="K98:L98"/>
    <mergeCell ref="M98:N98"/>
    <mergeCell ref="O98:P98"/>
    <mergeCell ref="Q98:R98"/>
    <mergeCell ref="I99:J99"/>
    <mergeCell ref="K99:L99"/>
    <mergeCell ref="M99:N99"/>
    <mergeCell ref="I97:J97"/>
    <mergeCell ref="K97:L97"/>
    <mergeCell ref="M97:N97"/>
    <mergeCell ref="O97:P97"/>
    <mergeCell ref="Q97:R97"/>
    <mergeCell ref="O99:P99"/>
    <mergeCell ref="K94:L94"/>
    <mergeCell ref="M94:N94"/>
    <mergeCell ref="O94:P94"/>
    <mergeCell ref="Q94:R94"/>
    <mergeCell ref="I96:J96"/>
    <mergeCell ref="K96:L96"/>
    <mergeCell ref="M96:N96"/>
    <mergeCell ref="O96:P96"/>
    <mergeCell ref="Q96:R96"/>
    <mergeCell ref="T51:U54"/>
    <mergeCell ref="AE58:AF58"/>
    <mergeCell ref="M71:N74"/>
    <mergeCell ref="T71:U74"/>
    <mergeCell ref="G93:H103"/>
    <mergeCell ref="I93:J93"/>
    <mergeCell ref="K93:L93"/>
    <mergeCell ref="M93:N93"/>
    <mergeCell ref="O93:P93"/>
    <mergeCell ref="Q93:R93"/>
    <mergeCell ref="I95:J95"/>
    <mergeCell ref="K95:L95"/>
    <mergeCell ref="M95:N95"/>
    <mergeCell ref="O95:P95"/>
    <mergeCell ref="Q95:R95"/>
    <mergeCell ref="I94:J94"/>
    <mergeCell ref="P33:Q36"/>
    <mergeCell ref="T33:U36"/>
    <mergeCell ref="X33:Y36"/>
    <mergeCell ref="M36:N39"/>
    <mergeCell ref="B2:AA2"/>
    <mergeCell ref="F6:G9"/>
    <mergeCell ref="M6:N9"/>
    <mergeCell ref="T6:U9"/>
    <mergeCell ref="P14:Q17"/>
  </mergeCells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CB54-2557-B449-A2B2-43167575763E}">
  <sheetPr>
    <tabColor rgb="FF92D050"/>
  </sheetPr>
  <dimension ref="B2:AB92"/>
  <sheetViews>
    <sheetView zoomScale="56" zoomScaleNormal="57" workbookViewId="0">
      <selection activeCell="H35" sqref="H35"/>
    </sheetView>
  </sheetViews>
  <sheetFormatPr defaultColWidth="11.19921875" defaultRowHeight="15.6" x14ac:dyDescent="0.3"/>
  <cols>
    <col min="2" max="7" width="20.5" customWidth="1"/>
    <col min="9" max="21" width="17.296875" customWidth="1"/>
    <col min="24" max="24" width="16.296875" customWidth="1"/>
  </cols>
  <sheetData>
    <row r="2" spans="2:21" ht="18" customHeight="1" thickBot="1" x14ac:dyDescent="0.35">
      <c r="B2" s="2" t="s">
        <v>5</v>
      </c>
      <c r="C2" s="2" t="s">
        <v>6</v>
      </c>
      <c r="D2" s="1"/>
      <c r="E2" s="1"/>
      <c r="F2" s="1"/>
      <c r="G2" s="1"/>
    </row>
    <row r="3" spans="2:21" ht="18" customHeight="1" thickBot="1" x14ac:dyDescent="0.35">
      <c r="B3" s="3" t="s">
        <v>7</v>
      </c>
      <c r="C3" s="4">
        <f>15%*80000</f>
        <v>12000</v>
      </c>
      <c r="D3" s="5" t="s">
        <v>8</v>
      </c>
      <c r="E3" s="6"/>
      <c r="F3" s="6"/>
      <c r="G3" s="7" t="s">
        <v>324</v>
      </c>
      <c r="I3" s="347" t="s">
        <v>210</v>
      </c>
      <c r="J3" s="348"/>
      <c r="K3" s="348"/>
      <c r="L3" s="348"/>
      <c r="M3" s="348"/>
      <c r="N3" s="348"/>
      <c r="O3" s="348"/>
      <c r="P3" s="348"/>
      <c r="Q3" s="348"/>
      <c r="R3" s="348"/>
      <c r="S3" s="348"/>
      <c r="T3" s="348"/>
      <c r="U3" s="349"/>
    </row>
    <row r="4" spans="2:21" ht="18" customHeight="1" x14ac:dyDescent="0.4">
      <c r="B4" s="3" t="s">
        <v>12</v>
      </c>
      <c r="C4" s="4">
        <f>30%*80000*0.93</f>
        <v>22320</v>
      </c>
      <c r="D4" s="22" t="s">
        <v>13</v>
      </c>
      <c r="E4" s="8" t="s">
        <v>14</v>
      </c>
      <c r="F4" s="9">
        <f>100%*(C3+C4)+10%*(C3+C4)</f>
        <v>37752</v>
      </c>
      <c r="G4" s="10">
        <f>F4/(24*60)</f>
        <v>26.216666666666665</v>
      </c>
      <c r="I4" s="101"/>
      <c r="J4" s="102"/>
      <c r="K4" s="103" t="s">
        <v>124</v>
      </c>
      <c r="L4" s="103" t="s">
        <v>163</v>
      </c>
      <c r="M4" s="103" t="s">
        <v>164</v>
      </c>
      <c r="N4" s="103" t="s">
        <v>125</v>
      </c>
      <c r="O4" s="103" t="s">
        <v>126</v>
      </c>
      <c r="P4" s="103" t="s">
        <v>91</v>
      </c>
      <c r="Q4" s="103" t="s">
        <v>92</v>
      </c>
      <c r="R4" s="103" t="s">
        <v>127</v>
      </c>
      <c r="S4" s="104" t="s">
        <v>111</v>
      </c>
      <c r="T4" s="104" t="s">
        <v>128</v>
      </c>
      <c r="U4" s="105" t="s">
        <v>129</v>
      </c>
    </row>
    <row r="5" spans="2:21" ht="18" customHeight="1" x14ac:dyDescent="0.3">
      <c r="B5" s="3" t="s">
        <v>16</v>
      </c>
      <c r="C5" s="4">
        <f>55%*80000</f>
        <v>44000</v>
      </c>
      <c r="D5" s="22"/>
      <c r="E5" s="11" t="s">
        <v>17</v>
      </c>
      <c r="F5" s="11" t="s">
        <v>18</v>
      </c>
      <c r="G5" s="10"/>
      <c r="I5" s="380" t="s">
        <v>165</v>
      </c>
      <c r="J5" s="80" t="s">
        <v>120</v>
      </c>
      <c r="K5" s="122"/>
      <c r="L5" s="123"/>
      <c r="M5" s="123"/>
      <c r="N5" s="123"/>
      <c r="O5" s="123"/>
      <c r="P5" s="123"/>
      <c r="Q5" s="123"/>
      <c r="R5" s="123"/>
      <c r="S5" s="123"/>
      <c r="T5" s="123"/>
      <c r="U5" s="124"/>
    </row>
    <row r="6" spans="2:21" ht="18" customHeight="1" x14ac:dyDescent="0.3">
      <c r="B6" s="1"/>
      <c r="C6" s="1"/>
      <c r="D6" s="23" t="s">
        <v>20</v>
      </c>
      <c r="E6" s="8" t="s">
        <v>21</v>
      </c>
      <c r="F6" s="9">
        <f>100%*(C3+C4)+10%*(C3+C4)</f>
        <v>37752</v>
      </c>
      <c r="G6" s="10">
        <f t="shared" ref="G6:G54" si="0">F6/(24*60)</f>
        <v>26.216666666666665</v>
      </c>
      <c r="I6" s="339"/>
      <c r="J6" s="80" t="s">
        <v>121</v>
      </c>
      <c r="K6" s="39">
        <v>5.6</v>
      </c>
      <c r="L6" s="39">
        <v>63.958333333333336</v>
      </c>
      <c r="M6" s="39">
        <v>63.958333333333336</v>
      </c>
      <c r="N6" s="39">
        <v>6.7</v>
      </c>
      <c r="O6" s="39">
        <v>4.5</v>
      </c>
      <c r="P6" s="39">
        <v>5.5555555555555554</v>
      </c>
      <c r="Q6" s="85">
        <v>3.4722222222222223</v>
      </c>
      <c r="R6" s="39">
        <v>2.3958333333333335</v>
      </c>
      <c r="S6" s="39">
        <v>11.25</v>
      </c>
      <c r="T6" s="39">
        <v>11.381944444444445</v>
      </c>
      <c r="U6" s="84">
        <v>7.6388888888888884</v>
      </c>
    </row>
    <row r="7" spans="2:21" ht="18" customHeight="1" x14ac:dyDescent="0.3">
      <c r="B7" s="1"/>
      <c r="C7" s="1"/>
      <c r="D7" s="12"/>
      <c r="E7" s="1"/>
      <c r="F7" s="1"/>
      <c r="G7" s="10"/>
      <c r="I7" s="381"/>
      <c r="J7" s="118"/>
      <c r="K7" s="119"/>
      <c r="L7" s="120"/>
      <c r="M7" s="119"/>
      <c r="N7" s="120"/>
      <c r="O7" s="120"/>
      <c r="P7" s="120"/>
      <c r="Q7" s="120"/>
      <c r="R7" s="120"/>
      <c r="S7" s="120"/>
      <c r="T7" s="120"/>
      <c r="U7" s="121"/>
    </row>
    <row r="8" spans="2:21" ht="18" customHeight="1" thickBot="1" x14ac:dyDescent="0.35">
      <c r="B8" s="1"/>
      <c r="C8" s="1"/>
      <c r="D8" s="12"/>
      <c r="E8" s="13"/>
      <c r="F8" s="13"/>
      <c r="G8" s="10"/>
      <c r="I8" s="382" t="s">
        <v>166</v>
      </c>
      <c r="J8" s="80" t="s">
        <v>120</v>
      </c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7"/>
    </row>
    <row r="9" spans="2:21" ht="18" customHeight="1" x14ac:dyDescent="0.3">
      <c r="B9" s="1"/>
      <c r="C9" s="1"/>
      <c r="D9" s="14" t="s">
        <v>23</v>
      </c>
      <c r="E9" s="6"/>
      <c r="F9" s="6"/>
      <c r="G9" s="10"/>
      <c r="I9" s="383"/>
      <c r="J9" s="80" t="s">
        <v>121</v>
      </c>
      <c r="K9" s="116">
        <f>G4</f>
        <v>26.216666666666665</v>
      </c>
      <c r="L9" s="116">
        <f>G15*0.15</f>
        <v>9.382083333333334</v>
      </c>
      <c r="M9" s="116">
        <f>G15*0.85</f>
        <v>53.16513888888889</v>
      </c>
      <c r="N9" s="116">
        <f>G70</f>
        <v>32.633333333333333</v>
      </c>
      <c r="O9" s="116">
        <f>G76</f>
        <v>21.755555555555556</v>
      </c>
      <c r="P9" s="116">
        <f>G46</f>
        <v>10</v>
      </c>
      <c r="Q9" s="116">
        <f>0.8*(C4+C5)/(24*60)</f>
        <v>36.844444444444441</v>
      </c>
      <c r="R9" s="116">
        <f>0.2*(C4+C5)/(24*60)</f>
        <v>9.2111111111111104</v>
      </c>
      <c r="S9" s="116">
        <f>G64</f>
        <v>54.388888888888886</v>
      </c>
      <c r="T9" s="116">
        <f>G70</f>
        <v>32.633333333333333</v>
      </c>
      <c r="U9" s="117">
        <f>G76</f>
        <v>21.755555555555556</v>
      </c>
    </row>
    <row r="10" spans="2:21" ht="18" customHeight="1" x14ac:dyDescent="0.3">
      <c r="B10" s="1"/>
      <c r="C10" s="1"/>
      <c r="D10" s="23" t="s">
        <v>13</v>
      </c>
      <c r="E10" s="24" t="s">
        <v>21</v>
      </c>
      <c r="F10" s="9">
        <f>110%*(C3+C4)</f>
        <v>37752</v>
      </c>
      <c r="G10" s="10">
        <f t="shared" si="0"/>
        <v>26.216666666666665</v>
      </c>
      <c r="I10" s="106" t="s">
        <v>101</v>
      </c>
      <c r="J10" s="80" t="s">
        <v>122</v>
      </c>
      <c r="K10" s="38" t="s">
        <v>102</v>
      </c>
      <c r="L10" s="82" t="s">
        <v>103</v>
      </c>
      <c r="M10" s="82" t="s">
        <v>103</v>
      </c>
      <c r="N10" s="82" t="s">
        <v>104</v>
      </c>
      <c r="O10" s="82" t="s">
        <v>104</v>
      </c>
      <c r="P10" s="82" t="s">
        <v>107</v>
      </c>
      <c r="Q10" s="82" t="s">
        <v>105</v>
      </c>
      <c r="R10" s="82" t="s">
        <v>106</v>
      </c>
      <c r="S10" s="82" t="s">
        <v>104</v>
      </c>
      <c r="T10" s="82" t="s">
        <v>108</v>
      </c>
      <c r="U10" s="83" t="s">
        <v>108</v>
      </c>
    </row>
    <row r="11" spans="2:21" ht="18" customHeight="1" x14ac:dyDescent="0.3">
      <c r="B11" s="1"/>
      <c r="C11" s="1"/>
      <c r="D11" s="23"/>
      <c r="E11" s="11" t="s">
        <v>17</v>
      </c>
      <c r="F11" s="11" t="s">
        <v>18</v>
      </c>
      <c r="G11" s="10"/>
      <c r="I11" s="106" t="s">
        <v>168</v>
      </c>
      <c r="J11" s="80"/>
      <c r="K11" s="38">
        <v>1</v>
      </c>
      <c r="L11" s="82">
        <v>1</v>
      </c>
      <c r="M11" s="82">
        <v>1</v>
      </c>
      <c r="N11" s="82">
        <v>5</v>
      </c>
      <c r="O11" s="82">
        <v>5</v>
      </c>
      <c r="P11" s="82">
        <v>1</v>
      </c>
      <c r="Q11" s="82">
        <v>12</v>
      </c>
      <c r="R11" s="82">
        <v>1</v>
      </c>
      <c r="S11" s="82">
        <v>5</v>
      </c>
      <c r="T11" s="82">
        <v>1</v>
      </c>
      <c r="U11" s="83">
        <v>1</v>
      </c>
    </row>
    <row r="12" spans="2:21" ht="18" customHeight="1" x14ac:dyDescent="0.3">
      <c r="B12" s="1"/>
      <c r="C12" s="1"/>
      <c r="D12" s="23" t="s">
        <v>20</v>
      </c>
      <c r="E12" s="24" t="s">
        <v>25</v>
      </c>
      <c r="F12" s="9">
        <f>100%*(C3+C4)+10%*(C3+C4)</f>
        <v>37752</v>
      </c>
      <c r="G12" s="10">
        <f t="shared" si="0"/>
        <v>26.216666666666665</v>
      </c>
      <c r="I12" s="340" t="s">
        <v>167</v>
      </c>
      <c r="J12" s="80" t="s">
        <v>120</v>
      </c>
      <c r="K12" s="164" t="s">
        <v>271</v>
      </c>
      <c r="L12" s="164" t="s">
        <v>272</v>
      </c>
      <c r="M12" s="244" t="s">
        <v>273</v>
      </c>
      <c r="N12" s="164" t="s">
        <v>274</v>
      </c>
      <c r="O12" s="164" t="s">
        <v>274</v>
      </c>
      <c r="P12" s="164" t="s">
        <v>271</v>
      </c>
      <c r="Q12" s="164" t="s">
        <v>274</v>
      </c>
      <c r="R12" s="164" t="s">
        <v>271</v>
      </c>
      <c r="S12" s="164" t="s">
        <v>274</v>
      </c>
      <c r="T12" s="164" t="s">
        <v>271</v>
      </c>
      <c r="U12" s="164" t="s">
        <v>271</v>
      </c>
    </row>
    <row r="13" spans="2:21" ht="18" customHeight="1" x14ac:dyDescent="0.35">
      <c r="B13" s="1"/>
      <c r="C13" s="1"/>
      <c r="D13" s="25"/>
      <c r="E13" s="1"/>
      <c r="F13" s="1"/>
      <c r="G13" s="10"/>
      <c r="I13" s="384"/>
      <c r="J13" s="80" t="s">
        <v>121</v>
      </c>
      <c r="K13" s="168">
        <f>(K16/K9) + (1/K6)</f>
        <v>0.33682953410226135</v>
      </c>
      <c r="L13" s="169">
        <f xml:space="preserve"> ((1+M15)/L6)/(1-L15)</f>
        <v>3.3553907995271338E-2</v>
      </c>
      <c r="M13" s="167">
        <f>((1-L15*(1-L15-M15))/M6)/((1-L15)*(1-L15-M15))</f>
        <v>0.82779803661593498</v>
      </c>
      <c r="N13" s="167">
        <f>1/(N6-(N9/N11))</f>
        <v>5.7692307692307541</v>
      </c>
      <c r="O13" s="167">
        <f>1/(O6-(O9/O11))</f>
        <v>6.7164179104477526</v>
      </c>
      <c r="P13" s="160">
        <f>(P16/P9) + (1/P6)</f>
        <v>0.94740000000000002</v>
      </c>
      <c r="Q13" s="170">
        <f>1/(Q6-(Q9/Q11))</f>
        <v>2.4884792626728078</v>
      </c>
      <c r="R13" s="168">
        <f>(R16/R9) + (1/R6)</f>
        <v>2.2561488435516863</v>
      </c>
      <c r="S13" s="167">
        <f>1/(S6-(S9/S11))</f>
        <v>2.6865671641790949</v>
      </c>
      <c r="T13" s="166">
        <f>(T16/T9) + (1/T6)</f>
        <v>0.92114752075463935</v>
      </c>
      <c r="U13" s="171">
        <f>(U16/U9) + (1/U6)</f>
        <v>0.695040858018386</v>
      </c>
    </row>
    <row r="14" spans="2:21" ht="18" customHeight="1" thickBot="1" x14ac:dyDescent="0.35">
      <c r="B14" s="1"/>
      <c r="C14" s="1"/>
      <c r="D14" s="25"/>
      <c r="E14" s="26"/>
      <c r="F14" s="13"/>
      <c r="G14" s="10"/>
      <c r="I14" s="385" t="s">
        <v>123</v>
      </c>
      <c r="J14" s="80" t="s">
        <v>120</v>
      </c>
      <c r="K14" s="161" t="s">
        <v>270</v>
      </c>
      <c r="L14" s="161" t="s">
        <v>270</v>
      </c>
      <c r="M14" s="161" t="s">
        <v>270</v>
      </c>
      <c r="N14" s="161" t="s">
        <v>270</v>
      </c>
      <c r="O14" s="161" t="s">
        <v>270</v>
      </c>
      <c r="P14" s="161" t="s">
        <v>270</v>
      </c>
      <c r="Q14" s="161" t="s">
        <v>270</v>
      </c>
      <c r="R14" s="161" t="s">
        <v>270</v>
      </c>
      <c r="S14" s="161" t="s">
        <v>270</v>
      </c>
      <c r="T14" s="161" t="s">
        <v>270</v>
      </c>
      <c r="U14" s="161" t="s">
        <v>270</v>
      </c>
    </row>
    <row r="15" spans="2:21" ht="18" customHeight="1" x14ac:dyDescent="0.3">
      <c r="B15" s="1"/>
      <c r="C15" s="1"/>
      <c r="D15" s="27" t="s">
        <v>27</v>
      </c>
      <c r="E15" s="28"/>
      <c r="F15" s="9">
        <f>100%*(C3+C4+C5)+15%*(C3+C4+C5)</f>
        <v>90068</v>
      </c>
      <c r="G15" s="10">
        <f t="shared" si="0"/>
        <v>62.547222222222224</v>
      </c>
      <c r="I15" s="386"/>
      <c r="J15" s="80" t="s">
        <v>121</v>
      </c>
      <c r="K15" s="162">
        <f>(K9/K11)/K6</f>
        <v>4.6815476190476186</v>
      </c>
      <c r="L15" s="162">
        <f t="shared" ref="L15:U15" si="1">(L9/L11)/L6</f>
        <v>0.14669055374592835</v>
      </c>
      <c r="M15" s="162">
        <f t="shared" si="1"/>
        <v>0.8312464712269273</v>
      </c>
      <c r="N15" s="162">
        <f t="shared" si="1"/>
        <v>0.97412935323383076</v>
      </c>
      <c r="O15" s="162">
        <f t="shared" si="1"/>
        <v>0.96691358024691354</v>
      </c>
      <c r="P15" s="162">
        <f t="shared" si="1"/>
        <v>1.8</v>
      </c>
      <c r="Q15" s="162">
        <f t="shared" si="1"/>
        <v>0.88426666666666653</v>
      </c>
      <c r="R15" s="162">
        <f t="shared" si="1"/>
        <v>3.8446376811594196</v>
      </c>
      <c r="S15" s="162">
        <f t="shared" si="1"/>
        <v>0.96691358024691343</v>
      </c>
      <c r="T15" s="100">
        <f t="shared" si="1"/>
        <v>2.8671140939597315</v>
      </c>
      <c r="U15" s="108">
        <f t="shared" si="1"/>
        <v>2.8480000000000003</v>
      </c>
    </row>
    <row r="16" spans="2:21" ht="18" customHeight="1" thickBot="1" x14ac:dyDescent="0.35">
      <c r="B16" s="1"/>
      <c r="C16" s="1"/>
      <c r="D16" s="23" t="s">
        <v>13</v>
      </c>
      <c r="E16" s="24" t="s">
        <v>28</v>
      </c>
      <c r="G16" s="10"/>
      <c r="I16" s="109" t="s">
        <v>109</v>
      </c>
      <c r="J16" s="110" t="s">
        <v>121</v>
      </c>
      <c r="K16" s="163">
        <v>4.149</v>
      </c>
      <c r="L16" s="112">
        <f>+(L15*L9)/(L6-L9)</f>
        <v>2.5217251083706045E-2</v>
      </c>
      <c r="M16" s="112">
        <f>+(M15*M9)/(M6-M9)</f>
        <v>4.0945555387845252</v>
      </c>
      <c r="N16" s="112">
        <f>(N15*N9/N11)/(N6-N9/5)</f>
        <v>36.679716800612226</v>
      </c>
      <c r="O16" s="112">
        <f>(O15*O9/O11)/(O6-O9/O11)</f>
        <v>28.25696701676798</v>
      </c>
      <c r="P16" s="163">
        <v>7.6740000000000004</v>
      </c>
      <c r="Q16" s="112">
        <f>(Q15*Q9/Q11)/(Q6-Q9/Q11)</f>
        <v>6.7562863287250288</v>
      </c>
      <c r="R16" s="163">
        <v>16.937000000000001</v>
      </c>
      <c r="S16" s="112">
        <f>(S15*S9/5)/(S6-S9/5)</f>
        <v>28.256967016767902</v>
      </c>
      <c r="T16" s="112">
        <v>27.193000000000001</v>
      </c>
      <c r="U16" s="97">
        <v>12.273</v>
      </c>
    </row>
    <row r="17" spans="2:25" ht="18" customHeight="1" x14ac:dyDescent="0.3">
      <c r="B17" s="1"/>
      <c r="C17" s="1"/>
      <c r="D17" s="23"/>
      <c r="E17" s="11" t="s">
        <v>17</v>
      </c>
      <c r="F17" s="11" t="s">
        <v>18</v>
      </c>
      <c r="G17" s="10"/>
    </row>
    <row r="18" spans="2:25" ht="18" customHeight="1" x14ac:dyDescent="0.3">
      <c r="B18" s="1"/>
      <c r="C18" s="1"/>
      <c r="D18" s="23" t="s">
        <v>20</v>
      </c>
      <c r="E18" s="24" t="s">
        <v>30</v>
      </c>
      <c r="F18" s="9">
        <f>100%*(C3+C4+C5)+15%*(C3+C4+C5)</f>
        <v>90068</v>
      </c>
      <c r="G18" s="10">
        <f t="shared" si="0"/>
        <v>62.547222222222224</v>
      </c>
    </row>
    <row r="19" spans="2:25" ht="12" customHeight="1" x14ac:dyDescent="0.3">
      <c r="B19" s="1"/>
      <c r="C19" s="1"/>
      <c r="D19" s="25"/>
      <c r="E19" s="1"/>
      <c r="F19" s="1"/>
      <c r="G19" s="10"/>
    </row>
    <row r="20" spans="2:25" ht="12" customHeight="1" thickBot="1" x14ac:dyDescent="0.35">
      <c r="B20" s="1"/>
      <c r="C20" s="1"/>
      <c r="D20" s="25"/>
      <c r="E20" s="26"/>
      <c r="F20" s="13"/>
      <c r="G20" s="10"/>
    </row>
    <row r="21" spans="2:25" ht="12" customHeight="1" x14ac:dyDescent="0.3">
      <c r="B21" s="1"/>
      <c r="C21" s="1"/>
      <c r="D21" s="27" t="s">
        <v>32</v>
      </c>
      <c r="E21" s="28"/>
      <c r="F21" s="6"/>
      <c r="G21" s="10"/>
    </row>
    <row r="22" spans="2:25" ht="12" customHeight="1" x14ac:dyDescent="0.3">
      <c r="B22" s="1"/>
      <c r="C22" s="1"/>
      <c r="D22" s="23" t="s">
        <v>33</v>
      </c>
      <c r="E22" s="24" t="s">
        <v>30</v>
      </c>
      <c r="F22" s="9">
        <f>100%*(C3+C4+C5)+15%*(C3+C4+C5)</f>
        <v>90068</v>
      </c>
      <c r="G22" s="10">
        <f t="shared" si="0"/>
        <v>62.547222222222224</v>
      </c>
      <c r="I22" s="132" t="s">
        <v>211</v>
      </c>
      <c r="J22" s="132" t="s">
        <v>212</v>
      </c>
      <c r="K22" s="132" t="s">
        <v>213</v>
      </c>
      <c r="L22" s="132" t="s">
        <v>214</v>
      </c>
      <c r="M22" s="132" t="s">
        <v>215</v>
      </c>
      <c r="N22" s="132" t="s">
        <v>125</v>
      </c>
      <c r="O22" s="132" t="s">
        <v>126</v>
      </c>
      <c r="P22" s="132" t="s">
        <v>92</v>
      </c>
      <c r="Q22" s="132" t="s">
        <v>127</v>
      </c>
      <c r="R22" s="132" t="s">
        <v>222</v>
      </c>
      <c r="S22" s="132" t="s">
        <v>128</v>
      </c>
      <c r="T22" s="132" t="s">
        <v>223</v>
      </c>
      <c r="U22" s="132" t="s">
        <v>129</v>
      </c>
      <c r="V22" s="132" t="s">
        <v>216</v>
      </c>
      <c r="W22" s="146"/>
      <c r="X22" s="141" t="s">
        <v>81</v>
      </c>
      <c r="Y22" s="141" t="s">
        <v>110</v>
      </c>
    </row>
    <row r="23" spans="2:25" ht="12" customHeight="1" x14ac:dyDescent="0.3">
      <c r="B23" s="1"/>
      <c r="C23" s="1"/>
      <c r="D23" s="23"/>
      <c r="E23" s="11" t="s">
        <v>17</v>
      </c>
      <c r="F23" s="11" t="s">
        <v>18</v>
      </c>
      <c r="G23" s="10"/>
      <c r="I23">
        <v>1</v>
      </c>
      <c r="J23" s="132">
        <v>1</v>
      </c>
      <c r="K23" s="132">
        <f t="shared" ref="K23:S23" si="2">IF(K57&lt;&gt;0,1,0)</f>
        <v>1</v>
      </c>
      <c r="L23" s="132">
        <f t="shared" si="2"/>
        <v>1</v>
      </c>
      <c r="M23" s="132">
        <f t="shared" si="2"/>
        <v>1</v>
      </c>
      <c r="N23" s="132">
        <f t="shared" si="2"/>
        <v>1</v>
      </c>
      <c r="O23" s="132">
        <f>IF(O57&lt;&gt;0,1,0)</f>
        <v>0</v>
      </c>
      <c r="P23" s="132">
        <f t="shared" si="2"/>
        <v>1</v>
      </c>
      <c r="Q23" s="132">
        <f t="shared" si="2"/>
        <v>0</v>
      </c>
      <c r="R23" s="132">
        <f t="shared" si="2"/>
        <v>1</v>
      </c>
      <c r="S23" s="132">
        <f t="shared" si="2"/>
        <v>1</v>
      </c>
      <c r="T23" s="132">
        <v>1</v>
      </c>
      <c r="U23" s="132">
        <v>0</v>
      </c>
      <c r="V23" s="132">
        <v>0</v>
      </c>
      <c r="W23" s="132"/>
      <c r="X23" s="138" t="s">
        <v>212</v>
      </c>
      <c r="Y23" s="139">
        <f>K13</f>
        <v>0.33682953410226135</v>
      </c>
    </row>
    <row r="24" spans="2:25" ht="12" customHeight="1" x14ac:dyDescent="0.3">
      <c r="B24" s="1"/>
      <c r="C24" s="1"/>
      <c r="D24" s="23" t="s">
        <v>35</v>
      </c>
      <c r="E24" s="24" t="s">
        <v>36</v>
      </c>
      <c r="F24" s="9">
        <f>100%*(C3+C4+C5)+15%*(C3+C4+C5)</f>
        <v>90068</v>
      </c>
      <c r="G24" s="10">
        <f t="shared" si="0"/>
        <v>62.547222222222224</v>
      </c>
      <c r="I24">
        <v>2</v>
      </c>
      <c r="J24" s="132">
        <v>1</v>
      </c>
      <c r="K24" s="132">
        <v>1</v>
      </c>
      <c r="L24" s="132">
        <v>1</v>
      </c>
      <c r="M24" s="132">
        <v>1</v>
      </c>
      <c r="N24" s="132">
        <v>1</v>
      </c>
      <c r="O24">
        <v>0</v>
      </c>
      <c r="P24" s="132">
        <v>1</v>
      </c>
      <c r="Q24">
        <v>0</v>
      </c>
      <c r="R24" s="132">
        <v>1</v>
      </c>
      <c r="S24" s="132">
        <v>1</v>
      </c>
      <c r="T24" s="132">
        <v>0</v>
      </c>
      <c r="U24" s="132">
        <v>0</v>
      </c>
      <c r="V24" s="132">
        <v>0</v>
      </c>
      <c r="W24" s="132"/>
      <c r="X24" s="138" t="s">
        <v>213</v>
      </c>
      <c r="Y24" s="139">
        <f>K13</f>
        <v>0.33682953410226135</v>
      </c>
    </row>
    <row r="25" spans="2:25" ht="12" customHeight="1" x14ac:dyDescent="0.3">
      <c r="B25" s="1"/>
      <c r="C25" s="1"/>
      <c r="D25" s="25"/>
      <c r="E25" s="1"/>
      <c r="F25" s="1"/>
      <c r="G25" s="10"/>
      <c r="I25">
        <v>3</v>
      </c>
      <c r="J25" s="132">
        <v>1</v>
      </c>
      <c r="K25" s="132">
        <v>1</v>
      </c>
      <c r="L25" s="132">
        <v>1</v>
      </c>
      <c r="M25" s="132">
        <v>1</v>
      </c>
      <c r="N25" s="132">
        <v>1</v>
      </c>
      <c r="O25">
        <v>0</v>
      </c>
      <c r="P25">
        <v>0</v>
      </c>
      <c r="Q25" s="132">
        <v>1</v>
      </c>
      <c r="R25" s="132">
        <v>1</v>
      </c>
      <c r="S25" s="132">
        <v>1</v>
      </c>
      <c r="T25" s="132">
        <v>1</v>
      </c>
      <c r="U25" s="132">
        <v>0</v>
      </c>
      <c r="V25" s="132">
        <v>0</v>
      </c>
      <c r="W25" s="132"/>
      <c r="X25" s="138" t="s">
        <v>214</v>
      </c>
      <c r="Y25" s="139">
        <f>M13</f>
        <v>0.82779803661593498</v>
      </c>
    </row>
    <row r="26" spans="2:25" ht="12" customHeight="1" thickBot="1" x14ac:dyDescent="0.35">
      <c r="B26" s="1"/>
      <c r="C26" s="1"/>
      <c r="D26" s="25"/>
      <c r="E26" s="26"/>
      <c r="F26" s="13"/>
      <c r="G26" s="10"/>
      <c r="I26">
        <v>4</v>
      </c>
      <c r="J26" s="132">
        <v>1</v>
      </c>
      <c r="K26" s="132">
        <v>1</v>
      </c>
      <c r="L26" s="132">
        <v>1</v>
      </c>
      <c r="M26" s="132">
        <v>1</v>
      </c>
      <c r="N26" s="132">
        <v>1</v>
      </c>
      <c r="O26">
        <v>0</v>
      </c>
      <c r="P26">
        <v>0</v>
      </c>
      <c r="Q26" s="132">
        <v>1</v>
      </c>
      <c r="R26" s="132">
        <v>1</v>
      </c>
      <c r="S26" s="132">
        <v>1</v>
      </c>
      <c r="T26" s="132">
        <v>0</v>
      </c>
      <c r="U26" s="132">
        <v>0</v>
      </c>
      <c r="V26" s="132">
        <v>1</v>
      </c>
      <c r="W26" s="132"/>
      <c r="X26" s="138" t="s">
        <v>215</v>
      </c>
      <c r="Y26" s="139">
        <f>M13</f>
        <v>0.82779803661593498</v>
      </c>
    </row>
    <row r="27" spans="2:25" ht="12" customHeight="1" x14ac:dyDescent="0.3">
      <c r="B27" s="1"/>
      <c r="C27" s="1"/>
      <c r="D27" s="27" t="s">
        <v>38</v>
      </c>
      <c r="E27" s="28"/>
      <c r="F27" s="6"/>
      <c r="G27" s="10"/>
      <c r="I27">
        <v>5</v>
      </c>
      <c r="J27" s="132">
        <v>1</v>
      </c>
      <c r="K27" s="132">
        <v>1</v>
      </c>
      <c r="L27" s="132">
        <v>1</v>
      </c>
      <c r="M27" s="132">
        <v>1</v>
      </c>
      <c r="N27">
        <v>0</v>
      </c>
      <c r="O27">
        <v>0</v>
      </c>
      <c r="P27" s="132">
        <v>1</v>
      </c>
      <c r="Q27">
        <v>0</v>
      </c>
      <c r="R27" s="132">
        <v>1</v>
      </c>
      <c r="S27">
        <v>0</v>
      </c>
      <c r="T27" s="132">
        <v>0</v>
      </c>
      <c r="U27" s="132">
        <v>1</v>
      </c>
      <c r="V27" s="132">
        <v>0</v>
      </c>
      <c r="W27" s="132"/>
      <c r="X27" s="138" t="s">
        <v>125</v>
      </c>
      <c r="Y27" s="139">
        <f>N13</f>
        <v>5.7692307692307541</v>
      </c>
    </row>
    <row r="28" spans="2:25" ht="12" customHeight="1" x14ac:dyDescent="0.3">
      <c r="B28" s="1"/>
      <c r="C28" s="1"/>
      <c r="D28" s="23" t="s">
        <v>33</v>
      </c>
      <c r="E28" s="24" t="s">
        <v>39</v>
      </c>
      <c r="F28" s="9">
        <f>C3+C4+C5</f>
        <v>78320</v>
      </c>
      <c r="G28" s="10">
        <f t="shared" si="0"/>
        <v>54.388888888888886</v>
      </c>
      <c r="I28">
        <v>6</v>
      </c>
      <c r="J28" s="132">
        <v>1</v>
      </c>
      <c r="K28" s="132">
        <v>1</v>
      </c>
      <c r="L28" s="132">
        <v>1</v>
      </c>
      <c r="M28" s="132">
        <v>1</v>
      </c>
      <c r="N28">
        <v>0</v>
      </c>
      <c r="O28" s="132">
        <v>1</v>
      </c>
      <c r="P28" s="132">
        <v>1</v>
      </c>
      <c r="Q28">
        <v>0</v>
      </c>
      <c r="R28" s="132">
        <v>1</v>
      </c>
      <c r="S28">
        <v>0</v>
      </c>
      <c r="T28" s="132">
        <v>0</v>
      </c>
      <c r="U28" s="132">
        <v>1</v>
      </c>
      <c r="V28" s="132">
        <v>1</v>
      </c>
      <c r="W28" s="132"/>
      <c r="X28" s="138" t="s">
        <v>126</v>
      </c>
      <c r="Y28" s="139">
        <f>O13</f>
        <v>6.7164179104477526</v>
      </c>
    </row>
    <row r="29" spans="2:25" ht="12" customHeight="1" x14ac:dyDescent="0.3">
      <c r="B29" s="1"/>
      <c r="C29" s="1"/>
      <c r="D29" s="23"/>
      <c r="E29" s="11" t="s">
        <v>17</v>
      </c>
      <c r="F29" s="11" t="s">
        <v>18</v>
      </c>
      <c r="G29" s="10"/>
      <c r="I29">
        <v>7</v>
      </c>
      <c r="J29" s="132">
        <v>1</v>
      </c>
      <c r="K29" s="132">
        <v>1</v>
      </c>
      <c r="L29" s="132">
        <v>1</v>
      </c>
      <c r="M29" s="132">
        <v>1</v>
      </c>
      <c r="N29">
        <v>0</v>
      </c>
      <c r="O29" s="132">
        <v>1</v>
      </c>
      <c r="P29">
        <v>0</v>
      </c>
      <c r="Q29" s="132">
        <v>1</v>
      </c>
      <c r="R29" s="132">
        <v>1</v>
      </c>
      <c r="S29">
        <v>0</v>
      </c>
      <c r="T29" s="132">
        <v>0</v>
      </c>
      <c r="U29" s="132">
        <v>1</v>
      </c>
      <c r="V29" s="132">
        <v>0</v>
      </c>
      <c r="W29" s="132"/>
      <c r="X29" s="138" t="s">
        <v>92</v>
      </c>
      <c r="Y29" s="139">
        <f>Q13</f>
        <v>2.4884792626728078</v>
      </c>
    </row>
    <row r="30" spans="2:25" ht="12" customHeight="1" x14ac:dyDescent="0.3">
      <c r="B30" s="1"/>
      <c r="C30" s="1"/>
      <c r="D30" s="23" t="s">
        <v>35</v>
      </c>
      <c r="E30" s="24" t="s">
        <v>41</v>
      </c>
      <c r="F30" s="9">
        <f>C3+C4+C5</f>
        <v>78320</v>
      </c>
      <c r="G30" s="10">
        <f t="shared" si="0"/>
        <v>54.388888888888886</v>
      </c>
      <c r="I30">
        <v>8</v>
      </c>
      <c r="J30" s="132">
        <v>1</v>
      </c>
      <c r="K30" s="132">
        <v>1</v>
      </c>
      <c r="L30" s="132">
        <v>1</v>
      </c>
      <c r="M30" s="132">
        <v>1</v>
      </c>
      <c r="N30">
        <v>0</v>
      </c>
      <c r="O30" s="132">
        <v>1</v>
      </c>
      <c r="P30">
        <v>0</v>
      </c>
      <c r="Q30" s="132">
        <v>1</v>
      </c>
      <c r="R30" s="132">
        <v>1</v>
      </c>
      <c r="S30">
        <v>0</v>
      </c>
      <c r="T30" s="132">
        <v>0</v>
      </c>
      <c r="U30" s="132">
        <v>1</v>
      </c>
      <c r="V30" s="132">
        <v>0</v>
      </c>
      <c r="W30" s="132"/>
      <c r="X30" s="138" t="s">
        <v>127</v>
      </c>
      <c r="Y30" s="139">
        <f>R13</f>
        <v>2.2561488435516863</v>
      </c>
    </row>
    <row r="31" spans="2:25" ht="12" customHeight="1" x14ac:dyDescent="0.3">
      <c r="B31" s="1"/>
      <c r="C31" s="1"/>
      <c r="D31" s="25"/>
      <c r="E31" s="1"/>
      <c r="F31" s="1"/>
      <c r="G31" s="10"/>
      <c r="I31">
        <v>9</v>
      </c>
      <c r="J31" s="132">
        <v>1</v>
      </c>
      <c r="K31" s="132">
        <v>1</v>
      </c>
      <c r="L31" s="132">
        <v>1</v>
      </c>
      <c r="M31">
        <v>0</v>
      </c>
      <c r="N31" s="132">
        <v>1</v>
      </c>
      <c r="O31">
        <v>0</v>
      </c>
      <c r="P31" s="132">
        <v>1</v>
      </c>
      <c r="Q31">
        <v>0</v>
      </c>
      <c r="R31" s="132">
        <v>1</v>
      </c>
      <c r="S31" s="132">
        <v>1</v>
      </c>
      <c r="T31" s="132">
        <v>1</v>
      </c>
      <c r="U31" s="132">
        <v>0</v>
      </c>
      <c r="V31" s="132">
        <v>0</v>
      </c>
      <c r="W31" s="132"/>
      <c r="X31" s="138" t="s">
        <v>222</v>
      </c>
      <c r="Y31" s="139">
        <f>S13</f>
        <v>2.6865671641790949</v>
      </c>
    </row>
    <row r="32" spans="2:25" ht="12" customHeight="1" thickBot="1" x14ac:dyDescent="0.35">
      <c r="B32" s="1"/>
      <c r="C32" s="1"/>
      <c r="D32" s="25"/>
      <c r="E32" s="26"/>
      <c r="F32" s="13"/>
      <c r="G32" s="10"/>
      <c r="I32">
        <v>10</v>
      </c>
      <c r="J32" s="132">
        <v>1</v>
      </c>
      <c r="K32" s="132">
        <v>1</v>
      </c>
      <c r="L32" s="132">
        <v>1</v>
      </c>
      <c r="M32">
        <v>0</v>
      </c>
      <c r="N32" s="132">
        <v>1</v>
      </c>
      <c r="O32">
        <v>0</v>
      </c>
      <c r="P32" s="132">
        <v>1</v>
      </c>
      <c r="Q32">
        <v>0</v>
      </c>
      <c r="R32" s="132">
        <v>1</v>
      </c>
      <c r="S32" s="132">
        <v>1</v>
      </c>
      <c r="T32" s="132">
        <v>0</v>
      </c>
      <c r="U32" s="132">
        <v>0</v>
      </c>
      <c r="V32" s="132">
        <v>0</v>
      </c>
      <c r="W32" s="132"/>
      <c r="X32" s="138" t="s">
        <v>128</v>
      </c>
      <c r="Y32" s="139">
        <f>T13</f>
        <v>0.92114752075463935</v>
      </c>
    </row>
    <row r="33" spans="2:25" ht="12" customHeight="1" x14ac:dyDescent="0.3">
      <c r="B33" s="1"/>
      <c r="C33" s="1"/>
      <c r="D33" s="27" t="s">
        <v>46</v>
      </c>
      <c r="E33" s="28"/>
      <c r="F33" s="6"/>
      <c r="G33" s="10"/>
      <c r="I33">
        <v>11</v>
      </c>
      <c r="J33" s="132">
        <v>1</v>
      </c>
      <c r="K33" s="132">
        <v>1</v>
      </c>
      <c r="L33" s="132">
        <v>1</v>
      </c>
      <c r="M33">
        <v>0</v>
      </c>
      <c r="N33" s="132">
        <v>1</v>
      </c>
      <c r="O33">
        <v>0</v>
      </c>
      <c r="P33">
        <v>0</v>
      </c>
      <c r="Q33" s="132">
        <v>1</v>
      </c>
      <c r="R33" s="132">
        <v>1</v>
      </c>
      <c r="S33" s="132">
        <v>1</v>
      </c>
      <c r="T33" s="132">
        <v>1</v>
      </c>
      <c r="U33" s="132">
        <v>0</v>
      </c>
      <c r="V33" s="132">
        <v>0</v>
      </c>
      <c r="W33" s="132"/>
      <c r="X33" s="138" t="s">
        <v>223</v>
      </c>
      <c r="Y33" s="139">
        <v>0</v>
      </c>
    </row>
    <row r="34" spans="2:25" ht="12" customHeight="1" x14ac:dyDescent="0.3">
      <c r="B34" s="1"/>
      <c r="C34" s="1"/>
      <c r="D34" s="23" t="s">
        <v>33</v>
      </c>
      <c r="E34" s="24" t="s">
        <v>48</v>
      </c>
      <c r="F34" s="9">
        <f>C3+C4+C5</f>
        <v>78320</v>
      </c>
      <c r="G34" s="10">
        <f t="shared" si="0"/>
        <v>54.388888888888886</v>
      </c>
      <c r="I34">
        <v>12</v>
      </c>
      <c r="J34" s="132">
        <v>1</v>
      </c>
      <c r="K34" s="132">
        <v>1</v>
      </c>
      <c r="L34" s="132">
        <v>1</v>
      </c>
      <c r="M34">
        <v>0</v>
      </c>
      <c r="N34" s="132">
        <v>1</v>
      </c>
      <c r="O34">
        <v>0</v>
      </c>
      <c r="P34">
        <v>0</v>
      </c>
      <c r="Q34" s="132">
        <v>1</v>
      </c>
      <c r="R34" s="132">
        <v>1</v>
      </c>
      <c r="S34" s="132">
        <v>1</v>
      </c>
      <c r="T34" s="132">
        <v>0</v>
      </c>
      <c r="U34" s="132">
        <v>0</v>
      </c>
      <c r="V34" s="132">
        <v>1</v>
      </c>
      <c r="W34" s="132"/>
      <c r="X34" s="138" t="s">
        <v>129</v>
      </c>
      <c r="Y34" s="139">
        <f>U13</f>
        <v>0.695040858018386</v>
      </c>
    </row>
    <row r="35" spans="2:25" ht="12" customHeight="1" x14ac:dyDescent="0.3">
      <c r="B35" s="1"/>
      <c r="C35" s="1"/>
      <c r="D35" s="23"/>
      <c r="E35" s="11" t="s">
        <v>17</v>
      </c>
      <c r="F35" s="11" t="s">
        <v>18</v>
      </c>
      <c r="G35" s="10"/>
      <c r="I35">
        <v>13</v>
      </c>
      <c r="J35" s="132">
        <v>1</v>
      </c>
      <c r="K35" s="132">
        <v>1</v>
      </c>
      <c r="L35" s="132">
        <v>1</v>
      </c>
      <c r="M35">
        <v>0</v>
      </c>
      <c r="N35">
        <v>0</v>
      </c>
      <c r="O35" s="132">
        <v>1</v>
      </c>
      <c r="P35" s="132">
        <v>1</v>
      </c>
      <c r="Q35">
        <v>0</v>
      </c>
      <c r="R35" s="132">
        <v>1</v>
      </c>
      <c r="S35">
        <v>0</v>
      </c>
      <c r="T35" s="132">
        <v>0</v>
      </c>
      <c r="U35" s="132">
        <v>1</v>
      </c>
      <c r="V35" s="132">
        <v>0</v>
      </c>
      <c r="W35" s="132"/>
      <c r="X35" s="138" t="s">
        <v>216</v>
      </c>
      <c r="Y35" s="140">
        <v>0</v>
      </c>
    </row>
    <row r="36" spans="2:25" ht="12" customHeight="1" x14ac:dyDescent="0.3">
      <c r="B36" s="1"/>
      <c r="C36" s="1"/>
      <c r="D36" s="23" t="s">
        <v>35</v>
      </c>
      <c r="E36" s="24" t="s">
        <v>39</v>
      </c>
      <c r="F36" s="9">
        <f>C3+C4+C5</f>
        <v>78320</v>
      </c>
      <c r="G36" s="10">
        <f t="shared" si="0"/>
        <v>54.388888888888886</v>
      </c>
      <c r="I36">
        <v>14</v>
      </c>
      <c r="J36" s="132">
        <v>1</v>
      </c>
      <c r="K36" s="132">
        <v>1</v>
      </c>
      <c r="L36" s="132">
        <v>1</v>
      </c>
      <c r="M36">
        <v>0</v>
      </c>
      <c r="N36">
        <v>0</v>
      </c>
      <c r="O36" s="132">
        <v>1</v>
      </c>
      <c r="P36" s="132">
        <v>1</v>
      </c>
      <c r="Q36">
        <v>0</v>
      </c>
      <c r="R36" s="132">
        <v>1</v>
      </c>
      <c r="S36">
        <v>0</v>
      </c>
      <c r="T36" s="132">
        <v>0</v>
      </c>
      <c r="U36" s="132">
        <v>1</v>
      </c>
      <c r="V36" s="132">
        <v>1</v>
      </c>
      <c r="W36" s="132"/>
    </row>
    <row r="37" spans="2:25" ht="12" customHeight="1" x14ac:dyDescent="0.3">
      <c r="B37" s="1"/>
      <c r="C37" s="1"/>
      <c r="D37" s="25"/>
      <c r="E37" s="1"/>
      <c r="F37" s="1"/>
      <c r="G37" s="10"/>
      <c r="I37">
        <v>15</v>
      </c>
      <c r="J37" s="132">
        <v>1</v>
      </c>
      <c r="K37" s="132">
        <v>1</v>
      </c>
      <c r="L37" s="132">
        <v>1</v>
      </c>
      <c r="M37">
        <v>0</v>
      </c>
      <c r="N37">
        <v>0</v>
      </c>
      <c r="O37" s="132">
        <v>1</v>
      </c>
      <c r="P37">
        <v>0</v>
      </c>
      <c r="Q37" s="132">
        <v>1</v>
      </c>
      <c r="R37" s="132">
        <v>1</v>
      </c>
      <c r="S37">
        <v>0</v>
      </c>
      <c r="T37" s="132">
        <v>0</v>
      </c>
      <c r="U37" s="132">
        <v>1</v>
      </c>
      <c r="V37" s="132">
        <v>0</v>
      </c>
      <c r="W37" s="132"/>
    </row>
    <row r="38" spans="2:25" ht="12" customHeight="1" thickBot="1" x14ac:dyDescent="0.35">
      <c r="B38" s="1"/>
      <c r="C38" s="1"/>
      <c r="D38" s="25"/>
      <c r="E38" s="26"/>
      <c r="F38" s="13"/>
      <c r="G38" s="10"/>
      <c r="I38">
        <v>16</v>
      </c>
      <c r="J38" s="132">
        <v>1</v>
      </c>
      <c r="K38" s="132">
        <v>1</v>
      </c>
      <c r="L38" s="132">
        <v>1</v>
      </c>
      <c r="M38">
        <v>0</v>
      </c>
      <c r="N38">
        <v>0</v>
      </c>
      <c r="O38" s="132">
        <v>1</v>
      </c>
      <c r="P38">
        <v>0</v>
      </c>
      <c r="Q38" s="132">
        <v>1</v>
      </c>
      <c r="R38" s="132">
        <v>1</v>
      </c>
      <c r="S38">
        <v>0</v>
      </c>
      <c r="T38" s="132">
        <v>0</v>
      </c>
      <c r="U38" s="132">
        <v>1</v>
      </c>
      <c r="V38" s="132">
        <v>0</v>
      </c>
      <c r="W38" s="132"/>
    </row>
    <row r="39" spans="2:25" ht="12" customHeight="1" x14ac:dyDescent="0.3">
      <c r="B39" s="1"/>
      <c r="C39" s="1"/>
      <c r="D39" s="27" t="s">
        <v>50</v>
      </c>
      <c r="E39" s="28"/>
      <c r="F39" s="6"/>
      <c r="G39" s="10"/>
      <c r="I39">
        <v>17</v>
      </c>
      <c r="J39" s="132">
        <v>1</v>
      </c>
      <c r="K39">
        <v>0</v>
      </c>
      <c r="L39" s="132">
        <v>1</v>
      </c>
      <c r="M39" s="132">
        <v>1</v>
      </c>
      <c r="N39" s="132">
        <v>1</v>
      </c>
      <c r="O39">
        <v>0</v>
      </c>
      <c r="P39" s="132">
        <v>1</v>
      </c>
      <c r="Q39">
        <v>0</v>
      </c>
      <c r="R39" s="132">
        <v>1</v>
      </c>
      <c r="S39" s="132">
        <v>1</v>
      </c>
      <c r="T39" s="132">
        <v>1</v>
      </c>
      <c r="U39" s="144">
        <v>0</v>
      </c>
      <c r="V39" s="132">
        <v>0</v>
      </c>
      <c r="W39" s="132"/>
    </row>
    <row r="40" spans="2:25" ht="12" customHeight="1" x14ac:dyDescent="0.3">
      <c r="B40" s="1"/>
      <c r="C40" s="1"/>
      <c r="D40" s="23" t="s">
        <v>33</v>
      </c>
      <c r="E40" s="24" t="s">
        <v>39</v>
      </c>
      <c r="F40" s="9">
        <f>C3+C4+C5</f>
        <v>78320</v>
      </c>
      <c r="G40" s="10">
        <f>F40/(24*60)</f>
        <v>54.388888888888886</v>
      </c>
      <c r="I40">
        <v>18</v>
      </c>
      <c r="J40" s="132">
        <v>1</v>
      </c>
      <c r="K40">
        <v>0</v>
      </c>
      <c r="L40" s="132">
        <v>1</v>
      </c>
      <c r="M40" s="132">
        <v>1</v>
      </c>
      <c r="N40" s="132">
        <v>1</v>
      </c>
      <c r="O40">
        <v>0</v>
      </c>
      <c r="P40" s="132">
        <v>1</v>
      </c>
      <c r="Q40">
        <v>0</v>
      </c>
      <c r="R40" s="132">
        <v>1</v>
      </c>
      <c r="S40" s="132">
        <v>1</v>
      </c>
      <c r="T40" s="132">
        <v>0</v>
      </c>
      <c r="U40" s="145">
        <v>0</v>
      </c>
      <c r="V40" s="132">
        <v>0</v>
      </c>
      <c r="W40" s="132"/>
    </row>
    <row r="41" spans="2:25" ht="12" customHeight="1" x14ac:dyDescent="0.3">
      <c r="B41" s="1"/>
      <c r="C41" s="1"/>
      <c r="D41" s="23"/>
      <c r="E41" s="11" t="s">
        <v>17</v>
      </c>
      <c r="F41" s="1"/>
      <c r="G41" s="10"/>
      <c r="I41">
        <v>19</v>
      </c>
      <c r="J41" s="132">
        <v>1</v>
      </c>
      <c r="K41">
        <v>0</v>
      </c>
      <c r="L41" s="132">
        <v>1</v>
      </c>
      <c r="M41" s="132">
        <v>1</v>
      </c>
      <c r="N41" s="132">
        <v>1</v>
      </c>
      <c r="O41">
        <v>0</v>
      </c>
      <c r="P41">
        <v>0</v>
      </c>
      <c r="Q41" s="132">
        <v>1</v>
      </c>
      <c r="R41" s="132">
        <v>1</v>
      </c>
      <c r="S41" s="132">
        <v>1</v>
      </c>
      <c r="T41" s="132">
        <v>1</v>
      </c>
      <c r="U41" s="144">
        <v>0</v>
      </c>
      <c r="V41" s="132">
        <v>0</v>
      </c>
      <c r="W41" s="132"/>
    </row>
    <row r="42" spans="2:25" ht="12" customHeight="1" x14ac:dyDescent="0.3">
      <c r="B42" s="1"/>
      <c r="C42" s="1"/>
      <c r="D42" s="23" t="s">
        <v>35</v>
      </c>
      <c r="E42" s="24" t="s">
        <v>51</v>
      </c>
      <c r="F42" s="9">
        <f>C3+C4+C5</f>
        <v>78320</v>
      </c>
      <c r="G42" s="10">
        <f t="shared" si="0"/>
        <v>54.388888888888886</v>
      </c>
      <c r="I42">
        <v>20</v>
      </c>
      <c r="J42" s="132">
        <v>1</v>
      </c>
      <c r="K42">
        <v>0</v>
      </c>
      <c r="L42" s="132">
        <v>1</v>
      </c>
      <c r="M42" s="132">
        <v>1</v>
      </c>
      <c r="N42" s="132">
        <v>1</v>
      </c>
      <c r="O42">
        <v>0</v>
      </c>
      <c r="P42">
        <v>0</v>
      </c>
      <c r="Q42" s="132">
        <v>1</v>
      </c>
      <c r="R42" s="132">
        <v>1</v>
      </c>
      <c r="S42" s="132">
        <v>1</v>
      </c>
      <c r="T42" s="132">
        <v>0</v>
      </c>
      <c r="U42" s="145">
        <v>0</v>
      </c>
      <c r="V42" s="132">
        <v>1</v>
      </c>
      <c r="W42" s="132"/>
    </row>
    <row r="43" spans="2:25" ht="12" customHeight="1" x14ac:dyDescent="0.3">
      <c r="B43" s="1"/>
      <c r="C43" s="1"/>
      <c r="D43" s="25"/>
      <c r="E43" s="1"/>
      <c r="F43" s="1"/>
      <c r="G43" s="10"/>
      <c r="I43">
        <v>21</v>
      </c>
      <c r="J43" s="132">
        <v>1</v>
      </c>
      <c r="K43">
        <v>0</v>
      </c>
      <c r="L43" s="132">
        <v>1</v>
      </c>
      <c r="M43" s="132">
        <v>1</v>
      </c>
      <c r="N43">
        <v>0</v>
      </c>
      <c r="O43" s="132">
        <v>1</v>
      </c>
      <c r="P43" s="132">
        <v>1</v>
      </c>
      <c r="Q43">
        <v>0</v>
      </c>
      <c r="R43" s="132">
        <v>1</v>
      </c>
      <c r="S43">
        <v>0</v>
      </c>
      <c r="T43" s="132">
        <v>0</v>
      </c>
      <c r="U43" s="132">
        <v>1</v>
      </c>
      <c r="V43" s="132">
        <v>0</v>
      </c>
      <c r="W43" s="132"/>
    </row>
    <row r="44" spans="2:25" ht="12" customHeight="1" thickBot="1" x14ac:dyDescent="0.35">
      <c r="B44" s="1"/>
      <c r="C44" s="1"/>
      <c r="D44" s="25"/>
      <c r="E44" s="26"/>
      <c r="F44" s="13"/>
      <c r="G44" s="10"/>
      <c r="I44">
        <v>22</v>
      </c>
      <c r="J44" s="132">
        <v>1</v>
      </c>
      <c r="K44">
        <v>0</v>
      </c>
      <c r="L44" s="132">
        <v>1</v>
      </c>
      <c r="M44" s="132">
        <v>1</v>
      </c>
      <c r="N44">
        <v>0</v>
      </c>
      <c r="O44" s="132">
        <v>1</v>
      </c>
      <c r="P44" s="132">
        <v>1</v>
      </c>
      <c r="Q44">
        <v>0</v>
      </c>
      <c r="R44" s="132">
        <v>1</v>
      </c>
      <c r="S44">
        <v>0</v>
      </c>
      <c r="T44" s="132">
        <v>0</v>
      </c>
      <c r="U44" s="132">
        <v>1</v>
      </c>
      <c r="V44" s="132">
        <v>1</v>
      </c>
      <c r="W44" s="132"/>
    </row>
    <row r="45" spans="2:25" ht="12" customHeight="1" x14ac:dyDescent="0.3">
      <c r="B45" s="1"/>
      <c r="C45" s="1"/>
      <c r="D45" s="27" t="s">
        <v>53</v>
      </c>
      <c r="E45" s="28"/>
      <c r="F45" s="6"/>
      <c r="G45" s="10"/>
      <c r="I45">
        <v>23</v>
      </c>
      <c r="J45" s="132">
        <v>1</v>
      </c>
      <c r="K45">
        <v>0</v>
      </c>
      <c r="L45" s="132">
        <v>1</v>
      </c>
      <c r="M45" s="132">
        <v>1</v>
      </c>
      <c r="N45">
        <v>0</v>
      </c>
      <c r="O45" s="132">
        <v>1</v>
      </c>
      <c r="P45">
        <v>0</v>
      </c>
      <c r="Q45" s="132">
        <v>1</v>
      </c>
      <c r="R45" s="132">
        <v>1</v>
      </c>
      <c r="S45">
        <v>0</v>
      </c>
      <c r="T45" s="132">
        <v>0</v>
      </c>
      <c r="U45" s="132">
        <v>1</v>
      </c>
      <c r="V45" s="132">
        <v>0</v>
      </c>
      <c r="W45" s="132"/>
    </row>
    <row r="46" spans="2:25" ht="12" customHeight="1" x14ac:dyDescent="0.3">
      <c r="B46" s="1"/>
      <c r="C46" s="1"/>
      <c r="D46" s="23" t="s">
        <v>33</v>
      </c>
      <c r="E46" s="24" t="s">
        <v>54</v>
      </c>
      <c r="F46" s="9">
        <f>1.2*C3</f>
        <v>14400</v>
      </c>
      <c r="G46" s="240">
        <f t="shared" si="0"/>
        <v>10</v>
      </c>
      <c r="I46">
        <v>24</v>
      </c>
      <c r="J46" s="132">
        <v>1</v>
      </c>
      <c r="K46">
        <v>0</v>
      </c>
      <c r="L46" s="132">
        <v>1</v>
      </c>
      <c r="M46" s="132">
        <v>1</v>
      </c>
      <c r="N46">
        <v>0</v>
      </c>
      <c r="O46" s="132">
        <v>1</v>
      </c>
      <c r="P46">
        <v>0</v>
      </c>
      <c r="Q46" s="132">
        <v>1</v>
      </c>
      <c r="R46" s="132">
        <v>1</v>
      </c>
      <c r="S46">
        <v>0</v>
      </c>
      <c r="T46" s="132">
        <v>0</v>
      </c>
      <c r="U46" s="132">
        <v>1</v>
      </c>
      <c r="V46" s="132">
        <v>0</v>
      </c>
      <c r="W46" s="132"/>
    </row>
    <row r="47" spans="2:25" ht="12" customHeight="1" x14ac:dyDescent="0.3">
      <c r="B47" s="1"/>
      <c r="C47" s="1"/>
      <c r="D47" s="23"/>
      <c r="E47" s="11" t="s">
        <v>17</v>
      </c>
      <c r="F47" s="1"/>
      <c r="G47" s="10"/>
      <c r="I47">
        <v>25</v>
      </c>
      <c r="J47" s="132">
        <v>1</v>
      </c>
      <c r="K47">
        <v>0</v>
      </c>
      <c r="L47" s="132">
        <v>1</v>
      </c>
      <c r="M47">
        <v>0</v>
      </c>
      <c r="N47" s="132">
        <v>1</v>
      </c>
      <c r="O47">
        <v>0</v>
      </c>
      <c r="P47" s="132">
        <v>1</v>
      </c>
      <c r="Q47">
        <v>0</v>
      </c>
      <c r="R47" s="132">
        <v>1</v>
      </c>
      <c r="S47" s="132">
        <v>1</v>
      </c>
      <c r="T47" s="132">
        <v>1</v>
      </c>
      <c r="U47" s="144">
        <v>0</v>
      </c>
      <c r="V47" s="132">
        <v>0</v>
      </c>
      <c r="W47" s="132"/>
    </row>
    <row r="48" spans="2:25" ht="12" customHeight="1" x14ac:dyDescent="0.3">
      <c r="B48" s="1"/>
      <c r="C48" s="1"/>
      <c r="D48" s="23" t="s">
        <v>35</v>
      </c>
      <c r="E48" s="24" t="s">
        <v>56</v>
      </c>
      <c r="F48" s="9">
        <f>1.2*C3</f>
        <v>14400</v>
      </c>
      <c r="G48" s="10">
        <f t="shared" si="0"/>
        <v>10</v>
      </c>
      <c r="I48">
        <v>26</v>
      </c>
      <c r="J48" s="132">
        <v>1</v>
      </c>
      <c r="K48">
        <v>0</v>
      </c>
      <c r="L48" s="132">
        <v>1</v>
      </c>
      <c r="M48">
        <v>0</v>
      </c>
      <c r="N48" s="132">
        <v>1</v>
      </c>
      <c r="O48">
        <v>0</v>
      </c>
      <c r="P48" s="132">
        <v>1</v>
      </c>
      <c r="Q48">
        <v>0</v>
      </c>
      <c r="R48" s="132">
        <v>1</v>
      </c>
      <c r="S48" s="132">
        <v>1</v>
      </c>
      <c r="T48" s="132">
        <v>0</v>
      </c>
      <c r="U48" s="145">
        <v>0</v>
      </c>
      <c r="V48" s="132">
        <v>0</v>
      </c>
      <c r="W48" s="132"/>
    </row>
    <row r="49" spans="2:28" ht="12" customHeight="1" x14ac:dyDescent="0.3">
      <c r="B49" s="1"/>
      <c r="C49" s="1"/>
      <c r="D49" s="25"/>
      <c r="E49" s="1"/>
      <c r="F49" s="1"/>
      <c r="G49" s="10"/>
      <c r="I49">
        <v>27</v>
      </c>
      <c r="J49" s="132">
        <v>1</v>
      </c>
      <c r="K49">
        <v>0</v>
      </c>
      <c r="L49" s="132">
        <v>1</v>
      </c>
      <c r="M49">
        <v>0</v>
      </c>
      <c r="N49" s="132">
        <v>1</v>
      </c>
      <c r="O49">
        <v>0</v>
      </c>
      <c r="P49">
        <v>0</v>
      </c>
      <c r="Q49" s="132">
        <v>1</v>
      </c>
      <c r="R49" s="132">
        <v>1</v>
      </c>
      <c r="S49" s="132">
        <v>1</v>
      </c>
      <c r="T49" s="132">
        <v>1</v>
      </c>
      <c r="U49" s="144">
        <v>0</v>
      </c>
      <c r="V49" s="132">
        <v>0</v>
      </c>
      <c r="W49" s="132"/>
    </row>
    <row r="50" spans="2:28" ht="12" customHeight="1" thickBot="1" x14ac:dyDescent="0.35">
      <c r="B50" s="1"/>
      <c r="C50" s="1"/>
      <c r="D50" s="25"/>
      <c r="E50" s="26"/>
      <c r="F50" s="13"/>
      <c r="G50" s="10"/>
      <c r="I50">
        <v>28</v>
      </c>
      <c r="J50" s="132">
        <v>1</v>
      </c>
      <c r="K50">
        <v>0</v>
      </c>
      <c r="L50" s="132">
        <v>1</v>
      </c>
      <c r="M50">
        <v>0</v>
      </c>
      <c r="N50" s="132">
        <v>1</v>
      </c>
      <c r="O50">
        <v>0</v>
      </c>
      <c r="P50">
        <v>0</v>
      </c>
      <c r="Q50" s="132">
        <v>1</v>
      </c>
      <c r="R50" s="132">
        <v>1</v>
      </c>
      <c r="S50" s="132">
        <v>1</v>
      </c>
      <c r="T50" s="132">
        <v>0</v>
      </c>
      <c r="U50" s="145">
        <v>0</v>
      </c>
      <c r="V50" s="132">
        <v>1</v>
      </c>
      <c r="W50" s="132"/>
    </row>
    <row r="51" spans="2:28" ht="12" customHeight="1" x14ac:dyDescent="0.3">
      <c r="B51" s="1"/>
      <c r="C51" s="1"/>
      <c r="D51" s="27" t="s">
        <v>59</v>
      </c>
      <c r="E51" s="28"/>
      <c r="F51" s="6"/>
      <c r="G51" s="10"/>
      <c r="I51">
        <v>29</v>
      </c>
      <c r="J51" s="132">
        <v>1</v>
      </c>
      <c r="K51">
        <v>0</v>
      </c>
      <c r="L51" s="132">
        <v>1</v>
      </c>
      <c r="M51">
        <v>0</v>
      </c>
      <c r="N51">
        <v>0</v>
      </c>
      <c r="O51" s="132">
        <v>1</v>
      </c>
      <c r="P51" s="132">
        <v>1</v>
      </c>
      <c r="Q51">
        <v>0</v>
      </c>
      <c r="R51" s="132">
        <v>1</v>
      </c>
      <c r="S51">
        <v>0</v>
      </c>
      <c r="T51" s="132">
        <v>0</v>
      </c>
      <c r="U51" s="132">
        <v>1</v>
      </c>
      <c r="V51" s="132">
        <v>0</v>
      </c>
      <c r="W51" s="132"/>
    </row>
    <row r="52" spans="2:28" ht="12" customHeight="1" x14ac:dyDescent="0.3">
      <c r="B52" s="1"/>
      <c r="C52" s="1"/>
      <c r="D52" s="23" t="s">
        <v>33</v>
      </c>
      <c r="E52" s="24" t="s">
        <v>56</v>
      </c>
      <c r="F52" s="9">
        <f>1.2*C3</f>
        <v>14400</v>
      </c>
      <c r="G52" s="241">
        <f t="shared" si="0"/>
        <v>10</v>
      </c>
      <c r="I52">
        <v>30</v>
      </c>
      <c r="J52" s="132">
        <v>1</v>
      </c>
      <c r="K52">
        <v>0</v>
      </c>
      <c r="L52" s="132">
        <v>1</v>
      </c>
      <c r="M52">
        <v>0</v>
      </c>
      <c r="N52">
        <v>0</v>
      </c>
      <c r="O52" s="132">
        <v>1</v>
      </c>
      <c r="P52" s="132">
        <v>1</v>
      </c>
      <c r="Q52">
        <v>0</v>
      </c>
      <c r="R52" s="132">
        <v>1</v>
      </c>
      <c r="S52">
        <v>0</v>
      </c>
      <c r="T52" s="132">
        <v>0</v>
      </c>
      <c r="U52" s="132">
        <v>1</v>
      </c>
      <c r="V52" s="132">
        <v>1</v>
      </c>
      <c r="W52" s="132"/>
    </row>
    <row r="53" spans="2:28" ht="12" customHeight="1" x14ac:dyDescent="0.3">
      <c r="B53" s="1"/>
      <c r="C53" s="1"/>
      <c r="D53" s="23"/>
      <c r="E53" s="11" t="s">
        <v>17</v>
      </c>
      <c r="F53" s="11" t="s">
        <v>18</v>
      </c>
      <c r="G53" s="10"/>
      <c r="I53">
        <v>31</v>
      </c>
      <c r="J53" s="132">
        <v>1</v>
      </c>
      <c r="K53">
        <v>0</v>
      </c>
      <c r="L53" s="132">
        <v>1</v>
      </c>
      <c r="M53">
        <v>0</v>
      </c>
      <c r="N53">
        <v>0</v>
      </c>
      <c r="O53" s="132">
        <v>1</v>
      </c>
      <c r="P53">
        <v>0</v>
      </c>
      <c r="Q53" s="132">
        <v>1</v>
      </c>
      <c r="R53" s="132">
        <v>1</v>
      </c>
      <c r="S53">
        <v>0</v>
      </c>
      <c r="T53" s="132">
        <v>0</v>
      </c>
      <c r="U53" s="132">
        <v>1</v>
      </c>
      <c r="V53" s="132">
        <v>0</v>
      </c>
      <c r="W53" s="132"/>
    </row>
    <row r="54" spans="2:28" ht="12" customHeight="1" x14ac:dyDescent="0.3">
      <c r="B54" s="1"/>
      <c r="C54" s="1"/>
      <c r="D54" s="23" t="s">
        <v>35</v>
      </c>
      <c r="E54" s="29" t="s">
        <v>54</v>
      </c>
      <c r="F54" s="9">
        <f>1.2*C3</f>
        <v>14400</v>
      </c>
      <c r="G54" s="10">
        <f t="shared" si="0"/>
        <v>10</v>
      </c>
      <c r="I54">
        <v>32</v>
      </c>
      <c r="J54" s="132">
        <v>1</v>
      </c>
      <c r="K54">
        <v>0</v>
      </c>
      <c r="L54" s="132">
        <v>1</v>
      </c>
      <c r="M54">
        <v>0</v>
      </c>
      <c r="N54">
        <v>0</v>
      </c>
      <c r="O54" s="132">
        <v>1</v>
      </c>
      <c r="P54">
        <v>0</v>
      </c>
      <c r="Q54" s="132">
        <v>1</v>
      </c>
      <c r="R54" s="132">
        <v>1</v>
      </c>
      <c r="S54">
        <v>0</v>
      </c>
      <c r="T54" s="132">
        <v>0</v>
      </c>
      <c r="U54" s="132">
        <v>1</v>
      </c>
      <c r="V54" s="132">
        <v>0</v>
      </c>
      <c r="W54" s="132"/>
    </row>
    <row r="55" spans="2:28" ht="12" customHeight="1" x14ac:dyDescent="0.3">
      <c r="B55" s="1"/>
      <c r="C55" s="1"/>
      <c r="D55" s="25"/>
      <c r="E55" s="30"/>
      <c r="F55" s="1"/>
      <c r="G55" s="10"/>
      <c r="I55" s="341"/>
      <c r="J55" s="341"/>
      <c r="K55" s="341"/>
      <c r="L55" s="341"/>
      <c r="M55" s="341"/>
      <c r="N55" s="341"/>
      <c r="O55" s="341"/>
      <c r="P55" s="341"/>
      <c r="Q55" s="341"/>
      <c r="R55" s="341"/>
      <c r="S55" s="341"/>
      <c r="T55" s="341"/>
      <c r="U55" s="341"/>
      <c r="V55" s="341"/>
    </row>
    <row r="56" spans="2:28" ht="12" customHeight="1" thickBot="1" x14ac:dyDescent="0.35">
      <c r="B56" s="1"/>
      <c r="C56" s="1"/>
      <c r="D56" s="289"/>
      <c r="E56" s="290"/>
      <c r="F56" s="13"/>
      <c r="G56" s="10"/>
      <c r="I56" s="132" t="s">
        <v>211</v>
      </c>
      <c r="J56" s="132" t="s">
        <v>212</v>
      </c>
      <c r="K56" s="132" t="s">
        <v>213</v>
      </c>
      <c r="L56" s="132" t="s">
        <v>214</v>
      </c>
      <c r="M56" s="132" t="s">
        <v>215</v>
      </c>
      <c r="N56" s="132" t="s">
        <v>125</v>
      </c>
      <c r="O56" s="132" t="s">
        <v>126</v>
      </c>
      <c r="P56" s="132" t="s">
        <v>92</v>
      </c>
      <c r="Q56" s="132" t="s">
        <v>127</v>
      </c>
      <c r="R56" s="132" t="s">
        <v>222</v>
      </c>
      <c r="S56" s="132" t="s">
        <v>128</v>
      </c>
      <c r="T56" s="132" t="s">
        <v>223</v>
      </c>
      <c r="U56" s="132" t="s">
        <v>129</v>
      </c>
      <c r="V56" s="132" t="s">
        <v>216</v>
      </c>
      <c r="W56" s="198" t="s">
        <v>217</v>
      </c>
      <c r="X56" t="s">
        <v>220</v>
      </c>
      <c r="Y56" t="s">
        <v>221</v>
      </c>
      <c r="Z56" t="s">
        <v>113</v>
      </c>
      <c r="AA56" t="s">
        <v>218</v>
      </c>
      <c r="AB56" t="s">
        <v>219</v>
      </c>
    </row>
    <row r="57" spans="2:28" ht="12" customHeight="1" x14ac:dyDescent="0.3">
      <c r="B57" s="1"/>
      <c r="C57" s="1"/>
      <c r="D57" s="31" t="s">
        <v>60</v>
      </c>
      <c r="E57" s="26"/>
      <c r="F57" s="6"/>
      <c r="G57" s="10"/>
      <c r="I57">
        <v>1</v>
      </c>
      <c r="J57" s="132">
        <v>1</v>
      </c>
      <c r="K57" s="132">
        <v>0.1</v>
      </c>
      <c r="L57" s="132">
        <v>1</v>
      </c>
      <c r="M57" s="132">
        <v>0.15</v>
      </c>
      <c r="N57" s="132">
        <v>0.6</v>
      </c>
      <c r="P57" s="132">
        <v>0.8</v>
      </c>
      <c r="R57" s="132">
        <v>1</v>
      </c>
      <c r="S57" s="132">
        <v>1</v>
      </c>
      <c r="T57" s="132">
        <v>0.03</v>
      </c>
      <c r="W57" s="242"/>
      <c r="X57" s="133">
        <f>PRODUCT(Tabella578[[#This Row],[CHECK-IN 1]:[SCRAP2]])</f>
        <v>2.1599999999999999E-4</v>
      </c>
      <c r="Y57" s="201"/>
      <c r="Z57" cm="1">
        <f t="array" ref="Z57">MMULT(J23:V23,$Y$23:$Y$35)</f>
        <v>14.194679858273689</v>
      </c>
      <c r="AA57" s="135">
        <v>0</v>
      </c>
      <c r="AB57">
        <f>Tabella578[[#This Row],[Ws '[min']]]*Tabella578[[#This Row],[Frequency Adj]]</f>
        <v>0</v>
      </c>
    </row>
    <row r="58" spans="2:28" ht="12" customHeight="1" x14ac:dyDescent="0.3">
      <c r="B58" s="1"/>
      <c r="C58" s="1"/>
      <c r="D58" s="23" t="s">
        <v>33</v>
      </c>
      <c r="E58" s="24" t="s">
        <v>51</v>
      </c>
      <c r="F58" s="9">
        <f>C3+C4+C5</f>
        <v>78320</v>
      </c>
      <c r="G58" s="10">
        <f t="shared" ref="G58" si="3">F58/(24*60)</f>
        <v>54.388888888888886</v>
      </c>
      <c r="I58">
        <v>2</v>
      </c>
      <c r="J58" s="132">
        <v>1</v>
      </c>
      <c r="K58" s="132">
        <v>0.1</v>
      </c>
      <c r="L58" s="132">
        <v>1</v>
      </c>
      <c r="M58" s="132">
        <v>0.15</v>
      </c>
      <c r="N58" s="132">
        <v>0.6</v>
      </c>
      <c r="P58" s="132">
        <v>0.8</v>
      </c>
      <c r="R58" s="132">
        <v>1</v>
      </c>
      <c r="S58" s="132">
        <v>1</v>
      </c>
      <c r="T58">
        <v>0.97</v>
      </c>
      <c r="W58" s="243"/>
      <c r="X58" s="134">
        <f>PRODUCT(Tabella578[[#This Row],[CHECK-IN 1]:[SCRAP2]])</f>
        <v>6.9839999999999998E-3</v>
      </c>
      <c r="Y58" s="201"/>
      <c r="Z58" cm="1">
        <f t="array" ref="Z58">MMULT(J24:V24,$Y$23:$Y$35)</f>
        <v>14.194679858273689</v>
      </c>
      <c r="AA58" s="135">
        <f>Tabella578[[#This Row],[Frequency results]]/Tabella578[[#Totals],[Ws computations]]</f>
        <v>7.2598752598752592E-3</v>
      </c>
      <c r="AB58">
        <f>Tabella578[[#This Row],[Ws '[min']]]*Tabella578[[#This Row],[Frequency Adj]]</f>
        <v>0.10305160512493081</v>
      </c>
    </row>
    <row r="59" spans="2:28" ht="12" customHeight="1" x14ac:dyDescent="0.3">
      <c r="B59" s="1"/>
      <c r="C59" s="1"/>
      <c r="D59" s="23"/>
      <c r="E59" s="11" t="s">
        <v>17</v>
      </c>
      <c r="F59" s="11" t="s">
        <v>18</v>
      </c>
      <c r="G59" s="10"/>
      <c r="I59">
        <v>3</v>
      </c>
      <c r="J59" s="132">
        <v>1</v>
      </c>
      <c r="K59" s="132">
        <v>0.1</v>
      </c>
      <c r="L59" s="132">
        <v>1</v>
      </c>
      <c r="M59" s="132">
        <v>0.15</v>
      </c>
      <c r="N59" s="132">
        <v>0.6</v>
      </c>
      <c r="Q59" s="132">
        <v>0.2</v>
      </c>
      <c r="R59" s="132">
        <v>1</v>
      </c>
      <c r="S59" s="132">
        <v>1</v>
      </c>
      <c r="T59" s="132">
        <v>0.03</v>
      </c>
      <c r="W59" s="243"/>
      <c r="X59" s="134">
        <f>PRODUCT(Tabella578[[#This Row],[CHECK-IN 1]:[SCRAP2]])</f>
        <v>5.3999999999999998E-5</v>
      </c>
      <c r="Y59" s="201"/>
      <c r="Z59" cm="1">
        <f t="array" ref="Z59">MMULT(J25:V25,$Y$23:$Y$35)</f>
        <v>13.962349439152568</v>
      </c>
      <c r="AA59" s="135">
        <v>0</v>
      </c>
      <c r="AB59">
        <f>Tabella578[[#This Row],[Ws '[min']]]*Tabella578[[#This Row],[Frequency Adj]]</f>
        <v>0</v>
      </c>
    </row>
    <row r="60" spans="2:28" ht="12" customHeight="1" x14ac:dyDescent="0.3">
      <c r="B60" s="1"/>
      <c r="C60" s="1"/>
      <c r="D60" s="23" t="s">
        <v>35</v>
      </c>
      <c r="E60" s="24" t="s">
        <v>39</v>
      </c>
      <c r="F60" s="9">
        <f>C3+C4+C5</f>
        <v>78320</v>
      </c>
      <c r="G60" s="10">
        <f t="shared" ref="G60" si="4">F60/(24*60)</f>
        <v>54.388888888888886</v>
      </c>
      <c r="I60">
        <v>4</v>
      </c>
      <c r="J60" s="132">
        <v>1</v>
      </c>
      <c r="K60" s="132">
        <v>0.1</v>
      </c>
      <c r="L60" s="132">
        <v>1</v>
      </c>
      <c r="M60" s="132">
        <v>0.15</v>
      </c>
      <c r="N60" s="132">
        <v>0.6</v>
      </c>
      <c r="Q60" s="132">
        <v>0.2</v>
      </c>
      <c r="R60" s="132">
        <v>1</v>
      </c>
      <c r="S60" s="132">
        <v>1</v>
      </c>
      <c r="T60">
        <v>0.97</v>
      </c>
      <c r="W60" s="243"/>
      <c r="X60" s="134">
        <f>PRODUCT(Tabella578[[#This Row],[CHECK-IN 1]:[SCRAP2]])</f>
        <v>1.7459999999999999E-3</v>
      </c>
      <c r="Y60" s="201"/>
      <c r="Z60" cm="1">
        <f t="array" ref="Z60">MMULT(J26:V26,$Y$23:$Y$35)</f>
        <v>13.962349439152568</v>
      </c>
      <c r="AA60" s="135">
        <f>Tabella578[[#This Row],[Frequency results]]/Tabella578[[#Totals],[Ws computations]]</f>
        <v>1.8149688149688148E-3</v>
      </c>
      <c r="AB60">
        <f>Tabella578[[#This Row],[Ws '[min']]]*Tabella578[[#This Row],[Frequency Adj]]</f>
        <v>2.5341228815759231E-2</v>
      </c>
    </row>
    <row r="61" spans="2:28" ht="12" customHeight="1" x14ac:dyDescent="0.3">
      <c r="B61" s="1"/>
      <c r="C61" s="1"/>
      <c r="D61" s="25"/>
      <c r="E61" s="1"/>
      <c r="F61" s="1"/>
      <c r="G61" s="10"/>
      <c r="I61">
        <v>5</v>
      </c>
      <c r="J61" s="132">
        <v>1</v>
      </c>
      <c r="K61" s="132">
        <v>0.1</v>
      </c>
      <c r="L61" s="132">
        <v>1</v>
      </c>
      <c r="M61" s="132">
        <v>0.15</v>
      </c>
      <c r="O61" s="132">
        <v>0.4</v>
      </c>
      <c r="P61" s="132">
        <v>0.8</v>
      </c>
      <c r="R61" s="132">
        <v>1</v>
      </c>
      <c r="U61" s="132">
        <v>1</v>
      </c>
      <c r="V61" s="132">
        <v>0.05</v>
      </c>
      <c r="W61" s="243"/>
      <c r="X61" s="134">
        <f>PRODUCT(Tabella578[[#This Row],[CHECK-IN 1]:[SCRAP2]])</f>
        <v>2.4000000000000003E-4</v>
      </c>
      <c r="Y61" s="201"/>
      <c r="Z61" cm="1">
        <f t="array" ref="Z61">MMULT(J27:V27,$Y$23:$Y$35)</f>
        <v>8.1993424263066821</v>
      </c>
      <c r="AA61" s="135">
        <v>0</v>
      </c>
      <c r="AB61">
        <f>Tabella578[[#This Row],[Ws '[min']]]*Tabella578[[#This Row],[Frequency Adj]]</f>
        <v>0</v>
      </c>
    </row>
    <row r="62" spans="2:28" ht="12" customHeight="1" thickBot="1" x14ac:dyDescent="0.35">
      <c r="B62" s="1"/>
      <c r="C62" s="1"/>
      <c r="D62" s="25"/>
      <c r="E62" s="26"/>
      <c r="F62" s="13"/>
      <c r="G62" s="10"/>
      <c r="I62">
        <v>6</v>
      </c>
      <c r="J62" s="132">
        <v>1</v>
      </c>
      <c r="K62" s="132">
        <v>0.1</v>
      </c>
      <c r="L62" s="132">
        <v>1</v>
      </c>
      <c r="M62" s="132">
        <v>0.15</v>
      </c>
      <c r="O62" s="132">
        <v>0.4</v>
      </c>
      <c r="P62" s="132">
        <v>0.8</v>
      </c>
      <c r="R62" s="132">
        <v>1</v>
      </c>
      <c r="U62" s="132">
        <v>1</v>
      </c>
      <c r="V62">
        <v>0.95</v>
      </c>
      <c r="W62" s="243"/>
      <c r="X62" s="134">
        <f>PRODUCT(Tabella578[[#This Row],[CHECK-IN 1]:[SCRAP2]])</f>
        <v>4.5599999999999998E-3</v>
      </c>
      <c r="Y62" s="201"/>
      <c r="Z62" cm="1">
        <f t="array" ref="Z62">MMULT(J28:V28,$Y$23:$Y$35)</f>
        <v>14.915760336754435</v>
      </c>
      <c r="AA62" s="135">
        <f>Tabella578[[#This Row],[Frequency results]]/Tabella578[[#Totals],[Ws computations]]</f>
        <v>4.7401247401247393E-3</v>
      </c>
      <c r="AB62">
        <f>Tabella578[[#This Row],[Ws '[min']]]*Tabella578[[#This Row],[Frequency Adj]]</f>
        <v>7.0702564590021014E-2</v>
      </c>
    </row>
    <row r="63" spans="2:28" ht="12" customHeight="1" x14ac:dyDescent="0.3">
      <c r="B63" s="1"/>
      <c r="C63" s="1"/>
      <c r="D63" s="27" t="s">
        <v>63</v>
      </c>
      <c r="E63" s="28"/>
      <c r="F63" s="6"/>
      <c r="G63" s="10"/>
      <c r="I63">
        <v>7</v>
      </c>
      <c r="J63" s="132">
        <v>1</v>
      </c>
      <c r="K63" s="132">
        <v>0.1</v>
      </c>
      <c r="L63" s="132">
        <v>1</v>
      </c>
      <c r="M63" s="132">
        <v>0.15</v>
      </c>
      <c r="O63" s="132">
        <v>0.4</v>
      </c>
      <c r="Q63" s="132">
        <v>0.2</v>
      </c>
      <c r="R63" s="132">
        <v>1</v>
      </c>
      <c r="U63" s="132">
        <v>1</v>
      </c>
      <c r="V63" s="132">
        <v>0.05</v>
      </c>
      <c r="W63" s="243"/>
      <c r="X63" s="134">
        <f>PRODUCT(Tabella578[[#This Row],[CHECK-IN 1]:[SCRAP2]])</f>
        <v>6.0000000000000008E-5</v>
      </c>
      <c r="Y63" s="201"/>
      <c r="Z63" cm="1">
        <f t="array" ref="Z63">MMULT(J29:V29,$Y$23:$Y$35)</f>
        <v>14.683429917633314</v>
      </c>
      <c r="AA63" s="135">
        <v>0</v>
      </c>
      <c r="AB63">
        <f>Tabella578[[#This Row],[Ws '[min']]]*Tabella578[[#This Row],[Frequency Adj]]</f>
        <v>0</v>
      </c>
    </row>
    <row r="64" spans="2:28" ht="12" customHeight="1" x14ac:dyDescent="0.3">
      <c r="B64" s="1"/>
      <c r="C64" s="1"/>
      <c r="D64" s="23" t="s">
        <v>33</v>
      </c>
      <c r="E64" s="24" t="s">
        <v>39</v>
      </c>
      <c r="F64" s="9">
        <f>C3+C4+C5</f>
        <v>78320</v>
      </c>
      <c r="G64" s="10">
        <f t="shared" ref="G64" si="5">F64/(24*60)</f>
        <v>54.388888888888886</v>
      </c>
      <c r="I64">
        <v>8</v>
      </c>
      <c r="J64" s="132">
        <v>1</v>
      </c>
      <c r="K64" s="132">
        <v>0.1</v>
      </c>
      <c r="L64" s="132">
        <v>1</v>
      </c>
      <c r="M64" s="132">
        <v>0.15</v>
      </c>
      <c r="O64" s="132">
        <v>0.4</v>
      </c>
      <c r="Q64" s="132">
        <v>0.2</v>
      </c>
      <c r="R64" s="132">
        <v>1</v>
      </c>
      <c r="U64" s="132">
        <v>1</v>
      </c>
      <c r="V64">
        <v>0.95</v>
      </c>
      <c r="W64" s="243"/>
      <c r="X64" s="134">
        <f>PRODUCT(Tabella578[[#This Row],[CHECK-IN 1]:[SCRAP2]])</f>
        <v>1.14E-3</v>
      </c>
      <c r="Y64" s="201"/>
      <c r="Z64" cm="1">
        <f t="array" ref="Z64">MMULT(J30:V30,$Y$23:$Y$35)</f>
        <v>14.683429917633314</v>
      </c>
      <c r="AA64" s="135">
        <f>Tabella578[[#This Row],[Frequency results]]/Tabella578[[#Totals],[Ws computations]]</f>
        <v>1.1850311850311848E-3</v>
      </c>
      <c r="AB64">
        <f>Tabella578[[#This Row],[Ws '[min']]]*Tabella578[[#This Row],[Frequency Adj]]</f>
        <v>1.7400322355615359E-2</v>
      </c>
    </row>
    <row r="65" spans="2:28" ht="12" customHeight="1" x14ac:dyDescent="0.3">
      <c r="B65" s="1"/>
      <c r="C65" s="1"/>
      <c r="D65" s="23"/>
      <c r="E65" s="11" t="s">
        <v>17</v>
      </c>
      <c r="F65" s="11" t="s">
        <v>18</v>
      </c>
      <c r="G65" s="10"/>
      <c r="I65">
        <v>9</v>
      </c>
      <c r="J65" s="132">
        <v>1</v>
      </c>
      <c r="K65" s="132">
        <v>0.1</v>
      </c>
      <c r="L65" s="132">
        <v>1</v>
      </c>
      <c r="M65">
        <v>0.85</v>
      </c>
      <c r="N65" s="132">
        <v>0.6</v>
      </c>
      <c r="P65" s="132">
        <v>0.8</v>
      </c>
      <c r="R65" s="132">
        <v>1</v>
      </c>
      <c r="S65" s="132">
        <v>1</v>
      </c>
      <c r="T65" s="132">
        <v>0.03</v>
      </c>
      <c r="W65" s="243"/>
      <c r="X65" s="134">
        <f>PRODUCT(Tabella578[[#This Row],[CHECK-IN 1]:[SCRAP2]])</f>
        <v>1.224E-3</v>
      </c>
      <c r="Y65" s="201"/>
      <c r="Z65" cm="1">
        <f t="array" ref="Z65">MMULT(J31:V31,$Y$23:$Y$35)</f>
        <v>13.366881821657755</v>
      </c>
      <c r="AA65" s="135">
        <v>0</v>
      </c>
      <c r="AB65">
        <f>Tabella578[[#This Row],[Ws '[min']]]*Tabella578[[#This Row],[Frequency Adj]]</f>
        <v>0</v>
      </c>
    </row>
    <row r="66" spans="2:28" ht="12" customHeight="1" x14ac:dyDescent="0.3">
      <c r="B66" s="1"/>
      <c r="C66" s="1"/>
      <c r="D66" s="23" t="s">
        <v>35</v>
      </c>
      <c r="E66" s="24" t="s">
        <v>41</v>
      </c>
      <c r="F66" s="9">
        <f>C3+C4+C5</f>
        <v>78320</v>
      </c>
      <c r="G66" s="10">
        <f t="shared" ref="G66" si="6">F66/(24*60)</f>
        <v>54.388888888888886</v>
      </c>
      <c r="I66">
        <v>10</v>
      </c>
      <c r="J66" s="132">
        <v>1</v>
      </c>
      <c r="K66" s="132">
        <v>0.1</v>
      </c>
      <c r="L66" s="132">
        <v>1</v>
      </c>
      <c r="M66">
        <v>0.85</v>
      </c>
      <c r="N66" s="132">
        <v>0.6</v>
      </c>
      <c r="P66" s="132">
        <v>0.8</v>
      </c>
      <c r="R66" s="132">
        <v>1</v>
      </c>
      <c r="S66" s="132">
        <v>1</v>
      </c>
      <c r="T66">
        <v>0.97</v>
      </c>
      <c r="W66" s="243"/>
      <c r="X66" s="134">
        <f>PRODUCT(Tabella578[[#This Row],[CHECK-IN 1]:[SCRAP2]])</f>
        <v>3.9576E-2</v>
      </c>
      <c r="Y66" s="201"/>
      <c r="Z66" cm="1">
        <f t="array" ref="Z66">MMULT(J32:V32,$Y$23:$Y$35)</f>
        <v>13.366881821657755</v>
      </c>
      <c r="AA66" s="135">
        <f>Tabella578[[#This Row],[Frequency results]]/Tabella578[[#Totals],[Ws computations]]</f>
        <v>4.1139293139293133E-2</v>
      </c>
      <c r="AB66">
        <f>Tabella578[[#This Row],[Ws '[min']]]*Tabella578[[#This Row],[Frequency Adj]]</f>
        <v>0.54990406961946692</v>
      </c>
    </row>
    <row r="67" spans="2:28" ht="12" customHeight="1" x14ac:dyDescent="0.3">
      <c r="B67" s="1"/>
      <c r="C67" s="1"/>
      <c r="D67" s="25"/>
      <c r="E67" s="1"/>
      <c r="F67" s="1"/>
      <c r="G67" s="10"/>
      <c r="I67">
        <v>11</v>
      </c>
      <c r="J67" s="132">
        <v>1</v>
      </c>
      <c r="K67" s="132">
        <v>0.1</v>
      </c>
      <c r="L67" s="132">
        <v>1</v>
      </c>
      <c r="M67">
        <v>0.85</v>
      </c>
      <c r="N67" s="132">
        <v>0.6</v>
      </c>
      <c r="Q67" s="132">
        <v>0.2</v>
      </c>
      <c r="R67" s="132">
        <v>1</v>
      </c>
      <c r="S67" s="132">
        <v>1</v>
      </c>
      <c r="T67" s="132">
        <v>0.03</v>
      </c>
      <c r="W67" s="243"/>
      <c r="X67" s="134">
        <f>PRODUCT(Tabella578[[#This Row],[CHECK-IN 1]:[SCRAP2]])</f>
        <v>3.0600000000000001E-4</v>
      </c>
      <c r="Y67" s="201"/>
      <c r="Z67" cm="1">
        <f t="array" ref="Z67">MMULT(J33:V33,$Y$23:$Y$35)</f>
        <v>13.134551402536632</v>
      </c>
      <c r="AA67" s="135">
        <v>0</v>
      </c>
      <c r="AB67">
        <f>Tabella578[[#This Row],[Ws '[min']]]*Tabella578[[#This Row],[Frequency Adj]]</f>
        <v>0</v>
      </c>
    </row>
    <row r="68" spans="2:28" ht="12" customHeight="1" thickBot="1" x14ac:dyDescent="0.35">
      <c r="B68" s="1"/>
      <c r="C68" s="1"/>
      <c r="D68" s="25"/>
      <c r="E68" s="26"/>
      <c r="F68" s="13"/>
      <c r="G68" s="10"/>
      <c r="I68">
        <v>12</v>
      </c>
      <c r="J68" s="132">
        <v>1</v>
      </c>
      <c r="K68" s="132">
        <v>0.1</v>
      </c>
      <c r="L68" s="132">
        <v>1</v>
      </c>
      <c r="M68">
        <v>0.85</v>
      </c>
      <c r="N68" s="132">
        <v>0.6</v>
      </c>
      <c r="Q68" s="132">
        <v>0.2</v>
      </c>
      <c r="R68" s="132">
        <v>1</v>
      </c>
      <c r="S68" s="132">
        <v>1</v>
      </c>
      <c r="T68">
        <v>0.97</v>
      </c>
      <c r="W68" s="243"/>
      <c r="X68" s="134">
        <f>PRODUCT(Tabella578[[#This Row],[CHECK-IN 1]:[SCRAP2]])</f>
        <v>9.894E-3</v>
      </c>
      <c r="Y68" s="201"/>
      <c r="Z68" cm="1">
        <f t="array" ref="Z68">MMULT(J34:V34,$Y$23:$Y$35)</f>
        <v>13.134551402536632</v>
      </c>
      <c r="AA68" s="135">
        <f>Tabella578[[#This Row],[Frequency results]]/Tabella578[[#Totals],[Ws computations]]</f>
        <v>1.0284823284823283E-2</v>
      </c>
      <c r="AB68">
        <f>Tabella578[[#This Row],[Ws '[min']]]*Tabella578[[#This Row],[Frequency Adj]]</f>
        <v>0.13508654010051707</v>
      </c>
    </row>
    <row r="69" spans="2:28" ht="12" customHeight="1" x14ac:dyDescent="0.3">
      <c r="B69" s="1"/>
      <c r="C69" s="1"/>
      <c r="D69" s="27" t="s">
        <v>66</v>
      </c>
      <c r="E69" s="28"/>
      <c r="F69" s="6"/>
      <c r="G69" s="10"/>
      <c r="I69">
        <v>13</v>
      </c>
      <c r="J69" s="132">
        <v>1</v>
      </c>
      <c r="K69" s="132">
        <v>0.1</v>
      </c>
      <c r="L69" s="132">
        <v>1</v>
      </c>
      <c r="M69">
        <v>0.85</v>
      </c>
      <c r="O69" s="132">
        <v>0.4</v>
      </c>
      <c r="P69" s="132">
        <v>0.8</v>
      </c>
      <c r="R69" s="132">
        <v>1</v>
      </c>
      <c r="U69" s="132">
        <v>1</v>
      </c>
      <c r="V69" s="132">
        <v>0.05</v>
      </c>
      <c r="W69" s="243"/>
      <c r="X69" s="134">
        <f>PRODUCT(Tabella578[[#This Row],[CHECK-IN 1]:[SCRAP2]])</f>
        <v>1.3600000000000001E-3</v>
      </c>
      <c r="Y69" s="201"/>
      <c r="Z69" cm="1">
        <f t="array" ref="Z69">MMULT(J35:V35,$Y$23:$Y$35)</f>
        <v>14.0879623001385</v>
      </c>
      <c r="AA69" s="135">
        <v>0</v>
      </c>
      <c r="AB69">
        <f>Tabella578[[#This Row],[Ws '[min']]]*Tabella578[[#This Row],[Frequency Adj]]</f>
        <v>0</v>
      </c>
    </row>
    <row r="70" spans="2:28" ht="12" customHeight="1" x14ac:dyDescent="0.3">
      <c r="B70" s="1"/>
      <c r="C70" s="1"/>
      <c r="D70" s="23" t="s">
        <v>33</v>
      </c>
      <c r="E70" s="24" t="s">
        <v>67</v>
      </c>
      <c r="F70" s="9">
        <f>(C3+C4+C5)*0.6</f>
        <v>46992</v>
      </c>
      <c r="G70" s="10">
        <f t="shared" ref="G70" si="7">F70/(24*60)</f>
        <v>32.633333333333333</v>
      </c>
      <c r="I70">
        <v>14</v>
      </c>
      <c r="J70" s="132">
        <v>1</v>
      </c>
      <c r="K70" s="132">
        <v>0.1</v>
      </c>
      <c r="L70" s="132">
        <v>1</v>
      </c>
      <c r="M70">
        <v>0.85</v>
      </c>
      <c r="O70" s="132">
        <v>0.4</v>
      </c>
      <c r="P70" s="132">
        <v>0.8</v>
      </c>
      <c r="R70" s="132">
        <v>1</v>
      </c>
      <c r="U70" s="132">
        <v>1</v>
      </c>
      <c r="V70">
        <v>0.95</v>
      </c>
      <c r="W70" s="243"/>
      <c r="X70" s="134">
        <f>PRODUCT(Tabella578[[#This Row],[CHECK-IN 1]:[SCRAP2]])</f>
        <v>2.5840000000000002E-2</v>
      </c>
      <c r="Y70" s="201"/>
      <c r="Z70" cm="1">
        <f t="array" ref="Z70">MMULT(J36:V36,$Y$23:$Y$35)</f>
        <v>14.0879623001385</v>
      </c>
      <c r="AA70" s="135">
        <f>Tabella578[[#This Row],[Frequency results]]/Tabella578[[#Totals],[Ws computations]]</f>
        <v>2.6860706860706862E-2</v>
      </c>
      <c r="AB70">
        <f>Tabella578[[#This Row],[Ws '[min']]]*Tabella578[[#This Row],[Frequency Adj]]</f>
        <v>0.37841262560870981</v>
      </c>
    </row>
    <row r="71" spans="2:28" ht="12" customHeight="1" x14ac:dyDescent="0.3">
      <c r="B71" s="1"/>
      <c r="C71" s="1"/>
      <c r="D71" s="23"/>
      <c r="E71" s="11" t="s">
        <v>17</v>
      </c>
      <c r="F71" s="11" t="s">
        <v>18</v>
      </c>
      <c r="G71" s="10"/>
      <c r="I71">
        <v>15</v>
      </c>
      <c r="J71" s="132">
        <v>1</v>
      </c>
      <c r="K71" s="132">
        <v>0.1</v>
      </c>
      <c r="L71" s="132">
        <v>1</v>
      </c>
      <c r="M71">
        <v>0.85</v>
      </c>
      <c r="O71" s="132">
        <v>0.4</v>
      </c>
      <c r="Q71" s="132">
        <v>0.2</v>
      </c>
      <c r="R71" s="132">
        <v>1</v>
      </c>
      <c r="U71" s="132">
        <v>1</v>
      </c>
      <c r="V71" s="132">
        <v>0.05</v>
      </c>
      <c r="W71" s="243"/>
      <c r="X71" s="134">
        <f>PRODUCT(Tabella578[[#This Row],[CHECK-IN 1]:[SCRAP2]])</f>
        <v>3.4000000000000002E-4</v>
      </c>
      <c r="Y71" s="201"/>
      <c r="Z71" cm="1">
        <f t="array" ref="Z71">MMULT(J37:V37,$Y$23:$Y$35)</f>
        <v>13.855631881017379</v>
      </c>
      <c r="AA71" s="135">
        <v>0</v>
      </c>
      <c r="AB71">
        <f>Tabella578[[#This Row],[Ws '[min']]]*Tabella578[[#This Row],[Frequency Adj]]</f>
        <v>0</v>
      </c>
    </row>
    <row r="72" spans="2:28" ht="12" customHeight="1" x14ac:dyDescent="0.3">
      <c r="B72" s="1"/>
      <c r="C72" s="1"/>
      <c r="D72" s="23" t="s">
        <v>35</v>
      </c>
      <c r="E72" s="24" t="s">
        <v>69</v>
      </c>
      <c r="F72" s="9">
        <f>(C3+C4+C5)*0.6</f>
        <v>46992</v>
      </c>
      <c r="G72" s="10">
        <f t="shared" ref="G72" si="8">F72/(24*60)</f>
        <v>32.633333333333333</v>
      </c>
      <c r="I72">
        <v>16</v>
      </c>
      <c r="J72" s="132">
        <v>1</v>
      </c>
      <c r="K72" s="132">
        <v>0.1</v>
      </c>
      <c r="L72" s="132">
        <v>1</v>
      </c>
      <c r="M72">
        <v>0.85</v>
      </c>
      <c r="O72" s="132">
        <v>0.4</v>
      </c>
      <c r="Q72" s="132">
        <v>0.2</v>
      </c>
      <c r="R72" s="132">
        <v>1</v>
      </c>
      <c r="U72" s="132">
        <v>1</v>
      </c>
      <c r="V72">
        <v>0.95</v>
      </c>
      <c r="W72" s="243"/>
      <c r="X72" s="134">
        <f>PRODUCT(Tabella578[[#This Row],[CHECK-IN 1]:[SCRAP2]])</f>
        <v>6.4600000000000005E-3</v>
      </c>
      <c r="Y72" s="201"/>
      <c r="Z72" cm="1">
        <f t="array" ref="Z72">MMULT(J38:V38,$Y$23:$Y$35)</f>
        <v>13.855631881017379</v>
      </c>
      <c r="AA72" s="135">
        <f>Tabella578[[#This Row],[Frequency results]]/Tabella578[[#Totals],[Ws computations]]</f>
        <v>6.7151767151767154E-3</v>
      </c>
      <c r="AB72">
        <f>Tabella578[[#This Row],[Ws '[min']]]*Tabella578[[#This Row],[Frequency Adj]]</f>
        <v>9.304301658146806E-2</v>
      </c>
    </row>
    <row r="73" spans="2:28" ht="12" customHeight="1" x14ac:dyDescent="0.3">
      <c r="B73" s="1"/>
      <c r="C73" s="1"/>
      <c r="D73" s="25"/>
      <c r="E73" s="1"/>
      <c r="F73" s="1"/>
      <c r="G73" s="10"/>
      <c r="I73">
        <v>17</v>
      </c>
      <c r="J73" s="132">
        <v>1</v>
      </c>
      <c r="K73">
        <v>0.9</v>
      </c>
      <c r="L73" s="132">
        <v>1</v>
      </c>
      <c r="M73" s="132">
        <v>0.15</v>
      </c>
      <c r="N73" s="132">
        <v>0.6</v>
      </c>
      <c r="P73" s="132">
        <v>0.8</v>
      </c>
      <c r="R73" s="132">
        <v>1</v>
      </c>
      <c r="S73" s="132">
        <v>1</v>
      </c>
      <c r="T73" s="132">
        <v>0.03</v>
      </c>
      <c r="W73" s="243"/>
      <c r="X73" s="134">
        <f>PRODUCT(Tabella578[[#This Row],[CHECK-IN 1]:[SCRAP2]])</f>
        <v>1.9440000000000002E-3</v>
      </c>
      <c r="Y73" s="201"/>
      <c r="Z73" cm="1">
        <f t="array" ref="Z73">MMULT(J39:V39,$Y$23:$Y$35)</f>
        <v>13.857850324171428</v>
      </c>
      <c r="AA73" s="135">
        <v>0</v>
      </c>
      <c r="AB73">
        <f>Tabella578[[#This Row],[Ws '[min']]]*Tabella578[[#This Row],[Frequency Adj]]</f>
        <v>0</v>
      </c>
    </row>
    <row r="74" spans="2:28" ht="12" customHeight="1" thickBot="1" x14ac:dyDescent="0.35">
      <c r="B74" s="1"/>
      <c r="C74" s="1"/>
      <c r="D74" s="25"/>
      <c r="E74" s="26"/>
      <c r="F74" s="13"/>
      <c r="G74" s="10"/>
      <c r="I74">
        <v>18</v>
      </c>
      <c r="J74" s="132">
        <v>1</v>
      </c>
      <c r="K74">
        <v>0.9</v>
      </c>
      <c r="L74" s="132">
        <v>1</v>
      </c>
      <c r="M74" s="132">
        <v>0.15</v>
      </c>
      <c r="N74" s="132">
        <v>0.6</v>
      </c>
      <c r="P74" s="132">
        <v>0.8</v>
      </c>
      <c r="R74" s="132">
        <v>1</v>
      </c>
      <c r="S74" s="132">
        <v>1</v>
      </c>
      <c r="T74">
        <v>0.97</v>
      </c>
      <c r="W74" s="243"/>
      <c r="X74" s="134">
        <f>PRODUCT(Tabella578[[#This Row],[CHECK-IN 1]:[SCRAP2]])</f>
        <v>6.2856000000000009E-2</v>
      </c>
      <c r="Y74" s="201"/>
      <c r="Z74" cm="1">
        <f t="array" ref="Z74">MMULT(J40:V40,$Y$23:$Y$35)</f>
        <v>13.857850324171428</v>
      </c>
      <c r="AA74" s="135">
        <f>Tabella578[[#This Row],[Frequency results]]/Tabella578[[#Totals],[Ws computations]]</f>
        <v>6.5338877338877346E-2</v>
      </c>
      <c r="AB74">
        <f>Tabella578[[#This Row],[Ws '[min']]]*Tabella578[[#This Row],[Frequency Adj]]</f>
        <v>0.90545638251155858</v>
      </c>
    </row>
    <row r="75" spans="2:28" ht="12" customHeight="1" x14ac:dyDescent="0.3">
      <c r="B75" s="1"/>
      <c r="C75" s="1"/>
      <c r="D75" s="27" t="s">
        <v>71</v>
      </c>
      <c r="E75" s="28"/>
      <c r="F75" s="6"/>
      <c r="G75" s="10"/>
      <c r="I75">
        <v>19</v>
      </c>
      <c r="J75" s="132">
        <v>1</v>
      </c>
      <c r="K75">
        <v>0.9</v>
      </c>
      <c r="L75" s="132">
        <v>1</v>
      </c>
      <c r="M75" s="132">
        <v>0.15</v>
      </c>
      <c r="N75" s="132">
        <v>0.6</v>
      </c>
      <c r="Q75" s="132">
        <v>0.2</v>
      </c>
      <c r="R75" s="132">
        <v>1</v>
      </c>
      <c r="S75" s="132">
        <v>1</v>
      </c>
      <c r="T75" s="132">
        <v>0.03</v>
      </c>
      <c r="W75" s="243"/>
      <c r="X75" s="134">
        <f>PRODUCT(Tabella578[[#This Row],[CHECK-IN 1]:[SCRAP2]])</f>
        <v>4.8600000000000005E-4</v>
      </c>
      <c r="Y75" s="201"/>
      <c r="Z75" cm="1">
        <f t="array" ref="Z75">MMULT(J41:V41,$Y$23:$Y$35)</f>
        <v>13.625519905050306</v>
      </c>
      <c r="AA75" s="135">
        <v>0</v>
      </c>
      <c r="AB75">
        <f>Tabella578[[#This Row],[Ws '[min']]]*Tabella578[[#This Row],[Frequency Adj]]</f>
        <v>0</v>
      </c>
    </row>
    <row r="76" spans="2:28" ht="12" customHeight="1" x14ac:dyDescent="0.3">
      <c r="B76" s="1"/>
      <c r="C76" s="1"/>
      <c r="D76" s="23" t="s">
        <v>33</v>
      </c>
      <c r="E76" s="24" t="s">
        <v>72</v>
      </c>
      <c r="F76" s="9">
        <f>(C3+C4+C5)*0.4</f>
        <v>31328</v>
      </c>
      <c r="G76" s="10">
        <f t="shared" ref="G76" si="9">F76/(24*60)</f>
        <v>21.755555555555556</v>
      </c>
      <c r="I76">
        <v>20</v>
      </c>
      <c r="J76" s="132">
        <v>1</v>
      </c>
      <c r="K76">
        <v>0.9</v>
      </c>
      <c r="L76" s="132">
        <v>1</v>
      </c>
      <c r="M76" s="132">
        <v>0.15</v>
      </c>
      <c r="N76" s="132">
        <v>0.6</v>
      </c>
      <c r="Q76" s="132">
        <v>0.2</v>
      </c>
      <c r="R76" s="132">
        <v>1</v>
      </c>
      <c r="S76" s="132">
        <v>1</v>
      </c>
      <c r="T76">
        <v>0.97</v>
      </c>
      <c r="W76" s="243"/>
      <c r="X76" s="134">
        <f>PRODUCT(Tabella578[[#This Row],[CHECK-IN 1]:[SCRAP2]])</f>
        <v>1.5714000000000002E-2</v>
      </c>
      <c r="Y76" s="201"/>
      <c r="Z76" cm="1">
        <f t="array" ref="Z76">MMULT(J42:V42,$Y$23:$Y$35)</f>
        <v>13.625519905050306</v>
      </c>
      <c r="AA76" s="135">
        <f>Tabella578[[#This Row],[Frequency results]]/Tabella578[[#Totals],[Ws computations]]</f>
        <v>1.6334719334719337E-2</v>
      </c>
      <c r="AB76">
        <f>Tabella578[[#This Row],[Ws '[min']]]*Tabella578[[#This Row],[Frequency Adj]]</f>
        <v>0.22256904343862841</v>
      </c>
    </row>
    <row r="77" spans="2:28" ht="12" customHeight="1" x14ac:dyDescent="0.3">
      <c r="B77" s="1"/>
      <c r="C77" s="1"/>
      <c r="D77" s="23"/>
      <c r="E77" s="11" t="s">
        <v>17</v>
      </c>
      <c r="F77" s="11" t="s">
        <v>18</v>
      </c>
      <c r="G77" s="10"/>
      <c r="I77">
        <v>21</v>
      </c>
      <c r="J77" s="132">
        <v>1</v>
      </c>
      <c r="K77">
        <v>0.9</v>
      </c>
      <c r="L77" s="132">
        <v>1</v>
      </c>
      <c r="M77" s="132">
        <v>0.15</v>
      </c>
      <c r="O77" s="132">
        <v>0.4</v>
      </c>
      <c r="P77" s="132">
        <v>0.8</v>
      </c>
      <c r="R77" s="132">
        <v>1</v>
      </c>
      <c r="U77" s="132">
        <v>1</v>
      </c>
      <c r="V77" s="132">
        <v>0.05</v>
      </c>
      <c r="W77" s="243"/>
      <c r="X77" s="134">
        <f>PRODUCT(Tabella578[[#This Row],[CHECK-IN 1]:[SCRAP2]])</f>
        <v>2.1600000000000005E-3</v>
      </c>
      <c r="Y77" s="201"/>
      <c r="Z77" cm="1">
        <f t="array" ref="Z77">MMULT(J43:V43,$Y$23:$Y$35)</f>
        <v>14.578930802652172</v>
      </c>
      <c r="AA77" s="135">
        <v>0</v>
      </c>
      <c r="AB77">
        <f>Tabella578[[#This Row],[Ws '[min']]]*Tabella578[[#This Row],[Frequency Adj]]</f>
        <v>0</v>
      </c>
    </row>
    <row r="78" spans="2:28" ht="12" customHeight="1" x14ac:dyDescent="0.3">
      <c r="B78" s="1"/>
      <c r="C78" s="1"/>
      <c r="D78" s="23" t="s">
        <v>35</v>
      </c>
      <c r="E78" s="24" t="s">
        <v>74</v>
      </c>
      <c r="F78" s="9">
        <f>(C3+C4+C5)*0.4</f>
        <v>31328</v>
      </c>
      <c r="G78" s="10">
        <f t="shared" ref="G78" si="10">F78/(24*60)</f>
        <v>21.755555555555556</v>
      </c>
      <c r="I78">
        <v>22</v>
      </c>
      <c r="J78" s="132">
        <v>1</v>
      </c>
      <c r="K78">
        <v>0.9</v>
      </c>
      <c r="L78" s="132">
        <v>1</v>
      </c>
      <c r="M78" s="132">
        <v>0.15</v>
      </c>
      <c r="O78" s="132">
        <v>0.4</v>
      </c>
      <c r="P78" s="132">
        <v>0.8</v>
      </c>
      <c r="R78" s="132">
        <v>1</v>
      </c>
      <c r="U78" s="132">
        <v>1</v>
      </c>
      <c r="V78">
        <v>0.95</v>
      </c>
      <c r="W78" s="243"/>
      <c r="X78" s="134">
        <f>PRODUCT(Tabella578[[#This Row],[CHECK-IN 1]:[SCRAP2]])</f>
        <v>4.1040000000000007E-2</v>
      </c>
      <c r="Y78" s="201"/>
      <c r="Z78" cm="1">
        <f t="array" ref="Z78">MMULT(J44:V44,$Y$23:$Y$35)</f>
        <v>14.578930802652172</v>
      </c>
      <c r="AA78" s="135">
        <f>Tabella578[[#This Row],[Frequency results]]/Tabella578[[#Totals],[Ws computations]]</f>
        <v>4.2661122661122666E-2</v>
      </c>
      <c r="AB78">
        <f>Tabella578[[#This Row],[Ws '[min']]]*Tabella578[[#This Row],[Frequency Adj]]</f>
        <v>0.62195355523996387</v>
      </c>
    </row>
    <row r="79" spans="2:28" ht="12" customHeight="1" x14ac:dyDescent="0.3">
      <c r="B79" s="1"/>
      <c r="C79" s="1"/>
      <c r="D79" s="25"/>
      <c r="E79" s="1"/>
      <c r="F79" s="1"/>
      <c r="G79" s="10"/>
      <c r="I79">
        <v>23</v>
      </c>
      <c r="J79" s="132">
        <v>1</v>
      </c>
      <c r="K79">
        <v>0.9</v>
      </c>
      <c r="L79" s="132">
        <v>1</v>
      </c>
      <c r="M79" s="132">
        <v>0.15</v>
      </c>
      <c r="O79" s="132">
        <v>0.4</v>
      </c>
      <c r="Q79" s="132">
        <v>0.2</v>
      </c>
      <c r="R79" s="132">
        <v>1</v>
      </c>
      <c r="U79" s="132">
        <v>1</v>
      </c>
      <c r="V79" s="132">
        <v>0.05</v>
      </c>
      <c r="W79" s="243"/>
      <c r="X79" s="134">
        <f>PRODUCT(Tabella578[[#This Row],[CHECK-IN 1]:[SCRAP2]])</f>
        <v>5.4000000000000012E-4</v>
      </c>
      <c r="Y79" s="201"/>
      <c r="Z79" cm="1">
        <f t="array" ref="Z79">MMULT(J45:V45,$Y$23:$Y$35)</f>
        <v>14.346600383531051</v>
      </c>
      <c r="AA79" s="135">
        <v>0</v>
      </c>
      <c r="AB79">
        <f>Tabella578[[#This Row],[Ws '[min']]]*Tabella578[[#This Row],[Frequency Adj]]</f>
        <v>0</v>
      </c>
    </row>
    <row r="80" spans="2:28" ht="12" customHeight="1" thickBot="1" x14ac:dyDescent="0.35">
      <c r="B80" s="1"/>
      <c r="C80" s="1"/>
      <c r="D80" s="25"/>
      <c r="E80" s="26"/>
      <c r="F80" s="13"/>
      <c r="G80" s="10"/>
      <c r="I80">
        <v>24</v>
      </c>
      <c r="J80" s="132">
        <v>1</v>
      </c>
      <c r="K80">
        <v>0.9</v>
      </c>
      <c r="L80" s="132">
        <v>1</v>
      </c>
      <c r="M80" s="132">
        <v>0.15</v>
      </c>
      <c r="O80" s="132">
        <v>0.4</v>
      </c>
      <c r="Q80" s="132">
        <v>0.2</v>
      </c>
      <c r="R80" s="132">
        <v>1</v>
      </c>
      <c r="U80" s="132">
        <v>1</v>
      </c>
      <c r="V80">
        <v>0.95</v>
      </c>
      <c r="W80" s="243"/>
      <c r="X80" s="134">
        <f>PRODUCT(Tabella578[[#This Row],[CHECK-IN 1]:[SCRAP2]])</f>
        <v>1.0260000000000002E-2</v>
      </c>
      <c r="Y80" s="201"/>
      <c r="Z80" cm="1">
        <f t="array" ref="Z80">MMULT(J46:V46,$Y$23:$Y$35)</f>
        <v>14.346600383531051</v>
      </c>
      <c r="AA80" s="135">
        <f>Tabella578[[#This Row],[Frequency results]]/Tabella578[[#Totals],[Ws computations]]</f>
        <v>1.0665280665280667E-2</v>
      </c>
      <c r="AB80">
        <f>Tabella578[[#This Row],[Ws '[min']]]*Tabella578[[#This Row],[Frequency Adj]]</f>
        <v>0.1530105196829819</v>
      </c>
    </row>
    <row r="81" spans="2:28" ht="12" customHeight="1" x14ac:dyDescent="0.3">
      <c r="B81" s="1"/>
      <c r="C81" s="1"/>
      <c r="D81" s="27" t="s">
        <v>76</v>
      </c>
      <c r="E81" s="28"/>
      <c r="F81" s="6"/>
      <c r="G81" s="10"/>
      <c r="I81">
        <v>25</v>
      </c>
      <c r="J81" s="132">
        <v>1</v>
      </c>
      <c r="K81">
        <v>0.9</v>
      </c>
      <c r="L81" s="132">
        <v>1</v>
      </c>
      <c r="M81">
        <v>0.85</v>
      </c>
      <c r="N81" s="132">
        <v>0.6</v>
      </c>
      <c r="P81" s="132">
        <v>0.8</v>
      </c>
      <c r="R81" s="132">
        <v>1</v>
      </c>
      <c r="S81" s="132">
        <v>1</v>
      </c>
      <c r="T81" s="132">
        <v>0.03</v>
      </c>
      <c r="W81" s="243"/>
      <c r="X81" s="134">
        <f>PRODUCT(Tabella578[[#This Row],[CHECK-IN 1]:[SCRAP2]])</f>
        <v>1.1015999999999998E-2</v>
      </c>
      <c r="Y81" s="201"/>
      <c r="Z81" cm="1">
        <f t="array" ref="Z81">MMULT(J47:V47,$Y$23:$Y$35)</f>
        <v>13.030052287555494</v>
      </c>
      <c r="AA81" s="135">
        <v>0</v>
      </c>
      <c r="AB81">
        <f>Tabella578[[#This Row],[Ws '[min']]]*Tabella578[[#This Row],[Frequency Adj]]</f>
        <v>0</v>
      </c>
    </row>
    <row r="82" spans="2:28" ht="12" customHeight="1" x14ac:dyDescent="0.3">
      <c r="B82" s="1"/>
      <c r="C82" s="1"/>
      <c r="D82" s="23" t="s">
        <v>33</v>
      </c>
      <c r="E82" s="18" t="s">
        <v>77</v>
      </c>
      <c r="F82" s="9">
        <f xml:space="preserve"> 0.95*0.4*(C3+C4+C5) + 0.97*0.6*(C3+C4+C5)</f>
        <v>75343.839999999997</v>
      </c>
      <c r="G82" s="10">
        <f t="shared" ref="G82" si="11">F82/(24*60)</f>
        <v>52.322111111111106</v>
      </c>
      <c r="I82">
        <v>26</v>
      </c>
      <c r="J82" s="132">
        <v>1</v>
      </c>
      <c r="K82">
        <v>0.9</v>
      </c>
      <c r="L82" s="132">
        <v>1</v>
      </c>
      <c r="M82">
        <v>0.85</v>
      </c>
      <c r="N82" s="132">
        <v>0.6</v>
      </c>
      <c r="P82" s="132">
        <v>0.8</v>
      </c>
      <c r="R82" s="132">
        <v>1</v>
      </c>
      <c r="S82" s="132">
        <v>1</v>
      </c>
      <c r="T82">
        <v>0.97</v>
      </c>
      <c r="W82" s="243"/>
      <c r="X82" s="134">
        <f>PRODUCT(Tabella578[[#This Row],[CHECK-IN 1]:[SCRAP2]])</f>
        <v>0.35618399999999995</v>
      </c>
      <c r="Y82" s="201"/>
      <c r="Z82" cm="1">
        <f t="array" ref="Z82">MMULT(J48:V48,$Y$23:$Y$35)</f>
        <v>13.030052287555494</v>
      </c>
      <c r="AA82" s="135">
        <f>Tabella578[[#This Row],[Frequency results]]/Tabella578[[#Totals],[Ws computations]]</f>
        <v>0.37025363825363816</v>
      </c>
      <c r="AB82">
        <f>Tabella578[[#This Row],[Ws '[min']]]*Tabella578[[#This Row],[Frequency Adj]]</f>
        <v>4.8244242661025618</v>
      </c>
    </row>
    <row r="83" spans="2:28" ht="12" customHeight="1" x14ac:dyDescent="0.3">
      <c r="B83" s="1"/>
      <c r="C83" s="1"/>
      <c r="D83" s="23"/>
      <c r="E83" s="11" t="s">
        <v>17</v>
      </c>
      <c r="F83" s="11" t="s">
        <v>18</v>
      </c>
      <c r="G83" s="10"/>
      <c r="I83">
        <v>27</v>
      </c>
      <c r="J83" s="132">
        <v>1</v>
      </c>
      <c r="K83">
        <v>0.9</v>
      </c>
      <c r="L83" s="132">
        <v>1</v>
      </c>
      <c r="M83">
        <v>0.85</v>
      </c>
      <c r="N83" s="132">
        <v>0.6</v>
      </c>
      <c r="Q83" s="132">
        <v>0.2</v>
      </c>
      <c r="R83" s="132">
        <v>1</v>
      </c>
      <c r="S83" s="132">
        <v>1</v>
      </c>
      <c r="T83" s="132">
        <v>0.03</v>
      </c>
      <c r="W83" s="243"/>
      <c r="X83" s="134">
        <f>PRODUCT(Tabella578[[#This Row],[CHECK-IN 1]:[SCRAP2]])</f>
        <v>2.7539999999999995E-3</v>
      </c>
      <c r="Y83" s="201"/>
      <c r="Z83" cm="1">
        <f t="array" ref="Z83">MMULT(J49:V49,$Y$23:$Y$35)</f>
        <v>12.797721868434371</v>
      </c>
      <c r="AA83" s="135">
        <v>0</v>
      </c>
      <c r="AB83">
        <f>Tabella578[[#This Row],[Ws '[min']]]*Tabella578[[#This Row],[Frequency Adj]]</f>
        <v>0</v>
      </c>
    </row>
    <row r="84" spans="2:28" ht="12" customHeight="1" x14ac:dyDescent="0.3">
      <c r="B84" s="1"/>
      <c r="C84" s="1"/>
      <c r="D84" s="23" t="s">
        <v>35</v>
      </c>
      <c r="E84" s="18" t="s">
        <v>77</v>
      </c>
      <c r="F84" s="9">
        <f xml:space="preserve"> 0.95*0.4*(C3+C4+C5) + 0.97*0.6*(C3+C4+C5)</f>
        <v>75343.839999999997</v>
      </c>
      <c r="G84" s="10">
        <f t="shared" ref="G84" si="12">F84/(24*60)</f>
        <v>52.322111111111106</v>
      </c>
      <c r="I84">
        <v>28</v>
      </c>
      <c r="J84" s="132">
        <v>1</v>
      </c>
      <c r="K84">
        <v>0.9</v>
      </c>
      <c r="L84" s="132">
        <v>1</v>
      </c>
      <c r="M84">
        <v>0.85</v>
      </c>
      <c r="N84" s="132">
        <v>0.6</v>
      </c>
      <c r="Q84" s="132">
        <v>0.2</v>
      </c>
      <c r="R84" s="132">
        <v>1</v>
      </c>
      <c r="S84" s="132">
        <v>1</v>
      </c>
      <c r="T84">
        <v>0.97</v>
      </c>
      <c r="W84" s="243"/>
      <c r="X84" s="134">
        <f>PRODUCT(Tabella578[[#This Row],[CHECK-IN 1]:[SCRAP2]])</f>
        <v>8.9045999999999986E-2</v>
      </c>
      <c r="Y84" s="201"/>
      <c r="Z84" cm="1">
        <f t="array" ref="Z84">MMULT(J50:V50,$Y$23:$Y$35)</f>
        <v>12.797721868434371</v>
      </c>
      <c r="AA84" s="135">
        <f>Tabella578[[#This Row],[Frequency results]]/Tabella578[[#Totals],[Ws computations]]</f>
        <v>9.2563409563409541E-2</v>
      </c>
      <c r="AB84">
        <f>Tabella578[[#This Row],[Ws '[min']]]*Tabella578[[#This Row],[Frequency Adj]]</f>
        <v>1.1846007707864934</v>
      </c>
    </row>
    <row r="85" spans="2:28" ht="12" customHeight="1" thickBot="1" x14ac:dyDescent="0.35">
      <c r="B85" s="1"/>
      <c r="C85" s="1"/>
      <c r="D85" s="32"/>
      <c r="E85" s="19"/>
      <c r="F85" s="19"/>
      <c r="G85" s="20"/>
      <c r="I85">
        <v>29</v>
      </c>
      <c r="J85" s="132">
        <v>1</v>
      </c>
      <c r="K85">
        <v>0.9</v>
      </c>
      <c r="L85" s="132">
        <v>1</v>
      </c>
      <c r="M85">
        <v>0.85</v>
      </c>
      <c r="O85" s="132">
        <v>0.4</v>
      </c>
      <c r="P85" s="132">
        <v>0.8</v>
      </c>
      <c r="R85" s="132">
        <v>1</v>
      </c>
      <c r="U85" s="132">
        <v>1</v>
      </c>
      <c r="V85" s="132">
        <v>0.05</v>
      </c>
      <c r="W85" s="243"/>
      <c r="X85" s="134">
        <f>PRODUCT(Tabella578[[#This Row],[CHECK-IN 1]:[SCRAP2]])</f>
        <v>1.2240000000000003E-2</v>
      </c>
      <c r="Y85" s="201"/>
      <c r="Z85" cm="1">
        <f t="array" ref="Z85">MMULT(J51:V51,$Y$23:$Y$35)</f>
        <v>13.751132766036237</v>
      </c>
      <c r="AA85" s="135">
        <v>0</v>
      </c>
      <c r="AB85">
        <f>Tabella578[[#This Row],[Ws '[min']]]*Tabella578[[#This Row],[Frequency Adj]]</f>
        <v>0</v>
      </c>
    </row>
    <row r="86" spans="2:28" x14ac:dyDescent="0.3">
      <c r="I86">
        <v>30</v>
      </c>
      <c r="J86" s="132">
        <v>1</v>
      </c>
      <c r="K86">
        <v>0.9</v>
      </c>
      <c r="L86" s="132">
        <v>1</v>
      </c>
      <c r="M86">
        <v>0.85</v>
      </c>
      <c r="O86" s="132">
        <v>0.4</v>
      </c>
      <c r="P86" s="132">
        <v>0.8</v>
      </c>
      <c r="R86" s="132">
        <v>1</v>
      </c>
      <c r="U86" s="132">
        <v>1</v>
      </c>
      <c r="V86">
        <v>0.95</v>
      </c>
      <c r="W86" s="243"/>
      <c r="X86" s="134">
        <f>PRODUCT(Tabella578[[#This Row],[CHECK-IN 1]:[SCRAP2]])</f>
        <v>0.23256000000000004</v>
      </c>
      <c r="Y86" s="201"/>
      <c r="Z86" cm="1">
        <f t="array" ref="Z86">MMULT(J52:V52,$Y$23:$Y$35)</f>
        <v>13.751132766036237</v>
      </c>
      <c r="AA86" s="135">
        <f>Tabella578[[#This Row],[Frequency results]]/Tabella578[[#Totals],[Ws computations]]</f>
        <v>0.24174636174636177</v>
      </c>
      <c r="AB86">
        <f>Tabella578[[#This Row],[Ws '[min']]]*Tabella578[[#This Row],[Frequency Adj]]</f>
        <v>3.3242863160804443</v>
      </c>
    </row>
    <row r="87" spans="2:28" x14ac:dyDescent="0.3">
      <c r="I87">
        <v>31</v>
      </c>
      <c r="J87" s="132">
        <v>1</v>
      </c>
      <c r="K87">
        <v>0.9</v>
      </c>
      <c r="L87" s="132">
        <v>1</v>
      </c>
      <c r="M87">
        <v>0.85</v>
      </c>
      <c r="O87" s="132">
        <v>0.4</v>
      </c>
      <c r="Q87" s="132">
        <v>0.2</v>
      </c>
      <c r="R87" s="132">
        <v>1</v>
      </c>
      <c r="U87" s="132">
        <v>1</v>
      </c>
      <c r="V87" s="132">
        <v>0.05</v>
      </c>
      <c r="W87" s="243"/>
      <c r="X87" s="134">
        <f>PRODUCT(Tabella578[[#This Row],[CHECK-IN 1]:[SCRAP2]])</f>
        <v>3.0600000000000007E-3</v>
      </c>
      <c r="Y87" s="201"/>
      <c r="Z87" cm="1">
        <f t="array" ref="Z87">MMULT(J53:V53,$Y$23:$Y$35)</f>
        <v>13.518802346915116</v>
      </c>
      <c r="AA87" s="135">
        <v>0</v>
      </c>
      <c r="AB87">
        <f>Tabella578[[#This Row],[Ws '[min']]]*Tabella578[[#This Row],[Frequency Adj]]</f>
        <v>0</v>
      </c>
    </row>
    <row r="88" spans="2:28" x14ac:dyDescent="0.3">
      <c r="I88">
        <v>32</v>
      </c>
      <c r="J88" s="132">
        <v>1</v>
      </c>
      <c r="K88">
        <v>0.9</v>
      </c>
      <c r="L88" s="132">
        <v>1</v>
      </c>
      <c r="M88">
        <v>0.85</v>
      </c>
      <c r="O88" s="132">
        <v>0.4</v>
      </c>
      <c r="Q88" s="132">
        <v>0.2</v>
      </c>
      <c r="R88" s="132">
        <v>1</v>
      </c>
      <c r="U88" s="132">
        <v>1</v>
      </c>
      <c r="V88">
        <v>0.95</v>
      </c>
      <c r="W88" s="243"/>
      <c r="X88" s="134">
        <f>PRODUCT(Tabella578[[#This Row],[CHECK-IN 1]:[SCRAP2]])</f>
        <v>5.8140000000000011E-2</v>
      </c>
      <c r="Y88" s="201"/>
      <c r="Z88" cm="1">
        <f t="array" ref="Z88">MMULT(J54:V54,$Y$23:$Y$35)</f>
        <v>13.518802346915116</v>
      </c>
      <c r="AA88" s="135">
        <f>Tabella578[[#This Row],[Frequency results]]/Tabella578[[#Totals],[Ws computations]]</f>
        <v>6.0436590436590443E-2</v>
      </c>
      <c r="AB88">
        <f>Tabella578[[#This Row],[Ws '[min']]]*Tabella578[[#This Row],[Frequency Adj]]</f>
        <v>0.81703032063372649</v>
      </c>
    </row>
    <row r="89" spans="2:28" x14ac:dyDescent="0.3">
      <c r="J89" s="132"/>
      <c r="L89" s="132"/>
      <c r="O89" s="132"/>
      <c r="Q89" s="132"/>
      <c r="R89" s="132"/>
      <c r="U89" s="132"/>
      <c r="W89" s="243"/>
      <c r="X89" s="134"/>
      <c r="Y89" s="201"/>
      <c r="AA89" s="135"/>
    </row>
    <row r="90" spans="2:28" x14ac:dyDescent="0.3">
      <c r="J90" s="132"/>
      <c r="L90" s="132"/>
      <c r="O90" s="132"/>
      <c r="Q90" s="132"/>
      <c r="R90" s="132"/>
      <c r="U90" s="132"/>
      <c r="W90" s="205"/>
      <c r="X90" s="205"/>
      <c r="Y90" s="206">
        <f>X58+X60+X62+X64+X66+X68+X70+X72+X74+X76+X78+X80+X82+X84+X86+X88</f>
        <v>0.96200000000000008</v>
      </c>
      <c r="AA90" s="206"/>
    </row>
    <row r="91" spans="2:28" x14ac:dyDescent="0.3">
      <c r="W91" s="135"/>
    </row>
    <row r="92" spans="2:28" x14ac:dyDescent="0.3">
      <c r="I92" s="136" t="s">
        <v>113</v>
      </c>
      <c r="J92" s="142">
        <v>1.8718805194805197</v>
      </c>
      <c r="K92" s="142">
        <v>1.8718805194805197</v>
      </c>
      <c r="L92" s="142">
        <v>16.935175409039879</v>
      </c>
      <c r="M92" s="142">
        <v>16.935175409039879</v>
      </c>
      <c r="N92" s="142">
        <v>30.000000000000107</v>
      </c>
      <c r="O92" s="142">
        <v>18.000000000000064</v>
      </c>
      <c r="P92" s="142">
        <v>3.0857142857142867</v>
      </c>
      <c r="Q92" s="142">
        <v>4.3201089514066497</v>
      </c>
      <c r="R92" s="142">
        <v>7.1999999999999797</v>
      </c>
      <c r="S92" s="142">
        <v>0.90364845027455765</v>
      </c>
      <c r="T92" s="142">
        <v>0</v>
      </c>
      <c r="U92" s="142">
        <v>1.354594090909091</v>
      </c>
      <c r="V92" s="143">
        <v>0</v>
      </c>
      <c r="W92" s="137"/>
      <c r="X92" s="137"/>
      <c r="Y92" s="137"/>
      <c r="Z92" s="137"/>
      <c r="AA92" s="207" t="s">
        <v>114</v>
      </c>
      <c r="AB92" s="208">
        <f>SUM(AB57:AB88)</f>
        <v>13.426273147272848</v>
      </c>
    </row>
  </sheetData>
  <mergeCells count="7">
    <mergeCell ref="D56:E56"/>
    <mergeCell ref="I3:U3"/>
    <mergeCell ref="I5:I7"/>
    <mergeCell ref="I8:I9"/>
    <mergeCell ref="I12:I13"/>
    <mergeCell ref="I14:I15"/>
    <mergeCell ref="I55:V55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0AE8-E21B-6B46-A197-BF2B3530021C}">
  <sheetPr>
    <tabColor rgb="FFC00000"/>
  </sheetPr>
  <dimension ref="B2:BM122"/>
  <sheetViews>
    <sheetView topLeftCell="AG96" zoomScale="75" zoomScaleNormal="90" workbookViewId="0">
      <selection activeCell="AM115" sqref="AM115"/>
    </sheetView>
  </sheetViews>
  <sheetFormatPr defaultColWidth="8.796875" defaultRowHeight="14.4" x14ac:dyDescent="0.3"/>
  <cols>
    <col min="1" max="2" width="8.796875" style="1"/>
    <col min="3" max="3" width="10.5" style="1" customWidth="1"/>
    <col min="4" max="4" width="9.796875" style="1" customWidth="1"/>
    <col min="5" max="6" width="8.796875" style="1"/>
    <col min="7" max="7" width="9.796875" style="1" customWidth="1"/>
    <col min="8" max="18" width="8.796875" style="1"/>
    <col min="19" max="19" width="8.796875" style="1" customWidth="1"/>
    <col min="20" max="20" width="9.296875" style="1" customWidth="1"/>
    <col min="21" max="21" width="9.69921875" style="1" customWidth="1"/>
    <col min="22" max="28" width="8.796875" style="1"/>
    <col min="29" max="29" width="16.296875" style="1" customWidth="1"/>
    <col min="30" max="30" width="18.5" style="1" customWidth="1"/>
    <col min="31" max="31" width="18.69921875" style="1" customWidth="1"/>
    <col min="32" max="32" width="86.5" style="1" customWidth="1"/>
    <col min="33" max="33" width="79.19921875" style="1" customWidth="1"/>
    <col min="34" max="40" width="8.796875" style="1" customWidth="1"/>
    <col min="41" max="53" width="8.796875" style="1"/>
    <col min="54" max="54" width="27.5" style="1" customWidth="1"/>
    <col min="55" max="16384" width="8.796875" style="1"/>
  </cols>
  <sheetData>
    <row r="2" spans="2:35" x14ac:dyDescent="0.3">
      <c r="B2" s="350" t="s">
        <v>269</v>
      </c>
      <c r="C2" s="350"/>
      <c r="D2" s="350"/>
      <c r="E2" s="350"/>
      <c r="F2" s="350"/>
      <c r="G2" s="350"/>
      <c r="H2" s="350"/>
      <c r="I2" s="350"/>
      <c r="J2" s="350"/>
      <c r="K2" s="350"/>
      <c r="L2" s="350"/>
      <c r="M2" s="350"/>
      <c r="N2" s="350"/>
      <c r="O2" s="350"/>
      <c r="P2" s="350"/>
      <c r="Q2" s="350"/>
      <c r="R2" s="350"/>
      <c r="S2" s="350"/>
      <c r="T2" s="350"/>
      <c r="U2" s="350"/>
      <c r="V2" s="350"/>
      <c r="W2" s="350"/>
      <c r="X2" s="350"/>
      <c r="Y2" s="350"/>
      <c r="Z2" s="350"/>
      <c r="AA2" s="350"/>
    </row>
    <row r="4" spans="2:35" ht="15" thickBot="1" x14ac:dyDescent="0.35">
      <c r="AC4" s="2" t="s">
        <v>5</v>
      </c>
      <c r="AD4" s="2" t="s">
        <v>6</v>
      </c>
    </row>
    <row r="5" spans="2:35" ht="16.2" thickBot="1" x14ac:dyDescent="0.35">
      <c r="AC5" s="3" t="s">
        <v>7</v>
      </c>
      <c r="AD5" s="4">
        <f>(15%*80000)*0.9</f>
        <v>10800</v>
      </c>
      <c r="AE5" s="5" t="s">
        <v>8</v>
      </c>
      <c r="AF5" s="6"/>
      <c r="AG5" s="6"/>
      <c r="AH5" s="6"/>
      <c r="AI5" s="7"/>
    </row>
    <row r="6" spans="2:35" ht="19.05" customHeight="1" x14ac:dyDescent="0.3">
      <c r="F6" s="252" t="s">
        <v>9</v>
      </c>
      <c r="G6" s="253"/>
      <c r="M6" s="271" t="s">
        <v>10</v>
      </c>
      <c r="N6" s="272"/>
      <c r="T6" s="277" t="s">
        <v>11</v>
      </c>
      <c r="U6" s="278"/>
      <c r="AC6" s="3" t="s">
        <v>12</v>
      </c>
      <c r="AD6" s="150">
        <f>(30%*80000)*0.9</f>
        <v>21600</v>
      </c>
      <c r="AE6" s="22" t="s">
        <v>13</v>
      </c>
      <c r="AF6" s="8" t="s">
        <v>14</v>
      </c>
      <c r="AG6" s="9" t="s">
        <v>277</v>
      </c>
      <c r="AH6" s="9">
        <f>100%*(32400)+10%*32400</f>
        <v>35640</v>
      </c>
      <c r="AI6" s="10"/>
    </row>
    <row r="7" spans="2:35" x14ac:dyDescent="0.3">
      <c r="F7" s="254"/>
      <c r="G7" s="255"/>
      <c r="M7" s="273"/>
      <c r="N7" s="274"/>
      <c r="T7" s="279"/>
      <c r="U7" s="280"/>
      <c r="AC7" s="3" t="s">
        <v>16</v>
      </c>
      <c r="AD7" s="4">
        <f>(55%*80000)*0.9</f>
        <v>39600</v>
      </c>
      <c r="AE7" s="22"/>
      <c r="AF7" s="11" t="s">
        <v>17</v>
      </c>
      <c r="AG7" s="8"/>
      <c r="AH7" s="11" t="s">
        <v>18</v>
      </c>
      <c r="AI7" s="10"/>
    </row>
    <row r="8" spans="2:35" x14ac:dyDescent="0.3">
      <c r="C8" s="1" t="s">
        <v>19</v>
      </c>
      <c r="F8" s="254"/>
      <c r="G8" s="255"/>
      <c r="M8" s="273"/>
      <c r="N8" s="274"/>
      <c r="T8" s="279"/>
      <c r="U8" s="280"/>
      <c r="AD8" s="1">
        <f>AD5+AD6+AD7</f>
        <v>72000</v>
      </c>
      <c r="AE8" s="23" t="s">
        <v>20</v>
      </c>
      <c r="AF8" s="8" t="s">
        <v>21</v>
      </c>
      <c r="AG8" s="9" t="s">
        <v>278</v>
      </c>
      <c r="AH8" s="9">
        <f>100%*32400+10%*32400</f>
        <v>35640</v>
      </c>
      <c r="AI8" s="10"/>
    </row>
    <row r="9" spans="2:35" ht="19.95" customHeight="1" thickBot="1" x14ac:dyDescent="0.35">
      <c r="F9" s="256"/>
      <c r="G9" s="257"/>
      <c r="M9" s="275"/>
      <c r="N9" s="276"/>
      <c r="T9" s="281"/>
      <c r="U9" s="282"/>
      <c r="AE9" s="12"/>
      <c r="AI9" s="10"/>
    </row>
    <row r="10" spans="2:35" ht="15" thickBot="1" x14ac:dyDescent="0.35">
      <c r="AE10" s="12"/>
      <c r="AF10" s="13"/>
      <c r="AG10" s="13"/>
      <c r="AH10" s="13"/>
      <c r="AI10" s="10"/>
    </row>
    <row r="11" spans="2:35" ht="15.6" x14ac:dyDescent="0.3">
      <c r="AE11" s="14" t="s">
        <v>23</v>
      </c>
      <c r="AF11" s="6"/>
      <c r="AG11" s="6"/>
      <c r="AH11" s="6"/>
      <c r="AI11" s="7"/>
    </row>
    <row r="12" spans="2:35" x14ac:dyDescent="0.3">
      <c r="AE12" s="23" t="s">
        <v>13</v>
      </c>
      <c r="AF12" s="24" t="s">
        <v>21</v>
      </c>
      <c r="AG12" s="9" t="s">
        <v>278</v>
      </c>
      <c r="AH12" s="9">
        <f>110%*(32400)</f>
        <v>35640</v>
      </c>
      <c r="AI12" s="10"/>
    </row>
    <row r="13" spans="2:35" ht="15" thickBot="1" x14ac:dyDescent="0.35">
      <c r="AE13" s="23"/>
      <c r="AF13" s="11" t="s">
        <v>17</v>
      </c>
      <c r="AG13" s="8"/>
      <c r="AH13" s="11" t="s">
        <v>18</v>
      </c>
      <c r="AI13" s="10"/>
    </row>
    <row r="14" spans="2:35" x14ac:dyDescent="0.3">
      <c r="P14" s="283" t="s">
        <v>24</v>
      </c>
      <c r="Q14" s="284"/>
      <c r="AE14" s="23" t="s">
        <v>20</v>
      </c>
      <c r="AF14" s="24" t="s">
        <v>25</v>
      </c>
      <c r="AG14" s="9" t="s">
        <v>279</v>
      </c>
      <c r="AH14" s="9">
        <f>100%*(10800+21600)+10%*(10800+21600)</f>
        <v>35640</v>
      </c>
      <c r="AI14" s="10"/>
    </row>
    <row r="15" spans="2:35" x14ac:dyDescent="0.3">
      <c r="P15" s="285"/>
      <c r="Q15" s="286"/>
      <c r="AE15" s="25"/>
      <c r="AI15" s="10"/>
    </row>
    <row r="16" spans="2:35" ht="14.55" customHeight="1" thickBot="1" x14ac:dyDescent="0.35">
      <c r="P16" s="285"/>
      <c r="Q16" s="286"/>
      <c r="AE16" s="25"/>
      <c r="AF16" s="26"/>
      <c r="AG16" s="13"/>
      <c r="AH16" s="13"/>
      <c r="AI16" s="10"/>
    </row>
    <row r="17" spans="16:35" ht="16.2" thickBot="1" x14ac:dyDescent="0.35">
      <c r="P17" s="287"/>
      <c r="Q17" s="288"/>
      <c r="AE17" s="27" t="s">
        <v>27</v>
      </c>
      <c r="AF17" s="28"/>
      <c r="AG17" s="6"/>
      <c r="AH17" s="6"/>
      <c r="AI17" s="7"/>
    </row>
    <row r="18" spans="16:35" x14ac:dyDescent="0.3">
      <c r="AE18" s="23" t="s">
        <v>13</v>
      </c>
      <c r="AF18" s="24" t="s">
        <v>28</v>
      </c>
      <c r="AG18" s="9" t="s">
        <v>280</v>
      </c>
      <c r="AH18" s="9">
        <f>100%*(10800+21600+39600)+15%*(10800+21600+39600)</f>
        <v>82800</v>
      </c>
      <c r="AI18" s="10"/>
    </row>
    <row r="19" spans="16:35" x14ac:dyDescent="0.3">
      <c r="AE19" s="23"/>
      <c r="AF19" s="11" t="s">
        <v>17</v>
      </c>
      <c r="AG19" s="8"/>
      <c r="AH19" s="11" t="s">
        <v>18</v>
      </c>
      <c r="AI19" s="10"/>
    </row>
    <row r="20" spans="16:35" x14ac:dyDescent="0.3">
      <c r="AE20" s="23" t="s">
        <v>20</v>
      </c>
      <c r="AF20" s="24" t="s">
        <v>30</v>
      </c>
      <c r="AG20" s="9" t="s">
        <v>281</v>
      </c>
      <c r="AH20" s="9">
        <f>72000+(15%*72000)</f>
        <v>82800</v>
      </c>
      <c r="AI20" s="10"/>
    </row>
    <row r="21" spans="16:35" x14ac:dyDescent="0.3">
      <c r="AE21" s="25"/>
      <c r="AI21" s="10"/>
    </row>
    <row r="22" spans="16:35" ht="15" thickBot="1" x14ac:dyDescent="0.35">
      <c r="AE22" s="25"/>
      <c r="AF22" s="26"/>
      <c r="AG22" s="13"/>
      <c r="AH22" s="13"/>
      <c r="AI22" s="10"/>
    </row>
    <row r="23" spans="16:35" ht="15.6" x14ac:dyDescent="0.3">
      <c r="AE23" s="27" t="s">
        <v>32</v>
      </c>
      <c r="AF23" s="28"/>
      <c r="AG23" s="6"/>
      <c r="AH23" s="6"/>
      <c r="AI23" s="7"/>
    </row>
    <row r="24" spans="16:35" x14ac:dyDescent="0.3">
      <c r="AE24" s="23" t="s">
        <v>33</v>
      </c>
      <c r="AF24" s="24" t="s">
        <v>30</v>
      </c>
      <c r="AG24" s="9" t="s">
        <v>282</v>
      </c>
      <c r="AH24" s="9">
        <f>72000+(15%*72000)</f>
        <v>82800</v>
      </c>
      <c r="AI24" s="10"/>
    </row>
    <row r="25" spans="16:35" x14ac:dyDescent="0.3">
      <c r="U25" s="15"/>
      <c r="AE25" s="23"/>
      <c r="AF25" s="11" t="s">
        <v>17</v>
      </c>
      <c r="AG25" s="8"/>
      <c r="AH25" s="11" t="s">
        <v>18</v>
      </c>
      <c r="AI25" s="10"/>
    </row>
    <row r="26" spans="16:35" x14ac:dyDescent="0.3">
      <c r="AE26" s="23" t="s">
        <v>35</v>
      </c>
      <c r="AF26" s="24" t="s">
        <v>36</v>
      </c>
      <c r="AG26" s="9" t="s">
        <v>283</v>
      </c>
      <c r="AH26" s="9">
        <f>72000+72000*15%</f>
        <v>82800</v>
      </c>
      <c r="AI26" s="10"/>
    </row>
    <row r="27" spans="16:35" x14ac:dyDescent="0.3">
      <c r="AE27" s="25"/>
      <c r="AI27" s="10"/>
    </row>
    <row r="28" spans="16:35" ht="15" thickBot="1" x14ac:dyDescent="0.35">
      <c r="AE28" s="25"/>
      <c r="AF28" s="26"/>
      <c r="AG28" s="13"/>
      <c r="AH28" s="13"/>
      <c r="AI28" s="10"/>
    </row>
    <row r="29" spans="16:35" ht="15.6" x14ac:dyDescent="0.3">
      <c r="AE29" s="27" t="s">
        <v>38</v>
      </c>
      <c r="AF29" s="28"/>
      <c r="AG29" s="6"/>
      <c r="AH29" s="6"/>
      <c r="AI29" s="7"/>
    </row>
    <row r="30" spans="16:35" ht="15" customHeight="1" x14ac:dyDescent="0.3">
      <c r="AE30" s="23" t="s">
        <v>33</v>
      </c>
      <c r="AF30" s="24" t="s">
        <v>39</v>
      </c>
      <c r="AG30" s="9" t="s">
        <v>284</v>
      </c>
      <c r="AH30" s="9">
        <f>72000</f>
        <v>72000</v>
      </c>
      <c r="AI30" s="10"/>
    </row>
    <row r="31" spans="16:35" x14ac:dyDescent="0.3">
      <c r="AE31" s="23"/>
      <c r="AF31" s="11" t="s">
        <v>17</v>
      </c>
      <c r="AG31" s="8"/>
      <c r="AH31" s="11" t="s">
        <v>18</v>
      </c>
      <c r="AI31" s="10"/>
    </row>
    <row r="32" spans="16:35" ht="15" thickBot="1" x14ac:dyDescent="0.35">
      <c r="AE32" s="23" t="s">
        <v>35</v>
      </c>
      <c r="AF32" s="24" t="s">
        <v>41</v>
      </c>
      <c r="AG32" s="9" t="s">
        <v>285</v>
      </c>
      <c r="AH32" s="9">
        <f>60%*72000+40%*72000</f>
        <v>72000</v>
      </c>
      <c r="AI32" s="10"/>
    </row>
    <row r="33" spans="13:35" ht="14.55" customHeight="1" x14ac:dyDescent="0.3">
      <c r="P33" s="246" t="s">
        <v>43</v>
      </c>
      <c r="Q33" s="247"/>
      <c r="T33" s="252" t="s">
        <v>44</v>
      </c>
      <c r="U33" s="253"/>
      <c r="X33" s="258" t="s">
        <v>45</v>
      </c>
      <c r="Y33" s="259"/>
      <c r="AE33" s="25"/>
      <c r="AI33" s="10"/>
    </row>
    <row r="34" spans="13:35" ht="15" thickBot="1" x14ac:dyDescent="0.35">
      <c r="P34" s="248"/>
      <c r="Q34" s="249"/>
      <c r="T34" s="254"/>
      <c r="U34" s="255"/>
      <c r="X34" s="260"/>
      <c r="Y34" s="261"/>
      <c r="AE34" s="25"/>
      <c r="AF34" s="26"/>
      <c r="AG34" s="13"/>
      <c r="AH34" s="13"/>
      <c r="AI34" s="10"/>
    </row>
    <row r="35" spans="13:35" ht="16.2" thickBot="1" x14ac:dyDescent="0.35">
      <c r="P35" s="248"/>
      <c r="Q35" s="249"/>
      <c r="T35" s="254"/>
      <c r="U35" s="255"/>
      <c r="X35" s="260"/>
      <c r="Y35" s="261"/>
      <c r="AE35" s="27" t="s">
        <v>46</v>
      </c>
      <c r="AF35" s="28"/>
      <c r="AG35" s="6"/>
      <c r="AH35" s="6"/>
      <c r="AI35" s="7"/>
    </row>
    <row r="36" spans="13:35" ht="15" thickBot="1" x14ac:dyDescent="0.35">
      <c r="M36" s="264" t="s">
        <v>47</v>
      </c>
      <c r="N36" s="265"/>
      <c r="P36" s="250"/>
      <c r="Q36" s="251"/>
      <c r="T36" s="256"/>
      <c r="U36" s="257"/>
      <c r="X36" s="262"/>
      <c r="Y36" s="263"/>
      <c r="AE36" s="23" t="s">
        <v>33</v>
      </c>
      <c r="AF36" s="24" t="s">
        <v>48</v>
      </c>
      <c r="AG36" s="9" t="s">
        <v>286</v>
      </c>
      <c r="AH36" s="9">
        <f>(0.4*72000)+(0.6*72000)</f>
        <v>72000</v>
      </c>
      <c r="AI36" s="10"/>
    </row>
    <row r="37" spans="13:35" x14ac:dyDescent="0.3">
      <c r="M37" s="266"/>
      <c r="N37" s="267"/>
      <c r="AE37" s="23"/>
      <c r="AF37" s="11" t="s">
        <v>17</v>
      </c>
      <c r="AH37" s="11" t="s">
        <v>18</v>
      </c>
      <c r="AI37" s="10"/>
    </row>
    <row r="38" spans="13:35" x14ac:dyDescent="0.3">
      <c r="M38" s="266"/>
      <c r="N38" s="267"/>
      <c r="AE38" s="23" t="s">
        <v>35</v>
      </c>
      <c r="AF38" s="24" t="s">
        <v>39</v>
      </c>
      <c r="AG38" s="9" t="s">
        <v>284</v>
      </c>
      <c r="AH38" s="9">
        <v>72000</v>
      </c>
      <c r="AI38" s="10"/>
    </row>
    <row r="39" spans="13:35" ht="15" thickBot="1" x14ac:dyDescent="0.35">
      <c r="M39" s="268"/>
      <c r="N39" s="269"/>
      <c r="AE39" s="25"/>
      <c r="AI39" s="10"/>
    </row>
    <row r="40" spans="13:35" ht="15" thickBot="1" x14ac:dyDescent="0.35">
      <c r="AE40" s="25"/>
      <c r="AF40" s="26"/>
      <c r="AG40" s="13"/>
      <c r="AH40" s="13"/>
      <c r="AI40" s="10"/>
    </row>
    <row r="41" spans="13:35" ht="15.6" x14ac:dyDescent="0.3">
      <c r="AE41" s="27" t="s">
        <v>50</v>
      </c>
      <c r="AF41" s="28"/>
      <c r="AG41" s="6"/>
      <c r="AH41" s="6"/>
      <c r="AI41" s="7"/>
    </row>
    <row r="42" spans="13:35" x14ac:dyDescent="0.3">
      <c r="AE42" s="23" t="s">
        <v>33</v>
      </c>
      <c r="AF42" s="24" t="s">
        <v>39</v>
      </c>
      <c r="AG42" s="9" t="s">
        <v>284</v>
      </c>
      <c r="AH42" s="9">
        <v>72000</v>
      </c>
      <c r="AI42" s="10"/>
    </row>
    <row r="43" spans="13:35" x14ac:dyDescent="0.3">
      <c r="AE43" s="23"/>
      <c r="AF43" s="11" t="s">
        <v>17</v>
      </c>
      <c r="AI43" s="10"/>
    </row>
    <row r="44" spans="13:35" x14ac:dyDescent="0.3">
      <c r="AE44" s="23" t="s">
        <v>35</v>
      </c>
      <c r="AF44" s="24" t="s">
        <v>51</v>
      </c>
      <c r="AG44" s="8" t="s">
        <v>287</v>
      </c>
      <c r="AH44" s="9">
        <f>10800+(0.8*61200)+(0.2*61200)</f>
        <v>72000</v>
      </c>
      <c r="AI44" s="10"/>
    </row>
    <row r="45" spans="13:35" x14ac:dyDescent="0.3">
      <c r="AE45" s="25"/>
      <c r="AI45" s="10"/>
    </row>
    <row r="46" spans="13:35" ht="15" thickBot="1" x14ac:dyDescent="0.35">
      <c r="AE46" s="25"/>
      <c r="AF46" s="26"/>
      <c r="AG46" s="13"/>
      <c r="AH46" s="13"/>
      <c r="AI46" s="10"/>
    </row>
    <row r="47" spans="13:35" ht="15.6" x14ac:dyDescent="0.3">
      <c r="AE47" s="27" t="s">
        <v>53</v>
      </c>
      <c r="AF47" s="28"/>
      <c r="AG47" s="6"/>
      <c r="AH47" s="6"/>
      <c r="AI47" s="7"/>
    </row>
    <row r="48" spans="13:35" x14ac:dyDescent="0.3">
      <c r="AE48" s="23" t="s">
        <v>33</v>
      </c>
      <c r="AF48" s="24" t="s">
        <v>54</v>
      </c>
      <c r="AG48" s="16" t="s">
        <v>288</v>
      </c>
      <c r="AH48" s="9">
        <f>10800+(0.2*10800)</f>
        <v>12960</v>
      </c>
      <c r="AI48" s="10"/>
    </row>
    <row r="49" spans="20:35" x14ac:dyDescent="0.3">
      <c r="AE49" s="23"/>
      <c r="AF49" s="11" t="s">
        <v>17</v>
      </c>
      <c r="AI49" s="10"/>
    </row>
    <row r="50" spans="20:35" ht="15" thickBot="1" x14ac:dyDescent="0.35">
      <c r="AE50" s="23" t="s">
        <v>35</v>
      </c>
      <c r="AF50" s="24" t="s">
        <v>56</v>
      </c>
      <c r="AG50" s="16" t="s">
        <v>289</v>
      </c>
      <c r="AH50" s="9">
        <f>1.2*10800</f>
        <v>12960</v>
      </c>
      <c r="AI50" s="10"/>
    </row>
    <row r="51" spans="20:35" ht="15" customHeight="1" x14ac:dyDescent="0.3">
      <c r="T51" s="277" t="s">
        <v>58</v>
      </c>
      <c r="U51" s="278"/>
      <c r="AE51" s="25"/>
      <c r="AI51" s="10"/>
    </row>
    <row r="52" spans="20:35" ht="15" thickBot="1" x14ac:dyDescent="0.35">
      <c r="T52" s="279"/>
      <c r="U52" s="280"/>
      <c r="AE52" s="25"/>
      <c r="AF52" s="26"/>
      <c r="AG52" s="13"/>
      <c r="AH52" s="13"/>
      <c r="AI52" s="10"/>
    </row>
    <row r="53" spans="20:35" ht="15.6" x14ac:dyDescent="0.3">
      <c r="T53" s="279"/>
      <c r="U53" s="280"/>
      <c r="AE53" s="27" t="s">
        <v>59</v>
      </c>
      <c r="AF53" s="28"/>
      <c r="AG53" s="6"/>
      <c r="AH53" s="6"/>
      <c r="AI53" s="7"/>
    </row>
    <row r="54" spans="20:35" ht="15" thickBot="1" x14ac:dyDescent="0.35">
      <c r="T54" s="281"/>
      <c r="U54" s="282"/>
      <c r="AE54" s="23" t="s">
        <v>33</v>
      </c>
      <c r="AF54" s="24" t="s">
        <v>56</v>
      </c>
      <c r="AG54" s="16" t="s">
        <v>289</v>
      </c>
      <c r="AH54" s="9">
        <f>1.2*10800</f>
        <v>12960</v>
      </c>
      <c r="AI54" s="10"/>
    </row>
    <row r="55" spans="20:35" x14ac:dyDescent="0.3">
      <c r="AE55" s="23"/>
      <c r="AF55" s="11" t="s">
        <v>17</v>
      </c>
      <c r="AG55" s="8"/>
      <c r="AH55" s="11" t="s">
        <v>18</v>
      </c>
      <c r="AI55" s="10"/>
    </row>
    <row r="56" spans="20:35" x14ac:dyDescent="0.3">
      <c r="AE56" s="23" t="s">
        <v>35</v>
      </c>
      <c r="AF56" s="29" t="s">
        <v>54</v>
      </c>
      <c r="AG56" s="16" t="s">
        <v>288</v>
      </c>
      <c r="AH56" s="9">
        <f>10800+(0.2*10800)</f>
        <v>12960</v>
      </c>
      <c r="AI56" s="10"/>
    </row>
    <row r="57" spans="20:35" x14ac:dyDescent="0.3">
      <c r="AE57" s="25"/>
      <c r="AF57" s="30"/>
      <c r="AI57" s="10"/>
    </row>
    <row r="58" spans="20:35" ht="15" thickBot="1" x14ac:dyDescent="0.35">
      <c r="AE58" s="289"/>
      <c r="AF58" s="290"/>
      <c r="AG58" s="13"/>
      <c r="AH58" s="13"/>
      <c r="AI58" s="10"/>
    </row>
    <row r="59" spans="20:35" ht="15.6" x14ac:dyDescent="0.3">
      <c r="AE59" s="31" t="s">
        <v>60</v>
      </c>
      <c r="AF59" s="26"/>
      <c r="AG59" s="6"/>
      <c r="AH59" s="6"/>
      <c r="AI59" s="7"/>
    </row>
    <row r="60" spans="20:35" x14ac:dyDescent="0.3">
      <c r="AE60" s="23" t="s">
        <v>33</v>
      </c>
      <c r="AF60" s="24" t="s">
        <v>51</v>
      </c>
      <c r="AG60" s="9" t="s">
        <v>290</v>
      </c>
      <c r="AH60" s="9">
        <f>10800+(0.2*61200)+(0.8*61200)</f>
        <v>72000</v>
      </c>
      <c r="AI60" s="10"/>
    </row>
    <row r="61" spans="20:35" x14ac:dyDescent="0.3">
      <c r="AE61" s="23"/>
      <c r="AF61" s="11" t="s">
        <v>17</v>
      </c>
      <c r="AG61" s="8"/>
      <c r="AH61" s="11" t="s">
        <v>18</v>
      </c>
      <c r="AI61" s="10"/>
    </row>
    <row r="62" spans="20:35" x14ac:dyDescent="0.3">
      <c r="AE62" s="23" t="s">
        <v>35</v>
      </c>
      <c r="AF62" s="24" t="s">
        <v>39</v>
      </c>
      <c r="AG62" s="9" t="s">
        <v>291</v>
      </c>
      <c r="AH62" s="9">
        <v>72000</v>
      </c>
      <c r="AI62" s="10"/>
    </row>
    <row r="63" spans="20:35" x14ac:dyDescent="0.3">
      <c r="AE63" s="25"/>
      <c r="AI63" s="10"/>
    </row>
    <row r="64" spans="20:35" ht="15" thickBot="1" x14ac:dyDescent="0.35">
      <c r="AE64" s="25"/>
      <c r="AF64" s="26"/>
      <c r="AG64" s="13"/>
      <c r="AH64" s="13"/>
      <c r="AI64" s="10"/>
    </row>
    <row r="65" spans="13:35" ht="15.6" x14ac:dyDescent="0.3">
      <c r="AE65" s="27" t="s">
        <v>63</v>
      </c>
      <c r="AF65" s="28"/>
      <c r="AG65" s="6"/>
      <c r="AH65" s="6"/>
      <c r="AI65" s="7"/>
    </row>
    <row r="66" spans="13:35" x14ac:dyDescent="0.3">
      <c r="AE66" s="23" t="s">
        <v>33</v>
      </c>
      <c r="AF66" s="24" t="s">
        <v>39</v>
      </c>
      <c r="AG66" s="9" t="s">
        <v>291</v>
      </c>
      <c r="AH66" s="9">
        <v>72000</v>
      </c>
      <c r="AI66" s="10"/>
    </row>
    <row r="67" spans="13:35" x14ac:dyDescent="0.3">
      <c r="AE67" s="23"/>
      <c r="AF67" s="11" t="s">
        <v>17</v>
      </c>
      <c r="AG67" s="8"/>
      <c r="AH67" s="11" t="s">
        <v>18</v>
      </c>
      <c r="AI67" s="10"/>
    </row>
    <row r="68" spans="13:35" x14ac:dyDescent="0.3">
      <c r="AE68" s="23" t="s">
        <v>35</v>
      </c>
      <c r="AF68" s="24" t="s">
        <v>41</v>
      </c>
      <c r="AG68" s="8" t="s">
        <v>285</v>
      </c>
      <c r="AH68" s="9">
        <f>(0.6*72000)+(0.4*72000)</f>
        <v>72000</v>
      </c>
      <c r="AI68" s="10"/>
    </row>
    <row r="69" spans="13:35" x14ac:dyDescent="0.3">
      <c r="AE69" s="25"/>
      <c r="AI69" s="10"/>
    </row>
    <row r="70" spans="13:35" ht="15" thickBot="1" x14ac:dyDescent="0.35">
      <c r="AE70" s="25"/>
      <c r="AF70" s="26"/>
      <c r="AG70" s="13"/>
      <c r="AH70" s="13"/>
      <c r="AI70" s="10"/>
    </row>
    <row r="71" spans="13:35" ht="15.6" x14ac:dyDescent="0.3">
      <c r="M71" s="291" t="s">
        <v>64</v>
      </c>
      <c r="N71" s="292"/>
      <c r="T71" s="297" t="s">
        <v>65</v>
      </c>
      <c r="U71" s="298"/>
      <c r="AE71" s="27" t="s">
        <v>66</v>
      </c>
      <c r="AF71" s="28"/>
      <c r="AG71" s="6"/>
      <c r="AH71" s="6"/>
      <c r="AI71" s="7"/>
    </row>
    <row r="72" spans="13:35" x14ac:dyDescent="0.3">
      <c r="M72" s="293"/>
      <c r="N72" s="294"/>
      <c r="T72" s="299"/>
      <c r="U72" s="300"/>
      <c r="AE72" s="23" t="s">
        <v>33</v>
      </c>
      <c r="AF72" s="24" t="s">
        <v>67</v>
      </c>
      <c r="AG72" s="8" t="s">
        <v>292</v>
      </c>
      <c r="AH72" s="9">
        <f>0.6*72000</f>
        <v>43200</v>
      </c>
      <c r="AI72" s="10"/>
    </row>
    <row r="73" spans="13:35" x14ac:dyDescent="0.3">
      <c r="M73" s="293"/>
      <c r="N73" s="294"/>
      <c r="T73" s="299"/>
      <c r="U73" s="300"/>
      <c r="AE73" s="23"/>
      <c r="AF73" s="11" t="s">
        <v>17</v>
      </c>
      <c r="AG73" s="8"/>
      <c r="AH73" s="11" t="s">
        <v>18</v>
      </c>
      <c r="AI73" s="10"/>
    </row>
    <row r="74" spans="13:35" ht="15" thickBot="1" x14ac:dyDescent="0.35">
      <c r="M74" s="295"/>
      <c r="N74" s="296"/>
      <c r="T74" s="301"/>
      <c r="U74" s="302"/>
      <c r="AE74" s="23" t="s">
        <v>35</v>
      </c>
      <c r="AF74" s="24" t="s">
        <v>69</v>
      </c>
      <c r="AG74" s="8" t="s">
        <v>293</v>
      </c>
      <c r="AH74" s="9">
        <f>(0.03*43200)+(0.97*43200)</f>
        <v>43200</v>
      </c>
      <c r="AI74" s="10"/>
    </row>
    <row r="75" spans="13:35" x14ac:dyDescent="0.3">
      <c r="AE75" s="25"/>
      <c r="AI75" s="10"/>
    </row>
    <row r="76" spans="13:35" ht="15" thickBot="1" x14ac:dyDescent="0.35">
      <c r="AE76" s="25"/>
      <c r="AF76" s="26"/>
      <c r="AG76" s="13"/>
      <c r="AH76" s="13"/>
      <c r="AI76" s="10"/>
    </row>
    <row r="77" spans="13:35" ht="15.6" x14ac:dyDescent="0.3">
      <c r="AE77" s="27" t="s">
        <v>71</v>
      </c>
      <c r="AF77" s="28"/>
      <c r="AG77" s="6"/>
      <c r="AH77" s="6"/>
      <c r="AI77" s="7"/>
    </row>
    <row r="78" spans="13:35" x14ac:dyDescent="0.3">
      <c r="R78" s="17"/>
      <c r="S78" s="17"/>
      <c r="AE78" s="23" t="s">
        <v>33</v>
      </c>
      <c r="AF78" s="24" t="s">
        <v>72</v>
      </c>
      <c r="AG78" s="8" t="s">
        <v>294</v>
      </c>
      <c r="AH78" s="9">
        <f>72000*0.4</f>
        <v>28800</v>
      </c>
      <c r="AI78" s="10"/>
    </row>
    <row r="79" spans="13:35" x14ac:dyDescent="0.3">
      <c r="R79" s="17"/>
      <c r="S79" s="17"/>
      <c r="AE79" s="23"/>
      <c r="AF79" s="11" t="s">
        <v>17</v>
      </c>
      <c r="AG79" s="8"/>
      <c r="AH79" s="11" t="s">
        <v>18</v>
      </c>
      <c r="AI79" s="10"/>
    </row>
    <row r="80" spans="13:35" x14ac:dyDescent="0.3">
      <c r="R80" s="17"/>
      <c r="S80" s="17"/>
      <c r="AE80" s="23" t="s">
        <v>35</v>
      </c>
      <c r="AF80" s="24" t="s">
        <v>74</v>
      </c>
      <c r="AG80" s="8" t="s">
        <v>295</v>
      </c>
      <c r="AH80" s="9">
        <f>(0.05*28800)+(0.95*28800)</f>
        <v>28800</v>
      </c>
      <c r="AI80" s="10"/>
    </row>
    <row r="81" spans="7:65" x14ac:dyDescent="0.3">
      <c r="R81" s="17"/>
      <c r="S81" s="17"/>
      <c r="AE81" s="25"/>
      <c r="AI81" s="10"/>
    </row>
    <row r="82" spans="7:65" ht="15" thickBot="1" x14ac:dyDescent="0.35">
      <c r="AE82" s="25"/>
      <c r="AF82" s="26"/>
      <c r="AG82" s="13"/>
      <c r="AH82" s="13"/>
      <c r="AI82" s="10"/>
    </row>
    <row r="83" spans="7:65" ht="15.6" x14ac:dyDescent="0.3">
      <c r="AE83" s="27" t="s">
        <v>76</v>
      </c>
      <c r="AF83" s="28"/>
      <c r="AG83" s="6"/>
      <c r="AH83" s="6"/>
      <c r="AI83" s="7"/>
    </row>
    <row r="84" spans="7:65" x14ac:dyDescent="0.3">
      <c r="AE84" s="23" t="s">
        <v>33</v>
      </c>
      <c r="AF84" s="18" t="s">
        <v>77</v>
      </c>
      <c r="AG84" s="18" t="s">
        <v>296</v>
      </c>
      <c r="AH84" s="11">
        <f>(0.97*43200)+(28800*0.95)</f>
        <v>69264</v>
      </c>
      <c r="AI84" s="10"/>
    </row>
    <row r="85" spans="7:65" x14ac:dyDescent="0.3">
      <c r="AE85" s="23"/>
      <c r="AF85" s="11" t="s">
        <v>17</v>
      </c>
      <c r="AG85" s="8"/>
      <c r="AH85" s="11" t="s">
        <v>18</v>
      </c>
      <c r="AI85" s="10"/>
    </row>
    <row r="86" spans="7:65" x14ac:dyDescent="0.3">
      <c r="R86" s="1" t="s">
        <v>79</v>
      </c>
      <c r="AE86" s="23" t="s">
        <v>35</v>
      </c>
      <c r="AF86" s="18" t="s">
        <v>77</v>
      </c>
      <c r="AG86" s="18" t="s">
        <v>296</v>
      </c>
      <c r="AH86" s="11">
        <f>(0.97*43200)+(28800*0.95)</f>
        <v>69264</v>
      </c>
      <c r="AI86" s="10"/>
    </row>
    <row r="87" spans="7:65" ht="15" thickBot="1" x14ac:dyDescent="0.35">
      <c r="AE87" s="32"/>
      <c r="AF87" s="19"/>
      <c r="AG87" s="19"/>
      <c r="AH87" s="19"/>
      <c r="AI87" s="20"/>
    </row>
    <row r="89" spans="7:65" x14ac:dyDescent="0.3">
      <c r="AF89" s="151"/>
    </row>
    <row r="92" spans="7:65" ht="15" thickBot="1" x14ac:dyDescent="0.35"/>
    <row r="93" spans="7:65" ht="15.45" customHeight="1" x14ac:dyDescent="0.3">
      <c r="G93" s="303" t="s">
        <v>80</v>
      </c>
      <c r="H93" s="304"/>
      <c r="I93" s="309" t="s">
        <v>81</v>
      </c>
      <c r="J93" s="310"/>
      <c r="K93" s="311" t="s">
        <v>82</v>
      </c>
      <c r="L93" s="311"/>
      <c r="M93" s="312" t="s">
        <v>83</v>
      </c>
      <c r="N93" s="312"/>
      <c r="O93" s="313" t="s">
        <v>84</v>
      </c>
      <c r="P93" s="313"/>
      <c r="Q93" s="314" t="s">
        <v>85</v>
      </c>
      <c r="R93" s="315"/>
    </row>
    <row r="94" spans="7:65" ht="15.6" x14ac:dyDescent="0.3">
      <c r="G94" s="305"/>
      <c r="H94" s="306"/>
      <c r="I94" s="316" t="s">
        <v>86</v>
      </c>
      <c r="J94" s="317"/>
      <c r="K94" s="318">
        <f>10800</f>
        <v>10800</v>
      </c>
      <c r="L94" s="318"/>
      <c r="M94" s="318">
        <v>21600</v>
      </c>
      <c r="N94" s="318"/>
      <c r="O94" s="318">
        <v>0</v>
      </c>
      <c r="P94" s="318"/>
      <c r="Q94" s="318">
        <f>K94+M94+O94</f>
        <v>32400</v>
      </c>
      <c r="R94" s="319"/>
      <c r="AQ94" s="1" t="s">
        <v>275</v>
      </c>
      <c r="BD94" s="1" t="s">
        <v>276</v>
      </c>
    </row>
    <row r="95" spans="7:65" ht="16.2" thickBot="1" x14ac:dyDescent="0.35">
      <c r="G95" s="305"/>
      <c r="H95" s="306"/>
      <c r="I95" s="316" t="s">
        <v>87</v>
      </c>
      <c r="J95" s="317"/>
      <c r="K95" s="318">
        <f>10800</f>
        <v>10800</v>
      </c>
      <c r="L95" s="318"/>
      <c r="M95" s="318">
        <v>21600</v>
      </c>
      <c r="N95" s="318"/>
      <c r="O95" s="318">
        <v>39600</v>
      </c>
      <c r="P95" s="318"/>
      <c r="Q95" s="318">
        <f t="shared" ref="Q95" si="0">K95+M95+O95</f>
        <v>72000</v>
      </c>
      <c r="R95" s="319"/>
    </row>
    <row r="96" spans="7:65" ht="63.6" thickBot="1" x14ac:dyDescent="0.45">
      <c r="G96" s="305"/>
      <c r="H96" s="306"/>
      <c r="I96" s="316" t="s">
        <v>88</v>
      </c>
      <c r="J96" s="317"/>
      <c r="K96" s="320">
        <f>10800*0.6</f>
        <v>6480</v>
      </c>
      <c r="L96" s="320"/>
      <c r="M96" s="320">
        <f>21600*0.6</f>
        <v>12960</v>
      </c>
      <c r="N96" s="320"/>
      <c r="O96" s="320">
        <f>39600*0.6</f>
        <v>23760</v>
      </c>
      <c r="P96" s="320"/>
      <c r="Q96" s="320">
        <f>SUM(K96:P96)</f>
        <v>43200</v>
      </c>
      <c r="R96" s="321"/>
      <c r="AM96" s="101"/>
      <c r="AN96" s="102"/>
      <c r="AO96" s="103" t="s">
        <v>124</v>
      </c>
      <c r="AP96" s="103" t="s">
        <v>163</v>
      </c>
      <c r="AQ96" s="103" t="s">
        <v>164</v>
      </c>
      <c r="AR96" s="103" t="s">
        <v>125</v>
      </c>
      <c r="AS96" s="103" t="s">
        <v>126</v>
      </c>
      <c r="AT96" s="103" t="s">
        <v>91</v>
      </c>
      <c r="AU96" s="103" t="s">
        <v>92</v>
      </c>
      <c r="AV96" s="103" t="s">
        <v>127</v>
      </c>
      <c r="AW96" s="104" t="s">
        <v>111</v>
      </c>
      <c r="AX96" s="104" t="s">
        <v>128</v>
      </c>
      <c r="AY96" s="105" t="s">
        <v>129</v>
      </c>
      <c r="BA96" s="152"/>
      <c r="BB96" s="153"/>
      <c r="BC96" s="154" t="s">
        <v>124</v>
      </c>
      <c r="BD96" s="154" t="s">
        <v>163</v>
      </c>
      <c r="BE96" s="154" t="s">
        <v>164</v>
      </c>
      <c r="BF96" s="154" t="s">
        <v>125</v>
      </c>
      <c r="BG96" s="154" t="s">
        <v>126</v>
      </c>
      <c r="BH96" s="154" t="s">
        <v>91</v>
      </c>
      <c r="BI96" s="154" t="s">
        <v>92</v>
      </c>
      <c r="BJ96" s="154" t="s">
        <v>127</v>
      </c>
      <c r="BK96" s="155" t="s">
        <v>111</v>
      </c>
      <c r="BL96" s="155" t="s">
        <v>128</v>
      </c>
      <c r="BM96" s="156" t="s">
        <v>129</v>
      </c>
    </row>
    <row r="97" spans="7:65" ht="16.05" customHeight="1" x14ac:dyDescent="0.3">
      <c r="G97" s="305"/>
      <c r="H97" s="306"/>
      <c r="I97" s="316" t="s">
        <v>89</v>
      </c>
      <c r="J97" s="317"/>
      <c r="K97" s="320">
        <f>10800*0.4</f>
        <v>4320</v>
      </c>
      <c r="L97" s="320"/>
      <c r="M97" s="320">
        <f>21600*0.4</f>
        <v>8640</v>
      </c>
      <c r="N97" s="320"/>
      <c r="O97" s="320">
        <f>39600*0.4</f>
        <v>15840</v>
      </c>
      <c r="P97" s="320"/>
      <c r="Q97" s="320">
        <f>SUM(K97:P97)</f>
        <v>28800</v>
      </c>
      <c r="R97" s="321"/>
      <c r="V97" s="322" t="s">
        <v>90</v>
      </c>
      <c r="W97" s="323"/>
      <c r="X97" s="328">
        <f>(Q102*(1-0.03))+(Q103*(1-0.05))</f>
        <v>69264</v>
      </c>
      <c r="AM97" s="343" t="s">
        <v>165</v>
      </c>
      <c r="AN97" s="80" t="s">
        <v>120</v>
      </c>
      <c r="AO97" s="122"/>
      <c r="AP97" s="123"/>
      <c r="AQ97" s="123"/>
      <c r="AR97" s="123"/>
      <c r="AS97" s="123"/>
      <c r="AT97" s="123"/>
      <c r="AU97" s="123"/>
      <c r="AV97" s="123"/>
      <c r="AW97" s="123"/>
      <c r="AX97" s="123"/>
      <c r="AY97" s="124"/>
      <c r="BA97" s="174" t="s">
        <v>165</v>
      </c>
      <c r="BB97" s="80" t="s">
        <v>120</v>
      </c>
      <c r="BC97" s="122"/>
      <c r="BD97" s="123"/>
      <c r="BE97" s="123"/>
      <c r="BF97" s="123"/>
      <c r="BG97" s="123"/>
      <c r="BH97" s="123"/>
      <c r="BI97" s="123"/>
      <c r="BJ97" s="123"/>
      <c r="BK97" s="123"/>
      <c r="BL97" s="123"/>
      <c r="BM97" s="124"/>
    </row>
    <row r="98" spans="7:65" ht="18" customHeight="1" x14ac:dyDescent="0.3">
      <c r="G98" s="305"/>
      <c r="H98" s="306"/>
      <c r="I98" s="316" t="s">
        <v>91</v>
      </c>
      <c r="J98" s="317"/>
      <c r="K98" s="318">
        <v>10800</v>
      </c>
      <c r="L98" s="318"/>
      <c r="M98" s="318">
        <v>0</v>
      </c>
      <c r="N98" s="318"/>
      <c r="O98" s="318">
        <v>0</v>
      </c>
      <c r="P98" s="318"/>
      <c r="Q98" s="318">
        <f>K98</f>
        <v>10800</v>
      </c>
      <c r="R98" s="319"/>
      <c r="V98" s="324"/>
      <c r="W98" s="325"/>
      <c r="X98" s="329"/>
      <c r="AM98" s="343"/>
      <c r="AN98" s="80" t="s">
        <v>121</v>
      </c>
      <c r="AO98" s="39">
        <v>5.6</v>
      </c>
      <c r="AP98" s="39">
        <v>63.958333333333336</v>
      </c>
      <c r="AQ98" s="39">
        <v>63.958333333333336</v>
      </c>
      <c r="AR98" s="39">
        <v>6.7</v>
      </c>
      <c r="AS98" s="39">
        <v>4.5</v>
      </c>
      <c r="AT98" s="39">
        <v>5.5555555555555554</v>
      </c>
      <c r="AU98" s="85">
        <v>3.4722222222222223</v>
      </c>
      <c r="AV98" s="39">
        <v>2.3958333333333335</v>
      </c>
      <c r="AW98" s="39">
        <v>11.25</v>
      </c>
      <c r="AX98" s="39">
        <v>11.381944444444445</v>
      </c>
      <c r="AY98" s="84">
        <v>7.6388888888888884</v>
      </c>
      <c r="BA98" s="149"/>
      <c r="BB98" s="80" t="s">
        <v>121</v>
      </c>
      <c r="BC98" s="39">
        <v>5.6</v>
      </c>
      <c r="BD98" s="39">
        <v>63.958333333333336</v>
      </c>
      <c r="BE98" s="39">
        <v>63.958333333333336</v>
      </c>
      <c r="BF98" s="39">
        <v>6.7</v>
      </c>
      <c r="BG98" s="39">
        <v>4.5</v>
      </c>
      <c r="BH98" s="39">
        <v>5.5555555555555554</v>
      </c>
      <c r="BI98" s="85">
        <v>3.4722222222222223</v>
      </c>
      <c r="BJ98" s="39">
        <v>2.3958333333333335</v>
      </c>
      <c r="BK98" s="39">
        <v>11.25</v>
      </c>
      <c r="BL98" s="39">
        <v>11.381944444444445</v>
      </c>
      <c r="BM98" s="84">
        <v>7.6388888888888884</v>
      </c>
    </row>
    <row r="99" spans="7:65" ht="18" x14ac:dyDescent="0.3">
      <c r="G99" s="305"/>
      <c r="H99" s="306"/>
      <c r="I99" s="316" t="s">
        <v>92</v>
      </c>
      <c r="J99" s="317"/>
      <c r="K99" s="318">
        <v>0</v>
      </c>
      <c r="L99" s="318"/>
      <c r="M99" s="318">
        <f>0.8*(21600)</f>
        <v>17280</v>
      </c>
      <c r="N99" s="318"/>
      <c r="O99" s="318">
        <f>0.8*39600</f>
        <v>31680</v>
      </c>
      <c r="P99" s="318"/>
      <c r="Q99" s="318">
        <f t="shared" ref="Q99:Q101" si="1">K99+M99+O99</f>
        <v>48960</v>
      </c>
      <c r="R99" s="319"/>
      <c r="V99" s="324"/>
      <c r="W99" s="325"/>
      <c r="X99" s="329"/>
      <c r="AM99" s="343"/>
      <c r="AN99" s="118"/>
      <c r="AO99" s="119"/>
      <c r="AP99" s="120"/>
      <c r="AQ99" s="119"/>
      <c r="AR99" s="120"/>
      <c r="AS99" s="120"/>
      <c r="AT99" s="120"/>
      <c r="AU99" s="120"/>
      <c r="AV99" s="120"/>
      <c r="AW99" s="120"/>
      <c r="AX99" s="120"/>
      <c r="AY99" s="121"/>
      <c r="BA99" s="175"/>
      <c r="BB99" s="118"/>
      <c r="BC99" s="119"/>
      <c r="BD99" s="120"/>
      <c r="BE99" s="119"/>
      <c r="BF99" s="120"/>
      <c r="BG99" s="120"/>
      <c r="BH99" s="120"/>
      <c r="BI99" s="120"/>
      <c r="BJ99" s="120"/>
      <c r="BK99" s="120"/>
      <c r="BL99" s="120"/>
      <c r="BM99" s="121"/>
    </row>
    <row r="100" spans="7:65" ht="72.599999999999994" thickBot="1" x14ac:dyDescent="0.35">
      <c r="G100" s="305"/>
      <c r="H100" s="306"/>
      <c r="I100" s="316" t="s">
        <v>93</v>
      </c>
      <c r="J100" s="317"/>
      <c r="K100" s="318">
        <v>0</v>
      </c>
      <c r="L100" s="318"/>
      <c r="M100" s="318">
        <f>0.2*21600</f>
        <v>4320</v>
      </c>
      <c r="N100" s="318"/>
      <c r="O100" s="318">
        <f>0.2*39600</f>
        <v>7920</v>
      </c>
      <c r="P100" s="318"/>
      <c r="Q100" s="318">
        <f t="shared" si="1"/>
        <v>12240</v>
      </c>
      <c r="R100" s="319"/>
      <c r="V100" s="326"/>
      <c r="W100" s="327"/>
      <c r="X100" s="330"/>
      <c r="AM100" s="344" t="s">
        <v>166</v>
      </c>
      <c r="AN100" s="80" t="s">
        <v>120</v>
      </c>
      <c r="AO100" s="126"/>
      <c r="AP100" s="126"/>
      <c r="AQ100" s="126"/>
      <c r="AR100" s="126"/>
      <c r="AS100" s="126"/>
      <c r="AT100" s="126"/>
      <c r="AU100" s="126"/>
      <c r="AV100" s="126"/>
      <c r="AW100" s="126"/>
      <c r="AX100" s="126"/>
      <c r="AY100" s="127"/>
      <c r="BA100" s="176" t="s">
        <v>166</v>
      </c>
      <c r="BB100" s="80" t="s">
        <v>120</v>
      </c>
      <c r="BC100" s="126"/>
      <c r="BD100" s="126"/>
      <c r="BE100" s="126"/>
      <c r="BF100" s="126"/>
      <c r="BG100" s="126"/>
      <c r="BH100" s="126"/>
      <c r="BI100" s="126"/>
      <c r="BJ100" s="126"/>
      <c r="BK100" s="126"/>
      <c r="BL100" s="126"/>
      <c r="BM100" s="127"/>
    </row>
    <row r="101" spans="7:65" ht="18" customHeight="1" x14ac:dyDescent="0.3">
      <c r="G101" s="305"/>
      <c r="H101" s="306"/>
      <c r="I101" s="316" t="s">
        <v>94</v>
      </c>
      <c r="J101" s="317"/>
      <c r="K101" s="318">
        <v>10800</v>
      </c>
      <c r="L101" s="318"/>
      <c r="M101" s="318">
        <v>21600</v>
      </c>
      <c r="N101" s="318"/>
      <c r="O101" s="318">
        <v>39600</v>
      </c>
      <c r="P101" s="318"/>
      <c r="Q101" s="318">
        <f t="shared" si="1"/>
        <v>72000</v>
      </c>
      <c r="R101" s="319"/>
      <c r="AM101" s="344"/>
      <c r="AN101" s="80" t="s">
        <v>121</v>
      </c>
      <c r="AO101" s="116">
        <v>27.5</v>
      </c>
      <c r="AP101" s="116">
        <v>9.5833333333333339</v>
      </c>
      <c r="AQ101" s="116">
        <v>54.305555555555557</v>
      </c>
      <c r="AR101" s="116">
        <v>33.333333333333336</v>
      </c>
      <c r="AS101" s="116">
        <v>22.222222222222221</v>
      </c>
      <c r="AT101" s="116">
        <v>10</v>
      </c>
      <c r="AU101" s="116">
        <v>37.777777777777779</v>
      </c>
      <c r="AV101" s="116">
        <v>9.4444444444444446</v>
      </c>
      <c r="AW101" s="116">
        <v>55.555555555555557</v>
      </c>
      <c r="AX101" s="116">
        <v>33.333333333333336</v>
      </c>
      <c r="AY101" s="117">
        <v>22.222222222222221</v>
      </c>
      <c r="BA101" s="177"/>
      <c r="BB101" s="80" t="s">
        <v>121</v>
      </c>
      <c r="BC101" s="116">
        <f>+(AD5+AD6)/1440</f>
        <v>22.5</v>
      </c>
      <c r="BD101" s="178">
        <f>1.15*AD5/1440</f>
        <v>8.6249999999999982</v>
      </c>
      <c r="BE101" s="178">
        <f>1.15*(AD6+AD7)/1440</f>
        <v>48.875</v>
      </c>
      <c r="BF101" s="116">
        <f>0.6*(AD5+AD6+AD7)/1440</f>
        <v>30</v>
      </c>
      <c r="BG101" s="116">
        <f>0.4*(AD5+AD6+AD7)/1440</f>
        <v>20</v>
      </c>
      <c r="BH101" s="116">
        <f>AD5/1440</f>
        <v>7.5</v>
      </c>
      <c r="BI101" s="116">
        <f>0.8*(AD6+AD7)/1440</f>
        <v>34</v>
      </c>
      <c r="BJ101" s="116">
        <f>0.2*(AD6+AD7)/1440</f>
        <v>8.5</v>
      </c>
      <c r="BK101" s="116">
        <f>+(AD5+AD6+AD7)/1440</f>
        <v>50</v>
      </c>
      <c r="BL101" s="116">
        <f>0.6*(AD5+AD6+AD7)/1440</f>
        <v>30</v>
      </c>
      <c r="BM101" s="117">
        <f>0.4*(AD5+AD6+AD7)/1440</f>
        <v>20</v>
      </c>
    </row>
    <row r="102" spans="7:65" ht="16.95" customHeight="1" x14ac:dyDescent="0.3">
      <c r="G102" s="305"/>
      <c r="H102" s="306"/>
      <c r="I102" s="331" t="s">
        <v>95</v>
      </c>
      <c r="J102" s="332"/>
      <c r="K102" s="333">
        <f>10800*0.6</f>
        <v>6480</v>
      </c>
      <c r="L102" s="333"/>
      <c r="M102" s="333">
        <f>21600*0.6</f>
        <v>12960</v>
      </c>
      <c r="N102" s="333"/>
      <c r="O102" s="333">
        <f>0.6*39600</f>
        <v>23760</v>
      </c>
      <c r="P102" s="333"/>
      <c r="Q102" s="320">
        <f>O102+M102+K102</f>
        <v>43200</v>
      </c>
      <c r="R102" s="321"/>
      <c r="AM102" s="106" t="s">
        <v>101</v>
      </c>
      <c r="AN102" s="80" t="s">
        <v>122</v>
      </c>
      <c r="AO102" s="38" t="s">
        <v>102</v>
      </c>
      <c r="AP102" s="82" t="s">
        <v>103</v>
      </c>
      <c r="AQ102" s="82" t="s">
        <v>103</v>
      </c>
      <c r="AR102" s="82" t="s">
        <v>104</v>
      </c>
      <c r="AS102" s="82" t="s">
        <v>104</v>
      </c>
      <c r="AT102" s="82" t="s">
        <v>107</v>
      </c>
      <c r="AU102" s="82" t="s">
        <v>105</v>
      </c>
      <c r="AV102" s="82" t="s">
        <v>106</v>
      </c>
      <c r="AW102" s="82" t="s">
        <v>104</v>
      </c>
      <c r="AX102" s="82" t="s">
        <v>108</v>
      </c>
      <c r="AY102" s="83" t="s">
        <v>108</v>
      </c>
      <c r="BA102" s="106" t="s">
        <v>101</v>
      </c>
      <c r="BB102" s="80" t="s">
        <v>122</v>
      </c>
      <c r="BC102" s="38" t="s">
        <v>102</v>
      </c>
      <c r="BD102" s="82" t="s">
        <v>103</v>
      </c>
      <c r="BE102" s="82" t="s">
        <v>103</v>
      </c>
      <c r="BF102" s="82" t="s">
        <v>104</v>
      </c>
      <c r="BG102" s="82" t="s">
        <v>104</v>
      </c>
      <c r="BH102" s="82" t="s">
        <v>107</v>
      </c>
      <c r="BI102" s="82" t="s">
        <v>105</v>
      </c>
      <c r="BJ102" s="82" t="s">
        <v>106</v>
      </c>
      <c r="BK102" s="82" t="s">
        <v>104</v>
      </c>
      <c r="BL102" s="82" t="s">
        <v>108</v>
      </c>
      <c r="BM102" s="83" t="s">
        <v>108</v>
      </c>
    </row>
    <row r="103" spans="7:65" ht="16.05" customHeight="1" thickBot="1" x14ac:dyDescent="0.35">
      <c r="G103" s="307"/>
      <c r="H103" s="308"/>
      <c r="I103" s="334" t="s">
        <v>96</v>
      </c>
      <c r="J103" s="335"/>
      <c r="K103" s="336">
        <f>10800*0.4</f>
        <v>4320</v>
      </c>
      <c r="L103" s="336"/>
      <c r="M103" s="336">
        <f>21600*0.4</f>
        <v>8640</v>
      </c>
      <c r="N103" s="336"/>
      <c r="O103" s="336">
        <f>0.4*39600</f>
        <v>15840</v>
      </c>
      <c r="P103" s="336"/>
      <c r="Q103" s="337">
        <f>K103+M103+O103</f>
        <v>28800</v>
      </c>
      <c r="R103" s="338"/>
      <c r="AM103" s="106" t="s">
        <v>168</v>
      </c>
      <c r="AN103" s="80"/>
      <c r="AO103" s="38">
        <v>1</v>
      </c>
      <c r="AP103" s="82">
        <v>1</v>
      </c>
      <c r="AQ103" s="82">
        <v>1</v>
      </c>
      <c r="AR103" s="82">
        <v>5</v>
      </c>
      <c r="AS103" s="82">
        <v>5</v>
      </c>
      <c r="AT103" s="82">
        <v>1</v>
      </c>
      <c r="AU103" s="82">
        <v>12</v>
      </c>
      <c r="AV103" s="82">
        <v>1</v>
      </c>
      <c r="AW103" s="82">
        <v>5</v>
      </c>
      <c r="AX103" s="82">
        <v>1</v>
      </c>
      <c r="AY103" s="83">
        <v>1</v>
      </c>
      <c r="BA103" s="106" t="s">
        <v>168</v>
      </c>
      <c r="BB103" s="80"/>
      <c r="BC103" s="38">
        <v>1</v>
      </c>
      <c r="BD103" s="82">
        <v>1</v>
      </c>
      <c r="BE103" s="82">
        <v>1</v>
      </c>
      <c r="BF103" s="82">
        <v>5</v>
      </c>
      <c r="BG103" s="82">
        <v>5</v>
      </c>
      <c r="BH103" s="82">
        <v>1</v>
      </c>
      <c r="BI103" s="82">
        <v>12</v>
      </c>
      <c r="BJ103" s="82">
        <v>1</v>
      </c>
      <c r="BK103" s="82">
        <v>5</v>
      </c>
      <c r="BL103" s="82">
        <v>1</v>
      </c>
      <c r="BM103" s="83">
        <v>1</v>
      </c>
    </row>
    <row r="104" spans="7:65" ht="16.05" customHeight="1" x14ac:dyDescent="0.3">
      <c r="AM104" s="345" t="s">
        <v>167</v>
      </c>
      <c r="AN104" s="80" t="s">
        <v>120</v>
      </c>
      <c r="AO104" s="113"/>
      <c r="AP104" s="114"/>
      <c r="AQ104" s="114"/>
      <c r="AR104" s="114"/>
      <c r="AS104" s="114"/>
      <c r="AT104" s="114"/>
      <c r="AU104" s="114"/>
      <c r="AV104" s="125"/>
      <c r="AW104" s="114"/>
      <c r="AX104" s="114"/>
      <c r="AY104" s="115"/>
      <c r="BA104" s="340" t="s">
        <v>167</v>
      </c>
      <c r="BB104" s="80" t="s">
        <v>120</v>
      </c>
      <c r="BC104" s="164" t="s">
        <v>271</v>
      </c>
      <c r="BD104" s="165" t="s">
        <v>272</v>
      </c>
      <c r="BE104" s="159" t="s">
        <v>273</v>
      </c>
      <c r="BF104" s="165" t="s">
        <v>274</v>
      </c>
      <c r="BG104" s="165" t="s">
        <v>274</v>
      </c>
      <c r="BH104" s="164" t="s">
        <v>271</v>
      </c>
      <c r="BI104" s="165" t="s">
        <v>274</v>
      </c>
      <c r="BJ104" s="164" t="s">
        <v>271</v>
      </c>
      <c r="BK104" s="165" t="s">
        <v>274</v>
      </c>
      <c r="BL104" s="164" t="s">
        <v>271</v>
      </c>
      <c r="BM104" s="164" t="s">
        <v>271</v>
      </c>
    </row>
    <row r="105" spans="7:65" ht="18" x14ac:dyDescent="0.35">
      <c r="AM105" s="345"/>
      <c r="AN105" s="80" t="s">
        <v>121</v>
      </c>
      <c r="AO105" s="128">
        <f>(AO108/AO101) + (1/AO98)</f>
        <v>1.8718805194805197</v>
      </c>
      <c r="AP105" s="131">
        <f xml:space="preserve"> ((1+AQ107)/AP98)/(1-AP107)</f>
        <v>3.4006015450472375E-2</v>
      </c>
      <c r="AQ105" s="129">
        <f>((1-AP107*(1-AP107-AQ107))/AQ98)/((1-AP107)*(1-AP107-AQ107))</f>
        <v>16.935175409039879</v>
      </c>
      <c r="AR105" s="129">
        <f>1/(AR98-(AR101/AR103))</f>
        <v>30.000000000000107</v>
      </c>
      <c r="AS105" s="129">
        <f>1/(AS98-(AS101/AS103))</f>
        <v>18.000000000000064</v>
      </c>
      <c r="AT105" s="128">
        <f>(AT108/AT101) + (1/AT98)</f>
        <v>0.94740000000000002</v>
      </c>
      <c r="AU105" s="129">
        <f>1/(AU98-(AU101/AU103))</f>
        <v>3.0857142857142867</v>
      </c>
      <c r="AV105" s="128">
        <f>(AV108/AV101) + (1/AV98)</f>
        <v>4.3201089514066497</v>
      </c>
      <c r="AW105" s="129">
        <f>1/(AW98-(AW101/AW103))</f>
        <v>7.1999999999999797</v>
      </c>
      <c r="AX105" s="128">
        <f>(AX108/AX101) + (1/AX98)</f>
        <v>0.90364845027455765</v>
      </c>
      <c r="AY105" s="130">
        <f>(AY108/AY101) + (1/AY98)</f>
        <v>1.354594090909091</v>
      </c>
      <c r="BA105" s="384"/>
      <c r="BB105" s="80" t="s">
        <v>121</v>
      </c>
      <c r="BC105" s="168">
        <f>(BC108/BC101) + (1/BC98)</f>
        <v>0.27706031746031745</v>
      </c>
      <c r="BD105" s="169">
        <f xml:space="preserve"> ((1+BE107)/BD98)/(1-BD107)</f>
        <v>3.1882579176641411E-2</v>
      </c>
      <c r="BE105" s="167">
        <f>((1-BD107*(1-BD107-BE107))/BE98)/((1-BD107)*(1-BD107-BE107))</f>
        <v>0.17653685035402691</v>
      </c>
      <c r="BF105" s="167">
        <f>1/(BF98-(BF101/BF103))</f>
        <v>1.4285714285714282</v>
      </c>
      <c r="BG105" s="167">
        <f>1/(BG98-(BG101/BG103))</f>
        <v>2</v>
      </c>
      <c r="BH105" s="168">
        <f>(BH108/BH101) + (1/BH98)</f>
        <v>0.35933333333333328</v>
      </c>
      <c r="BI105" s="170">
        <f>1/(BI98-(BI101/BI103))</f>
        <v>1.5652173913043479</v>
      </c>
      <c r="BJ105" s="168">
        <f>(BJ108/BJ101) + (1/BJ98)</f>
        <v>2.4099795396419439</v>
      </c>
      <c r="BK105" s="167">
        <f>1/(BK98-(BK101/BK103))</f>
        <v>0.8</v>
      </c>
      <c r="BL105" s="168">
        <f>(BL108/BL101) + (1/BL98)</f>
        <v>0.25229178360789095</v>
      </c>
      <c r="BM105" s="171">
        <f>(BM108/BM101) + (1/BM98)</f>
        <v>0.3775590909090909</v>
      </c>
    </row>
    <row r="106" spans="7:65" ht="18" x14ac:dyDescent="0.3">
      <c r="AM106" s="346" t="s">
        <v>123</v>
      </c>
      <c r="AN106" s="80" t="s">
        <v>120</v>
      </c>
      <c r="AO106" s="98" t="s">
        <v>130</v>
      </c>
      <c r="AP106" s="99" t="s">
        <v>130</v>
      </c>
      <c r="AQ106" s="99" t="s">
        <v>130</v>
      </c>
      <c r="AR106" s="99" t="s">
        <v>130</v>
      </c>
      <c r="AS106" s="99" t="s">
        <v>130</v>
      </c>
      <c r="AT106" s="99" t="s">
        <v>130</v>
      </c>
      <c r="AU106" s="99" t="s">
        <v>130</v>
      </c>
      <c r="AV106" s="99" t="s">
        <v>130</v>
      </c>
      <c r="AW106" s="99" t="s">
        <v>130</v>
      </c>
      <c r="AX106" s="99" t="s">
        <v>130</v>
      </c>
      <c r="AY106" s="107" t="s">
        <v>130</v>
      </c>
      <c r="BA106" s="179" t="s">
        <v>123</v>
      </c>
      <c r="BB106" s="80" t="s">
        <v>120</v>
      </c>
      <c r="BC106" s="161" t="s">
        <v>270</v>
      </c>
      <c r="BD106" s="161" t="s">
        <v>270</v>
      </c>
      <c r="BE106" s="161" t="s">
        <v>270</v>
      </c>
      <c r="BF106" s="161" t="s">
        <v>270</v>
      </c>
      <c r="BG106" s="161" t="s">
        <v>270</v>
      </c>
      <c r="BH106" s="161" t="s">
        <v>270</v>
      </c>
      <c r="BI106" s="161" t="s">
        <v>270</v>
      </c>
      <c r="BJ106" s="161" t="s">
        <v>270</v>
      </c>
      <c r="BK106" s="161" t="s">
        <v>270</v>
      </c>
      <c r="BL106" s="161" t="s">
        <v>270</v>
      </c>
      <c r="BM106" s="161" t="s">
        <v>270</v>
      </c>
    </row>
    <row r="107" spans="7:65" ht="18" x14ac:dyDescent="0.3">
      <c r="AM107" s="346"/>
      <c r="AN107" s="80" t="s">
        <v>121</v>
      </c>
      <c r="AO107" s="100">
        <f t="shared" ref="AO107:AY107" si="2">(AO101/AO103)/AO98</f>
        <v>4.9107142857142856</v>
      </c>
      <c r="AP107" s="157">
        <f t="shared" si="2"/>
        <v>0.14983713355048861</v>
      </c>
      <c r="AQ107" s="157">
        <f t="shared" si="2"/>
        <v>0.84907709011943544</v>
      </c>
      <c r="AR107" s="100">
        <f>(AR101/AR103)/AR98</f>
        <v>0.99502487562189057</v>
      </c>
      <c r="AS107" s="100">
        <f t="shared" si="2"/>
        <v>0.98765432098765438</v>
      </c>
      <c r="AT107" s="100">
        <f t="shared" si="2"/>
        <v>1.8</v>
      </c>
      <c r="AU107" s="100">
        <f t="shared" si="2"/>
        <v>0.90666666666666673</v>
      </c>
      <c r="AV107" s="100">
        <f t="shared" si="2"/>
        <v>3.9420289855072461</v>
      </c>
      <c r="AW107" s="100">
        <f t="shared" si="2"/>
        <v>0.98765432098765427</v>
      </c>
      <c r="AX107" s="100">
        <f t="shared" si="2"/>
        <v>2.9286150091519221</v>
      </c>
      <c r="AY107" s="108">
        <f t="shared" si="2"/>
        <v>2.9090909090909092</v>
      </c>
      <c r="BA107" s="180"/>
      <c r="BB107" s="80" t="s">
        <v>121</v>
      </c>
      <c r="BC107" s="162">
        <f>(BC101/BC103)/BC98</f>
        <v>4.0178571428571432</v>
      </c>
      <c r="BD107" s="162">
        <f t="shared" ref="BD107:BM107" si="3">(BD101/BD103)/BD98</f>
        <v>0.13485342019543969</v>
      </c>
      <c r="BE107" s="162">
        <f t="shared" si="3"/>
        <v>0.76416938110749177</v>
      </c>
      <c r="BF107" s="162">
        <f t="shared" si="3"/>
        <v>0.89552238805970152</v>
      </c>
      <c r="BG107" s="162">
        <f t="shared" si="3"/>
        <v>0.88888888888888884</v>
      </c>
      <c r="BH107" s="162">
        <f t="shared" si="3"/>
        <v>1.35</v>
      </c>
      <c r="BI107" s="162">
        <f t="shared" si="3"/>
        <v>0.81600000000000006</v>
      </c>
      <c r="BJ107" s="162">
        <f t="shared" si="3"/>
        <v>3.5478260869565217</v>
      </c>
      <c r="BK107" s="162">
        <f t="shared" si="3"/>
        <v>0.88888888888888884</v>
      </c>
      <c r="BL107" s="100">
        <f t="shared" si="3"/>
        <v>2.6357535082367298</v>
      </c>
      <c r="BM107" s="108">
        <f t="shared" si="3"/>
        <v>2.6181818181818182</v>
      </c>
    </row>
    <row r="108" spans="7:65" ht="18.600000000000001" thickBot="1" x14ac:dyDescent="0.35">
      <c r="AM108" s="109" t="s">
        <v>109</v>
      </c>
      <c r="AN108" s="110" t="s">
        <v>121</v>
      </c>
      <c r="AO108" s="111">
        <v>46.566000000000003</v>
      </c>
      <c r="AP108" s="112">
        <f>+(AP107*AP101)/(AP98-AP101)</f>
        <v>2.6408077177480754E-2</v>
      </c>
      <c r="AQ108" s="112">
        <f>+(AQ107*AQ101)/(AQ98-AQ101)</f>
        <v>4.7768221904561043</v>
      </c>
      <c r="AR108" s="112">
        <f>(AR107*AR101/5)/(AR98-AR101/5)</f>
        <v>199.00497512437883</v>
      </c>
      <c r="AS108" s="112">
        <f>(AS107*AS101/AS103)/(AS98-AS101/AS103)</f>
        <v>79.012345679012626</v>
      </c>
      <c r="AT108" s="112">
        <v>7.6740000000000004</v>
      </c>
      <c r="AU108" s="112">
        <f>(AU107*AU101/AU103)/(AU98-AU101/AU103)</f>
        <v>8.8076190476190508</v>
      </c>
      <c r="AV108" s="112">
        <v>36.859000000000002</v>
      </c>
      <c r="AW108" s="112">
        <f>(AW107*AW101/5)/(AW98-AW101/5)</f>
        <v>79.012345679012114</v>
      </c>
      <c r="AX108" s="112">
        <v>27.193000000000001</v>
      </c>
      <c r="AY108" s="97">
        <v>27.193000000000001</v>
      </c>
      <c r="BA108" s="109" t="s">
        <v>109</v>
      </c>
      <c r="BB108" s="110" t="s">
        <v>121</v>
      </c>
      <c r="BC108" s="181">
        <v>2.2160000000000002</v>
      </c>
      <c r="BD108" s="112">
        <f>+(BD107*BD101)/(BD98-BD101)</f>
        <v>2.1020073780463864E-2</v>
      </c>
      <c r="BE108" s="112">
        <f>+(BE107*BE101)/(BE98-BE101)</f>
        <v>2.4761621106052143</v>
      </c>
      <c r="BF108" s="112">
        <f>(BF107*BF101/BF103)/(BF98-BF101/5)</f>
        <v>7.6759061833688689</v>
      </c>
      <c r="BG108" s="112">
        <f>(BG107*BG101/BG103)/(BG98-BG101/BG103)</f>
        <v>7.1111111111111116</v>
      </c>
      <c r="BH108" s="163">
        <v>1.345</v>
      </c>
      <c r="BI108" s="112">
        <f>(BI107*BI101/BI103)/(BI98-BI101/BI103)</f>
        <v>3.6187826086956529</v>
      </c>
      <c r="BJ108" s="163">
        <v>16.937000000000001</v>
      </c>
      <c r="BK108" s="112">
        <f>(BK107*BK101/5)/(BK98-BK101/5)</f>
        <v>7.1111111111111116</v>
      </c>
      <c r="BL108" s="181">
        <v>4.9329999999999998</v>
      </c>
      <c r="BM108" s="181">
        <v>4.9329999999999998</v>
      </c>
    </row>
    <row r="112" spans="7:65" x14ac:dyDescent="0.3">
      <c r="BD112" s="1" t="s">
        <v>297</v>
      </c>
    </row>
    <row r="115" spans="9:54" x14ac:dyDescent="0.3">
      <c r="AS115" s="172"/>
      <c r="BB115" s="173"/>
    </row>
    <row r="122" spans="9:54" x14ac:dyDescent="0.3">
      <c r="I122" s="21"/>
      <c r="J122" s="21"/>
    </row>
  </sheetData>
  <mergeCells count="76">
    <mergeCell ref="P33:Q36"/>
    <mergeCell ref="T33:U36"/>
    <mergeCell ref="X33:Y36"/>
    <mergeCell ref="M36:N39"/>
    <mergeCell ref="B2:AA2"/>
    <mergeCell ref="F6:G9"/>
    <mergeCell ref="M6:N9"/>
    <mergeCell ref="T6:U9"/>
    <mergeCell ref="P14:Q17"/>
    <mergeCell ref="T51:U54"/>
    <mergeCell ref="AE58:AF58"/>
    <mergeCell ref="M71:N74"/>
    <mergeCell ref="T71:U74"/>
    <mergeCell ref="G93:H103"/>
    <mergeCell ref="I93:J93"/>
    <mergeCell ref="K93:L93"/>
    <mergeCell ref="M93:N93"/>
    <mergeCell ref="O93:P93"/>
    <mergeCell ref="Q93:R93"/>
    <mergeCell ref="M97:N97"/>
    <mergeCell ref="O97:P97"/>
    <mergeCell ref="Q97:R97"/>
    <mergeCell ref="I94:J94"/>
    <mergeCell ref="K94:L94"/>
    <mergeCell ref="M94:N94"/>
    <mergeCell ref="O94:P94"/>
    <mergeCell ref="Q94:R94"/>
    <mergeCell ref="I95:J95"/>
    <mergeCell ref="K95:L95"/>
    <mergeCell ref="M95:N95"/>
    <mergeCell ref="O95:P95"/>
    <mergeCell ref="Q95:R95"/>
    <mergeCell ref="I96:J96"/>
    <mergeCell ref="K96:L96"/>
    <mergeCell ref="M96:N96"/>
    <mergeCell ref="O96:P96"/>
    <mergeCell ref="Q96:R96"/>
    <mergeCell ref="M99:N99"/>
    <mergeCell ref="O99:P99"/>
    <mergeCell ref="Q99:R99"/>
    <mergeCell ref="I100:J100"/>
    <mergeCell ref="K100:L100"/>
    <mergeCell ref="M100:N100"/>
    <mergeCell ref="O100:P100"/>
    <mergeCell ref="Q100:R100"/>
    <mergeCell ref="I99:J99"/>
    <mergeCell ref="K99:L99"/>
    <mergeCell ref="AM100:AM101"/>
    <mergeCell ref="I101:J101"/>
    <mergeCell ref="K101:L101"/>
    <mergeCell ref="M101:N101"/>
    <mergeCell ref="O101:P101"/>
    <mergeCell ref="Q101:R101"/>
    <mergeCell ref="V97:W100"/>
    <mergeCell ref="X97:X100"/>
    <mergeCell ref="AM97:AM99"/>
    <mergeCell ref="I98:J98"/>
    <mergeCell ref="K98:L98"/>
    <mergeCell ref="M98:N98"/>
    <mergeCell ref="O98:P98"/>
    <mergeCell ref="Q98:R98"/>
    <mergeCell ref="I97:J97"/>
    <mergeCell ref="K97:L97"/>
    <mergeCell ref="AM104:AM105"/>
    <mergeCell ref="BA104:BA105"/>
    <mergeCell ref="AM106:AM107"/>
    <mergeCell ref="I102:J102"/>
    <mergeCell ref="K102:L102"/>
    <mergeCell ref="M102:N102"/>
    <mergeCell ref="O102:P102"/>
    <mergeCell ref="Q102:R102"/>
    <mergeCell ref="I103:J103"/>
    <mergeCell ref="K103:L103"/>
    <mergeCell ref="M103:N103"/>
    <mergeCell ref="O103:P103"/>
    <mergeCell ref="Q103:R103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C24E-7026-5349-BE06-BF94B192D23E}">
  <dimension ref="A1:G30"/>
  <sheetViews>
    <sheetView zoomScale="86" zoomScaleNormal="70" workbookViewId="0">
      <selection activeCell="C19" sqref="C19"/>
    </sheetView>
  </sheetViews>
  <sheetFormatPr defaultColWidth="11.19921875" defaultRowHeight="15.6" x14ac:dyDescent="0.3"/>
  <cols>
    <col min="1" max="2" width="33.19921875" customWidth="1"/>
    <col min="3" max="3" width="36.796875" customWidth="1"/>
    <col min="4" max="4" width="33.19921875" customWidth="1"/>
    <col min="5" max="7" width="15.5" customWidth="1"/>
  </cols>
  <sheetData>
    <row r="1" spans="1:7" ht="16.2" thickBot="1" x14ac:dyDescent="0.35">
      <c r="A1" s="463" t="s">
        <v>131</v>
      </c>
      <c r="B1" s="464"/>
      <c r="C1" s="464"/>
      <c r="D1" s="464"/>
      <c r="E1" s="464"/>
      <c r="F1" s="464"/>
      <c r="G1" s="464"/>
    </row>
    <row r="2" spans="1:7" x14ac:dyDescent="0.3">
      <c r="A2" s="42"/>
      <c r="B2" s="42"/>
      <c r="C2" s="42"/>
      <c r="D2" s="42"/>
      <c r="E2" s="42"/>
      <c r="F2" s="42"/>
      <c r="G2" s="42"/>
    </row>
    <row r="3" spans="1:7" ht="16.2" thickBot="1" x14ac:dyDescent="0.35">
      <c r="A3" s="42"/>
      <c r="B3" s="42"/>
      <c r="C3" s="42"/>
      <c r="D3" s="42"/>
      <c r="E3" s="42"/>
      <c r="F3" s="42"/>
      <c r="G3" s="42"/>
    </row>
    <row r="4" spans="1:7" ht="16.2" thickBot="1" x14ac:dyDescent="0.35">
      <c r="A4" s="43" t="s">
        <v>132</v>
      </c>
      <c r="B4" s="44"/>
      <c r="C4" s="50" t="s">
        <v>237</v>
      </c>
      <c r="D4" s="51"/>
      <c r="E4" s="51"/>
      <c r="F4" s="51"/>
      <c r="G4" s="52"/>
    </row>
    <row r="5" spans="1:7" x14ac:dyDescent="0.3">
      <c r="A5" s="42"/>
      <c r="B5" s="42"/>
      <c r="C5" s="53" t="s">
        <v>142</v>
      </c>
      <c r="D5" s="72">
        <v>300</v>
      </c>
      <c r="E5" s="53"/>
      <c r="F5" s="53"/>
      <c r="G5" s="54"/>
    </row>
    <row r="6" spans="1:7" x14ac:dyDescent="0.3">
      <c r="A6" s="42"/>
      <c r="B6" s="42"/>
      <c r="C6" s="53" t="s">
        <v>144</v>
      </c>
      <c r="D6" s="72">
        <v>15</v>
      </c>
      <c r="E6" s="53"/>
      <c r="F6" s="53"/>
      <c r="G6" s="54"/>
    </row>
    <row r="7" spans="1:7" x14ac:dyDescent="0.3">
      <c r="A7" s="42"/>
      <c r="B7" s="42"/>
      <c r="C7" s="53" t="s">
        <v>143</v>
      </c>
      <c r="D7" s="72">
        <v>150</v>
      </c>
      <c r="E7" s="53"/>
      <c r="F7" s="53"/>
      <c r="G7" s="54"/>
    </row>
    <row r="8" spans="1:7" x14ac:dyDescent="0.3">
      <c r="A8" s="42"/>
      <c r="B8" s="42"/>
      <c r="C8" s="53" t="s">
        <v>145</v>
      </c>
      <c r="D8" s="72">
        <v>6</v>
      </c>
      <c r="E8" s="53"/>
      <c r="F8" s="53"/>
      <c r="G8" s="54"/>
    </row>
    <row r="9" spans="1:7" ht="16.2" thickBot="1" x14ac:dyDescent="0.35">
      <c r="A9" s="42"/>
      <c r="B9" s="42"/>
      <c r="C9" s="55" t="s">
        <v>146</v>
      </c>
      <c r="D9" s="73">
        <v>1</v>
      </c>
      <c r="E9" s="55"/>
      <c r="F9" s="55"/>
      <c r="G9" s="56"/>
    </row>
    <row r="10" spans="1:7" ht="16.2" thickBot="1" x14ac:dyDescent="0.35">
      <c r="A10" s="42"/>
      <c r="B10" s="42"/>
      <c r="C10" s="42"/>
      <c r="D10" s="42"/>
      <c r="E10" s="42"/>
      <c r="F10" s="42"/>
      <c r="G10" s="42"/>
    </row>
    <row r="11" spans="1:7" ht="16.2" thickBot="1" x14ac:dyDescent="0.35">
      <c r="A11" s="43" t="s">
        <v>133</v>
      </c>
      <c r="B11" s="44"/>
      <c r="C11" s="66">
        <f>D5-D6-D7+D8-D9</f>
        <v>140</v>
      </c>
      <c r="D11" s="67"/>
      <c r="E11" s="67"/>
      <c r="F11" s="67"/>
      <c r="G11" s="68"/>
    </row>
    <row r="12" spans="1:7" ht="16.2" thickBot="1" x14ac:dyDescent="0.35">
      <c r="A12" s="42"/>
      <c r="B12" s="42"/>
      <c r="C12" s="42"/>
      <c r="D12" s="42"/>
      <c r="E12" s="42"/>
      <c r="F12" s="42"/>
      <c r="G12" s="42"/>
    </row>
    <row r="13" spans="1:7" ht="16.2" thickBot="1" x14ac:dyDescent="0.35">
      <c r="A13" s="43" t="s">
        <v>134</v>
      </c>
      <c r="B13" s="44"/>
      <c r="C13" s="50" t="s">
        <v>249</v>
      </c>
      <c r="D13" s="51"/>
      <c r="E13" s="51"/>
      <c r="F13" s="51"/>
      <c r="G13" s="52"/>
    </row>
    <row r="14" spans="1:7" x14ac:dyDescent="0.3">
      <c r="A14" s="69"/>
      <c r="B14" s="42"/>
      <c r="C14" s="53" t="s">
        <v>143</v>
      </c>
      <c r="D14" s="74">
        <v>150</v>
      </c>
      <c r="E14" s="53" t="s">
        <v>150</v>
      </c>
      <c r="F14" s="53"/>
      <c r="G14" s="54"/>
    </row>
    <row r="15" spans="1:7" x14ac:dyDescent="0.3">
      <c r="A15" s="69"/>
      <c r="B15" s="42"/>
      <c r="C15" s="53" t="s">
        <v>149</v>
      </c>
      <c r="D15" s="74">
        <v>4</v>
      </c>
      <c r="E15" s="53"/>
      <c r="F15" s="53"/>
      <c r="G15" s="54"/>
    </row>
    <row r="16" spans="1:7" x14ac:dyDescent="0.3">
      <c r="A16" s="69"/>
      <c r="B16" s="42"/>
      <c r="C16" s="53" t="s">
        <v>147</v>
      </c>
      <c r="D16" s="74">
        <v>13</v>
      </c>
      <c r="E16" s="53"/>
      <c r="F16" s="53"/>
      <c r="G16" s="54"/>
    </row>
    <row r="17" spans="1:7" x14ac:dyDescent="0.3">
      <c r="A17" s="69"/>
      <c r="B17" s="42"/>
      <c r="C17" s="53" t="s">
        <v>151</v>
      </c>
      <c r="D17" s="74">
        <v>1</v>
      </c>
      <c r="E17" s="53"/>
      <c r="F17" s="53"/>
      <c r="G17" s="54"/>
    </row>
    <row r="18" spans="1:7" ht="16.2" thickBot="1" x14ac:dyDescent="0.35">
      <c r="A18" s="70"/>
      <c r="B18" s="71"/>
      <c r="C18" s="55" t="s">
        <v>148</v>
      </c>
      <c r="D18" s="75">
        <v>3</v>
      </c>
      <c r="E18" s="55"/>
      <c r="F18" s="55"/>
      <c r="G18" s="56"/>
    </row>
    <row r="19" spans="1:7" ht="16.2" thickBot="1" x14ac:dyDescent="0.35">
      <c r="A19" s="42"/>
      <c r="B19" s="42"/>
      <c r="C19" s="42"/>
      <c r="D19" s="42"/>
      <c r="E19" s="42"/>
      <c r="F19" s="42"/>
      <c r="G19" s="42"/>
    </row>
    <row r="20" spans="1:7" ht="16.2" thickBot="1" x14ac:dyDescent="0.35">
      <c r="A20" s="43" t="s">
        <v>135</v>
      </c>
      <c r="B20" s="44"/>
      <c r="C20" s="76">
        <f>D14-D15+D16+D17+D18</f>
        <v>163</v>
      </c>
      <c r="D20" s="67"/>
      <c r="E20" s="67"/>
      <c r="F20" s="67"/>
      <c r="G20" s="68"/>
    </row>
    <row r="21" spans="1:7" ht="16.2" thickBot="1" x14ac:dyDescent="0.35">
      <c r="A21" s="45"/>
      <c r="B21" s="42"/>
      <c r="C21" s="42"/>
      <c r="D21" s="42"/>
      <c r="E21" s="42"/>
      <c r="F21" s="42"/>
      <c r="G21" s="42"/>
    </row>
    <row r="22" spans="1:7" ht="16.2" thickBot="1" x14ac:dyDescent="0.35">
      <c r="A22" s="43" t="s">
        <v>136</v>
      </c>
      <c r="B22" s="44"/>
      <c r="C22" s="58" t="s">
        <v>152</v>
      </c>
      <c r="D22" s="59"/>
      <c r="E22" s="59"/>
      <c r="F22" s="60"/>
      <c r="G22" s="61"/>
    </row>
    <row r="23" spans="1:7" ht="43.2" x14ac:dyDescent="0.3">
      <c r="A23" s="46" t="s">
        <v>137</v>
      </c>
      <c r="B23" s="47"/>
      <c r="C23" s="62" t="s">
        <v>153</v>
      </c>
      <c r="D23" s="53"/>
      <c r="E23" s="53"/>
      <c r="F23" s="53"/>
      <c r="G23" s="63"/>
    </row>
    <row r="24" spans="1:7" x14ac:dyDescent="0.3">
      <c r="A24" s="48"/>
      <c r="B24" s="49"/>
      <c r="C24" s="62" t="s">
        <v>139</v>
      </c>
      <c r="D24" s="53"/>
      <c r="E24" s="53"/>
      <c r="F24" s="53"/>
      <c r="G24" s="63"/>
    </row>
    <row r="25" spans="1:7" x14ac:dyDescent="0.3">
      <c r="A25" s="48"/>
      <c r="B25" s="49"/>
      <c r="C25" s="62" t="s">
        <v>140</v>
      </c>
      <c r="D25" s="53"/>
      <c r="E25" s="53"/>
      <c r="F25" s="53"/>
      <c r="G25" s="63"/>
    </row>
    <row r="26" spans="1:7" x14ac:dyDescent="0.3">
      <c r="A26" s="42"/>
      <c r="B26" s="42"/>
      <c r="C26" s="387" t="s">
        <v>141</v>
      </c>
      <c r="D26" s="388"/>
      <c r="E26" s="53"/>
      <c r="F26" s="53"/>
      <c r="G26" s="63"/>
    </row>
    <row r="27" spans="1:7" x14ac:dyDescent="0.3">
      <c r="A27" s="42"/>
      <c r="B27" s="42"/>
      <c r="C27" s="62" t="s">
        <v>154</v>
      </c>
      <c r="D27" s="53"/>
      <c r="E27" s="53"/>
      <c r="F27" s="53"/>
      <c r="G27" s="63"/>
    </row>
    <row r="28" spans="1:7" ht="16.2" thickBot="1" x14ac:dyDescent="0.35">
      <c r="A28" s="42"/>
      <c r="B28" s="42"/>
      <c r="C28" s="64"/>
      <c r="D28" s="57"/>
      <c r="E28" s="57"/>
      <c r="F28" s="57"/>
      <c r="G28" s="65"/>
    </row>
    <row r="29" spans="1:7" ht="16.2" thickBot="1" x14ac:dyDescent="0.35">
      <c r="A29" s="42"/>
      <c r="B29" s="42"/>
      <c r="C29" s="42"/>
      <c r="D29" s="42"/>
      <c r="E29" s="42"/>
      <c r="F29" s="42"/>
      <c r="G29" s="42"/>
    </row>
    <row r="30" spans="1:7" ht="16.2" thickBot="1" x14ac:dyDescent="0.35">
      <c r="A30" s="43" t="s">
        <v>138</v>
      </c>
      <c r="B30" s="44"/>
      <c r="C30" s="66" t="s">
        <v>225</v>
      </c>
      <c r="D30" s="147" t="s">
        <v>226</v>
      </c>
      <c r="E30" s="67"/>
      <c r="F30" s="67"/>
      <c r="G30" s="68"/>
    </row>
  </sheetData>
  <mergeCells count="2">
    <mergeCell ref="C26:D26"/>
    <mergeCell ref="A1:G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F896-0839-214D-A466-763706CA8726}">
  <dimension ref="A1:G33"/>
  <sheetViews>
    <sheetView zoomScale="76" workbookViewId="0">
      <selection activeCell="K21" sqref="K21"/>
    </sheetView>
  </sheetViews>
  <sheetFormatPr defaultColWidth="11.19921875" defaultRowHeight="15.6" x14ac:dyDescent="0.3"/>
  <cols>
    <col min="2" max="2" width="18" customWidth="1"/>
    <col min="7" max="7" width="55.19921875" customWidth="1"/>
  </cols>
  <sheetData>
    <row r="1" spans="1:7" ht="21.6" thickBot="1" x14ac:dyDescent="0.35">
      <c r="A1" s="397" t="s">
        <v>325</v>
      </c>
      <c r="B1" s="398"/>
      <c r="C1" s="398"/>
      <c r="D1" s="398"/>
      <c r="E1" s="398"/>
      <c r="F1" s="398"/>
      <c r="G1" s="399"/>
    </row>
    <row r="2" spans="1:7" x14ac:dyDescent="0.3">
      <c r="A2" s="42"/>
      <c r="B2" s="42"/>
      <c r="C2" s="42"/>
      <c r="D2" s="42"/>
      <c r="E2" s="42"/>
      <c r="F2" s="42"/>
      <c r="G2" s="42"/>
    </row>
    <row r="3" spans="1:7" ht="16.2" thickBot="1" x14ac:dyDescent="0.35">
      <c r="A3" s="42"/>
      <c r="B3" s="42"/>
    </row>
    <row r="4" spans="1:7" x14ac:dyDescent="0.3">
      <c r="A4" s="400" t="s">
        <v>157</v>
      </c>
      <c r="B4" s="401"/>
      <c r="C4" s="422" t="s">
        <v>228</v>
      </c>
      <c r="D4" s="423"/>
      <c r="E4" s="423"/>
      <c r="F4" s="423"/>
      <c r="G4" s="424"/>
    </row>
    <row r="5" spans="1:7" x14ac:dyDescent="0.3">
      <c r="A5" s="402"/>
      <c r="B5" s="403"/>
      <c r="C5" s="148"/>
      <c r="D5" s="148"/>
      <c r="E5" s="148"/>
      <c r="F5" s="148"/>
      <c r="G5" s="425"/>
    </row>
    <row r="6" spans="1:7" x14ac:dyDescent="0.3">
      <c r="A6" s="402"/>
      <c r="B6" s="403"/>
      <c r="C6" s="148" t="s">
        <v>230</v>
      </c>
      <c r="D6" s="148"/>
      <c r="E6" s="148"/>
      <c r="F6" s="148"/>
      <c r="G6" s="425"/>
    </row>
    <row r="7" spans="1:7" x14ac:dyDescent="0.3">
      <c r="A7" s="402"/>
      <c r="B7" s="403"/>
      <c r="C7" s="148"/>
      <c r="D7" s="148"/>
      <c r="E7" s="148"/>
      <c r="F7" s="148"/>
      <c r="G7" s="425"/>
    </row>
    <row r="8" spans="1:7" x14ac:dyDescent="0.3">
      <c r="A8" s="402"/>
      <c r="B8" s="403"/>
      <c r="C8" s="148"/>
      <c r="D8" s="148"/>
      <c r="E8" s="148"/>
      <c r="F8" s="148"/>
      <c r="G8" s="425"/>
    </row>
    <row r="9" spans="1:7" ht="16.2" thickBot="1" x14ac:dyDescent="0.35">
      <c r="A9" s="404"/>
      <c r="B9" s="405"/>
      <c r="C9" s="426"/>
      <c r="D9" s="426"/>
      <c r="E9" s="426"/>
      <c r="F9" s="426"/>
      <c r="G9" s="427"/>
    </row>
    <row r="10" spans="1:7" ht="16.2" thickBot="1" x14ac:dyDescent="0.35">
      <c r="A10" s="42"/>
      <c r="B10" s="42"/>
      <c r="C10" s="42"/>
      <c r="D10" s="42"/>
      <c r="E10" s="42"/>
      <c r="F10" s="42"/>
      <c r="G10" s="42"/>
    </row>
    <row r="11" spans="1:7" ht="16.2" thickBot="1" x14ac:dyDescent="0.35">
      <c r="A11" s="406" t="s">
        <v>156</v>
      </c>
      <c r="B11" s="407"/>
      <c r="C11" s="392" t="s">
        <v>227</v>
      </c>
      <c r="D11" s="393"/>
      <c r="E11" s="393"/>
      <c r="F11" s="393"/>
      <c r="G11" s="394"/>
    </row>
    <row r="12" spans="1:7" ht="16.2" thickBot="1" x14ac:dyDescent="0.35">
      <c r="A12" s="42"/>
      <c r="B12" s="42"/>
      <c r="C12" s="42"/>
      <c r="D12" s="42"/>
      <c r="E12" s="42"/>
      <c r="F12" s="42"/>
      <c r="G12" s="42"/>
    </row>
    <row r="13" spans="1:7" x14ac:dyDescent="0.3">
      <c r="A13" s="400" t="s">
        <v>158</v>
      </c>
      <c r="B13" s="401"/>
      <c r="C13" s="422" t="s">
        <v>229</v>
      </c>
      <c r="D13" s="423"/>
      <c r="E13" s="423"/>
      <c r="F13" s="423"/>
      <c r="G13" s="424"/>
    </row>
    <row r="14" spans="1:7" x14ac:dyDescent="0.3">
      <c r="A14" s="402"/>
      <c r="B14" s="403"/>
      <c r="C14" s="148"/>
      <c r="D14" s="148"/>
      <c r="E14" s="148"/>
      <c r="F14" s="148"/>
      <c r="G14" s="425"/>
    </row>
    <row r="15" spans="1:7" ht="16.2" thickBot="1" x14ac:dyDescent="0.35">
      <c r="A15" s="402"/>
      <c r="B15" s="403"/>
      <c r="C15" s="148" t="s">
        <v>232</v>
      </c>
      <c r="D15" s="148"/>
      <c r="E15" s="148"/>
      <c r="F15" s="148"/>
      <c r="G15" s="425"/>
    </row>
    <row r="16" spans="1:7" x14ac:dyDescent="0.3">
      <c r="A16" s="402"/>
      <c r="B16" s="403"/>
      <c r="C16" s="423" t="s">
        <v>162</v>
      </c>
      <c r="D16" s="423"/>
      <c r="E16" s="423"/>
      <c r="F16" s="423"/>
      <c r="G16" s="424"/>
    </row>
    <row r="17" spans="1:7" x14ac:dyDescent="0.3">
      <c r="A17" s="402"/>
      <c r="B17" s="403"/>
      <c r="C17" s="148"/>
      <c r="D17" s="148"/>
      <c r="E17" s="148"/>
      <c r="F17" s="148"/>
      <c r="G17" s="425"/>
    </row>
    <row r="18" spans="1:7" ht="16.2" thickBot="1" x14ac:dyDescent="0.35">
      <c r="A18" s="404"/>
      <c r="B18" s="405"/>
      <c r="C18" s="426"/>
      <c r="D18" s="426"/>
      <c r="E18" s="426"/>
      <c r="F18" s="426"/>
      <c r="G18" s="427"/>
    </row>
    <row r="19" spans="1:7" ht="16.2" thickBot="1" x14ac:dyDescent="0.35">
      <c r="A19" s="42"/>
      <c r="B19" s="42"/>
      <c r="C19" s="42"/>
      <c r="D19" s="42"/>
      <c r="E19" s="42"/>
      <c r="F19" s="42"/>
      <c r="G19" s="42"/>
    </row>
    <row r="20" spans="1:7" ht="16.2" thickBot="1" x14ac:dyDescent="0.35">
      <c r="A20" s="408" t="s">
        <v>155</v>
      </c>
      <c r="B20" s="409"/>
      <c r="C20" s="395" t="s">
        <v>231</v>
      </c>
      <c r="D20" s="390"/>
      <c r="E20" s="390"/>
      <c r="F20" s="390"/>
      <c r="G20" s="391"/>
    </row>
    <row r="21" spans="1:7" ht="16.2" thickBot="1" x14ac:dyDescent="0.35">
      <c r="A21" s="42"/>
      <c r="B21" s="42"/>
      <c r="C21" s="42"/>
      <c r="D21" s="42"/>
      <c r="E21" s="42"/>
      <c r="F21" s="42"/>
      <c r="G21" s="42"/>
    </row>
    <row r="22" spans="1:7" x14ac:dyDescent="0.3">
      <c r="A22" s="400" t="s">
        <v>159</v>
      </c>
      <c r="B22" s="410"/>
      <c r="C22" s="428" t="s">
        <v>160</v>
      </c>
      <c r="D22" s="429"/>
      <c r="E22" s="429"/>
      <c r="F22" s="429"/>
      <c r="G22" s="430"/>
    </row>
    <row r="23" spans="1:7" x14ac:dyDescent="0.3">
      <c r="A23" s="402"/>
      <c r="B23" s="411"/>
      <c r="C23" s="431"/>
      <c r="D23" s="148"/>
      <c r="E23" s="148"/>
      <c r="F23" s="148"/>
      <c r="G23" s="432"/>
    </row>
    <row r="24" spans="1:7" x14ac:dyDescent="0.3">
      <c r="A24" s="402"/>
      <c r="B24" s="411"/>
      <c r="C24" s="433" t="s">
        <v>233</v>
      </c>
      <c r="D24" s="434"/>
      <c r="E24" s="434"/>
      <c r="F24" s="434"/>
      <c r="G24" s="435"/>
    </row>
    <row r="25" spans="1:7" x14ac:dyDescent="0.3">
      <c r="A25" s="402"/>
      <c r="B25" s="411"/>
      <c r="C25" s="431" t="s">
        <v>234</v>
      </c>
      <c r="D25" s="148"/>
      <c r="E25" s="148"/>
      <c r="F25" s="148" t="s">
        <v>235</v>
      </c>
      <c r="G25" s="432"/>
    </row>
    <row r="26" spans="1:7" x14ac:dyDescent="0.3">
      <c r="A26" s="402"/>
      <c r="B26" s="411"/>
      <c r="C26" s="431"/>
      <c r="D26" s="148"/>
      <c r="E26" s="148"/>
      <c r="F26" s="148"/>
      <c r="G26" s="432"/>
    </row>
    <row r="27" spans="1:7" x14ac:dyDescent="0.3">
      <c r="A27" s="402"/>
      <c r="B27" s="411"/>
      <c r="C27" s="431"/>
      <c r="D27" s="148"/>
      <c r="E27" s="148"/>
      <c r="F27" s="148"/>
      <c r="G27" s="432"/>
    </row>
    <row r="28" spans="1:7" ht="16.2" thickBot="1" x14ac:dyDescent="0.35">
      <c r="A28" s="404"/>
      <c r="B28" s="412"/>
      <c r="C28" s="436"/>
      <c r="D28" s="437"/>
      <c r="E28" s="437"/>
      <c r="F28" s="437"/>
      <c r="G28" s="438"/>
    </row>
    <row r="29" spans="1:7" ht="16.2" thickBot="1" x14ac:dyDescent="0.35">
      <c r="A29" s="77"/>
      <c r="B29" s="77"/>
      <c r="C29" s="78"/>
      <c r="D29" s="78"/>
      <c r="E29" s="78"/>
      <c r="F29" s="78"/>
      <c r="G29" s="79"/>
    </row>
    <row r="30" spans="1:7" ht="16.2" thickBot="1" x14ac:dyDescent="0.35">
      <c r="A30" s="413" t="s">
        <v>161</v>
      </c>
      <c r="B30" s="414"/>
      <c r="C30" s="389" t="s">
        <v>236</v>
      </c>
      <c r="D30" s="390"/>
      <c r="E30" s="390"/>
      <c r="F30" s="390"/>
      <c r="G30" s="391"/>
    </row>
    <row r="33" spans="1:2" x14ac:dyDescent="0.3">
      <c r="A33" s="396"/>
      <c r="B33" s="396"/>
    </row>
  </sheetData>
  <mergeCells count="12">
    <mergeCell ref="C30:G30"/>
    <mergeCell ref="C11:G11"/>
    <mergeCell ref="C20:G20"/>
    <mergeCell ref="A33:B33"/>
    <mergeCell ref="A1:G1"/>
    <mergeCell ref="A4:B9"/>
    <mergeCell ref="A11:B11"/>
    <mergeCell ref="A13:B18"/>
    <mergeCell ref="A20:B20"/>
    <mergeCell ref="A22:B28"/>
    <mergeCell ref="A30:B30"/>
    <mergeCell ref="C24:G2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7D15-317B-425E-BBD0-D4D3D9E49283}">
  <dimension ref="A1:G32"/>
  <sheetViews>
    <sheetView topLeftCell="A3" zoomScale="80" workbookViewId="0">
      <selection activeCell="O22" sqref="O22"/>
    </sheetView>
  </sheetViews>
  <sheetFormatPr defaultColWidth="11.19921875" defaultRowHeight="15.6" x14ac:dyDescent="0.3"/>
  <cols>
    <col min="1" max="1" width="36.5" bestFit="1" customWidth="1"/>
  </cols>
  <sheetData>
    <row r="1" spans="1:7" ht="16.2" thickBot="1" x14ac:dyDescent="0.35"/>
    <row r="2" spans="1:7" ht="16.2" thickBot="1" x14ac:dyDescent="0.35">
      <c r="A2" s="40" t="s">
        <v>326</v>
      </c>
      <c r="B2" s="41"/>
      <c r="C2" s="41"/>
      <c r="D2" s="41"/>
      <c r="E2" s="41"/>
      <c r="F2" s="41"/>
      <c r="G2" s="41"/>
    </row>
    <row r="3" spans="1:7" x14ac:dyDescent="0.3">
      <c r="A3" s="42"/>
      <c r="B3" s="42"/>
      <c r="C3" s="42"/>
      <c r="D3" s="42"/>
      <c r="E3" s="42"/>
      <c r="F3" s="42"/>
      <c r="G3" s="42"/>
    </row>
    <row r="4" spans="1:7" ht="16.2" thickBot="1" x14ac:dyDescent="0.35">
      <c r="A4" s="42"/>
      <c r="B4" s="42"/>
      <c r="C4" s="42"/>
      <c r="D4" s="42"/>
      <c r="E4" s="42"/>
      <c r="F4" s="42"/>
      <c r="G4" s="42"/>
    </row>
    <row r="5" spans="1:7" ht="16.2" thickBot="1" x14ac:dyDescent="0.35">
      <c r="A5" s="43" t="s">
        <v>132</v>
      </c>
      <c r="B5" s="451"/>
      <c r="C5" s="452" t="s">
        <v>246</v>
      </c>
      <c r="D5" s="453"/>
      <c r="E5" s="453"/>
      <c r="F5" s="453"/>
      <c r="G5" s="454"/>
    </row>
    <row r="6" spans="1:7" x14ac:dyDescent="0.3">
      <c r="A6" s="42"/>
      <c r="B6" s="42"/>
      <c r="C6" s="442" t="s">
        <v>238</v>
      </c>
      <c r="D6" s="443"/>
      <c r="E6" s="443"/>
      <c r="F6" s="443"/>
      <c r="G6" s="444"/>
    </row>
    <row r="7" spans="1:7" x14ac:dyDescent="0.3">
      <c r="A7" s="42"/>
      <c r="B7" s="42"/>
      <c r="C7" s="442" t="s">
        <v>247</v>
      </c>
      <c r="D7" s="443"/>
      <c r="E7" s="443"/>
      <c r="F7" s="443"/>
      <c r="G7" s="444"/>
    </row>
    <row r="8" spans="1:7" x14ac:dyDescent="0.3">
      <c r="A8" s="42"/>
      <c r="B8" s="42"/>
      <c r="C8" s="442" t="s">
        <v>248</v>
      </c>
      <c r="D8" s="443"/>
      <c r="E8" s="443"/>
      <c r="F8" s="443"/>
      <c r="G8" s="444"/>
    </row>
    <row r="9" spans="1:7" x14ac:dyDescent="0.3">
      <c r="A9" s="42"/>
      <c r="B9" s="42"/>
      <c r="C9" s="442"/>
      <c r="D9" s="443"/>
      <c r="E9" s="443"/>
      <c r="F9" s="443"/>
      <c r="G9" s="444"/>
    </row>
    <row r="10" spans="1:7" ht="16.2" thickBot="1" x14ac:dyDescent="0.35">
      <c r="A10" s="42"/>
      <c r="B10" s="42"/>
      <c r="C10" s="445"/>
      <c r="D10" s="446"/>
      <c r="E10" s="446"/>
      <c r="F10" s="446"/>
      <c r="G10" s="447"/>
    </row>
    <row r="11" spans="1:7" ht="16.2" thickBot="1" x14ac:dyDescent="0.35">
      <c r="A11" s="42"/>
      <c r="B11" s="42"/>
      <c r="C11" s="42"/>
      <c r="D11" s="42"/>
      <c r="E11" s="42"/>
      <c r="F11" s="42"/>
      <c r="G11" s="42"/>
    </row>
    <row r="12" spans="1:7" ht="16.2" thickBot="1" x14ac:dyDescent="0.35">
      <c r="A12" s="43" t="s">
        <v>133</v>
      </c>
      <c r="B12" s="44"/>
      <c r="C12" s="455" t="s">
        <v>239</v>
      </c>
      <c r="D12" s="456"/>
      <c r="E12" s="456"/>
      <c r="F12" s="456"/>
      <c r="G12" s="457"/>
    </row>
    <row r="13" spans="1:7" ht="16.2" thickBot="1" x14ac:dyDescent="0.35">
      <c r="A13" s="42"/>
      <c r="B13" s="42"/>
      <c r="C13" s="42"/>
      <c r="D13" s="42"/>
      <c r="E13" s="42"/>
      <c r="F13" s="42"/>
      <c r="G13" s="42"/>
    </row>
    <row r="14" spans="1:7" ht="16.2" thickBot="1" x14ac:dyDescent="0.35">
      <c r="A14" s="43" t="s">
        <v>134</v>
      </c>
      <c r="B14" s="44"/>
      <c r="C14" s="439" t="s">
        <v>240</v>
      </c>
      <c r="D14" s="440"/>
      <c r="E14" s="440"/>
      <c r="F14" s="440"/>
      <c r="G14" s="441"/>
    </row>
    <row r="15" spans="1:7" x14ac:dyDescent="0.3">
      <c r="A15" s="42"/>
      <c r="B15" s="42"/>
      <c r="C15" s="442"/>
      <c r="D15" s="443"/>
      <c r="E15" s="443"/>
      <c r="F15" s="443"/>
      <c r="G15" s="444"/>
    </row>
    <row r="16" spans="1:7" x14ac:dyDescent="0.3">
      <c r="A16" s="42"/>
      <c r="B16" s="42"/>
      <c r="C16" s="442"/>
      <c r="D16" s="443"/>
      <c r="E16" s="443"/>
      <c r="F16" s="443"/>
      <c r="G16" s="444"/>
    </row>
    <row r="17" spans="1:7" x14ac:dyDescent="0.3">
      <c r="A17" s="42"/>
      <c r="B17" s="42"/>
      <c r="C17" s="442"/>
      <c r="D17" s="443"/>
      <c r="E17" s="443"/>
      <c r="F17" s="443"/>
      <c r="G17" s="444"/>
    </row>
    <row r="18" spans="1:7" x14ac:dyDescent="0.3">
      <c r="A18" s="42"/>
      <c r="B18" s="42"/>
      <c r="C18" s="442"/>
      <c r="D18" s="443"/>
      <c r="E18" s="443"/>
      <c r="F18" s="443"/>
      <c r="G18" s="444"/>
    </row>
    <row r="19" spans="1:7" ht="16.2" thickBot="1" x14ac:dyDescent="0.35">
      <c r="A19" s="42"/>
      <c r="B19" s="42"/>
      <c r="C19" s="445"/>
      <c r="D19" s="446"/>
      <c r="E19" s="446"/>
      <c r="F19" s="446"/>
      <c r="G19" s="447"/>
    </row>
    <row r="20" spans="1:7" ht="16.2" thickBot="1" x14ac:dyDescent="0.35">
      <c r="A20" s="42"/>
      <c r="B20" s="42"/>
      <c r="C20" s="42"/>
      <c r="D20" s="42"/>
      <c r="E20" s="42"/>
      <c r="F20" s="42"/>
      <c r="G20" s="42"/>
    </row>
    <row r="21" spans="1:7" ht="16.2" thickBot="1" x14ac:dyDescent="0.35">
      <c r="A21" s="43" t="s">
        <v>135</v>
      </c>
      <c r="B21" s="44"/>
      <c r="C21" s="455" t="s">
        <v>241</v>
      </c>
      <c r="D21" s="456"/>
      <c r="E21" s="456"/>
      <c r="F21" s="456"/>
      <c r="G21" s="457"/>
    </row>
    <row r="22" spans="1:7" ht="16.2" thickBot="1" x14ac:dyDescent="0.35">
      <c r="A22" s="45"/>
      <c r="B22" s="42"/>
      <c r="C22" s="42"/>
      <c r="D22" s="42"/>
      <c r="E22" s="42"/>
      <c r="F22" s="42"/>
      <c r="G22" s="42"/>
    </row>
    <row r="23" spans="1:7" ht="16.2" thickBot="1" x14ac:dyDescent="0.35">
      <c r="A23" s="43" t="s">
        <v>136</v>
      </c>
      <c r="B23" s="44"/>
      <c r="C23" s="458" t="s">
        <v>242</v>
      </c>
      <c r="D23" s="459"/>
      <c r="E23" s="459"/>
      <c r="F23" s="459"/>
      <c r="G23" s="460"/>
    </row>
    <row r="24" spans="1:7" ht="43.2" x14ac:dyDescent="0.3">
      <c r="A24" s="46" t="s">
        <v>137</v>
      </c>
      <c r="B24" s="47"/>
      <c r="C24" s="442" t="s">
        <v>327</v>
      </c>
      <c r="D24" s="443"/>
      <c r="E24" s="461" t="s">
        <v>243</v>
      </c>
      <c r="F24" s="461"/>
      <c r="G24" s="444"/>
    </row>
    <row r="25" spans="1:7" x14ac:dyDescent="0.3">
      <c r="A25" s="48"/>
      <c r="B25" s="49"/>
      <c r="C25" s="442" t="s">
        <v>244</v>
      </c>
      <c r="D25" s="443"/>
      <c r="E25" s="461" t="s">
        <v>250</v>
      </c>
      <c r="F25" s="461"/>
      <c r="G25" s="444"/>
    </row>
    <row r="26" spans="1:7" x14ac:dyDescent="0.3">
      <c r="A26" s="48"/>
      <c r="B26" s="49"/>
      <c r="C26" s="442"/>
      <c r="D26" s="443"/>
      <c r="E26" s="443"/>
      <c r="F26" s="443"/>
      <c r="G26" s="444"/>
    </row>
    <row r="27" spans="1:7" x14ac:dyDescent="0.3">
      <c r="A27" s="42"/>
      <c r="B27" s="42"/>
      <c r="C27" s="442"/>
      <c r="D27" s="443"/>
      <c r="E27" s="443"/>
      <c r="F27" s="443"/>
      <c r="G27" s="444"/>
    </row>
    <row r="28" spans="1:7" x14ac:dyDescent="0.3">
      <c r="A28" s="42"/>
      <c r="B28" s="42"/>
      <c r="C28" s="442"/>
      <c r="D28" s="443"/>
      <c r="E28" s="443"/>
      <c r="F28" s="443"/>
      <c r="G28" s="444"/>
    </row>
    <row r="29" spans="1:7" ht="16.2" thickBot="1" x14ac:dyDescent="0.35">
      <c r="A29" s="42"/>
      <c r="B29" s="42"/>
      <c r="C29" s="445"/>
      <c r="D29" s="446"/>
      <c r="E29" s="446"/>
      <c r="F29" s="446"/>
      <c r="G29" s="447"/>
    </row>
    <row r="30" spans="1:7" ht="16.2" thickBot="1" x14ac:dyDescent="0.35">
      <c r="A30" s="42"/>
      <c r="B30" s="42"/>
      <c r="C30" s="42"/>
      <c r="D30" s="42"/>
      <c r="E30" s="42"/>
      <c r="F30" s="42"/>
      <c r="G30" s="42"/>
    </row>
    <row r="31" spans="1:7" ht="16.2" thickBot="1" x14ac:dyDescent="0.35">
      <c r="A31" s="43" t="s">
        <v>138</v>
      </c>
      <c r="B31" s="44"/>
      <c r="C31" s="448">
        <v>32</v>
      </c>
      <c r="D31" s="449" t="s">
        <v>245</v>
      </c>
      <c r="E31" s="449"/>
      <c r="F31" s="449"/>
      <c r="G31" s="450"/>
    </row>
    <row r="32" spans="1:7" x14ac:dyDescent="0.3">
      <c r="A32" s="462"/>
      <c r="B32" s="462"/>
      <c r="C32" s="42"/>
      <c r="D32" s="42"/>
      <c r="E32" s="42"/>
      <c r="F32" s="42"/>
      <c r="G32" s="42"/>
    </row>
  </sheetData>
  <mergeCells count="6">
    <mergeCell ref="C5:G5"/>
    <mergeCell ref="C12:G12"/>
    <mergeCell ref="C21:G21"/>
    <mergeCell ref="C23:G23"/>
    <mergeCell ref="E24:F24"/>
    <mergeCell ref="E25:F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E07C-86BD-4C25-8D17-E02118A79681}">
  <dimension ref="A2:H37"/>
  <sheetViews>
    <sheetView zoomScale="81" zoomScaleNormal="75" workbookViewId="0">
      <selection activeCell="D13" sqref="D13"/>
    </sheetView>
  </sheetViews>
  <sheetFormatPr defaultColWidth="11.19921875" defaultRowHeight="15.6" x14ac:dyDescent="0.3"/>
  <cols>
    <col min="1" max="1" width="5.69921875" customWidth="1"/>
    <col min="2" max="3" width="25.5" customWidth="1"/>
    <col min="4" max="4" width="27.296875" customWidth="1"/>
    <col min="5" max="8" width="25.5" customWidth="1"/>
  </cols>
  <sheetData>
    <row r="2" spans="1:8" x14ac:dyDescent="0.3">
      <c r="A2" s="415" t="s">
        <v>328</v>
      </c>
      <c r="B2" s="415"/>
      <c r="C2" s="415"/>
      <c r="D2" s="415"/>
      <c r="E2" s="415"/>
      <c r="F2" s="415"/>
      <c r="G2" s="415"/>
      <c r="H2" s="415"/>
    </row>
    <row r="3" spans="1:8" x14ac:dyDescent="0.3">
      <c r="A3" s="239"/>
      <c r="B3" s="239"/>
      <c r="C3" s="239"/>
      <c r="D3" s="239"/>
      <c r="E3" s="239"/>
      <c r="F3" s="239"/>
      <c r="G3" s="239"/>
      <c r="H3" s="239"/>
    </row>
    <row r="4" spans="1:8" x14ac:dyDescent="0.3">
      <c r="B4" s="197"/>
      <c r="C4" s="197"/>
      <c r="D4" s="197"/>
      <c r="E4" s="197"/>
      <c r="F4" s="197"/>
      <c r="G4" s="197"/>
      <c r="H4" s="197"/>
    </row>
    <row r="5" spans="1:8" ht="16.2" thickBot="1" x14ac:dyDescent="0.35">
      <c r="A5" s="42"/>
      <c r="B5" s="197"/>
      <c r="C5" s="197"/>
      <c r="D5" s="197"/>
      <c r="E5" s="197"/>
      <c r="F5" s="197"/>
      <c r="G5" s="197"/>
      <c r="H5" s="197"/>
    </row>
    <row r="6" spans="1:8" x14ac:dyDescent="0.3">
      <c r="A6" s="42"/>
      <c r="B6" s="196"/>
      <c r="C6" s="195"/>
      <c r="D6" s="195"/>
      <c r="E6" s="195"/>
      <c r="F6" s="195"/>
      <c r="G6" s="195"/>
      <c r="H6" s="194"/>
    </row>
    <row r="7" spans="1:8" x14ac:dyDescent="0.3">
      <c r="A7" s="42"/>
      <c r="B7" s="186"/>
      <c r="C7" s="231"/>
      <c r="D7" s="231"/>
      <c r="E7" s="231"/>
      <c r="F7" s="231"/>
      <c r="G7" s="231"/>
      <c r="H7" s="233"/>
    </row>
    <row r="8" spans="1:8" x14ac:dyDescent="0.3">
      <c r="A8" s="42"/>
      <c r="B8" s="186"/>
      <c r="C8" s="231"/>
      <c r="D8" s="231"/>
      <c r="E8" s="231"/>
      <c r="F8" s="231"/>
      <c r="G8" s="231"/>
      <c r="H8" s="185"/>
    </row>
    <row r="9" spans="1:8" x14ac:dyDescent="0.3">
      <c r="A9" s="42"/>
      <c r="B9" s="186"/>
      <c r="C9" s="231"/>
      <c r="D9" s="231"/>
      <c r="E9" s="231"/>
      <c r="F9" s="231"/>
      <c r="G9" s="231"/>
      <c r="H9" s="185"/>
    </row>
    <row r="10" spans="1:8" x14ac:dyDescent="0.3">
      <c r="A10" s="42"/>
      <c r="B10" s="186"/>
      <c r="C10" s="193"/>
      <c r="D10" s="231"/>
      <c r="E10" s="231"/>
      <c r="F10" s="231"/>
      <c r="G10" s="231"/>
      <c r="H10" s="185"/>
    </row>
    <row r="11" spans="1:8" x14ac:dyDescent="0.3">
      <c r="A11" s="42"/>
      <c r="B11" s="186"/>
      <c r="C11" s="231"/>
      <c r="D11" s="231"/>
      <c r="E11" s="231"/>
      <c r="F11" s="231"/>
      <c r="G11" s="231"/>
      <c r="H11" s="185"/>
    </row>
    <row r="12" spans="1:8" x14ac:dyDescent="0.3">
      <c r="A12" s="42"/>
      <c r="B12" s="418" t="s">
        <v>318</v>
      </c>
      <c r="C12" s="419"/>
      <c r="D12" s="231"/>
      <c r="E12" s="234" t="s">
        <v>317</v>
      </c>
      <c r="F12" s="235"/>
      <c r="G12" s="232" t="s">
        <v>316</v>
      </c>
      <c r="H12" s="192"/>
    </row>
    <row r="13" spans="1:8" x14ac:dyDescent="0.3">
      <c r="A13" s="42"/>
      <c r="B13" s="416" t="s">
        <v>315</v>
      </c>
      <c r="C13" s="417"/>
      <c r="D13" s="231"/>
      <c r="E13" s="236" t="s">
        <v>319</v>
      </c>
      <c r="F13" s="236"/>
      <c r="G13" s="230" t="s">
        <v>314</v>
      </c>
      <c r="H13" s="185"/>
    </row>
    <row r="14" spans="1:8" x14ac:dyDescent="0.3">
      <c r="A14" s="42"/>
      <c r="B14" s="416" t="s">
        <v>313</v>
      </c>
      <c r="C14" s="417"/>
      <c r="D14" s="231"/>
      <c r="E14" s="236" t="s">
        <v>320</v>
      </c>
      <c r="F14" s="236"/>
      <c r="G14" s="231" t="s">
        <v>312</v>
      </c>
      <c r="H14" s="185"/>
    </row>
    <row r="15" spans="1:8" x14ac:dyDescent="0.3">
      <c r="A15" s="42"/>
      <c r="B15" s="416" t="s">
        <v>311</v>
      </c>
      <c r="C15" s="417"/>
      <c r="D15" s="231"/>
      <c r="E15" s="236" t="s">
        <v>321</v>
      </c>
      <c r="F15" s="236"/>
      <c r="G15" s="230" t="s">
        <v>310</v>
      </c>
      <c r="H15" s="191"/>
    </row>
    <row r="16" spans="1:8" x14ac:dyDescent="0.3">
      <c r="A16" s="42"/>
      <c r="B16" s="416"/>
      <c r="C16" s="417"/>
      <c r="D16" s="231"/>
      <c r="E16" s="231"/>
      <c r="F16" s="231"/>
      <c r="G16" s="231"/>
      <c r="H16" s="185"/>
    </row>
    <row r="17" spans="1:8" x14ac:dyDescent="0.3">
      <c r="A17" s="42"/>
      <c r="B17" s="418" t="s">
        <v>309</v>
      </c>
      <c r="C17" s="420"/>
      <c r="D17" s="231"/>
      <c r="E17" s="234" t="s">
        <v>308</v>
      </c>
      <c r="F17" s="237"/>
      <c r="G17" s="232" t="s">
        <v>307</v>
      </c>
      <c r="H17" s="190"/>
    </row>
    <row r="18" spans="1:8" x14ac:dyDescent="0.3">
      <c r="A18" s="42"/>
      <c r="B18" s="186"/>
      <c r="C18" s="231"/>
      <c r="D18" s="231"/>
      <c r="E18" s="231"/>
      <c r="F18" s="231"/>
      <c r="G18" s="231"/>
      <c r="H18" s="185"/>
    </row>
    <row r="19" spans="1:8" x14ac:dyDescent="0.3">
      <c r="A19" s="42"/>
      <c r="B19" s="189" t="s">
        <v>306</v>
      </c>
      <c r="C19" s="231"/>
      <c r="D19" s="231"/>
      <c r="E19" s="231"/>
      <c r="F19" s="231"/>
      <c r="G19" s="231"/>
      <c r="H19" s="185"/>
    </row>
    <row r="20" spans="1:8" x14ac:dyDescent="0.3">
      <c r="A20" s="42"/>
      <c r="B20" s="189"/>
      <c r="C20" s="231"/>
      <c r="D20" s="231"/>
      <c r="E20" s="231"/>
      <c r="F20" s="231"/>
      <c r="G20" s="231"/>
      <c r="H20" s="185"/>
    </row>
    <row r="21" spans="1:8" x14ac:dyDescent="0.3">
      <c r="A21" s="42"/>
      <c r="B21" s="186" t="s">
        <v>305</v>
      </c>
      <c r="C21" s="231"/>
      <c r="D21" s="231"/>
      <c r="E21" s="231"/>
      <c r="F21" s="231"/>
      <c r="G21" s="231"/>
      <c r="H21" s="185"/>
    </row>
    <row r="22" spans="1:8" x14ac:dyDescent="0.3">
      <c r="A22" s="42"/>
      <c r="B22" s="186"/>
      <c r="C22" s="238"/>
      <c r="D22" s="231"/>
      <c r="E22" s="231"/>
      <c r="F22" s="231"/>
      <c r="G22" s="231"/>
      <c r="H22" s="185"/>
    </row>
    <row r="23" spans="1:8" x14ac:dyDescent="0.3">
      <c r="A23" s="42"/>
      <c r="B23" s="187" t="s">
        <v>304</v>
      </c>
      <c r="C23" s="231"/>
      <c r="D23" s="231"/>
      <c r="E23" s="231"/>
      <c r="F23" s="231"/>
      <c r="G23" s="231"/>
      <c r="H23" s="185"/>
    </row>
    <row r="24" spans="1:8" x14ac:dyDescent="0.3">
      <c r="A24" s="42"/>
      <c r="B24" s="188" t="s">
        <v>303</v>
      </c>
      <c r="C24" s="231"/>
      <c r="D24" s="231"/>
      <c r="E24" s="231"/>
      <c r="F24" s="231"/>
      <c r="G24" s="231"/>
      <c r="H24" s="185"/>
    </row>
    <row r="25" spans="1:8" x14ac:dyDescent="0.3">
      <c r="A25" s="42"/>
      <c r="B25" s="186"/>
      <c r="C25" s="231"/>
      <c r="D25" s="231"/>
      <c r="E25" s="231"/>
      <c r="F25" s="231"/>
      <c r="G25" s="231"/>
      <c r="H25" s="185"/>
    </row>
    <row r="26" spans="1:8" x14ac:dyDescent="0.3">
      <c r="A26" s="42"/>
      <c r="B26" s="186" t="s">
        <v>302</v>
      </c>
      <c r="C26" s="231"/>
      <c r="D26" s="231"/>
      <c r="E26" s="231"/>
      <c r="F26" s="231"/>
      <c r="G26" s="231"/>
      <c r="H26" s="185"/>
    </row>
    <row r="27" spans="1:8" x14ac:dyDescent="0.3">
      <c r="A27" s="42"/>
      <c r="B27" s="186"/>
      <c r="C27" s="231"/>
      <c r="D27" s="231"/>
      <c r="E27" s="231"/>
      <c r="F27" s="231"/>
      <c r="G27" s="231"/>
      <c r="H27" s="185"/>
    </row>
    <row r="28" spans="1:8" x14ac:dyDescent="0.3">
      <c r="A28" s="42"/>
      <c r="B28" s="186" t="s">
        <v>301</v>
      </c>
      <c r="C28" s="231"/>
      <c r="D28" s="231"/>
      <c r="E28" s="231"/>
      <c r="F28" s="238"/>
      <c r="G28" s="238"/>
      <c r="H28" s="185"/>
    </row>
    <row r="29" spans="1:8" x14ac:dyDescent="0.3">
      <c r="A29" s="42"/>
      <c r="B29" s="187" t="s">
        <v>300</v>
      </c>
      <c r="C29" s="231"/>
      <c r="D29" s="231"/>
      <c r="E29" s="231"/>
      <c r="F29" s="238"/>
      <c r="G29" s="238"/>
      <c r="H29" s="185"/>
    </row>
    <row r="30" spans="1:8" x14ac:dyDescent="0.3">
      <c r="A30" s="42"/>
      <c r="B30" s="186"/>
      <c r="C30" s="238"/>
      <c r="D30" s="231"/>
      <c r="E30" s="231"/>
      <c r="F30" s="231"/>
      <c r="G30" s="231"/>
      <c r="H30" s="185"/>
    </row>
    <row r="31" spans="1:8" x14ac:dyDescent="0.3">
      <c r="A31" s="42"/>
      <c r="B31" s="188" t="s">
        <v>299</v>
      </c>
      <c r="C31" s="238"/>
      <c r="D31" s="231"/>
      <c r="E31" s="231"/>
      <c r="F31" s="231" t="s">
        <v>322</v>
      </c>
      <c r="G31" s="231"/>
      <c r="H31" s="185"/>
    </row>
    <row r="32" spans="1:8" x14ac:dyDescent="0.3">
      <c r="A32" s="42"/>
      <c r="B32" s="186"/>
      <c r="C32" s="231"/>
      <c r="D32" s="231"/>
      <c r="E32" s="231"/>
      <c r="F32" s="231" t="s">
        <v>323</v>
      </c>
      <c r="G32" s="231"/>
      <c r="H32" s="185"/>
    </row>
    <row r="33" spans="1:8" x14ac:dyDescent="0.3">
      <c r="A33" s="42"/>
      <c r="B33" s="187" t="s">
        <v>298</v>
      </c>
      <c r="C33" s="238"/>
      <c r="D33" s="231"/>
      <c r="E33" s="231"/>
      <c r="F33" s="231"/>
      <c r="G33" s="231"/>
      <c r="H33" s="185"/>
    </row>
    <row r="34" spans="1:8" x14ac:dyDescent="0.3">
      <c r="A34" s="42"/>
      <c r="B34" s="186"/>
      <c r="C34" s="231"/>
      <c r="D34" s="231"/>
      <c r="E34" s="231"/>
      <c r="F34" s="231"/>
      <c r="G34" s="231"/>
      <c r="H34" s="185"/>
    </row>
    <row r="35" spans="1:8" ht="16.2" thickBot="1" x14ac:dyDescent="0.35">
      <c r="A35" s="42"/>
      <c r="B35" s="184"/>
      <c r="C35" s="183"/>
      <c r="D35" s="183"/>
      <c r="E35" s="183"/>
      <c r="F35" s="183"/>
      <c r="G35" s="183"/>
      <c r="H35" s="182"/>
    </row>
    <row r="36" spans="1:8" x14ac:dyDescent="0.3">
      <c r="A36" s="42"/>
    </row>
    <row r="37" spans="1:8" x14ac:dyDescent="0.3">
      <c r="A37" s="42"/>
    </row>
  </sheetData>
  <mergeCells count="7">
    <mergeCell ref="B16:C16"/>
    <mergeCell ref="B17:C17"/>
    <mergeCell ref="A2:H2"/>
    <mergeCell ref="B12:C12"/>
    <mergeCell ref="B13:C13"/>
    <mergeCell ref="B14:C14"/>
    <mergeCell ref="B15:C15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Malpensa Case- OpM</vt:lpstr>
      <vt:lpstr>Question1</vt:lpstr>
      <vt:lpstr>Question2</vt:lpstr>
      <vt:lpstr>Question3</vt:lpstr>
      <vt:lpstr>Question 4</vt:lpstr>
      <vt:lpstr>Question 4 from Flavio</vt:lpstr>
      <vt:lpstr>Question5</vt:lpstr>
      <vt:lpstr>Question6</vt:lpstr>
      <vt:lpstr>Question7</vt:lpstr>
      <vt:lpstr>Question 8</vt:lpstr>
      <vt:lpstr>Question9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Trotta - carolina.trotta@studio.unibo.it</dc:creator>
  <cp:lastModifiedBy>Шынар Сулейменова</cp:lastModifiedBy>
  <dcterms:created xsi:type="dcterms:W3CDTF">2023-03-15T18:46:16Z</dcterms:created>
  <dcterms:modified xsi:type="dcterms:W3CDTF">2023-03-23T13:23:35Z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5fe31f-9de1-4167-a753-111c0df8115f_Enabled">
    <vt:lpwstr>true</vt:lpwstr>
  </property>
  <property fmtid="{D5CDD505-2E9C-101B-9397-08002B2CF9AE}" pid="3" name="MSIP_Label_5f5fe31f-9de1-4167-a753-111c0df8115f_SetDate">
    <vt:lpwstr>2023-03-20T20:53:31Z</vt:lpwstr>
  </property>
  <property fmtid="{D5CDD505-2E9C-101B-9397-08002B2CF9AE}" pid="4" name="MSIP_Label_5f5fe31f-9de1-4167-a753-111c0df8115f_Method">
    <vt:lpwstr>Standard</vt:lpwstr>
  </property>
  <property fmtid="{D5CDD505-2E9C-101B-9397-08002B2CF9AE}" pid="5" name="MSIP_Label_5f5fe31f-9de1-4167-a753-111c0df8115f_Name">
    <vt:lpwstr>5f5fe31f-9de1-4167-a753-111c0df8115f</vt:lpwstr>
  </property>
  <property fmtid="{D5CDD505-2E9C-101B-9397-08002B2CF9AE}" pid="6" name="MSIP_Label_5f5fe31f-9de1-4167-a753-111c0df8115f_SiteId">
    <vt:lpwstr>cc4baf00-15c9-48dd-9f59-88c98bde2be7</vt:lpwstr>
  </property>
  <property fmtid="{D5CDD505-2E9C-101B-9397-08002B2CF9AE}" pid="7" name="MSIP_Label_5f5fe31f-9de1-4167-a753-111c0df8115f_ActionId">
    <vt:lpwstr>130886cc-a253-4317-83d6-976118264d52</vt:lpwstr>
  </property>
  <property fmtid="{D5CDD505-2E9C-101B-9397-08002B2CF9AE}" pid="8" name="MSIP_Label_5f5fe31f-9de1-4167-a753-111c0df8115f_ContentBits">
    <vt:lpwstr>0</vt:lpwstr>
  </property>
</Properties>
</file>