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\OneDrive\Máy tính\"/>
    </mc:Choice>
  </mc:AlternateContent>
  <bookViews>
    <workbookView xWindow="0" yWindow="0" windowWidth="28800" windowHeight="12330"/>
  </bookViews>
  <sheets>
    <sheet name="BT1" sheetId="1" r:id="rId1"/>
    <sheet name="BT2" sheetId="2" r:id="rId2"/>
    <sheet name="BT3" sheetId="3" r:id="rId3"/>
    <sheet name="B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3" i="4"/>
  <c r="H4" i="4"/>
  <c r="H5" i="4"/>
  <c r="H6" i="4"/>
  <c r="H7" i="4"/>
  <c r="H8" i="4"/>
  <c r="H9" i="4"/>
  <c r="H10" i="4"/>
  <c r="H11" i="4"/>
  <c r="H12" i="4"/>
  <c r="H13" i="4"/>
  <c r="H3" i="4"/>
  <c r="G4" i="4"/>
  <c r="G5" i="4"/>
  <c r="G6" i="4"/>
  <c r="G7" i="4"/>
  <c r="G8" i="4"/>
  <c r="G9" i="4"/>
  <c r="G10" i="4"/>
  <c r="G11" i="4"/>
  <c r="G12" i="4"/>
  <c r="G13" i="4"/>
  <c r="G3" i="4"/>
  <c r="F4" i="4"/>
  <c r="F5" i="4"/>
  <c r="F6" i="4"/>
  <c r="F7" i="4"/>
  <c r="F8" i="4"/>
  <c r="F9" i="4"/>
  <c r="F10" i="4"/>
  <c r="F11" i="4"/>
  <c r="F12" i="4"/>
  <c r="F13" i="4"/>
  <c r="F3" i="4"/>
  <c r="F21" i="3"/>
  <c r="G21" i="3"/>
  <c r="E21" i="3"/>
  <c r="F20" i="3"/>
  <c r="G20" i="3"/>
  <c r="E20" i="3"/>
  <c r="F19" i="3"/>
  <c r="G19" i="3"/>
  <c r="E19" i="3"/>
  <c r="F18" i="3"/>
  <c r="G18" i="3"/>
  <c r="E18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L24" i="2"/>
  <c r="L25" i="2"/>
  <c r="L26" i="2"/>
  <c r="L27" i="2"/>
  <c r="L28" i="2"/>
  <c r="L4" i="2"/>
  <c r="L5" i="2"/>
  <c r="M5" i="2" s="1"/>
  <c r="L6" i="2"/>
  <c r="L3" i="2"/>
  <c r="M3" i="2" s="1"/>
  <c r="M4" i="2"/>
  <c r="N4" i="2" s="1"/>
  <c r="M6" i="2"/>
  <c r="N5" i="2" l="1"/>
  <c r="O5" i="2" s="1"/>
  <c r="N6" i="2"/>
  <c r="O6" i="2" s="1"/>
  <c r="O4" i="2"/>
  <c r="N3" i="2"/>
  <c r="O3" i="2" s="1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<sst xmlns="http://schemas.openxmlformats.org/spreadsheetml/2006/main" count="212" uniqueCount="179">
  <si>
    <t xml:space="preserve">BẢNG THỐNG KÊ KẾT QUẢ THI HỌC SINH GIỎI NĂN 200... </t>
  </si>
  <si>
    <t>Mã thí sinh</t>
  </si>
  <si>
    <t>Tên thí sinh</t>
  </si>
  <si>
    <t>Tên Trường</t>
  </si>
  <si>
    <t>Môn thi</t>
  </si>
  <si>
    <t>Điểm thi</t>
  </si>
  <si>
    <t>Kết quả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</si>
  <si>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52</t>
    </r>
    <r>
      <rPr>
        <b/>
        <sz val="14"/>
        <color theme="4" tint="-0.499984740745262"/>
        <rFont val="Times New Roman"/>
        <family val="1"/>
      </rPr>
      <t>TH</t>
    </r>
  </si>
  <si>
    <t>trần vinh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</si>
  <si>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10</t>
    </r>
    <r>
      <rPr>
        <b/>
        <sz val="14"/>
        <color theme="4" tint="-0.499984740745262"/>
        <rFont val="Times New Roman"/>
        <family val="1"/>
      </rPr>
      <t>TO</t>
    </r>
  </si>
  <si>
    <t>lê vinh</t>
  </si>
  <si>
    <r>
      <rPr>
        <b/>
        <sz val="14"/>
        <color rgb="FFC00000"/>
        <rFont val="Times New Roman"/>
        <family val="1"/>
      </rPr>
      <t>SP</t>
    </r>
    <r>
      <rPr>
        <b/>
        <sz val="14"/>
        <rFont val="Times New Roman"/>
        <family val="1"/>
      </rPr>
      <t>93</t>
    </r>
    <r>
      <rPr>
        <b/>
        <sz val="14"/>
        <color theme="4" tint="-0.499984740745262"/>
        <rFont val="Times New Roman"/>
        <family val="1"/>
      </rPr>
      <t>SN</t>
    </r>
  </si>
  <si>
    <t>phạm quân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</si>
  <si>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23</t>
    </r>
    <r>
      <rPr>
        <b/>
        <sz val="14"/>
        <color theme="4" tint="-0.499984740745262"/>
        <rFont val="Times New Roman"/>
        <family val="1"/>
      </rPr>
      <t>SN</t>
    </r>
  </si>
  <si>
    <t>trần quân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</si>
  <si>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13</t>
    </r>
    <r>
      <rPr>
        <b/>
        <sz val="14"/>
        <color theme="4" tint="-0.499984740745262"/>
        <rFont val="Times New Roman"/>
        <family val="1"/>
      </rPr>
      <t>TH</t>
    </r>
  </si>
  <si>
    <t>lê hoàng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</si>
  <si>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56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</si>
  <si>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74</t>
    </r>
    <r>
      <rPr>
        <b/>
        <sz val="14"/>
        <color theme="4" tint="-0.499984740745262"/>
        <rFont val="Times New Roman"/>
        <family val="1"/>
      </rPr>
      <t>TH</t>
    </r>
  </si>
  <si>
    <t>lê quân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</si>
  <si>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</si>
  <si>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lê viên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</si>
  <si>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20</t>
    </r>
    <r>
      <rPr>
        <b/>
        <sz val="14"/>
        <color theme="4" tint="-0.499984740745262"/>
        <rFont val="Times New Roman"/>
        <family val="1"/>
      </rPr>
      <t>TH</t>
    </r>
  </si>
  <si>
    <t>lê văn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</si>
  <si>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</si>
  <si>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lê thuý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</si>
  <si>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31</t>
    </r>
    <r>
      <rPr>
        <b/>
        <sz val="14"/>
        <color theme="4" tint="-0.499984740745262"/>
        <rFont val="Times New Roman"/>
        <family val="1"/>
      </rPr>
      <t>SN</t>
    </r>
  </si>
  <si>
    <t>phạm vinh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</si>
  <si>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59</t>
    </r>
    <r>
      <rPr>
        <b/>
        <sz val="14"/>
        <color theme="4" tint="-0.499984740745262"/>
        <rFont val="Times New Roman"/>
        <family val="1"/>
      </rPr>
      <t>SN</t>
    </r>
  </si>
  <si>
    <t>trần my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</si>
  <si>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15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</si>
  <si>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TH</t>
    </r>
    <r>
      <rPr>
        <b/>
        <sz val="14"/>
        <rFont val="Times New Roman"/>
        <family val="1"/>
      </rPr>
      <t>90</t>
    </r>
    <r>
      <rPr>
        <b/>
        <sz val="14"/>
        <color theme="4" tint="-0.499984740745262"/>
        <rFont val="Times New Roman"/>
        <family val="1"/>
      </rPr>
      <t>TO</t>
    </r>
  </si>
  <si>
    <t>lê nguyễn</t>
  </si>
  <si>
    <t>Bảng tra tên trường</t>
  </si>
  <si>
    <t>Mã Trường</t>
  </si>
  <si>
    <t>Tên trường</t>
  </si>
  <si>
    <t>TR</t>
  </si>
  <si>
    <t>Trần Đại Nghĩa</t>
  </si>
  <si>
    <t>LE</t>
  </si>
  <si>
    <t>Lê Hồng Phong</t>
  </si>
  <si>
    <t>GD</t>
  </si>
  <si>
    <t>Gia Định</t>
  </si>
  <si>
    <t>NK</t>
  </si>
  <si>
    <t>Năng Khiếu</t>
  </si>
  <si>
    <t>TH</t>
  </si>
  <si>
    <t>Nguyễn Thượng Hiền</t>
  </si>
  <si>
    <t>SP</t>
  </si>
  <si>
    <t>Sư Phạm</t>
  </si>
  <si>
    <t>Bảng tra xếp loại</t>
  </si>
  <si>
    <t>Điểm</t>
  </si>
  <si>
    <t>Xếp loại</t>
  </si>
  <si>
    <t>Trung Bình</t>
  </si>
  <si>
    <t>Khá</t>
  </si>
  <si>
    <t>Giỏi</t>
  </si>
  <si>
    <t>Xuất sắc</t>
  </si>
  <si>
    <t>Bảng tra môn thi</t>
  </si>
  <si>
    <t>Mã Môn học</t>
  </si>
  <si>
    <t>TO</t>
  </si>
  <si>
    <t>SN</t>
  </si>
  <si>
    <t>Tên Môn thi</t>
  </si>
  <si>
    <t>Toán</t>
  </si>
  <si>
    <t>Sinh ngữ</t>
  </si>
  <si>
    <t>Tin Học</t>
  </si>
  <si>
    <t>Bảng thống kê bán hàng</t>
  </si>
  <si>
    <t xml:space="preserve">Mã hàng </t>
  </si>
  <si>
    <t>Tên Hàng</t>
  </si>
  <si>
    <t>Hảng 
sản xuất</t>
  </si>
  <si>
    <t>Tên nhân
 viên bán</t>
  </si>
  <si>
    <t>Số lượng
 bán</t>
  </si>
  <si>
    <t>Đơn giá
 VNĐ</t>
  </si>
  <si>
    <t>Thành tiền VNĐ</t>
  </si>
  <si>
    <t>LASo_11</t>
  </si>
  <si>
    <t>LATo_44</t>
  </si>
  <si>
    <t>LASo_22</t>
  </si>
  <si>
    <t>LASo_33</t>
  </si>
  <si>
    <t>CATo_22</t>
  </si>
  <si>
    <t>CAPa_44</t>
  </si>
  <si>
    <t>CASo_33</t>
  </si>
  <si>
    <t>WATo_11</t>
  </si>
  <si>
    <t>WAPa_22</t>
  </si>
  <si>
    <t>RETo_33</t>
  </si>
  <si>
    <t>REPa_22</t>
  </si>
  <si>
    <t>TVSo_11</t>
  </si>
  <si>
    <t>TVPa_44</t>
  </si>
  <si>
    <t>TVTo_33</t>
  </si>
  <si>
    <t>TVSo_33</t>
  </si>
  <si>
    <t>Mã NV</t>
  </si>
  <si>
    <t>Tên 
nhân viên</t>
  </si>
  <si>
    <t>Doanh số</t>
  </si>
  <si>
    <t>Lương</t>
  </si>
  <si>
    <t>Thuế 
thu nhập</t>
  </si>
  <si>
    <t>Thực lãnh</t>
  </si>
  <si>
    <t>Thúy Hằng</t>
  </si>
  <si>
    <t>Lan Anh</t>
  </si>
  <si>
    <t>Hải Quân</t>
  </si>
  <si>
    <t>Thanh Long</t>
  </si>
  <si>
    <t>Bảng 2</t>
  </si>
  <si>
    <t>Mã hàng</t>
  </si>
  <si>
    <t>Tên hàng</t>
  </si>
  <si>
    <t>Đơn giá USD</t>
  </si>
  <si>
    <t>TV</t>
  </si>
  <si>
    <t>Tivi</t>
  </si>
  <si>
    <t>CA</t>
  </si>
  <si>
    <t>Máy ảnh</t>
  </si>
  <si>
    <t>RE</t>
  </si>
  <si>
    <t>Máy lạnh</t>
  </si>
  <si>
    <t>LA</t>
  </si>
  <si>
    <t>Laptop</t>
  </si>
  <si>
    <t>WA</t>
  </si>
  <si>
    <t>Máy giặt</t>
  </si>
  <si>
    <t>Bảng 3</t>
  </si>
  <si>
    <t>So</t>
  </si>
  <si>
    <t>To</t>
  </si>
  <si>
    <t>Pa</t>
  </si>
  <si>
    <t>Sony</t>
  </si>
  <si>
    <t>Toshiba</t>
  </si>
  <si>
    <t>Panasonic</t>
  </si>
  <si>
    <t xml:space="preserve">Bảng thống kê 2 </t>
  </si>
  <si>
    <t>(Sumifs)</t>
  </si>
  <si>
    <t>Bảng thống kê 1</t>
  </si>
  <si>
    <t>(Sumif)</t>
  </si>
  <si>
    <t>Tổng tiền</t>
  </si>
  <si>
    <t xml:space="preserve">Tên Thí Sinh </t>
  </si>
  <si>
    <t>Tỷ giá</t>
  </si>
  <si>
    <t>BẢNG ĐIỂM</t>
  </si>
  <si>
    <t>Số Tt</t>
  </si>
  <si>
    <t>Họ Tên</t>
  </si>
  <si>
    <t>Ngày Sinh</t>
  </si>
  <si>
    <t>Tuổi</t>
  </si>
  <si>
    <t>Điểm Toán</t>
  </si>
  <si>
    <t>Điểm Văn</t>
  </si>
  <si>
    <t>Điểm Ngoại Ngữ</t>
  </si>
  <si>
    <t>Tổng Điểm</t>
  </si>
  <si>
    <t>Kết Quả</t>
  </si>
  <si>
    <t>ĐIỂM TỔNG</t>
  </si>
  <si>
    <t>TRUNG BÌNH</t>
  </si>
  <si>
    <t>CAO NHẤT</t>
  </si>
  <si>
    <t>THẤP NHẤT</t>
  </si>
  <si>
    <t>Yêu cầu</t>
  </si>
  <si>
    <t>1. Chèn thêm cột số TT trước cột họ tên, dùng chức năng Fill handle điền dữ liệu cho cột số TT</t>
  </si>
  <si>
    <t>2. Dùng hàm Propper chuyển cột Họ tên thành định dạng kiểu chữ hoa đầu mỗi từ</t>
  </si>
  <si>
    <t>3. Lập công thức điền dữ liệu cho cột tuổi</t>
  </si>
  <si>
    <t>4. Dùng chức năng AutoSum tính cột Tổng điểm</t>
  </si>
  <si>
    <t>5. Lập công thức điền dữ liệu cho cột Điểm  trung bình =(Toán*2 +Văn*2+Ngoại ngữ)/5 làm tròn 1 số lẻ</t>
  </si>
  <si>
    <t>6. Lập công thức điền dữ liệu cho cột Kết quả: Nếu điểm trung bình &gt;=5 thì kết quả là đậu, ngược lại thì kết quả là rớt</t>
  </si>
  <si>
    <t>7. Lập công thức tính tổng điểm, trung bình, điểm thấp nhất, cao nhất cho các cột Điểm toán, văn, ngoại ngữ</t>
  </si>
  <si>
    <t>8. Định dạng các cột điểm sao cho điểm dưới 5 có màu đỏ và in đậm</t>
  </si>
  <si>
    <t>9. Dùng chức năng Freeze Panes cố định dòng tiêu đề của bảng tính</t>
  </si>
  <si>
    <t>BẢNG TỔNG KẾT ĐIỂM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</si>
  <si>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</si>
  <si>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</si>
  <si>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</si>
  <si>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</si>
  <si>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</si>
  <si>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</si>
  <si>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</si>
  <si>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</si>
  <si>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</si>
  <si>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</si>
  <si>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Estelle</t>
  </si>
  <si>
    <t>Laurent</t>
  </si>
  <si>
    <t>Paul</t>
  </si>
  <si>
    <t>Léa</t>
  </si>
  <si>
    <t>Murielle</t>
  </si>
  <si>
    <t>Thierry</t>
  </si>
  <si>
    <t>Laura</t>
  </si>
  <si>
    <t>Nick</t>
  </si>
  <si>
    <t>Anne</t>
  </si>
  <si>
    <t>Yêu cầu:</t>
  </si>
  <si>
    <t>1. Lập công thức điền dữ liệu cho cột Average = trung bình cộng của 3 cột course 1, 2, 3, làm tròn 2 số lẻ</t>
  </si>
  <si>
    <r>
      <t xml:space="preserve">2. Lập công thức cho cột </t>
    </r>
    <r>
      <rPr>
        <b/>
        <sz val="16"/>
        <color theme="1"/>
        <rFont val="Times New Roman"/>
        <family val="1"/>
      </rPr>
      <t>Result</t>
    </r>
    <r>
      <rPr>
        <sz val="16"/>
        <color theme="1"/>
        <rFont val="Times New Roman"/>
        <family val="1"/>
      </rPr>
      <t xml:space="preserve"> dựa trên </t>
    </r>
    <r>
      <rPr>
        <b/>
        <sz val="16"/>
        <color theme="1"/>
        <rFont val="Times New Roman"/>
        <family val="1"/>
      </rPr>
      <t>Average</t>
    </r>
    <r>
      <rPr>
        <sz val="16"/>
        <color theme="1"/>
        <rFont val="Times New Roman"/>
        <family val="1"/>
      </rPr>
      <t xml:space="preserve"> theo tiêu chí sau: </t>
    </r>
  </si>
  <si>
    <r>
      <t xml:space="preserve">Nếu avrerage &lt;10 thì Result là </t>
    </r>
    <r>
      <rPr>
        <b/>
        <sz val="16"/>
        <color theme="1"/>
        <rFont val="Times New Roman"/>
        <family val="1"/>
      </rPr>
      <t>Fail</t>
    </r>
  </si>
  <si>
    <r>
      <t xml:space="preserve">Nếu Average từ 10 đến dưới 12 thì Result là </t>
    </r>
    <r>
      <rPr>
        <b/>
        <sz val="16"/>
        <color theme="1"/>
        <rFont val="Times New Roman"/>
        <family val="1"/>
      </rPr>
      <t>Pass</t>
    </r>
  </si>
  <si>
    <r>
      <t xml:space="preserve">Nếu Average từ 12 đến dưới14 thì Result là </t>
    </r>
    <r>
      <rPr>
        <b/>
        <sz val="16"/>
        <color theme="1"/>
        <rFont val="Times New Roman"/>
        <family val="1"/>
      </rPr>
      <t>Good</t>
    </r>
  </si>
  <si>
    <r>
      <t xml:space="preserve">Nếu Average từ 14 đến dưới16 thì Result là </t>
    </r>
    <r>
      <rPr>
        <b/>
        <sz val="16"/>
        <color theme="1"/>
        <rFont val="Times New Roman"/>
        <family val="1"/>
      </rPr>
      <t>Very Good</t>
    </r>
  </si>
  <si>
    <r>
      <t xml:space="preserve">Ngược lại, nếu average &gt;=16 thì Result là </t>
    </r>
    <r>
      <rPr>
        <b/>
        <sz val="16"/>
        <color theme="1"/>
        <rFont val="Times New Roman"/>
        <family val="1"/>
      </rPr>
      <t>Excellent</t>
    </r>
  </si>
  <si>
    <t>3. Lập công thức xếp hạng cho cột Rank dựa vào Average</t>
  </si>
  <si>
    <t xml:space="preserve">4. Lập công thức điền dữ liệu cho cột rewarded (khen thưởng) với điều kiện: </t>
  </si>
  <si>
    <t>Nếu điểm trung bình (Average)&gt;12 và không có điểm thành phần &lt;10 thì được thưởng một khóa học miễn phí 1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</si>
</sst>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??_);_(@_)"/>
    <numFmt numFmtId="165" formatCode="_(* #.##0.00_);_(* \(#.##0.00\);_(* &quot;-&quot;??_);_(@_)"/>
    <numFmt numFmtId="166" formatCode="0.00;[Red]0.00"/>
    <numFmt numFmtId="167" formatCode="#,##0;[Red]#,##0"/>
    <numFmt numFmtId="168" formatCode="0.00_);\(0.00\)"/>
    <numFmt numFmtId="169" formatCode="0_);[Red]\(0\)"/>
  </numFmts>
  <fonts count="29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color rgb="FFC00000"/>
      <name val="Times New Roman"/>
      <family val="1"/>
    </font>
    <font>
      <b/>
      <sz val="14"/>
      <color theme="4" tint="-0.499984740745262"/>
      <name val="Times New Roman"/>
      <family val="1"/>
    </font>
    <font>
      <b/>
      <sz val="12"/>
      <color theme="1"/>
      <name val="Tahoma"/>
      <family val="2"/>
    </font>
    <font>
      <sz val="10"/>
      <name val="Calibri"/>
      <family val="2"/>
      <scheme val="minor"/>
    </font>
    <font>
      <b/>
      <sz val="16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b/>
      <sz val="13"/>
      <name val="Arial"/>
      <family val="2"/>
    </font>
    <font>
      <i/>
      <sz val="13"/>
      <name val="Times New Roman"/>
      <family val="1"/>
    </font>
    <font>
      <b/>
      <sz val="14"/>
      <color rgb="FFFF0000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0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2C2B2B"/>
      <name val="Times New Roman"/>
      <family val="1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/>
        <bgColor theme="4" tint="0.79992065187536243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6" fillId="0" borderId="0"/>
    <xf numFmtId="165" fontId="10" fillId="0" borderId="0" applyFont="0" applyFill="0" applyBorder="0" applyAlignment="0" applyProtection="0"/>
    <xf numFmtId="0" fontId="14" fillId="0" borderId="29" applyNumberFormat="0" applyFill="0" applyAlignment="0" applyProtection="0"/>
    <xf numFmtId="0" fontId="15" fillId="0" borderId="30" applyNumberFormat="0" applyFill="0" applyAlignment="0" applyProtection="0"/>
  </cellStyleXfs>
  <cellXfs count="103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14" fontId="2" fillId="3" borderId="1" xfId="0" applyNumberFormat="1" applyFont="1" applyFill="1" applyBorder="1"/>
    <xf numFmtId="0" fontId="2" fillId="4" borderId="1" xfId="0" applyFont="1" applyFill="1" applyBorder="1"/>
    <xf numFmtId="0" fontId="2" fillId="3" borderId="2" xfId="0" applyFont="1" applyFill="1" applyBorder="1"/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/>
    </xf>
    <xf numFmtId="0" fontId="2" fillId="0" borderId="9" xfId="0" applyFont="1" applyBorder="1"/>
    <xf numFmtId="49" fontId="1" fillId="0" borderId="8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0" borderId="8" xfId="0" applyFont="1" applyBorder="1"/>
    <xf numFmtId="0" fontId="1" fillId="0" borderId="10" xfId="0" applyFont="1" applyBorder="1"/>
    <xf numFmtId="0" fontId="1" fillId="8" borderId="8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 vertical="center"/>
    </xf>
    <xf numFmtId="0" fontId="2" fillId="0" borderId="15" xfId="0" applyFont="1" applyBorder="1"/>
    <xf numFmtId="0" fontId="8" fillId="10" borderId="4" xfId="1" applyFont="1" applyFill="1" applyBorder="1" applyAlignment="1">
      <alignment horizontal="center" vertical="center" wrapText="1"/>
    </xf>
    <xf numFmtId="0" fontId="9" fillId="0" borderId="3" xfId="1" applyFont="1" applyBorder="1" applyAlignment="1">
      <alignment horizontal="center"/>
    </xf>
    <xf numFmtId="0" fontId="9" fillId="0" borderId="3" xfId="1" applyFont="1" applyBorder="1"/>
    <xf numFmtId="164" fontId="9" fillId="0" borderId="3" xfId="1" applyNumberFormat="1" applyFont="1" applyBorder="1"/>
    <xf numFmtId="0" fontId="8" fillId="10" borderId="17" xfId="1" applyFont="1" applyFill="1" applyBorder="1" applyAlignment="1">
      <alignment horizontal="center" vertical="center" wrapText="1"/>
    </xf>
    <xf numFmtId="0" fontId="8" fillId="10" borderId="18" xfId="1" applyFont="1" applyFill="1" applyBorder="1" applyAlignment="1">
      <alignment horizontal="center" vertical="center"/>
    </xf>
    <xf numFmtId="0" fontId="8" fillId="10" borderId="5" xfId="1" applyFont="1" applyFill="1" applyBorder="1" applyAlignment="1">
      <alignment horizontal="center" vertical="center" wrapText="1"/>
    </xf>
    <xf numFmtId="0" fontId="9" fillId="0" borderId="8" xfId="1" applyFont="1" applyBorder="1"/>
    <xf numFmtId="164" fontId="9" fillId="0" borderId="3" xfId="2" applyNumberFormat="1" applyFont="1" applyFill="1" applyBorder="1"/>
    <xf numFmtId="164" fontId="9" fillId="0" borderId="19" xfId="2" applyNumberFormat="1" applyFont="1" applyFill="1" applyBorder="1"/>
    <xf numFmtId="164" fontId="9" fillId="0" borderId="9" xfId="1" applyNumberFormat="1" applyFont="1" applyBorder="1"/>
    <xf numFmtId="0" fontId="9" fillId="0" borderId="10" xfId="1" applyFont="1" applyBorder="1"/>
    <xf numFmtId="164" fontId="9" fillId="0" borderId="15" xfId="2" applyNumberFormat="1" applyFont="1" applyFill="1" applyBorder="1"/>
    <xf numFmtId="0" fontId="8" fillId="10" borderId="8" xfId="1" applyFont="1" applyFill="1" applyBorder="1" applyAlignment="1">
      <alignment horizontal="center"/>
    </xf>
    <xf numFmtId="0" fontId="8" fillId="10" borderId="3" xfId="1" applyFont="1" applyFill="1" applyBorder="1" applyAlignment="1">
      <alignment horizontal="center"/>
    </xf>
    <xf numFmtId="0" fontId="8" fillId="10" borderId="9" xfId="1" applyFont="1" applyFill="1" applyBorder="1" applyAlignment="1">
      <alignment horizontal="center"/>
    </xf>
    <xf numFmtId="0" fontId="9" fillId="0" borderId="9" xfId="1" applyFont="1" applyBorder="1"/>
    <xf numFmtId="0" fontId="9" fillId="0" borderId="15" xfId="1" applyFont="1" applyBorder="1"/>
    <xf numFmtId="0" fontId="9" fillId="0" borderId="11" xfId="1" applyFont="1" applyBorder="1"/>
    <xf numFmtId="0" fontId="9" fillId="0" borderId="10" xfId="1" applyFont="1" applyBorder="1" applyAlignment="1">
      <alignment horizontal="center" shrinkToFit="1"/>
    </xf>
    <xf numFmtId="0" fontId="9" fillId="0" borderId="15" xfId="1" applyFont="1" applyBorder="1" applyAlignment="1">
      <alignment horizontal="center" shrinkToFit="1"/>
    </xf>
    <xf numFmtId="0" fontId="9" fillId="0" borderId="11" xfId="1" applyFont="1" applyBorder="1" applyAlignment="1">
      <alignment horizontal="center" shrinkToFit="1"/>
    </xf>
    <xf numFmtId="0" fontId="11" fillId="0" borderId="23" xfId="1" applyFont="1" applyBorder="1"/>
    <xf numFmtId="0" fontId="9" fillId="0" borderId="24" xfId="1" applyFont="1" applyBorder="1"/>
    <xf numFmtId="0" fontId="12" fillId="0" borderId="24" xfId="1" applyFont="1" applyBorder="1"/>
    <xf numFmtId="0" fontId="9" fillId="0" borderId="25" xfId="1" applyFont="1" applyBorder="1"/>
    <xf numFmtId="0" fontId="9" fillId="0" borderId="4" xfId="1" applyFont="1" applyBorder="1"/>
    <xf numFmtId="0" fontId="8" fillId="8" borderId="17" xfId="1" applyFont="1" applyFill="1" applyBorder="1" applyAlignment="1">
      <alignment horizontal="center" shrinkToFit="1"/>
    </xf>
    <xf numFmtId="0" fontId="8" fillId="8" borderId="5" xfId="1" applyFont="1" applyFill="1" applyBorder="1" applyAlignment="1">
      <alignment horizontal="center" shrinkToFit="1"/>
    </xf>
    <xf numFmtId="0" fontId="9" fillId="8" borderId="8" xfId="1" applyFont="1" applyFill="1" applyBorder="1"/>
    <xf numFmtId="0" fontId="9" fillId="8" borderId="10" xfId="1" applyFont="1" applyFill="1" applyBorder="1"/>
    <xf numFmtId="0" fontId="12" fillId="0" borderId="25" xfId="1" applyFont="1" applyBorder="1"/>
    <xf numFmtId="0" fontId="1" fillId="3" borderId="26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166" fontId="13" fillId="11" borderId="1" xfId="0" applyNumberFormat="1" applyFont="1" applyFill="1" applyBorder="1"/>
    <xf numFmtId="0" fontId="13" fillId="4" borderId="1" xfId="0" applyFont="1" applyFill="1" applyBorder="1"/>
    <xf numFmtId="0" fontId="13" fillId="3" borderId="1" xfId="0" applyFont="1" applyFill="1" applyBorder="1"/>
    <xf numFmtId="164" fontId="8" fillId="0" borderId="31" xfId="2" applyNumberFormat="1" applyFont="1" applyFill="1" applyBorder="1"/>
    <xf numFmtId="0" fontId="8" fillId="0" borderId="1" xfId="1" applyFont="1" applyBorder="1"/>
    <xf numFmtId="167" fontId="9" fillId="0" borderId="3" xfId="1" applyNumberFormat="1" applyFont="1" applyBorder="1"/>
    <xf numFmtId="167" fontId="9" fillId="0" borderId="19" xfId="2" applyNumberFormat="1" applyFont="1" applyFill="1" applyBorder="1"/>
    <xf numFmtId="168" fontId="9" fillId="0" borderId="3" xfId="1" applyNumberFormat="1" applyFont="1" applyBorder="1"/>
    <xf numFmtId="0" fontId="17" fillId="12" borderId="3" xfId="0" applyFont="1" applyFill="1" applyBorder="1" applyAlignment="1">
      <alignment horizontal="center" vertical="center" wrapText="1"/>
    </xf>
    <xf numFmtId="0" fontId="18" fillId="0" borderId="3" xfId="0" applyFont="1" applyBorder="1"/>
    <xf numFmtId="14" fontId="18" fillId="0" borderId="3" xfId="0" applyNumberFormat="1" applyFont="1" applyBorder="1"/>
    <xf numFmtId="0" fontId="17" fillId="0" borderId="3" xfId="0" applyFont="1" applyBorder="1" applyAlignment="1">
      <alignment horizontal="center" vertical="center"/>
    </xf>
    <xf numFmtId="169" fontId="18" fillId="0" borderId="3" xfId="0" applyNumberFormat="1" applyFont="1" applyBorder="1"/>
    <xf numFmtId="0" fontId="19" fillId="0" borderId="0" xfId="0" applyFont="1"/>
    <xf numFmtId="0" fontId="20" fillId="0" borderId="0" xfId="0" applyFont="1"/>
    <xf numFmtId="14" fontId="20" fillId="0" borderId="0" xfId="0" applyNumberFormat="1" applyFont="1"/>
    <xf numFmtId="166" fontId="18" fillId="0" borderId="3" xfId="0" applyNumberFormat="1" applyFont="1" applyBorder="1"/>
    <xf numFmtId="0" fontId="18" fillId="13" borderId="3" xfId="0" applyFont="1" applyFill="1" applyBorder="1"/>
    <xf numFmtId="0" fontId="15" fillId="0" borderId="30" xfId="4" applyAlignment="1">
      <alignment horizontal="center"/>
    </xf>
    <xf numFmtId="0" fontId="22" fillId="0" borderId="3" xfId="0" applyFont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7" fillId="0" borderId="0" xfId="0" applyFont="1" applyAlignment="1">
      <alignment vertical="center"/>
    </xf>
    <xf numFmtId="0" fontId="28" fillId="0" borderId="0" xfId="0" applyFont="1"/>
    <xf numFmtId="2" fontId="22" fillId="0" borderId="3" xfId="0" applyNumberFormat="1" applyFont="1" applyBorder="1"/>
    <xf numFmtId="0" fontId="1" fillId="0" borderId="0" xfId="0" applyFont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7" fillId="0" borderId="16" xfId="1" applyFont="1" applyBorder="1" applyAlignment="1">
      <alignment horizontal="center"/>
    </xf>
    <xf numFmtId="0" fontId="8" fillId="10" borderId="4" xfId="1" applyFont="1" applyFill="1" applyBorder="1" applyAlignment="1">
      <alignment horizontal="center"/>
    </xf>
    <xf numFmtId="0" fontId="8" fillId="10" borderId="17" xfId="1" applyFont="1" applyFill="1" applyBorder="1" applyAlignment="1">
      <alignment horizontal="center"/>
    </xf>
    <xf numFmtId="0" fontId="8" fillId="10" borderId="5" xfId="1" applyFont="1" applyFill="1" applyBorder="1" applyAlignment="1">
      <alignment horizontal="center"/>
    </xf>
    <xf numFmtId="0" fontId="8" fillId="10" borderId="20" xfId="1" applyFont="1" applyFill="1" applyBorder="1" applyAlignment="1">
      <alignment horizontal="center"/>
    </xf>
    <xf numFmtId="0" fontId="8" fillId="10" borderId="21" xfId="1" applyFont="1" applyFill="1" applyBorder="1" applyAlignment="1">
      <alignment horizontal="center"/>
    </xf>
    <xf numFmtId="0" fontId="8" fillId="10" borderId="22" xfId="1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21" fillId="0" borderId="29" xfId="3" applyFont="1" applyAlignment="1">
      <alignment horizontal="center"/>
    </xf>
  </cellXfs>
  <cellStyles count="5">
    <cellStyle name="Comma 2" xfId="2"/>
    <cellStyle name="Heading 1" xfId="3" builtinId="16"/>
    <cellStyle name="Heading 2" xfId="4" builtinId="17"/>
    <cellStyle name="Normal" xfId="0" builtinId="0"/>
    <cellStyle name="Normal 3" xfId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19" formatCode="m/d/yyyy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19" formatCode="m/d/yyyy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theme="4" tint="0.79998168889431442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Table13" displayName="Table13" ref="A3:G18" totalsRowShown="0" headerRowDxfId="9" dataDxfId="8" tableBorderDxfId="7">
  <autoFilter ref="A3:G18"/>
  <tableColumns count="7">
    <tableColumn id="1" name="Mã thí sinh" dataDxfId="6"/>
    <tableColumn id="2" name="Tên thí sinh" dataDxfId="5"/>
    <tableColumn id="3" name="Tên Thí Sinh " dataDxfId="4">
      <calculatedColumnFormula>PROPER(B4)</calculatedColumnFormula>
    </tableColumn>
    <tableColumn id="4" name="Tên Trường" dataDxfId="3">
      <calculatedColumnFormula>VLOOKUP(LEFT(A4,2),$I$5:$J$10,2,0)</calculatedColumnFormula>
    </tableColumn>
    <tableColumn id="5" name="Môn thi" dataDxfId="2">
      <calculatedColumnFormula>HLOOKUP(RIGHT(A4,2),$J$16:$L$17,2,0)</calculatedColumnFormula>
    </tableColumn>
    <tableColumn id="6" name="Điểm thi" dataDxfId="1"/>
    <tableColumn id="7" name="Kết quả" dataDxfId="0">
      <calculatedColumnFormula>VLOOKUP(F4,$L$5:$M$8,2,1)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showWhiteSpace="0" view="pageLayout" zoomScaleNormal="100" workbookViewId="0">
      <selection activeCell="D15" sqref="D15"/>
    </sheetView>
  </sheetViews>
  <sheetFormatPr defaultRowHeight="15" x14ac:dyDescent="0.25"/>
  <cols>
    <col min="1" max="1" width="23.85546875" customWidth="1"/>
    <col min="2" max="3" width="30" customWidth="1"/>
    <col min="4" max="4" width="28" customWidth="1"/>
    <col min="5" max="5" width="19.7109375" customWidth="1"/>
    <col min="6" max="6" width="21.7109375" customWidth="1"/>
    <col min="7" max="7" width="28.85546875" customWidth="1"/>
    <col min="8" max="8" width="26" customWidth="1"/>
    <col min="9" max="9" width="19.85546875" customWidth="1"/>
    <col min="10" max="10" width="26.5703125" customWidth="1"/>
    <col min="11" max="11" width="12.140625" customWidth="1"/>
    <col min="12" max="12" width="15" customWidth="1"/>
    <col min="13" max="13" width="18" customWidth="1"/>
  </cols>
  <sheetData>
    <row r="1" spans="1:13" ht="18.75" x14ac:dyDescent="0.3">
      <c r="A1" s="87" t="s">
        <v>0</v>
      </c>
      <c r="B1" s="87"/>
      <c r="C1" s="87"/>
      <c r="D1" s="87"/>
      <c r="E1" s="87"/>
      <c r="F1" s="87"/>
      <c r="G1" s="87"/>
    </row>
    <row r="2" spans="1:13" ht="19.5" thickBot="1" x14ac:dyDescent="0.35">
      <c r="A2" s="1"/>
      <c r="B2" s="1"/>
      <c r="C2" s="1"/>
      <c r="D2" s="1"/>
      <c r="E2" s="1"/>
      <c r="F2" s="1"/>
      <c r="G2" s="1"/>
    </row>
    <row r="3" spans="1:13" ht="19.5" thickBot="1" x14ac:dyDescent="0.3">
      <c r="A3" s="57" t="s">
        <v>1</v>
      </c>
      <c r="B3" s="58" t="s">
        <v>2</v>
      </c>
      <c r="C3" s="58" t="s">
        <v>122</v>
      </c>
      <c r="D3" s="59" t="s">
        <v>3</v>
      </c>
      <c r="E3" s="59" t="s">
        <v>4</v>
      </c>
      <c r="F3" s="59" t="s">
        <v>5</v>
      </c>
      <c r="G3" s="59" t="s">
        <v>6</v>
      </c>
      <c r="I3" s="88" t="s">
        <v>33</v>
      </c>
      <c r="J3" s="89"/>
      <c r="L3" s="88" t="s">
        <v>48</v>
      </c>
      <c r="M3" s="89"/>
    </row>
    <row r="4" spans="1:13" ht="18.75" x14ac:dyDescent="0.3">
      <c r="A4" s="54" t="s">
        <v>7</v>
      </c>
      <c r="B4" s="2" t="s">
        <v>8</v>
      </c>
      <c r="C4" s="2" t="str">
        <f>PROPER(B4)</f>
        <v>Trần Vinh</v>
      </c>
      <c r="D4" s="3" t="str">
        <f t="shared" ref="D4:D18" si="0">VLOOKUP(LEFT(A4,2),$I$5:$J$10,2,0)</f>
        <v>Năng Khiếu</v>
      </c>
      <c r="E4" s="3" t="str">
        <f t="shared" ref="E4:E18" si="1">HLOOKUP(RIGHT(A4,2),$J$16:$L$17,2,0)</f>
        <v>Tin Học</v>
      </c>
      <c r="F4" s="2">
        <v>8.09</v>
      </c>
      <c r="G4" s="2" t="str">
        <f>VLOOKUP(F4,$L$5:$M$8,2,1)</f>
        <v>Giỏi</v>
      </c>
      <c r="I4" s="6" t="s">
        <v>34</v>
      </c>
      <c r="J4" s="7" t="s">
        <v>35</v>
      </c>
      <c r="L4" s="13" t="s">
        <v>49</v>
      </c>
      <c r="M4" s="14" t="s">
        <v>50</v>
      </c>
    </row>
    <row r="5" spans="1:13" ht="18.75" x14ac:dyDescent="0.3">
      <c r="A5" s="55" t="s">
        <v>9</v>
      </c>
      <c r="B5" s="2" t="s">
        <v>10</v>
      </c>
      <c r="C5" s="2" t="str">
        <f t="shared" ref="C5:C18" si="2">PROPER(B5)</f>
        <v>Lê Vinh</v>
      </c>
      <c r="D5" s="3" t="str">
        <f t="shared" si="0"/>
        <v>Năng Khiếu</v>
      </c>
      <c r="E5" s="3" t="str">
        <f t="shared" si="1"/>
        <v>Toán</v>
      </c>
      <c r="F5" s="4">
        <v>6.1</v>
      </c>
      <c r="G5" s="2" t="str">
        <f t="shared" ref="G5:G18" si="3">VLOOKUP(F5,$L$5:$M$8,2,1)</f>
        <v>Trung Bình</v>
      </c>
      <c r="I5" s="8" t="s">
        <v>36</v>
      </c>
      <c r="J5" s="9" t="s">
        <v>37</v>
      </c>
      <c r="L5" s="15">
        <v>5</v>
      </c>
      <c r="M5" s="9" t="s">
        <v>51</v>
      </c>
    </row>
    <row r="6" spans="1:13" ht="18.75" x14ac:dyDescent="0.3">
      <c r="A6" s="54" t="s">
        <v>11</v>
      </c>
      <c r="B6" s="2" t="s">
        <v>12</v>
      </c>
      <c r="C6" s="2" t="str">
        <f t="shared" si="2"/>
        <v>Phạm Quân</v>
      </c>
      <c r="D6" s="3" t="str">
        <f t="shared" si="0"/>
        <v>Sư Phạm</v>
      </c>
      <c r="E6" s="3" t="str">
        <f t="shared" si="1"/>
        <v>Sinh ngữ</v>
      </c>
      <c r="F6" s="2">
        <v>6.87</v>
      </c>
      <c r="G6" s="2" t="str">
        <f t="shared" si="3"/>
        <v>Khá</v>
      </c>
      <c r="I6" s="10" t="s">
        <v>38</v>
      </c>
      <c r="J6" s="9" t="s">
        <v>39</v>
      </c>
      <c r="L6" s="15">
        <v>6.5</v>
      </c>
      <c r="M6" s="9" t="s">
        <v>52</v>
      </c>
    </row>
    <row r="7" spans="1:13" ht="18.75" x14ac:dyDescent="0.3">
      <c r="A7" s="55" t="s">
        <v>13</v>
      </c>
      <c r="B7" s="4" t="s">
        <v>14</v>
      </c>
      <c r="C7" s="2" t="str">
        <f t="shared" si="2"/>
        <v>Trần Quân</v>
      </c>
      <c r="D7" s="3" t="str">
        <f t="shared" si="0"/>
        <v>Trần Đại Nghĩa</v>
      </c>
      <c r="E7" s="3" t="str">
        <f t="shared" si="1"/>
        <v>Sinh ngữ</v>
      </c>
      <c r="F7" s="4">
        <v>7.04</v>
      </c>
      <c r="G7" s="2" t="str">
        <f t="shared" si="3"/>
        <v>Khá</v>
      </c>
      <c r="I7" s="10" t="s">
        <v>40</v>
      </c>
      <c r="J7" s="9" t="s">
        <v>41</v>
      </c>
      <c r="L7" s="15">
        <v>8</v>
      </c>
      <c r="M7" s="9" t="s">
        <v>53</v>
      </c>
    </row>
    <row r="8" spans="1:13" ht="19.5" thickBot="1" x14ac:dyDescent="0.35">
      <c r="A8" s="54" t="s">
        <v>15</v>
      </c>
      <c r="B8" s="2" t="s">
        <v>16</v>
      </c>
      <c r="C8" s="2" t="str">
        <f t="shared" si="2"/>
        <v>Lê Hoàng</v>
      </c>
      <c r="D8" s="3" t="str">
        <f t="shared" si="0"/>
        <v>Gia Định</v>
      </c>
      <c r="E8" s="3" t="str">
        <f t="shared" si="1"/>
        <v>Tin Học</v>
      </c>
      <c r="F8" s="2">
        <v>7.52</v>
      </c>
      <c r="G8" s="2" t="str">
        <f t="shared" si="3"/>
        <v>Khá</v>
      </c>
      <c r="I8" s="10" t="s">
        <v>42</v>
      </c>
      <c r="J8" s="9" t="s">
        <v>43</v>
      </c>
      <c r="L8" s="16">
        <v>9.5</v>
      </c>
      <c r="M8" s="12" t="s">
        <v>54</v>
      </c>
    </row>
    <row r="9" spans="1:13" ht="18.75" x14ac:dyDescent="0.3">
      <c r="A9" s="55" t="s">
        <v>17</v>
      </c>
      <c r="B9" s="4" t="s">
        <v>14</v>
      </c>
      <c r="C9" s="2" t="str">
        <f t="shared" si="2"/>
        <v>Trần Quân</v>
      </c>
      <c r="D9" s="3" t="str">
        <f t="shared" si="0"/>
        <v>Lê Hồng Phong</v>
      </c>
      <c r="E9" s="3" t="str">
        <f t="shared" si="1"/>
        <v>Sinh ngữ</v>
      </c>
      <c r="F9" s="4">
        <v>7.11</v>
      </c>
      <c r="G9" s="2" t="str">
        <f t="shared" si="3"/>
        <v>Khá</v>
      </c>
      <c r="I9" s="10" t="s">
        <v>44</v>
      </c>
      <c r="J9" s="9" t="s">
        <v>45</v>
      </c>
    </row>
    <row r="10" spans="1:13" ht="19.5" thickBot="1" x14ac:dyDescent="0.35">
      <c r="A10" s="54" t="s">
        <v>18</v>
      </c>
      <c r="B10" s="2" t="s">
        <v>19</v>
      </c>
      <c r="C10" s="2" t="str">
        <f t="shared" si="2"/>
        <v>Lê Quân</v>
      </c>
      <c r="D10" s="3" t="str">
        <f t="shared" si="0"/>
        <v>Gia Định</v>
      </c>
      <c r="E10" s="3" t="str">
        <f t="shared" si="1"/>
        <v>Tin Học</v>
      </c>
      <c r="F10" s="2">
        <v>7.89</v>
      </c>
      <c r="G10" s="2" t="str">
        <f t="shared" si="3"/>
        <v>Khá</v>
      </c>
      <c r="I10" s="11" t="s">
        <v>46</v>
      </c>
      <c r="J10" s="12" t="s">
        <v>47</v>
      </c>
    </row>
    <row r="11" spans="1:13" ht="18.75" x14ac:dyDescent="0.3">
      <c r="A11" s="55" t="s">
        <v>20</v>
      </c>
      <c r="B11" s="4" t="s">
        <v>21</v>
      </c>
      <c r="C11" s="2" t="str">
        <f t="shared" si="2"/>
        <v>Lê Viên</v>
      </c>
      <c r="D11" s="3" t="str">
        <f t="shared" si="0"/>
        <v>Trần Đại Nghĩa</v>
      </c>
      <c r="E11" s="3" t="str">
        <f t="shared" si="1"/>
        <v>Toán</v>
      </c>
      <c r="F11" s="4">
        <v>6.1</v>
      </c>
      <c r="G11" s="2" t="str">
        <f t="shared" si="3"/>
        <v>Trung Bình</v>
      </c>
    </row>
    <row r="12" spans="1:13" ht="18.75" x14ac:dyDescent="0.3">
      <c r="A12" s="54" t="s">
        <v>22</v>
      </c>
      <c r="B12" s="2" t="s">
        <v>23</v>
      </c>
      <c r="C12" s="2" t="str">
        <f t="shared" si="2"/>
        <v>Lê Văn</v>
      </c>
      <c r="D12" s="3" t="str">
        <f t="shared" si="0"/>
        <v>Lê Hồng Phong</v>
      </c>
      <c r="E12" s="3" t="str">
        <f t="shared" si="1"/>
        <v>Tin Học</v>
      </c>
      <c r="F12" s="2">
        <v>6.87</v>
      </c>
      <c r="G12" s="2" t="str">
        <f t="shared" si="3"/>
        <v>Khá</v>
      </c>
    </row>
    <row r="13" spans="1:13" ht="18.75" x14ac:dyDescent="0.3">
      <c r="A13" s="55" t="s">
        <v>24</v>
      </c>
      <c r="B13" s="4" t="s">
        <v>25</v>
      </c>
      <c r="C13" s="2" t="str">
        <f t="shared" si="2"/>
        <v>Lê Thuý</v>
      </c>
      <c r="D13" s="3" t="str">
        <f t="shared" si="0"/>
        <v>Năng Khiếu</v>
      </c>
      <c r="E13" s="3" t="str">
        <f t="shared" si="1"/>
        <v>Toán</v>
      </c>
      <c r="F13" s="4">
        <v>8.1999999999999993</v>
      </c>
      <c r="G13" s="2" t="str">
        <f t="shared" si="3"/>
        <v>Giỏi</v>
      </c>
    </row>
    <row r="14" spans="1:13" ht="19.5" thickBot="1" x14ac:dyDescent="0.35">
      <c r="A14" s="54" t="s">
        <v>24</v>
      </c>
      <c r="B14" s="2" t="s">
        <v>12</v>
      </c>
      <c r="C14" s="2" t="str">
        <f t="shared" si="2"/>
        <v>Phạm Quân</v>
      </c>
      <c r="D14" s="3" t="str">
        <f t="shared" si="0"/>
        <v>Năng Khiếu</v>
      </c>
      <c r="E14" s="3" t="str">
        <f t="shared" si="1"/>
        <v>Toán</v>
      </c>
      <c r="F14" s="60">
        <v>9.86</v>
      </c>
      <c r="G14" s="2" t="str">
        <f t="shared" si="3"/>
        <v>Xuất sắc</v>
      </c>
    </row>
    <row r="15" spans="1:13" ht="18.75" x14ac:dyDescent="0.3">
      <c r="A15" s="55" t="s">
        <v>26</v>
      </c>
      <c r="B15" s="4" t="s">
        <v>27</v>
      </c>
      <c r="C15" s="2" t="str">
        <f t="shared" si="2"/>
        <v>Phạm Vinh</v>
      </c>
      <c r="D15" s="3" t="str">
        <f t="shared" si="0"/>
        <v>Năng Khiếu</v>
      </c>
      <c r="E15" s="3" t="str">
        <f t="shared" si="1"/>
        <v>Sinh ngữ</v>
      </c>
      <c r="F15" s="61">
        <v>9.66</v>
      </c>
      <c r="G15" s="2" t="str">
        <f t="shared" si="3"/>
        <v>Xuất sắc</v>
      </c>
      <c r="I15" s="90" t="s">
        <v>55</v>
      </c>
      <c r="J15" s="91"/>
      <c r="K15" s="91"/>
      <c r="L15" s="92"/>
    </row>
    <row r="16" spans="1:13" ht="18.75" x14ac:dyDescent="0.3">
      <c r="A16" s="54" t="s">
        <v>28</v>
      </c>
      <c r="B16" s="2" t="s">
        <v>29</v>
      </c>
      <c r="C16" s="2" t="str">
        <f t="shared" si="2"/>
        <v>Trần My</v>
      </c>
      <c r="D16" s="3" t="str">
        <f t="shared" si="0"/>
        <v>Gia Định</v>
      </c>
      <c r="E16" s="3" t="str">
        <f t="shared" si="1"/>
        <v>Sinh ngữ</v>
      </c>
      <c r="F16" s="62">
        <v>9.8699999999999992</v>
      </c>
      <c r="G16" s="2" t="str">
        <f t="shared" si="3"/>
        <v>Xuất sắc</v>
      </c>
      <c r="I16" s="17" t="s">
        <v>56</v>
      </c>
      <c r="J16" s="18" t="s">
        <v>57</v>
      </c>
      <c r="K16" s="18" t="s">
        <v>58</v>
      </c>
      <c r="L16" s="19" t="s">
        <v>44</v>
      </c>
    </row>
    <row r="17" spans="1:12" ht="19.5" thickBot="1" x14ac:dyDescent="0.35">
      <c r="A17" s="55" t="s">
        <v>30</v>
      </c>
      <c r="B17" s="4" t="s">
        <v>16</v>
      </c>
      <c r="C17" s="2" t="str">
        <f t="shared" si="2"/>
        <v>Lê Hoàng</v>
      </c>
      <c r="D17" s="3" t="str">
        <f t="shared" si="0"/>
        <v>Trần Đại Nghĩa</v>
      </c>
      <c r="E17" s="3" t="str">
        <f t="shared" si="1"/>
        <v>Toán</v>
      </c>
      <c r="F17" s="4">
        <v>5.68</v>
      </c>
      <c r="G17" s="2" t="str">
        <f t="shared" si="3"/>
        <v>Trung Bình</v>
      </c>
      <c r="I17" s="20" t="s">
        <v>59</v>
      </c>
      <c r="J17" s="21" t="s">
        <v>60</v>
      </c>
      <c r="K17" s="21" t="s">
        <v>61</v>
      </c>
      <c r="L17" s="12" t="s">
        <v>62</v>
      </c>
    </row>
    <row r="18" spans="1:12" ht="18.75" x14ac:dyDescent="0.3">
      <c r="A18" s="56" t="s">
        <v>31</v>
      </c>
      <c r="B18" s="5" t="s">
        <v>32</v>
      </c>
      <c r="C18" s="2" t="str">
        <f t="shared" si="2"/>
        <v>Lê Nguyễn</v>
      </c>
      <c r="D18" s="3" t="str">
        <f t="shared" si="0"/>
        <v>Nguyễn Thượng Hiền</v>
      </c>
      <c r="E18" s="3" t="str">
        <f t="shared" si="1"/>
        <v>Toán</v>
      </c>
      <c r="F18" s="5">
        <v>7.92</v>
      </c>
      <c r="G18" s="2" t="str">
        <f t="shared" si="3"/>
        <v>Khá</v>
      </c>
    </row>
  </sheetData>
  <mergeCells count="4">
    <mergeCell ref="A1:G1"/>
    <mergeCell ref="I3:J3"/>
    <mergeCell ref="L3:M3"/>
    <mergeCell ref="I15:L15"/>
  </mergeCells>
  <pageMargins left="0.7" right="0.7" top="0.75" bottom="0.75" header="0.3" footer="0.3"/>
  <pageSetup orientation="portrait" r:id="rId1"/>
  <headerFooter>
    <oddHeader>&amp;LBài tập 1_ Chương 5&amp;R4/11/2021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L4" sqref="L4"/>
    </sheetView>
  </sheetViews>
  <sheetFormatPr defaultRowHeight="15" x14ac:dyDescent="0.25"/>
  <cols>
    <col min="1" max="1" width="20.42578125" customWidth="1"/>
    <col min="2" max="2" width="13.28515625" customWidth="1"/>
    <col min="3" max="3" width="11.140625" bestFit="1" customWidth="1"/>
    <col min="4" max="4" width="15.85546875" customWidth="1"/>
    <col min="6" max="6" width="14" customWidth="1"/>
    <col min="7" max="7" width="16.42578125" customWidth="1"/>
    <col min="11" max="11" width="14" customWidth="1"/>
    <col min="12" max="12" width="21.28515625" customWidth="1"/>
    <col min="13" max="13" width="17" customWidth="1"/>
    <col min="14" max="14" width="21.5703125" customWidth="1"/>
    <col min="15" max="15" width="14.85546875" customWidth="1"/>
    <col min="16" max="16" width="11.140625" customWidth="1"/>
    <col min="17" max="17" width="14.140625" customWidth="1"/>
    <col min="18" max="18" width="11.7109375" customWidth="1"/>
    <col min="19" max="19" width="12.5703125" customWidth="1"/>
    <col min="23" max="23" width="17.85546875" customWidth="1"/>
    <col min="24" max="24" width="16.7109375" customWidth="1"/>
  </cols>
  <sheetData>
    <row r="1" spans="1:24" ht="21" thickBot="1" x14ac:dyDescent="0.35">
      <c r="A1" s="93" t="s">
        <v>63</v>
      </c>
      <c r="B1" s="93"/>
      <c r="C1" s="93"/>
      <c r="D1" s="93"/>
      <c r="E1" s="93"/>
      <c r="F1" s="93"/>
      <c r="G1" s="93"/>
      <c r="L1" s="64" t="s">
        <v>123</v>
      </c>
      <c r="M1" s="63">
        <v>21070</v>
      </c>
    </row>
    <row r="2" spans="1:24" ht="49.5" x14ac:dyDescent="0.25">
      <c r="A2" s="22" t="s">
        <v>64</v>
      </c>
      <c r="B2" s="22" t="s">
        <v>65</v>
      </c>
      <c r="C2" s="22" t="s">
        <v>66</v>
      </c>
      <c r="D2" s="22" t="s">
        <v>67</v>
      </c>
      <c r="E2" s="22" t="s">
        <v>68</v>
      </c>
      <c r="F2" s="22" t="s">
        <v>69</v>
      </c>
      <c r="G2" s="22" t="s">
        <v>70</v>
      </c>
      <c r="J2" s="22" t="s">
        <v>86</v>
      </c>
      <c r="K2" s="26" t="s">
        <v>87</v>
      </c>
      <c r="L2" s="26" t="s">
        <v>88</v>
      </c>
      <c r="M2" s="27" t="s">
        <v>89</v>
      </c>
      <c r="N2" s="26" t="s">
        <v>90</v>
      </c>
      <c r="O2" s="28" t="s">
        <v>91</v>
      </c>
    </row>
    <row r="3" spans="1:24" ht="17.25" thickBot="1" x14ac:dyDescent="0.3">
      <c r="A3" s="23" t="s">
        <v>71</v>
      </c>
      <c r="B3" s="24" t="str">
        <f>VLOOKUP(LEFT(A3,2),$K$14:$L$18,2,0)</f>
        <v>Laptop</v>
      </c>
      <c r="C3" s="24" t="str">
        <f>HLOOKUP(MID(A3,3,2),$R$7:$T$8,2,0)</f>
        <v>Sony</v>
      </c>
      <c r="D3" s="24" t="str">
        <f>VLOOKUP(VALUE(RIGHT(A3,2)),$J$3:$K$6,2,0)</f>
        <v>Thúy Hằng</v>
      </c>
      <c r="E3" s="24">
        <v>13</v>
      </c>
      <c r="F3" s="65">
        <f>VLOOKUP(LEFT(A3,2),$K$14:$M$18,3,0)*$M$1</f>
        <v>20332550</v>
      </c>
      <c r="G3" s="25">
        <f>F3*E3</f>
        <v>264323150</v>
      </c>
      <c r="J3" s="29">
        <v>11</v>
      </c>
      <c r="K3" s="30" t="s">
        <v>92</v>
      </c>
      <c r="L3" s="66">
        <f>SUMIFS($G$3:$G$20,$D$3:$D$20,K3)</f>
        <v>727231050</v>
      </c>
      <c r="M3" s="31">
        <f>INT(600000+L3*3%)</f>
        <v>22416931</v>
      </c>
      <c r="N3" s="67">
        <f>IF(M3&lt;4000000,"KHÔNG NỘP THUẾ",M3*10%)</f>
        <v>2241693.1</v>
      </c>
      <c r="O3" s="32">
        <f>M3-N3</f>
        <v>20175237.899999999</v>
      </c>
    </row>
    <row r="4" spans="1:24" ht="17.25" thickBot="1" x14ac:dyDescent="0.3">
      <c r="A4" s="23" t="s">
        <v>72</v>
      </c>
      <c r="B4" s="24" t="str">
        <f t="shared" ref="B4:B20" si="0">VLOOKUP(LEFT(A4,2),$K$14:$L$18,2,0)</f>
        <v>Laptop</v>
      </c>
      <c r="C4" s="24" t="str">
        <f t="shared" ref="C4:C20" si="1">HLOOKUP(MID(A4,3,2),$R$7:$T$8,2,0)</f>
        <v>Toshiba</v>
      </c>
      <c r="D4" s="24" t="str">
        <f t="shared" ref="D4:D20" si="2">VLOOKUP(VALUE(RIGHT(A4,2)),$J$3:$K$6,2,0)</f>
        <v>Thanh Long</v>
      </c>
      <c r="E4" s="24">
        <v>25</v>
      </c>
      <c r="F4" s="65">
        <f t="shared" ref="F4:F20" si="3">VLOOKUP(LEFT(A4,2),$K$14:$M$18,3,0)*$M$1</f>
        <v>20332550</v>
      </c>
      <c r="G4" s="25">
        <f t="shared" ref="G4:G20" si="4">F4*E4</f>
        <v>508313750</v>
      </c>
      <c r="J4" s="29">
        <v>22</v>
      </c>
      <c r="K4" s="30" t="s">
        <v>93</v>
      </c>
      <c r="L4" s="66">
        <f t="shared" ref="L4:L6" si="5">SUMIFS($G$3:$G$20,$D$3:$D$20,K4)</f>
        <v>1465608130</v>
      </c>
      <c r="M4" s="31">
        <f t="shared" ref="M4:M6" si="6">INT(600000+L4*3%)</f>
        <v>44568243</v>
      </c>
      <c r="N4" s="67">
        <f t="shared" ref="N4:N6" si="7">IF(M4&lt;4000000,"KHÔNG NỘP THUẾ",M4*10%)</f>
        <v>4456824.3</v>
      </c>
      <c r="O4" s="32">
        <f t="shared" ref="O4:O6" si="8">M4-N4</f>
        <v>40111418.700000003</v>
      </c>
      <c r="W4" s="44" t="s">
        <v>119</v>
      </c>
      <c r="X4" s="53" t="s">
        <v>120</v>
      </c>
    </row>
    <row r="5" spans="1:24" ht="17.25" thickBot="1" x14ac:dyDescent="0.3">
      <c r="A5" s="23" t="s">
        <v>73</v>
      </c>
      <c r="B5" s="24" t="str">
        <f t="shared" si="0"/>
        <v>Laptop</v>
      </c>
      <c r="C5" s="24" t="str">
        <f t="shared" si="1"/>
        <v>Sony</v>
      </c>
      <c r="D5" s="24" t="str">
        <f t="shared" si="2"/>
        <v>Lan Anh</v>
      </c>
      <c r="E5" s="24">
        <v>31</v>
      </c>
      <c r="F5" s="65">
        <f t="shared" si="3"/>
        <v>20332550</v>
      </c>
      <c r="G5" s="25">
        <f t="shared" si="4"/>
        <v>630309050</v>
      </c>
      <c r="J5" s="29">
        <v>33</v>
      </c>
      <c r="K5" s="30" t="s">
        <v>94</v>
      </c>
      <c r="L5" s="66">
        <f t="shared" si="5"/>
        <v>1070124230</v>
      </c>
      <c r="M5" s="31">
        <f t="shared" si="6"/>
        <v>32703726</v>
      </c>
      <c r="N5" s="67">
        <f t="shared" si="7"/>
        <v>3270372.6</v>
      </c>
      <c r="O5" s="32">
        <f t="shared" si="8"/>
        <v>29433353.399999999</v>
      </c>
      <c r="W5" s="35" t="s">
        <v>98</v>
      </c>
      <c r="X5" s="37" t="s">
        <v>121</v>
      </c>
    </row>
    <row r="6" spans="1:24" ht="17.25" thickBot="1" x14ac:dyDescent="0.3">
      <c r="A6" s="23" t="s">
        <v>74</v>
      </c>
      <c r="B6" s="24" t="str">
        <f t="shared" si="0"/>
        <v>Laptop</v>
      </c>
      <c r="C6" s="24" t="str">
        <f t="shared" si="1"/>
        <v>Sony</v>
      </c>
      <c r="D6" s="24" t="str">
        <f t="shared" si="2"/>
        <v>Hải Quân</v>
      </c>
      <c r="E6" s="24">
        <v>33</v>
      </c>
      <c r="F6" s="65">
        <f t="shared" si="3"/>
        <v>20332550</v>
      </c>
      <c r="G6" s="25">
        <f t="shared" si="4"/>
        <v>670974150</v>
      </c>
      <c r="J6" s="33">
        <v>44</v>
      </c>
      <c r="K6" s="34" t="s">
        <v>95</v>
      </c>
      <c r="L6" s="66">
        <f t="shared" si="5"/>
        <v>730096570</v>
      </c>
      <c r="M6" s="31">
        <f t="shared" si="6"/>
        <v>22502897</v>
      </c>
      <c r="N6" s="67">
        <f t="shared" si="7"/>
        <v>2250289.7000000002</v>
      </c>
      <c r="O6" s="32">
        <f t="shared" si="8"/>
        <v>20252607.300000001</v>
      </c>
      <c r="R6" s="97" t="s">
        <v>110</v>
      </c>
      <c r="S6" s="98"/>
      <c r="T6" s="99"/>
      <c r="W6" s="29" t="s">
        <v>101</v>
      </c>
      <c r="X6" s="38"/>
    </row>
    <row r="7" spans="1:24" ht="16.5" x14ac:dyDescent="0.25">
      <c r="A7" s="23" t="s">
        <v>73</v>
      </c>
      <c r="B7" s="24" t="str">
        <f t="shared" si="0"/>
        <v>Laptop</v>
      </c>
      <c r="C7" s="24" t="str">
        <f t="shared" si="1"/>
        <v>Sony</v>
      </c>
      <c r="D7" s="24" t="str">
        <f t="shared" si="2"/>
        <v>Lan Anh</v>
      </c>
      <c r="E7" s="24">
        <v>19</v>
      </c>
      <c r="F7" s="65">
        <f t="shared" si="3"/>
        <v>20332550</v>
      </c>
      <c r="G7" s="25">
        <f t="shared" si="4"/>
        <v>386318450</v>
      </c>
      <c r="R7" s="35" t="s">
        <v>111</v>
      </c>
      <c r="S7" s="36" t="s">
        <v>112</v>
      </c>
      <c r="T7" s="37" t="s">
        <v>113</v>
      </c>
      <c r="W7" s="29" t="s">
        <v>103</v>
      </c>
      <c r="X7" s="38"/>
    </row>
    <row r="8" spans="1:24" ht="17.25" thickBot="1" x14ac:dyDescent="0.3">
      <c r="A8" s="23" t="s">
        <v>75</v>
      </c>
      <c r="B8" s="24" t="str">
        <f t="shared" si="0"/>
        <v>Máy ảnh</v>
      </c>
      <c r="C8" s="24" t="str">
        <f t="shared" si="1"/>
        <v>Toshiba</v>
      </c>
      <c r="D8" s="24" t="str">
        <f t="shared" si="2"/>
        <v>Lan Anh</v>
      </c>
      <c r="E8" s="24">
        <v>14</v>
      </c>
      <c r="F8" s="65">
        <f t="shared" si="3"/>
        <v>6763470</v>
      </c>
      <c r="G8" s="25">
        <f t="shared" si="4"/>
        <v>94688580</v>
      </c>
      <c r="R8" s="41" t="s">
        <v>114</v>
      </c>
      <c r="S8" s="42" t="s">
        <v>115</v>
      </c>
      <c r="T8" s="43" t="s">
        <v>116</v>
      </c>
      <c r="W8" s="29" t="s">
        <v>105</v>
      </c>
      <c r="X8" s="38"/>
    </row>
    <row r="9" spans="1:24" ht="16.5" x14ac:dyDescent="0.25">
      <c r="A9" s="23" t="s">
        <v>76</v>
      </c>
      <c r="B9" s="24" t="str">
        <f t="shared" si="0"/>
        <v>Máy ảnh</v>
      </c>
      <c r="C9" s="24" t="str">
        <f t="shared" si="1"/>
        <v>Panasonic</v>
      </c>
      <c r="D9" s="24" t="str">
        <f t="shared" si="2"/>
        <v>Thanh Long</v>
      </c>
      <c r="E9" s="24">
        <v>31</v>
      </c>
      <c r="F9" s="65">
        <f t="shared" si="3"/>
        <v>6763470</v>
      </c>
      <c r="G9" s="25">
        <f t="shared" si="4"/>
        <v>209667570</v>
      </c>
      <c r="W9" s="29" t="s">
        <v>107</v>
      </c>
      <c r="X9" s="38"/>
    </row>
    <row r="10" spans="1:24" ht="17.25" thickBot="1" x14ac:dyDescent="0.3">
      <c r="A10" s="23" t="s">
        <v>77</v>
      </c>
      <c r="B10" s="24" t="str">
        <f t="shared" si="0"/>
        <v>Máy ảnh</v>
      </c>
      <c r="C10" s="24" t="str">
        <f t="shared" si="1"/>
        <v>Sony</v>
      </c>
      <c r="D10" s="24" t="str">
        <f t="shared" si="2"/>
        <v>Hải Quân</v>
      </c>
      <c r="E10" s="24">
        <v>24</v>
      </c>
      <c r="F10" s="65">
        <f t="shared" si="3"/>
        <v>6763470</v>
      </c>
      <c r="G10" s="25">
        <f t="shared" si="4"/>
        <v>162323280</v>
      </c>
      <c r="W10" s="33" t="s">
        <v>109</v>
      </c>
      <c r="X10" s="40"/>
    </row>
    <row r="11" spans="1:24" ht="17.25" thickBot="1" x14ac:dyDescent="0.3">
      <c r="A11" s="23" t="s">
        <v>78</v>
      </c>
      <c r="B11" s="24" t="str">
        <f t="shared" si="0"/>
        <v>Máy giặt</v>
      </c>
      <c r="C11" s="24" t="str">
        <f t="shared" si="1"/>
        <v>Toshiba</v>
      </c>
      <c r="D11" s="24" t="str">
        <f t="shared" si="2"/>
        <v>Thúy Hằng</v>
      </c>
      <c r="E11" s="24">
        <v>11</v>
      </c>
      <c r="F11" s="65">
        <f t="shared" si="3"/>
        <v>10745700</v>
      </c>
      <c r="G11" s="25">
        <f t="shared" si="4"/>
        <v>118202700</v>
      </c>
    </row>
    <row r="12" spans="1:24" ht="16.5" x14ac:dyDescent="0.25">
      <c r="A12" s="23" t="s">
        <v>79</v>
      </c>
      <c r="B12" s="24" t="str">
        <f t="shared" si="0"/>
        <v>Máy giặt</v>
      </c>
      <c r="C12" s="24" t="str">
        <f t="shared" si="1"/>
        <v>Panasonic</v>
      </c>
      <c r="D12" s="24" t="str">
        <f t="shared" si="2"/>
        <v>Lan Anh</v>
      </c>
      <c r="E12" s="24">
        <v>21</v>
      </c>
      <c r="F12" s="65">
        <f t="shared" si="3"/>
        <v>10745700</v>
      </c>
      <c r="G12" s="25">
        <f t="shared" si="4"/>
        <v>225659700</v>
      </c>
      <c r="K12" s="94" t="s">
        <v>96</v>
      </c>
      <c r="L12" s="95"/>
      <c r="M12" s="96"/>
    </row>
    <row r="13" spans="1:24" ht="17.25" thickBot="1" x14ac:dyDescent="0.3">
      <c r="A13" s="23" t="s">
        <v>78</v>
      </c>
      <c r="B13" s="24" t="str">
        <f t="shared" si="0"/>
        <v>Máy giặt</v>
      </c>
      <c r="C13" s="24" t="str">
        <f t="shared" si="1"/>
        <v>Toshiba</v>
      </c>
      <c r="D13" s="24" t="str">
        <f t="shared" si="2"/>
        <v>Thúy Hằng</v>
      </c>
      <c r="E13" s="24">
        <v>19</v>
      </c>
      <c r="F13" s="65">
        <f t="shared" si="3"/>
        <v>10745700</v>
      </c>
      <c r="G13" s="25">
        <f t="shared" si="4"/>
        <v>204168300</v>
      </c>
      <c r="K13" s="35" t="s">
        <v>97</v>
      </c>
      <c r="L13" s="36" t="s">
        <v>98</v>
      </c>
      <c r="M13" s="37" t="s">
        <v>99</v>
      </c>
    </row>
    <row r="14" spans="1:24" ht="17.25" thickBot="1" x14ac:dyDescent="0.3">
      <c r="A14" s="23" t="s">
        <v>80</v>
      </c>
      <c r="B14" s="24" t="str">
        <f t="shared" si="0"/>
        <v>Máy lạnh</v>
      </c>
      <c r="C14" s="24" t="str">
        <f t="shared" si="1"/>
        <v>Toshiba</v>
      </c>
      <c r="D14" s="24" t="str">
        <f t="shared" si="2"/>
        <v>Hải Quân</v>
      </c>
      <c r="E14" s="24">
        <v>39</v>
      </c>
      <c r="F14" s="65">
        <f t="shared" si="3"/>
        <v>3897950</v>
      </c>
      <c r="G14" s="25">
        <f t="shared" si="4"/>
        <v>152020050</v>
      </c>
      <c r="K14" s="29" t="s">
        <v>100</v>
      </c>
      <c r="L14" s="24" t="s">
        <v>101</v>
      </c>
      <c r="M14" s="38">
        <v>115</v>
      </c>
      <c r="P14" s="44" t="s">
        <v>117</v>
      </c>
      <c r="Q14" s="45"/>
      <c r="R14" s="46" t="s">
        <v>118</v>
      </c>
      <c r="S14" s="47"/>
    </row>
    <row r="15" spans="1:24" ht="16.5" x14ac:dyDescent="0.25">
      <c r="A15" s="23" t="s">
        <v>81</v>
      </c>
      <c r="B15" s="24" t="str">
        <f t="shared" si="0"/>
        <v>Máy lạnh</v>
      </c>
      <c r="C15" s="24" t="str">
        <f t="shared" si="1"/>
        <v>Panasonic</v>
      </c>
      <c r="D15" s="24" t="str">
        <f t="shared" si="2"/>
        <v>Lan Anh</v>
      </c>
      <c r="E15" s="24">
        <v>33</v>
      </c>
      <c r="F15" s="65">
        <f t="shared" si="3"/>
        <v>3897950</v>
      </c>
      <c r="G15" s="25">
        <f t="shared" si="4"/>
        <v>128632350</v>
      </c>
      <c r="K15" s="29" t="s">
        <v>102</v>
      </c>
      <c r="L15" s="24" t="s">
        <v>103</v>
      </c>
      <c r="M15" s="38">
        <v>321</v>
      </c>
      <c r="P15" s="48"/>
      <c r="Q15" s="49" t="s">
        <v>114</v>
      </c>
      <c r="R15" s="49" t="s">
        <v>115</v>
      </c>
      <c r="S15" s="50" t="s">
        <v>116</v>
      </c>
    </row>
    <row r="16" spans="1:24" ht="16.5" x14ac:dyDescent="0.25">
      <c r="A16" s="23" t="s">
        <v>82</v>
      </c>
      <c r="B16" s="24" t="str">
        <f t="shared" si="0"/>
        <v>Tivi</v>
      </c>
      <c r="C16" s="24" t="str">
        <f t="shared" si="1"/>
        <v>Sony</v>
      </c>
      <c r="D16" s="24" t="str">
        <f t="shared" si="2"/>
        <v>Thúy Hằng</v>
      </c>
      <c r="E16" s="24">
        <v>37</v>
      </c>
      <c r="F16" s="65">
        <f t="shared" si="3"/>
        <v>2423050</v>
      </c>
      <c r="G16" s="25">
        <f t="shared" si="4"/>
        <v>89652850</v>
      </c>
      <c r="K16" s="29" t="s">
        <v>104</v>
      </c>
      <c r="L16" s="24" t="s">
        <v>105</v>
      </c>
      <c r="M16" s="38">
        <v>185</v>
      </c>
      <c r="P16" s="51" t="s">
        <v>101</v>
      </c>
      <c r="Q16" s="24"/>
      <c r="R16" s="24"/>
      <c r="S16" s="24"/>
    </row>
    <row r="17" spans="1:19" ht="16.5" x14ac:dyDescent="0.25">
      <c r="A17" s="23" t="s">
        <v>82</v>
      </c>
      <c r="B17" s="24" t="str">
        <f t="shared" si="0"/>
        <v>Tivi</v>
      </c>
      <c r="C17" s="24" t="str">
        <f t="shared" si="1"/>
        <v>Sony</v>
      </c>
      <c r="D17" s="24" t="str">
        <f t="shared" si="2"/>
        <v>Thúy Hằng</v>
      </c>
      <c r="E17" s="24">
        <v>21</v>
      </c>
      <c r="F17" s="65">
        <f t="shared" si="3"/>
        <v>2423050</v>
      </c>
      <c r="G17" s="25">
        <f t="shared" si="4"/>
        <v>50884050</v>
      </c>
      <c r="K17" s="29" t="s">
        <v>106</v>
      </c>
      <c r="L17" s="24" t="s">
        <v>107</v>
      </c>
      <c r="M17" s="38">
        <v>965</v>
      </c>
      <c r="P17" s="51" t="s">
        <v>103</v>
      </c>
      <c r="Q17" s="24"/>
      <c r="R17" s="24"/>
      <c r="S17" s="24"/>
    </row>
    <row r="18" spans="1:19" ht="17.25" thickBot="1" x14ac:dyDescent="0.3">
      <c r="A18" s="23" t="s">
        <v>83</v>
      </c>
      <c r="B18" s="24" t="str">
        <f t="shared" si="0"/>
        <v>Tivi</v>
      </c>
      <c r="C18" s="24" t="str">
        <f t="shared" si="1"/>
        <v>Panasonic</v>
      </c>
      <c r="D18" s="24" t="str">
        <f t="shared" si="2"/>
        <v>Thanh Long</v>
      </c>
      <c r="E18" s="24">
        <v>5</v>
      </c>
      <c r="F18" s="65">
        <f t="shared" si="3"/>
        <v>2423050</v>
      </c>
      <c r="G18" s="25">
        <f t="shared" si="4"/>
        <v>12115250</v>
      </c>
      <c r="K18" s="33" t="s">
        <v>108</v>
      </c>
      <c r="L18" s="39" t="s">
        <v>109</v>
      </c>
      <c r="M18" s="40">
        <v>510</v>
      </c>
      <c r="P18" s="51" t="s">
        <v>105</v>
      </c>
      <c r="Q18" s="24"/>
      <c r="R18" s="24"/>
      <c r="S18" s="24"/>
    </row>
    <row r="19" spans="1:19" ht="16.5" x14ac:dyDescent="0.25">
      <c r="A19" s="23" t="s">
        <v>84</v>
      </c>
      <c r="B19" s="24" t="str">
        <f t="shared" si="0"/>
        <v>Tivi</v>
      </c>
      <c r="C19" s="24" t="str">
        <f t="shared" si="1"/>
        <v>Toshiba</v>
      </c>
      <c r="D19" s="24" t="str">
        <f t="shared" si="2"/>
        <v>Hải Quân</v>
      </c>
      <c r="E19" s="24">
        <v>14</v>
      </c>
      <c r="F19" s="65">
        <f t="shared" si="3"/>
        <v>2423050</v>
      </c>
      <c r="G19" s="25">
        <f t="shared" si="4"/>
        <v>33922700</v>
      </c>
      <c r="P19" s="51" t="s">
        <v>107</v>
      </c>
      <c r="Q19" s="24"/>
      <c r="R19" s="24"/>
      <c r="S19" s="24"/>
    </row>
    <row r="20" spans="1:19" ht="17.25" thickBot="1" x14ac:dyDescent="0.3">
      <c r="A20" s="23" t="s">
        <v>85</v>
      </c>
      <c r="B20" s="24" t="str">
        <f t="shared" si="0"/>
        <v>Tivi</v>
      </c>
      <c r="C20" s="24" t="str">
        <f t="shared" si="1"/>
        <v>Sony</v>
      </c>
      <c r="D20" s="24" t="str">
        <f t="shared" si="2"/>
        <v>Hải Quân</v>
      </c>
      <c r="E20" s="24">
        <v>21</v>
      </c>
      <c r="F20" s="65">
        <f t="shared" si="3"/>
        <v>2423050</v>
      </c>
      <c r="G20" s="25">
        <f t="shared" si="4"/>
        <v>50884050</v>
      </c>
      <c r="P20" s="52" t="s">
        <v>109</v>
      </c>
      <c r="Q20" s="24"/>
      <c r="R20" s="24"/>
      <c r="S20" s="24"/>
    </row>
    <row r="21" spans="1:19" ht="15.75" thickBot="1" x14ac:dyDescent="0.3"/>
    <row r="22" spans="1:19" ht="17.25" thickBot="1" x14ac:dyDescent="0.3">
      <c r="K22" s="44" t="s">
        <v>119</v>
      </c>
      <c r="L22" s="53" t="s">
        <v>120</v>
      </c>
    </row>
    <row r="23" spans="1:19" ht="16.5" x14ac:dyDescent="0.25">
      <c r="K23" s="35" t="s">
        <v>98</v>
      </c>
      <c r="L23" s="37" t="s">
        <v>121</v>
      </c>
    </row>
    <row r="24" spans="1:19" ht="16.5" x14ac:dyDescent="0.25">
      <c r="K24" s="29" t="s">
        <v>101</v>
      </c>
      <c r="L24" s="38">
        <f ca="1">SUMIF($B$3:$G$20,K24,$G$3:$G$20)</f>
        <v>237458900</v>
      </c>
    </row>
    <row r="25" spans="1:19" ht="16.5" x14ac:dyDescent="0.25">
      <c r="K25" s="29" t="s">
        <v>103</v>
      </c>
      <c r="L25" s="38">
        <f t="shared" ref="L25:L28" ca="1" si="9">SUMIF($B$3:$G$20,K25,$G$3:$G$20)</f>
        <v>466679430</v>
      </c>
    </row>
    <row r="26" spans="1:19" ht="16.5" x14ac:dyDescent="0.25">
      <c r="K26" s="29" t="s">
        <v>105</v>
      </c>
      <c r="L26" s="38">
        <f t="shared" ca="1" si="9"/>
        <v>280652400</v>
      </c>
    </row>
    <row r="27" spans="1:19" ht="16.5" x14ac:dyDescent="0.25">
      <c r="K27" s="29" t="s">
        <v>107</v>
      </c>
      <c r="L27" s="38">
        <f t="shared" ca="1" si="9"/>
        <v>2460238550</v>
      </c>
    </row>
    <row r="28" spans="1:19" ht="17.25" thickBot="1" x14ac:dyDescent="0.3">
      <c r="K28" s="33" t="s">
        <v>109</v>
      </c>
      <c r="L28" s="38">
        <f t="shared" ca="1" si="9"/>
        <v>548030700</v>
      </c>
    </row>
  </sheetData>
  <mergeCells count="3">
    <mergeCell ref="A1:G1"/>
    <mergeCell ref="K12:M12"/>
    <mergeCell ref="R6:T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I18" sqref="I18"/>
    </sheetView>
  </sheetViews>
  <sheetFormatPr defaultRowHeight="15" x14ac:dyDescent="0.25"/>
  <cols>
    <col min="2" max="2" width="28" customWidth="1"/>
    <col min="3" max="3" width="16" customWidth="1"/>
    <col min="4" max="4" width="16.28515625" customWidth="1"/>
    <col min="5" max="5" width="14.140625" customWidth="1"/>
    <col min="6" max="6" width="15.85546875" customWidth="1"/>
    <col min="7" max="7" width="14" customWidth="1"/>
    <col min="8" max="8" width="12.140625" customWidth="1"/>
    <col min="9" max="9" width="12.85546875" customWidth="1"/>
    <col min="10" max="10" width="20" customWidth="1"/>
  </cols>
  <sheetData>
    <row r="1" spans="1:10" ht="25.5" x14ac:dyDescent="0.35">
      <c r="A1" s="100" t="s">
        <v>124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58.5" x14ac:dyDescent="0.25">
      <c r="A2" s="68" t="s">
        <v>125</v>
      </c>
      <c r="B2" s="68" t="s">
        <v>126</v>
      </c>
      <c r="C2" s="68" t="s">
        <v>127</v>
      </c>
      <c r="D2" s="68" t="s">
        <v>128</v>
      </c>
      <c r="E2" s="68" t="s">
        <v>129</v>
      </c>
      <c r="F2" s="68" t="s">
        <v>130</v>
      </c>
      <c r="G2" s="68" t="s">
        <v>131</v>
      </c>
      <c r="H2" s="68" t="s">
        <v>132</v>
      </c>
      <c r="I2" s="68" t="s">
        <v>51</v>
      </c>
      <c r="J2" s="68" t="s">
        <v>133</v>
      </c>
    </row>
    <row r="3" spans="1:10" ht="19.5" x14ac:dyDescent="0.3">
      <c r="A3" s="69">
        <v>1</v>
      </c>
      <c r="B3" s="69" t="str">
        <f>PROPER("nguyễn văn tâm")</f>
        <v>Nguyễn Văn Tâm</v>
      </c>
      <c r="C3" s="70">
        <v>32781</v>
      </c>
      <c r="D3" s="72">
        <f ca="1">YEAR(NOW())-YEAR(C3)</f>
        <v>32</v>
      </c>
      <c r="E3" s="77">
        <v>4</v>
      </c>
      <c r="F3" s="69">
        <v>5</v>
      </c>
      <c r="G3" s="77">
        <v>3</v>
      </c>
      <c r="H3" s="69">
        <f>SUM(E3:G3)</f>
        <v>12</v>
      </c>
      <c r="I3" s="77">
        <f>(E3*2+F3*2+G3)/5</f>
        <v>4.2</v>
      </c>
      <c r="J3" s="69" t="str">
        <f>IF(I3&gt;5,"ĐẬU","RỚT")</f>
        <v>RỚT</v>
      </c>
    </row>
    <row r="4" spans="1:10" ht="19.5" x14ac:dyDescent="0.3">
      <c r="A4" s="69">
        <v>2</v>
      </c>
      <c r="B4" s="69" t="str">
        <f>PROPER("nguyễn thị hằng")</f>
        <v>Nguyễn Thị Hằng</v>
      </c>
      <c r="C4" s="70">
        <v>32803</v>
      </c>
      <c r="D4" s="72">
        <f t="shared" ref="D4:D17" ca="1" si="0">YEAR(NOW())-YEAR(C4)</f>
        <v>32</v>
      </c>
      <c r="E4" s="69">
        <v>5</v>
      </c>
      <c r="F4" s="77">
        <v>2</v>
      </c>
      <c r="G4" s="69">
        <v>8</v>
      </c>
      <c r="H4" s="69">
        <f t="shared" ref="H4:H17" si="1">SUM(E4:G4)</f>
        <v>15</v>
      </c>
      <c r="I4" s="77">
        <f t="shared" ref="I4:I17" si="2">(E4*2+F4*2+G4)/5</f>
        <v>4.4000000000000004</v>
      </c>
      <c r="J4" s="69" t="str">
        <f t="shared" ref="J4:J17" si="3">IF(I4&gt;5,"ĐẬU","RỚT")</f>
        <v>RỚT</v>
      </c>
    </row>
    <row r="5" spans="1:10" ht="19.5" x14ac:dyDescent="0.3">
      <c r="A5" s="69">
        <v>3</v>
      </c>
      <c r="B5" s="69" t="str">
        <f>PROPER("ngô thị nga")</f>
        <v>Ngô Thị Nga</v>
      </c>
      <c r="C5" s="70">
        <v>33856</v>
      </c>
      <c r="D5" s="72">
        <f t="shared" ca="1" si="0"/>
        <v>29</v>
      </c>
      <c r="E5" s="69">
        <v>6</v>
      </c>
      <c r="F5" s="69">
        <v>6</v>
      </c>
      <c r="G5" s="69">
        <v>6</v>
      </c>
      <c r="H5" s="69">
        <f t="shared" si="1"/>
        <v>18</v>
      </c>
      <c r="I5" s="69">
        <f t="shared" si="2"/>
        <v>6</v>
      </c>
      <c r="J5" s="69" t="str">
        <f t="shared" si="3"/>
        <v>ĐẬU</v>
      </c>
    </row>
    <row r="6" spans="1:10" ht="19.5" x14ac:dyDescent="0.3">
      <c r="A6" s="69">
        <v>4</v>
      </c>
      <c r="B6" s="69" t="str">
        <f>PROPER("trần thiên thu")</f>
        <v>Trần Thiên Thu</v>
      </c>
      <c r="C6" s="70">
        <v>35061</v>
      </c>
      <c r="D6" s="72">
        <f t="shared" ca="1" si="0"/>
        <v>26</v>
      </c>
      <c r="E6" s="69">
        <v>2</v>
      </c>
      <c r="F6" s="69">
        <v>5</v>
      </c>
      <c r="G6" s="69">
        <v>5</v>
      </c>
      <c r="H6" s="69">
        <f t="shared" si="1"/>
        <v>12</v>
      </c>
      <c r="I6" s="77">
        <f t="shared" si="2"/>
        <v>3.8</v>
      </c>
      <c r="J6" s="69" t="str">
        <f t="shared" si="3"/>
        <v>RỚT</v>
      </c>
    </row>
    <row r="7" spans="1:10" ht="19.5" x14ac:dyDescent="0.3">
      <c r="A7" s="69">
        <v>5</v>
      </c>
      <c r="B7" s="69" t="str">
        <f>PROPER("lâm hoàng cát")</f>
        <v>Lâm Hoàng Cát</v>
      </c>
      <c r="C7" s="70">
        <v>32383</v>
      </c>
      <c r="D7" s="72">
        <f t="shared" ca="1" si="0"/>
        <v>33</v>
      </c>
      <c r="E7" s="69">
        <v>7</v>
      </c>
      <c r="F7" s="69">
        <v>5</v>
      </c>
      <c r="G7" s="69">
        <v>7</v>
      </c>
      <c r="H7" s="69">
        <f t="shared" si="1"/>
        <v>19</v>
      </c>
      <c r="I7" s="69">
        <f t="shared" si="2"/>
        <v>6.2</v>
      </c>
      <c r="J7" s="69" t="str">
        <f t="shared" si="3"/>
        <v>ĐẬU</v>
      </c>
    </row>
    <row r="8" spans="1:10" ht="19.5" x14ac:dyDescent="0.3">
      <c r="A8" s="69">
        <v>6</v>
      </c>
      <c r="B8" s="69" t="str">
        <f>PROPER("lê hoài sơn")</f>
        <v>Lê Hoài Sơn</v>
      </c>
      <c r="C8" s="70">
        <v>33176</v>
      </c>
      <c r="D8" s="72">
        <f t="shared" ca="1" si="0"/>
        <v>31</v>
      </c>
      <c r="E8" s="69">
        <v>8</v>
      </c>
      <c r="F8" s="69">
        <v>5</v>
      </c>
      <c r="G8" s="69">
        <v>7</v>
      </c>
      <c r="H8" s="69">
        <f t="shared" si="1"/>
        <v>20</v>
      </c>
      <c r="I8" s="69">
        <f t="shared" si="2"/>
        <v>6.6</v>
      </c>
      <c r="J8" s="69" t="str">
        <f t="shared" si="3"/>
        <v>ĐẬU</v>
      </c>
    </row>
    <row r="9" spans="1:10" ht="19.5" x14ac:dyDescent="0.3">
      <c r="A9" s="69">
        <v>7</v>
      </c>
      <c r="B9" s="69" t="str">
        <f>PROPER("lý lâm")</f>
        <v>Lý Lâm</v>
      </c>
      <c r="C9" s="70">
        <v>36102</v>
      </c>
      <c r="D9" s="72">
        <f t="shared" ca="1" si="0"/>
        <v>23</v>
      </c>
      <c r="E9" s="69">
        <v>9</v>
      </c>
      <c r="F9" s="69">
        <v>5</v>
      </c>
      <c r="G9" s="69">
        <v>8</v>
      </c>
      <c r="H9" s="69">
        <f t="shared" si="1"/>
        <v>22</v>
      </c>
      <c r="I9" s="69">
        <f t="shared" si="2"/>
        <v>7.2</v>
      </c>
      <c r="J9" s="69" t="str">
        <f t="shared" si="3"/>
        <v>ĐẬU</v>
      </c>
    </row>
    <row r="10" spans="1:10" ht="19.5" x14ac:dyDescent="0.3">
      <c r="A10" s="69">
        <v>8</v>
      </c>
      <c r="B10" s="69" t="str">
        <f>PROPER("trần văn trung")</f>
        <v>Trần Văn Trung</v>
      </c>
      <c r="C10" s="70">
        <v>33140</v>
      </c>
      <c r="D10" s="72">
        <f t="shared" ca="1" si="0"/>
        <v>31</v>
      </c>
      <c r="E10" s="77">
        <v>4</v>
      </c>
      <c r="F10" s="69">
        <v>5</v>
      </c>
      <c r="G10" s="69">
        <v>6</v>
      </c>
      <c r="H10" s="69">
        <f t="shared" si="1"/>
        <v>15</v>
      </c>
      <c r="I10" s="77">
        <f t="shared" si="2"/>
        <v>4.8</v>
      </c>
      <c r="J10" s="69" t="str">
        <f t="shared" si="3"/>
        <v>RỚT</v>
      </c>
    </row>
    <row r="11" spans="1:10" ht="19.5" x14ac:dyDescent="0.3">
      <c r="A11" s="69">
        <v>9</v>
      </c>
      <c r="B11" s="69" t="str">
        <f>PROPER("nguyễn văn tráng")</f>
        <v>Nguyễn Văn Tráng</v>
      </c>
      <c r="C11" s="70">
        <v>35045</v>
      </c>
      <c r="D11" s="72">
        <f t="shared" ca="1" si="0"/>
        <v>26</v>
      </c>
      <c r="E11" s="69">
        <v>6</v>
      </c>
      <c r="F11" s="69">
        <v>5</v>
      </c>
      <c r="G11" s="69">
        <v>5</v>
      </c>
      <c r="H11" s="69">
        <f t="shared" si="1"/>
        <v>16</v>
      </c>
      <c r="I11" s="69">
        <f t="shared" si="2"/>
        <v>5.4</v>
      </c>
      <c r="J11" s="69" t="str">
        <f t="shared" si="3"/>
        <v>ĐẬU</v>
      </c>
    </row>
    <row r="12" spans="1:10" ht="19.5" x14ac:dyDescent="0.3">
      <c r="A12" s="69">
        <v>10</v>
      </c>
      <c r="B12" s="69" t="str">
        <f>PROPER("lý thu nga")</f>
        <v>Lý Thu Nga</v>
      </c>
      <c r="C12" s="70">
        <v>32446</v>
      </c>
      <c r="D12" s="72">
        <f t="shared" ca="1" si="0"/>
        <v>33</v>
      </c>
      <c r="E12" s="69">
        <v>8</v>
      </c>
      <c r="F12" s="69">
        <v>4</v>
      </c>
      <c r="G12" s="69">
        <v>6</v>
      </c>
      <c r="H12" s="69">
        <f t="shared" si="1"/>
        <v>18</v>
      </c>
      <c r="I12" s="69">
        <f t="shared" si="2"/>
        <v>6</v>
      </c>
      <c r="J12" s="69" t="str">
        <f t="shared" si="3"/>
        <v>ĐẬU</v>
      </c>
    </row>
    <row r="13" spans="1:10" ht="19.5" x14ac:dyDescent="0.3">
      <c r="A13" s="69">
        <v>11</v>
      </c>
      <c r="B13" s="69" t="str">
        <f>PROPER("nguyễn văn hùng")</f>
        <v>Nguyễn Văn Hùng</v>
      </c>
      <c r="C13" s="70">
        <v>33137</v>
      </c>
      <c r="D13" s="72">
        <f t="shared" ca="1" si="0"/>
        <v>31</v>
      </c>
      <c r="E13" s="69">
        <v>4</v>
      </c>
      <c r="F13" s="69">
        <v>4</v>
      </c>
      <c r="G13" s="69">
        <v>6</v>
      </c>
      <c r="H13" s="69">
        <f t="shared" si="1"/>
        <v>14</v>
      </c>
      <c r="I13" s="77">
        <f t="shared" si="2"/>
        <v>4.4000000000000004</v>
      </c>
      <c r="J13" s="69" t="str">
        <f t="shared" si="3"/>
        <v>RỚT</v>
      </c>
    </row>
    <row r="14" spans="1:10" ht="19.5" x14ac:dyDescent="0.3">
      <c r="A14" s="69">
        <v>12</v>
      </c>
      <c r="B14" s="69" t="str">
        <f>PROPER("trần thi phượng")</f>
        <v>Trần Thi Phượng</v>
      </c>
      <c r="C14" s="70">
        <v>33480</v>
      </c>
      <c r="D14" s="72">
        <f t="shared" ca="1" si="0"/>
        <v>30</v>
      </c>
      <c r="E14" s="69">
        <v>7</v>
      </c>
      <c r="F14" s="69">
        <v>7</v>
      </c>
      <c r="G14" s="77">
        <v>6</v>
      </c>
      <c r="H14" s="69">
        <f t="shared" si="1"/>
        <v>20</v>
      </c>
      <c r="I14" s="69">
        <f t="shared" si="2"/>
        <v>6.8</v>
      </c>
      <c r="J14" s="69" t="str">
        <f t="shared" si="3"/>
        <v>ĐẬU</v>
      </c>
    </row>
    <row r="15" spans="1:10" ht="19.5" x14ac:dyDescent="0.3">
      <c r="A15" s="69">
        <v>13</v>
      </c>
      <c r="B15" s="69" t="str">
        <f>PROPER("võ công thành")</f>
        <v>Võ Công Thành</v>
      </c>
      <c r="C15" s="70">
        <v>34974</v>
      </c>
      <c r="D15" s="72">
        <f t="shared" ca="1" si="0"/>
        <v>26</v>
      </c>
      <c r="E15" s="69">
        <v>8</v>
      </c>
      <c r="F15" s="69">
        <v>8</v>
      </c>
      <c r="G15" s="69">
        <v>5</v>
      </c>
      <c r="H15" s="69">
        <f t="shared" si="1"/>
        <v>21</v>
      </c>
      <c r="I15" s="69">
        <f t="shared" si="2"/>
        <v>7.4</v>
      </c>
      <c r="J15" s="69" t="str">
        <f t="shared" si="3"/>
        <v>ĐẬU</v>
      </c>
    </row>
    <row r="16" spans="1:10" ht="19.5" x14ac:dyDescent="0.3">
      <c r="A16" s="69">
        <v>14</v>
      </c>
      <c r="B16" s="69" t="str">
        <f>PROPER("lê văn minh")</f>
        <v>Lê Văn Minh</v>
      </c>
      <c r="C16" s="70">
        <v>33126</v>
      </c>
      <c r="D16" s="72">
        <f t="shared" ca="1" si="0"/>
        <v>31</v>
      </c>
      <c r="E16" s="77">
        <v>3</v>
      </c>
      <c r="F16" s="69">
        <v>9</v>
      </c>
      <c r="G16" s="69">
        <v>8</v>
      </c>
      <c r="H16" s="69">
        <f t="shared" si="1"/>
        <v>20</v>
      </c>
      <c r="I16" s="69">
        <f t="shared" si="2"/>
        <v>6.4</v>
      </c>
      <c r="J16" s="69" t="str">
        <f t="shared" si="3"/>
        <v>ĐẬU</v>
      </c>
    </row>
    <row r="17" spans="1:12" ht="19.5" x14ac:dyDescent="0.3">
      <c r="A17" s="69">
        <v>15</v>
      </c>
      <c r="B17" s="69" t="str">
        <f>PROPER("doãn hòa")</f>
        <v>Doãn Hòa</v>
      </c>
      <c r="C17" s="70">
        <v>32983</v>
      </c>
      <c r="D17" s="72">
        <f t="shared" ca="1" si="0"/>
        <v>31</v>
      </c>
      <c r="E17" s="69">
        <v>5</v>
      </c>
      <c r="F17" s="69">
        <v>8</v>
      </c>
      <c r="G17" s="69">
        <v>9</v>
      </c>
      <c r="H17" s="69">
        <f t="shared" si="1"/>
        <v>22</v>
      </c>
      <c r="I17" s="69">
        <f t="shared" si="2"/>
        <v>7</v>
      </c>
      <c r="J17" s="69" t="str">
        <f t="shared" si="3"/>
        <v>ĐẬU</v>
      </c>
    </row>
    <row r="18" spans="1:12" ht="19.5" x14ac:dyDescent="0.3">
      <c r="A18" s="101" t="s">
        <v>134</v>
      </c>
      <c r="B18" s="101"/>
      <c r="C18" s="71"/>
      <c r="D18" s="71"/>
      <c r="E18" s="69">
        <f>SUM(E3:E17)</f>
        <v>86</v>
      </c>
      <c r="F18" s="69">
        <f t="shared" ref="F18:G18" si="4">SUM(F3:F17)</f>
        <v>83</v>
      </c>
      <c r="G18" s="69">
        <f t="shared" si="4"/>
        <v>95</v>
      </c>
      <c r="H18" s="69"/>
      <c r="I18" s="69"/>
      <c r="J18" s="69"/>
    </row>
    <row r="19" spans="1:12" ht="19.5" x14ac:dyDescent="0.3">
      <c r="A19" s="101" t="s">
        <v>135</v>
      </c>
      <c r="B19" s="101"/>
      <c r="C19" s="71"/>
      <c r="D19" s="71"/>
      <c r="E19" s="76">
        <f>AVERAGE(E3:E17)</f>
        <v>5.7333333333333334</v>
      </c>
      <c r="F19" s="76">
        <f t="shared" ref="F19:G19" si="5">AVERAGE(F3:F17)</f>
        <v>5.5333333333333332</v>
      </c>
      <c r="G19" s="76">
        <f t="shared" si="5"/>
        <v>6.333333333333333</v>
      </c>
      <c r="H19" s="69"/>
      <c r="I19" s="69"/>
      <c r="J19" s="69"/>
    </row>
    <row r="20" spans="1:12" ht="19.5" x14ac:dyDescent="0.3">
      <c r="A20" s="101" t="s">
        <v>136</v>
      </c>
      <c r="B20" s="101"/>
      <c r="C20" s="71"/>
      <c r="D20" s="71"/>
      <c r="E20" s="69">
        <f>MAX(E3:E17)</f>
        <v>9</v>
      </c>
      <c r="F20" s="69">
        <f t="shared" ref="F20:G20" si="6">MAX(F3:F17)</f>
        <v>9</v>
      </c>
      <c r="G20" s="69">
        <f t="shared" si="6"/>
        <v>9</v>
      </c>
      <c r="H20" s="69"/>
      <c r="I20" s="69"/>
      <c r="J20" s="69"/>
    </row>
    <row r="21" spans="1:12" ht="19.5" x14ac:dyDescent="0.3">
      <c r="A21" s="101" t="s">
        <v>137</v>
      </c>
      <c r="B21" s="101"/>
      <c r="C21" s="71"/>
      <c r="D21" s="71"/>
      <c r="E21" s="77">
        <f>MIN(E3:E17)</f>
        <v>2</v>
      </c>
      <c r="F21" s="77">
        <f t="shared" ref="F21:G21" si="7">MIN(F3:F17)</f>
        <v>2</v>
      </c>
      <c r="G21" s="77">
        <f t="shared" si="7"/>
        <v>3</v>
      </c>
      <c r="H21" s="69"/>
      <c r="I21" s="69"/>
      <c r="J21" s="69"/>
    </row>
    <row r="24" spans="1:12" ht="21" x14ac:dyDescent="0.35">
      <c r="B24" s="73" t="s">
        <v>138</v>
      </c>
    </row>
    <row r="25" spans="1:12" ht="20.25" x14ac:dyDescent="0.3">
      <c r="B25" s="74" t="s">
        <v>139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</row>
    <row r="26" spans="1:12" ht="20.25" x14ac:dyDescent="0.3">
      <c r="B26" s="74" t="s">
        <v>140</v>
      </c>
      <c r="C26" s="74"/>
      <c r="D26" s="75"/>
      <c r="E26" s="74"/>
      <c r="F26" s="74"/>
      <c r="G26" s="74"/>
      <c r="H26" s="74"/>
      <c r="I26" s="74"/>
      <c r="J26" s="74"/>
      <c r="K26" s="74"/>
      <c r="L26" s="74"/>
    </row>
    <row r="27" spans="1:12" ht="20.25" x14ac:dyDescent="0.3">
      <c r="B27" s="74" t="s">
        <v>141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</row>
    <row r="28" spans="1:12" ht="20.25" x14ac:dyDescent="0.3">
      <c r="B28" s="74" t="s">
        <v>142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</row>
    <row r="29" spans="1:12" ht="20.25" x14ac:dyDescent="0.3">
      <c r="B29" s="74" t="s">
        <v>143</v>
      </c>
      <c r="C29" s="74"/>
      <c r="D29" s="74"/>
      <c r="E29" s="74"/>
      <c r="F29" s="74"/>
      <c r="G29" s="74"/>
      <c r="H29" s="74"/>
      <c r="I29" s="74"/>
      <c r="J29" s="74"/>
      <c r="K29" s="74"/>
      <c r="L29" s="74"/>
    </row>
    <row r="30" spans="1:12" ht="20.25" x14ac:dyDescent="0.3">
      <c r="B30" s="74" t="s">
        <v>144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</row>
    <row r="31" spans="1:12" ht="20.25" x14ac:dyDescent="0.3">
      <c r="B31" s="74" t="s">
        <v>145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</row>
    <row r="32" spans="1:12" ht="20.25" x14ac:dyDescent="0.3">
      <c r="B32" s="74" t="s">
        <v>146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</row>
    <row r="33" spans="2:2" ht="20.25" x14ac:dyDescent="0.3">
      <c r="B33" s="74" t="s">
        <v>147</v>
      </c>
    </row>
  </sheetData>
  <mergeCells count="5">
    <mergeCell ref="A1:J1"/>
    <mergeCell ref="A18:B18"/>
    <mergeCell ref="A19:B19"/>
    <mergeCell ref="A20:B20"/>
    <mergeCell ref="A21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3" sqref="E23"/>
    </sheetView>
  </sheetViews>
  <sheetFormatPr defaultRowHeight="15" x14ac:dyDescent="0.25"/>
  <cols>
    <col min="1" max="1" width="14.140625" customWidth="1"/>
    <col min="2" max="2" width="13.85546875" customWidth="1"/>
    <col min="3" max="3" width="14.42578125" customWidth="1"/>
    <col min="4" max="4" width="15" customWidth="1"/>
    <col min="5" max="5" width="13.42578125" customWidth="1"/>
    <col min="6" max="6" width="11.85546875" customWidth="1"/>
    <col min="7" max="7" width="14.28515625" customWidth="1"/>
    <col min="8" max="8" width="13.42578125" customWidth="1"/>
    <col min="9" max="9" width="27.42578125" customWidth="1"/>
  </cols>
  <sheetData>
    <row r="1" spans="1:9" ht="24" thickBot="1" x14ac:dyDescent="0.4">
      <c r="A1" s="102" t="s">
        <v>148</v>
      </c>
      <c r="B1" s="102"/>
      <c r="C1" s="102"/>
      <c r="D1" s="102"/>
      <c r="E1" s="102"/>
      <c r="F1" s="102"/>
      <c r="G1" s="102"/>
      <c r="H1" s="102"/>
      <c r="I1" s="102"/>
    </row>
    <row r="2" spans="1:9" ht="18.75" thickTop="1" thickBot="1" x14ac:dyDescent="0.35">
      <c r="A2" s="78" t="s">
        <v>149</v>
      </c>
      <c r="B2" s="78" t="s">
        <v>150</v>
      </c>
      <c r="C2" s="78" t="s">
        <v>151</v>
      </c>
      <c r="D2" s="78" t="s">
        <v>152</v>
      </c>
      <c r="E2" s="78" t="s">
        <v>153</v>
      </c>
      <c r="F2" s="78" t="s">
        <v>154</v>
      </c>
      <c r="G2" s="78" t="s">
        <v>155</v>
      </c>
      <c r="H2" s="78" t="s">
        <v>156</v>
      </c>
      <c r="I2" s="78" t="s">
        <v>157</v>
      </c>
    </row>
    <row r="3" spans="1:9" ht="19.5" thickTop="1" x14ac:dyDescent="0.3">
      <c r="A3" s="79">
        <v>1</v>
      </c>
      <c r="B3" s="79" t="s">
        <v>158</v>
      </c>
      <c r="C3" s="79">
        <v>8</v>
      </c>
      <c r="D3" s="79">
        <v>15</v>
      </c>
      <c r="E3" s="79">
        <v>9</v>
      </c>
      <c r="F3" s="86">
        <f>AVERAGE(C3:E3)</f>
        <v>10.666666666666666</v>
      </c>
      <c r="G3" s="79" t="str">
        <f>IF(F3&lt;10,"FAIL",IF(AND(F3&gt;=10,F3&lt;12),"PASS",IF(AND(F3&gt;=12,F3&lt;14),"GOOD",IF(AND(F3&gt;=14,F3&lt;16),"VERYGOOD","EXCELLENT"))))</f>
        <v>PASS</v>
      </c>
      <c r="H3" s="79">
        <f>RANK(F3,$F$3:$F$13,0)</f>
        <v>8</v>
      </c>
      <c r="I3" s="79" t="str">
        <f>IF(AND(C3&gt;10,D3&gt;10,E3&gt;10,F3&gt;12),"THƯỞNG 1 KHÓA HỌC","KO CÓ THƯỞNG")</f>
        <v>KO CÓ THƯỞNG</v>
      </c>
    </row>
    <row r="4" spans="1:9" ht="18.75" x14ac:dyDescent="0.3">
      <c r="A4" s="79">
        <v>2</v>
      </c>
      <c r="B4" s="79" t="s">
        <v>159</v>
      </c>
      <c r="C4" s="79">
        <v>4</v>
      </c>
      <c r="D4" s="79">
        <v>15</v>
      </c>
      <c r="E4" s="79">
        <v>16</v>
      </c>
      <c r="F4" s="86">
        <f t="shared" ref="F4:F13" si="0">AVERAGE(C4:E4)</f>
        <v>11.666666666666666</v>
      </c>
      <c r="G4" s="79" t="str">
        <f t="shared" ref="G4:G13" si="1">IF(F4&lt;10,"FAIL",IF(AND(F4&gt;=10,F4&lt;12),"PASS",IF(AND(F4&gt;=12,F4&lt;14),"GOOD",IF(AND(F4&gt;=14,F4&lt;16),"VERYGOOD","EXCELLENT"))))</f>
        <v>PASS</v>
      </c>
      <c r="H4" s="79">
        <f t="shared" ref="H4:H13" si="2">RANK(F4,$F$3:$F$13,0)</f>
        <v>5</v>
      </c>
      <c r="I4" s="79" t="str">
        <f t="shared" ref="I4:I13" si="3">IF(AND(C4&gt;10,D4&gt;10,E4&gt;10,F4&gt;12),"THƯỞNG 1 KHÓA HỌC","KO CÓ THƯỞNG")</f>
        <v>KO CÓ THƯỞNG</v>
      </c>
    </row>
    <row r="5" spans="1:9" ht="18.75" x14ac:dyDescent="0.3">
      <c r="A5" s="79">
        <v>3</v>
      </c>
      <c r="B5" s="79" t="s">
        <v>160</v>
      </c>
      <c r="C5" s="79">
        <v>11</v>
      </c>
      <c r="D5" s="79">
        <v>6</v>
      </c>
      <c r="E5" s="79">
        <v>8</v>
      </c>
      <c r="F5" s="86">
        <f t="shared" si="0"/>
        <v>8.3333333333333339</v>
      </c>
      <c r="G5" s="79" t="str">
        <f t="shared" si="1"/>
        <v>FAIL</v>
      </c>
      <c r="H5" s="79">
        <f t="shared" si="2"/>
        <v>10</v>
      </c>
      <c r="I5" s="79" t="str">
        <f t="shared" si="3"/>
        <v>KO CÓ THƯỞNG</v>
      </c>
    </row>
    <row r="6" spans="1:9" ht="18.75" x14ac:dyDescent="0.3">
      <c r="A6" s="79">
        <v>4</v>
      </c>
      <c r="B6" s="79" t="s">
        <v>161</v>
      </c>
      <c r="C6" s="79">
        <v>17</v>
      </c>
      <c r="D6" s="79">
        <v>16</v>
      </c>
      <c r="E6" s="79">
        <v>3</v>
      </c>
      <c r="F6" s="86">
        <f t="shared" si="0"/>
        <v>12</v>
      </c>
      <c r="G6" s="79" t="str">
        <f t="shared" si="1"/>
        <v>GOOD</v>
      </c>
      <c r="H6" s="79">
        <f t="shared" si="2"/>
        <v>4</v>
      </c>
      <c r="I6" s="79" t="str">
        <f t="shared" si="3"/>
        <v>KO CÓ THƯỞNG</v>
      </c>
    </row>
    <row r="7" spans="1:9" ht="18.75" x14ac:dyDescent="0.3">
      <c r="A7" s="79">
        <v>5</v>
      </c>
      <c r="B7" s="79" t="s">
        <v>162</v>
      </c>
      <c r="C7" s="79">
        <v>17</v>
      </c>
      <c r="D7" s="79">
        <v>18</v>
      </c>
      <c r="E7" s="79">
        <v>10</v>
      </c>
      <c r="F7" s="86">
        <f t="shared" si="0"/>
        <v>15</v>
      </c>
      <c r="G7" s="79" t="str">
        <f t="shared" si="1"/>
        <v>VERYGOOD</v>
      </c>
      <c r="H7" s="79">
        <f t="shared" si="2"/>
        <v>2</v>
      </c>
      <c r="I7" s="79" t="str">
        <f t="shared" si="3"/>
        <v>KO CÓ THƯỞNG</v>
      </c>
    </row>
    <row r="8" spans="1:9" ht="18.75" x14ac:dyDescent="0.3">
      <c r="A8" s="79">
        <v>6</v>
      </c>
      <c r="B8" s="79" t="s">
        <v>163</v>
      </c>
      <c r="C8" s="79">
        <v>6</v>
      </c>
      <c r="D8" s="79">
        <v>5</v>
      </c>
      <c r="E8" s="79">
        <v>13</v>
      </c>
      <c r="F8" s="86">
        <f t="shared" si="0"/>
        <v>8</v>
      </c>
      <c r="G8" s="79" t="str">
        <f t="shared" si="1"/>
        <v>FAIL</v>
      </c>
      <c r="H8" s="79">
        <f t="shared" si="2"/>
        <v>11</v>
      </c>
      <c r="I8" s="79" t="str">
        <f t="shared" si="3"/>
        <v>KO CÓ THƯỞNG</v>
      </c>
    </row>
    <row r="9" spans="1:9" ht="18.75" x14ac:dyDescent="0.3">
      <c r="A9" s="79">
        <v>7</v>
      </c>
      <c r="B9" s="79" t="s">
        <v>164</v>
      </c>
      <c r="C9" s="79">
        <v>18</v>
      </c>
      <c r="D9" s="79">
        <v>19</v>
      </c>
      <c r="E9" s="79">
        <v>15</v>
      </c>
      <c r="F9" s="86">
        <f t="shared" si="0"/>
        <v>17.333333333333332</v>
      </c>
      <c r="G9" s="79" t="str">
        <f t="shared" si="1"/>
        <v>EXCELLENT</v>
      </c>
      <c r="H9" s="79">
        <f t="shared" si="2"/>
        <v>1</v>
      </c>
      <c r="I9" s="79" t="str">
        <f t="shared" si="3"/>
        <v>THƯỞNG 1 KHÓA HỌC</v>
      </c>
    </row>
    <row r="10" spans="1:9" ht="18.75" x14ac:dyDescent="0.3">
      <c r="A10" s="79">
        <v>8</v>
      </c>
      <c r="B10" s="79" t="s">
        <v>165</v>
      </c>
      <c r="C10" s="79">
        <v>15</v>
      </c>
      <c r="D10" s="79">
        <v>8</v>
      </c>
      <c r="E10" s="79">
        <v>6</v>
      </c>
      <c r="F10" s="86">
        <f t="shared" si="0"/>
        <v>9.6666666666666661</v>
      </c>
      <c r="G10" s="79" t="str">
        <f t="shared" si="1"/>
        <v>FAIL</v>
      </c>
      <c r="H10" s="79">
        <f t="shared" si="2"/>
        <v>9</v>
      </c>
      <c r="I10" s="79" t="str">
        <f t="shared" si="3"/>
        <v>KO CÓ THƯỞNG</v>
      </c>
    </row>
    <row r="11" spans="1:9" ht="18.75" x14ac:dyDescent="0.3">
      <c r="A11" s="79">
        <v>9</v>
      </c>
      <c r="B11" s="79" t="s">
        <v>166</v>
      </c>
      <c r="C11" s="79">
        <v>15</v>
      </c>
      <c r="D11" s="79">
        <v>4</v>
      </c>
      <c r="E11" s="79">
        <v>16</v>
      </c>
      <c r="F11" s="86">
        <f t="shared" si="0"/>
        <v>11.666666666666666</v>
      </c>
      <c r="G11" s="79" t="str">
        <f t="shared" si="1"/>
        <v>PASS</v>
      </c>
      <c r="H11" s="79">
        <f t="shared" si="2"/>
        <v>5</v>
      </c>
      <c r="I11" s="79" t="str">
        <f t="shared" si="3"/>
        <v>KO CÓ THƯỞNG</v>
      </c>
    </row>
    <row r="12" spans="1:9" ht="18.75" x14ac:dyDescent="0.3">
      <c r="A12" s="79">
        <v>10</v>
      </c>
      <c r="B12" s="79" t="s">
        <v>161</v>
      </c>
      <c r="C12" s="79">
        <v>6</v>
      </c>
      <c r="D12" s="79">
        <v>11</v>
      </c>
      <c r="E12" s="79">
        <v>18</v>
      </c>
      <c r="F12" s="86">
        <f t="shared" si="0"/>
        <v>11.666666666666666</v>
      </c>
      <c r="G12" s="79" t="str">
        <f t="shared" si="1"/>
        <v>PASS</v>
      </c>
      <c r="H12" s="79">
        <f t="shared" si="2"/>
        <v>5</v>
      </c>
      <c r="I12" s="79" t="str">
        <f t="shared" si="3"/>
        <v>KO CÓ THƯỞNG</v>
      </c>
    </row>
    <row r="13" spans="1:9" ht="18.75" x14ac:dyDescent="0.3">
      <c r="A13" s="79">
        <v>11</v>
      </c>
      <c r="B13" s="79" t="s">
        <v>167</v>
      </c>
      <c r="C13" s="79">
        <v>16</v>
      </c>
      <c r="D13" s="79">
        <v>17</v>
      </c>
      <c r="E13" s="79">
        <v>5</v>
      </c>
      <c r="F13" s="86">
        <f t="shared" si="0"/>
        <v>12.666666666666666</v>
      </c>
      <c r="G13" s="79" t="str">
        <f t="shared" si="1"/>
        <v>GOOD</v>
      </c>
      <c r="H13" s="79">
        <f t="shared" si="2"/>
        <v>3</v>
      </c>
      <c r="I13" s="79" t="str">
        <f t="shared" si="3"/>
        <v>KO CÓ THƯỞNG</v>
      </c>
    </row>
    <row r="14" spans="1:9" ht="18.75" x14ac:dyDescent="0.3">
      <c r="B14" s="80"/>
      <c r="C14" s="80"/>
      <c r="D14" s="80"/>
      <c r="E14" s="80"/>
    </row>
    <row r="16" spans="1:9" ht="18.75" x14ac:dyDescent="0.3">
      <c r="A16" s="81" t="s">
        <v>168</v>
      </c>
      <c r="C16" s="80"/>
    </row>
    <row r="17" spans="1:9" ht="20.25" x14ac:dyDescent="0.3">
      <c r="A17" s="82" t="s">
        <v>169</v>
      </c>
      <c r="B17" s="83"/>
      <c r="C17" s="82"/>
      <c r="D17" s="82"/>
      <c r="E17" s="82"/>
      <c r="F17" s="82"/>
      <c r="G17" s="82"/>
      <c r="H17" s="82"/>
      <c r="I17" s="82"/>
    </row>
    <row r="18" spans="1:9" ht="20.25" x14ac:dyDescent="0.3">
      <c r="A18" s="82" t="s">
        <v>170</v>
      </c>
      <c r="B18" s="82"/>
      <c r="C18" s="82"/>
      <c r="D18" s="82"/>
      <c r="E18" s="82"/>
      <c r="F18" s="82"/>
      <c r="G18" s="82"/>
      <c r="H18" s="82"/>
      <c r="I18" s="82"/>
    </row>
    <row r="19" spans="1:9" ht="20.25" x14ac:dyDescent="0.3">
      <c r="A19" s="82"/>
      <c r="B19" s="82" t="s">
        <v>171</v>
      </c>
      <c r="C19" s="82"/>
      <c r="D19" s="82"/>
      <c r="E19" s="82"/>
      <c r="F19" s="82"/>
      <c r="G19" s="82"/>
      <c r="H19" s="82"/>
      <c r="I19" s="82"/>
    </row>
    <row r="20" spans="1:9" ht="20.25" x14ac:dyDescent="0.3">
      <c r="A20" s="82"/>
      <c r="B20" s="82" t="s">
        <v>172</v>
      </c>
      <c r="C20" s="84"/>
      <c r="D20" s="82"/>
      <c r="E20" s="82"/>
      <c r="F20" s="82"/>
      <c r="G20" s="82"/>
      <c r="H20" s="82"/>
      <c r="I20" s="82"/>
    </row>
    <row r="21" spans="1:9" ht="20.25" x14ac:dyDescent="0.3">
      <c r="A21" s="82"/>
      <c r="B21" s="82" t="s">
        <v>173</v>
      </c>
      <c r="C21" s="84"/>
      <c r="D21" s="82"/>
      <c r="E21" s="82"/>
      <c r="F21" s="82"/>
      <c r="G21" s="82"/>
      <c r="H21" s="82"/>
      <c r="I21" s="82"/>
    </row>
    <row r="22" spans="1:9" ht="20.25" x14ac:dyDescent="0.3">
      <c r="A22" s="82"/>
      <c r="B22" s="82" t="s">
        <v>174</v>
      </c>
      <c r="C22" s="84"/>
      <c r="D22" s="82"/>
      <c r="E22" s="82"/>
      <c r="F22" s="82"/>
      <c r="G22" s="82"/>
      <c r="H22" s="82"/>
      <c r="I22" s="82"/>
    </row>
    <row r="23" spans="1:9" ht="21" x14ac:dyDescent="0.35">
      <c r="A23" s="85"/>
      <c r="B23" s="82" t="s">
        <v>175</v>
      </c>
      <c r="C23" s="84"/>
      <c r="D23" s="85"/>
      <c r="E23" s="85"/>
      <c r="F23" s="85"/>
      <c r="G23" s="85"/>
      <c r="H23" s="85"/>
      <c r="I23" s="85"/>
    </row>
    <row r="24" spans="1:9" ht="21" x14ac:dyDescent="0.35">
      <c r="A24" s="82" t="s">
        <v>176</v>
      </c>
      <c r="B24" s="85"/>
      <c r="C24" s="84"/>
      <c r="D24" s="85"/>
      <c r="E24" s="85"/>
      <c r="F24" s="85"/>
      <c r="G24" s="85"/>
      <c r="H24" s="85"/>
      <c r="I24" s="85"/>
    </row>
    <row r="25" spans="1:9" ht="21" x14ac:dyDescent="0.35">
      <c r="A25" s="82" t="s">
        <v>177</v>
      </c>
      <c r="B25" s="85"/>
      <c r="C25" s="85"/>
      <c r="D25" s="85"/>
      <c r="E25" s="85"/>
      <c r="F25" s="85"/>
      <c r="G25" s="85"/>
      <c r="H25" s="85"/>
      <c r="I25" s="85"/>
    </row>
    <row r="26" spans="1:9" ht="21" x14ac:dyDescent="0.35">
      <c r="A26" s="82" t="s">
        <v>178</v>
      </c>
      <c r="B26" s="85"/>
      <c r="C26" s="85"/>
      <c r="D26" s="85"/>
      <c r="E26" s="85"/>
      <c r="F26" s="85"/>
      <c r="G26" s="85"/>
      <c r="H26" s="85"/>
      <c r="I26" s="85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BT1</vt:lpstr>
      <vt:lpstr>BT2</vt:lpstr>
      <vt:lpstr>BT3</vt:lpstr>
      <vt:lpstr>BT4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2021-11-04T03:12:45Z</dcterms:created>
  <dcterms:modified xsi:type="dcterms:W3CDTF">2021-11-05T06:56:22Z</dcterms:modified>
</cp:coreProperties>
</file>