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" yWindow="90" windowWidth="15300" windowHeight="9270" firstSheet="4" activeTab="9"/>
  </bookViews>
  <sheets>
    <sheet name="DTBHT7" sheetId="1" r:id="rId1"/>
    <sheet name="DTBHT8" sheetId="2" r:id="rId2"/>
    <sheet name="DTBHT9" sheetId="3" r:id="rId3"/>
    <sheet name="DTBHT10" sheetId="4" r:id="rId4"/>
    <sheet name="DTBHT11" sheetId="5" r:id="rId5"/>
    <sheet name="DTBHT12" sheetId="6" r:id="rId6"/>
    <sheet name="DTBHT1" sheetId="7" r:id="rId7"/>
    <sheet name="DTBHT2" sheetId="23" r:id="rId8"/>
    <sheet name="DTBHT3" sheetId="24" r:id="rId9"/>
    <sheet name="THDTBH" sheetId="8" r:id="rId10"/>
    <sheet name="Tổng hợp công nợ còn phải thu" sheetId="9" r:id="rId11"/>
    <sheet name="TH Thu - Chi T5 đến 31.01.2020" sheetId="12" r:id="rId12"/>
    <sheet name="TH Thu - Chi T1 và T3.2020" sheetId="22" r:id="rId13"/>
    <sheet name="BC Kết quả kinh doanh" sheetId="13" r:id="rId14"/>
    <sheet name="TH tình hình góp vốn cổ đông" sheetId="10" r:id="rId15"/>
    <sheet name="Góp vốn cổ phần giai đoạn 1" sheetId="18" r:id="rId16"/>
    <sheet name="Góp vốn cổ phần gđ2" sheetId="19" r:id="rId17"/>
    <sheet name=" Số lượng nhập hàng và tiền nập" sheetId="11" r:id="rId18"/>
    <sheet name="TH Nhập-Xuất-Tồn" sheetId="14" r:id="rId19"/>
    <sheet name="Khách hàng trả lại hàng" sheetId="15" r:id="rId20"/>
    <sheet name="Sheet16" sheetId="16" r:id="rId21"/>
    <sheet name="Sheet17" sheetId="17" r:id="rId22"/>
    <sheet name="Sheet1" sheetId="20" r:id="rId23"/>
    <sheet name="Sheet2" sheetId="21" r:id="rId24"/>
  </sheets>
  <externalReferences>
    <externalReference r:id="rId25"/>
    <externalReference r:id="rId26"/>
  </externalReferences>
  <definedNames>
    <definedName name="_xlnm._FilterDatabase" localSheetId="17" hidden="1">' Số lượng nhập hàng và tiền nập'!$C$6:$E$76</definedName>
  </definedNames>
  <calcPr calcId="125725"/>
</workbook>
</file>

<file path=xl/calcChain.xml><?xml version="1.0" encoding="utf-8"?>
<calcChain xmlns="http://schemas.openxmlformats.org/spreadsheetml/2006/main">
  <c r="F8" i="10"/>
  <c r="F16" i="9" l="1"/>
  <c r="E16"/>
  <c r="D16"/>
  <c r="C16"/>
  <c r="F15"/>
  <c r="E15"/>
  <c r="D15"/>
  <c r="C15"/>
  <c r="F14"/>
  <c r="E14"/>
  <c r="D14"/>
  <c r="C14"/>
  <c r="G13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G8"/>
  <c r="G17" s="1"/>
  <c r="F8"/>
  <c r="F17" s="1"/>
  <c r="H8" s="1"/>
  <c r="H17" s="1"/>
  <c r="E8"/>
  <c r="E17" s="1"/>
  <c r="D8"/>
  <c r="D17" s="1"/>
  <c r="C8"/>
  <c r="C17" s="1"/>
  <c r="C16" i="8"/>
  <c r="R49" i="24"/>
  <c r="R48"/>
  <c r="L48"/>
  <c r="G17" i="8"/>
  <c r="G21" s="1"/>
  <c r="E16"/>
  <c r="D16"/>
  <c r="H15"/>
  <c r="F15"/>
  <c r="E15"/>
  <c r="D15"/>
  <c r="C15"/>
  <c r="H14"/>
  <c r="F14"/>
  <c r="E14"/>
  <c r="D14"/>
  <c r="C14"/>
  <c r="H13"/>
  <c r="F13"/>
  <c r="E13"/>
  <c r="D13"/>
  <c r="C13"/>
  <c r="F12"/>
  <c r="E12"/>
  <c r="D12"/>
  <c r="C12"/>
  <c r="F11"/>
  <c r="E11"/>
  <c r="D11"/>
  <c r="C11"/>
  <c r="F10"/>
  <c r="E10"/>
  <c r="D10"/>
  <c r="C10"/>
  <c r="F9"/>
  <c r="E9"/>
  <c r="D9"/>
  <c r="C9"/>
  <c r="F8"/>
  <c r="E8"/>
  <c r="D8"/>
  <c r="C8"/>
  <c r="R52" i="24"/>
  <c r="R44"/>
  <c r="R41"/>
  <c r="R33"/>
  <c r="R29"/>
  <c r="R22"/>
  <c r="R21"/>
  <c r="I309" i="22"/>
  <c r="H309"/>
  <c r="G309"/>
  <c r="F309"/>
  <c r="E309"/>
  <c r="D309"/>
  <c r="F310" s="1"/>
  <c r="F231"/>
  <c r="E231"/>
  <c r="D231"/>
  <c r="F232" s="1"/>
  <c r="I224"/>
  <c r="I186"/>
  <c r="I231" s="1"/>
  <c r="F233" s="1"/>
  <c r="F155"/>
  <c r="E155"/>
  <c r="D155"/>
  <c r="F156" s="1"/>
  <c r="F158" s="1"/>
  <c r="I67"/>
  <c r="I155" s="1"/>
  <c r="F157" s="1"/>
  <c r="E18" i="14"/>
  <c r="E16"/>
  <c r="E15"/>
  <c r="E13"/>
  <c r="D9"/>
  <c r="E9"/>
  <c r="D10"/>
  <c r="E10"/>
  <c r="D11"/>
  <c r="E11"/>
  <c r="D12"/>
  <c r="E12"/>
  <c r="F12" s="1"/>
  <c r="F13"/>
  <c r="D14"/>
  <c r="E14"/>
  <c r="F14" s="1"/>
  <c r="F15"/>
  <c r="D16"/>
  <c r="D17"/>
  <c r="E17"/>
  <c r="F18"/>
  <c r="D19"/>
  <c r="E19"/>
  <c r="D20"/>
  <c r="E20"/>
  <c r="D21"/>
  <c r="E21"/>
  <c r="F21" s="1"/>
  <c r="D22"/>
  <c r="E22"/>
  <c r="F22" s="1"/>
  <c r="F311" i="22" l="1"/>
  <c r="F312"/>
  <c r="H16" i="8"/>
  <c r="C17"/>
  <c r="E17"/>
  <c r="F17" i="14"/>
  <c r="D17" i="8"/>
  <c r="G20" s="1"/>
  <c r="H9"/>
  <c r="H10"/>
  <c r="H11"/>
  <c r="H12"/>
  <c r="H8"/>
  <c r="H17" s="1"/>
  <c r="G19" s="1"/>
  <c r="G22" s="1"/>
  <c r="F234" i="22"/>
  <c r="F313" s="1"/>
  <c r="F16" i="14"/>
  <c r="F19"/>
  <c r="F10"/>
  <c r="F9"/>
  <c r="F20"/>
  <c r="F11"/>
  <c r="I75" i="11" l="1"/>
  <c r="G75"/>
  <c r="P55" i="24"/>
  <c r="L58" s="1"/>
  <c r="H55"/>
  <c r="H56" s="1"/>
  <c r="J54"/>
  <c r="L54" s="1"/>
  <c r="J53"/>
  <c r="L53" s="1"/>
  <c r="L52"/>
  <c r="J52"/>
  <c r="L51"/>
  <c r="J51"/>
  <c r="J50"/>
  <c r="L50" s="1"/>
  <c r="L49"/>
  <c r="J49"/>
  <c r="J48"/>
  <c r="J47"/>
  <c r="L47" s="1"/>
  <c r="J46"/>
  <c r="L46" s="1"/>
  <c r="J45"/>
  <c r="L45" s="1"/>
  <c r="L44"/>
  <c r="J44"/>
  <c r="L43"/>
  <c r="J43"/>
  <c r="J42"/>
  <c r="L42" s="1"/>
  <c r="R42" s="1"/>
  <c r="L41"/>
  <c r="J41"/>
  <c r="L40"/>
  <c r="J40"/>
  <c r="J39"/>
  <c r="L39" s="1"/>
  <c r="R39" s="1"/>
  <c r="J38"/>
  <c r="L38" s="1"/>
  <c r="J37"/>
  <c r="L37" s="1"/>
  <c r="L36"/>
  <c r="J36"/>
  <c r="L35"/>
  <c r="J35"/>
  <c r="J34"/>
  <c r="L34" s="1"/>
  <c r="R34" s="1"/>
  <c r="L33"/>
  <c r="J33"/>
  <c r="J32"/>
  <c r="L32" s="1"/>
  <c r="R32" s="1"/>
  <c r="L31"/>
  <c r="R31" s="1"/>
  <c r="J31"/>
  <c r="L30"/>
  <c r="J30"/>
  <c r="J29"/>
  <c r="L29" s="1"/>
  <c r="L28"/>
  <c r="R28" s="1"/>
  <c r="J28"/>
  <c r="L27"/>
  <c r="J27"/>
  <c r="J26"/>
  <c r="L26" s="1"/>
  <c r="R26" s="1"/>
  <c r="L25"/>
  <c r="R25" s="1"/>
  <c r="J25"/>
  <c r="L24"/>
  <c r="J24"/>
  <c r="L23"/>
  <c r="J23"/>
  <c r="J22"/>
  <c r="L22" s="1"/>
  <c r="L21"/>
  <c r="J21"/>
  <c r="L20"/>
  <c r="J20"/>
  <c r="L19"/>
  <c r="J19"/>
  <c r="J18"/>
  <c r="L18" s="1"/>
  <c r="R18" s="1"/>
  <c r="J17"/>
  <c r="L17" s="1"/>
  <c r="J16"/>
  <c r="L16" s="1"/>
  <c r="J15"/>
  <c r="L15" s="1"/>
  <c r="J14"/>
  <c r="L14" s="1"/>
  <c r="J13"/>
  <c r="L13" s="1"/>
  <c r="J12"/>
  <c r="L12" s="1"/>
  <c r="J11"/>
  <c r="L11" s="1"/>
  <c r="L10"/>
  <c r="R10" s="1"/>
  <c r="J10"/>
  <c r="J9"/>
  <c r="L9" s="1"/>
  <c r="R9" s="1"/>
  <c r="J8"/>
  <c r="L8" s="1"/>
  <c r="L7"/>
  <c r="R7" s="1"/>
  <c r="J7"/>
  <c r="J55" s="1"/>
  <c r="F16" i="8" l="1"/>
  <c r="F17" s="1"/>
  <c r="R50" i="24"/>
  <c r="R36"/>
  <c r="R55" s="1"/>
  <c r="L59" s="1"/>
  <c r="N55"/>
  <c r="L57" s="1"/>
  <c r="L55"/>
  <c r="L56" s="1"/>
  <c r="Q10" i="18" l="1"/>
  <c r="Q11"/>
  <c r="Q12"/>
  <c r="Q13"/>
  <c r="Q14"/>
  <c r="Q15"/>
  <c r="L13"/>
  <c r="D15"/>
  <c r="D14"/>
  <c r="D13"/>
  <c r="D12"/>
  <c r="D11"/>
  <c r="D10"/>
  <c r="D9"/>
  <c r="L110" i="7"/>
  <c r="L106"/>
  <c r="J106"/>
  <c r="L105"/>
  <c r="J105"/>
  <c r="L104"/>
  <c r="J104"/>
  <c r="L103"/>
  <c r="R103" s="1"/>
  <c r="J103"/>
  <c r="R102"/>
  <c r="L102"/>
  <c r="J102"/>
  <c r="L101"/>
  <c r="J101"/>
  <c r="L100"/>
  <c r="R100" s="1"/>
  <c r="J100"/>
  <c r="N99"/>
  <c r="L99"/>
  <c r="J99"/>
  <c r="L98"/>
  <c r="R98" s="1"/>
  <c r="J98"/>
  <c r="L97"/>
  <c r="J97"/>
  <c r="L96"/>
  <c r="J96"/>
  <c r="L95"/>
  <c r="J95"/>
  <c r="L94"/>
  <c r="J94"/>
  <c r="L93"/>
  <c r="J93"/>
  <c r="L92"/>
  <c r="J92"/>
  <c r="R91"/>
  <c r="L91"/>
  <c r="J91"/>
  <c r="L90"/>
  <c r="J90"/>
  <c r="L89"/>
  <c r="J89"/>
  <c r="L88"/>
  <c r="J88"/>
  <c r="L87"/>
  <c r="J87"/>
  <c r="L86"/>
  <c r="J86"/>
  <c r="L85"/>
  <c r="R85" s="1"/>
  <c r="J85"/>
  <c r="R84"/>
  <c r="L84"/>
  <c r="J84"/>
  <c r="L83"/>
  <c r="R83" s="1"/>
  <c r="J83"/>
  <c r="L82"/>
  <c r="J82"/>
  <c r="R81"/>
  <c r="L81"/>
  <c r="J81"/>
  <c r="L80"/>
  <c r="J80"/>
  <c r="L79"/>
  <c r="R79" s="1"/>
  <c r="J79"/>
  <c r="L78"/>
  <c r="J78"/>
  <c r="L77"/>
  <c r="J77"/>
  <c r="L76"/>
  <c r="J76"/>
  <c r="L75"/>
  <c r="J75"/>
  <c r="L74"/>
  <c r="J74"/>
  <c r="L73"/>
  <c r="J73"/>
  <c r="L72"/>
  <c r="J72"/>
  <c r="R71"/>
  <c r="L71"/>
  <c r="J71"/>
  <c r="L70"/>
  <c r="J70"/>
  <c r="L69"/>
  <c r="J69"/>
  <c r="L68"/>
  <c r="J68"/>
  <c r="L67"/>
  <c r="J67"/>
  <c r="L66"/>
  <c r="J66"/>
  <c r="L65"/>
  <c r="J65"/>
  <c r="L64"/>
  <c r="J64"/>
  <c r="L63"/>
  <c r="J63"/>
  <c r="J62"/>
  <c r="H62"/>
  <c r="L62" s="1"/>
  <c r="H61"/>
  <c r="J61" s="1"/>
  <c r="J60"/>
  <c r="H60"/>
  <c r="L60" s="1"/>
  <c r="H59"/>
  <c r="J59" s="1"/>
  <c r="H58"/>
  <c r="J58" s="1"/>
  <c r="L57"/>
  <c r="R57" s="1"/>
  <c r="J57"/>
  <c r="R56"/>
  <c r="L56"/>
  <c r="J56"/>
  <c r="L55"/>
  <c r="R55" s="1"/>
  <c r="J55"/>
  <c r="N54"/>
  <c r="L54"/>
  <c r="J54"/>
  <c r="L53"/>
  <c r="J53"/>
  <c r="L52"/>
  <c r="J52"/>
  <c r="L51"/>
  <c r="J51"/>
  <c r="L50"/>
  <c r="J50"/>
  <c r="L49"/>
  <c r="J49"/>
  <c r="L48"/>
  <c r="J48"/>
  <c r="L47"/>
  <c r="J47"/>
  <c r="L46"/>
  <c r="R46" s="1"/>
  <c r="J46"/>
  <c r="R45"/>
  <c r="L45"/>
  <c r="J45"/>
  <c r="R44"/>
  <c r="J44"/>
  <c r="R43"/>
  <c r="J43"/>
  <c r="L42"/>
  <c r="R42" s="1"/>
  <c r="J42"/>
  <c r="L41"/>
  <c r="J41"/>
  <c r="L40"/>
  <c r="J40"/>
  <c r="L39"/>
  <c r="J39"/>
  <c r="R38"/>
  <c r="L38"/>
  <c r="J38"/>
  <c r="L37"/>
  <c r="N37" s="1"/>
  <c r="J37"/>
  <c r="R36"/>
  <c r="L36"/>
  <c r="J36"/>
  <c r="L35"/>
  <c r="N35" s="1"/>
  <c r="J35"/>
  <c r="L34"/>
  <c r="J34"/>
  <c r="L33"/>
  <c r="J33"/>
  <c r="L32"/>
  <c r="J32"/>
  <c r="R31"/>
  <c r="L31"/>
  <c r="J31"/>
  <c r="L30"/>
  <c r="R30" s="1"/>
  <c r="J30"/>
  <c r="L29"/>
  <c r="J29"/>
  <c r="L28"/>
  <c r="J28"/>
  <c r="N27"/>
  <c r="L27"/>
  <c r="J27"/>
  <c r="L26"/>
  <c r="J26"/>
  <c r="L25"/>
  <c r="J25"/>
  <c r="L24"/>
  <c r="R24" s="1"/>
  <c r="J24"/>
  <c r="L23"/>
  <c r="J23"/>
  <c r="L22"/>
  <c r="J22"/>
  <c r="L21"/>
  <c r="J21"/>
  <c r="L20"/>
  <c r="J20"/>
  <c r="L19"/>
  <c r="J19"/>
  <c r="L18"/>
  <c r="J18"/>
  <c r="R17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R8" s="1"/>
  <c r="J8"/>
  <c r="R7"/>
  <c r="L7"/>
  <c r="J7"/>
  <c r="F47" i="11"/>
  <c r="F60"/>
  <c r="F73"/>
  <c r="F67"/>
  <c r="J107" i="7" l="1"/>
  <c r="N107"/>
  <c r="L109" s="1"/>
  <c r="L58"/>
  <c r="L59"/>
  <c r="L61"/>
  <c r="H107"/>
  <c r="H108" s="1"/>
  <c r="I72" i="11"/>
  <c r="I71"/>
  <c r="I70"/>
  <c r="I69"/>
  <c r="I68"/>
  <c r="G73"/>
  <c r="E18" i="19"/>
  <c r="F18"/>
  <c r="D18"/>
  <c r="H9" i="10"/>
  <c r="H10"/>
  <c r="H11"/>
  <c r="H12"/>
  <c r="H13"/>
  <c r="H14"/>
  <c r="D9"/>
  <c r="D10"/>
  <c r="D11"/>
  <c r="D12"/>
  <c r="D13"/>
  <c r="D14"/>
  <c r="D8"/>
  <c r="D15" s="1"/>
  <c r="C15"/>
  <c r="R58" i="7" l="1"/>
  <c r="R107" s="1"/>
  <c r="L111" s="1"/>
  <c r="L107"/>
  <c r="I73" i="11"/>
  <c r="F15" i="10"/>
  <c r="G9"/>
  <c r="G10"/>
  <c r="G11"/>
  <c r="G12"/>
  <c r="G13"/>
  <c r="G14"/>
  <c r="G8"/>
  <c r="H8" s="1"/>
  <c r="H15" s="1"/>
  <c r="J86" i="15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H101" i="6"/>
  <c r="H102" s="1"/>
  <c r="L100"/>
  <c r="J100"/>
  <c r="L99"/>
  <c r="J99"/>
  <c r="L98"/>
  <c r="J98"/>
  <c r="L97"/>
  <c r="J97"/>
  <c r="L96"/>
  <c r="J96"/>
  <c r="L95"/>
  <c r="R95" s="1"/>
  <c r="J95"/>
  <c r="L94"/>
  <c r="J94"/>
  <c r="L93"/>
  <c r="J93"/>
  <c r="R92"/>
  <c r="L92"/>
  <c r="J92"/>
  <c r="L91"/>
  <c r="J91"/>
  <c r="L90"/>
  <c r="J90"/>
  <c r="L89"/>
  <c r="R89" s="1"/>
  <c r="J89"/>
  <c r="L88"/>
  <c r="J88"/>
  <c r="R87"/>
  <c r="L87"/>
  <c r="J87"/>
  <c r="L86"/>
  <c r="J86"/>
  <c r="L85"/>
  <c r="R85" s="1"/>
  <c r="I85"/>
  <c r="L84"/>
  <c r="J84"/>
  <c r="N83"/>
  <c r="L83"/>
  <c r="J83"/>
  <c r="L82"/>
  <c r="J82"/>
  <c r="L81"/>
  <c r="J81"/>
  <c r="P80"/>
  <c r="L80"/>
  <c r="J80"/>
  <c r="L79"/>
  <c r="J79"/>
  <c r="L78"/>
  <c r="J78"/>
  <c r="L77"/>
  <c r="J77"/>
  <c r="L76"/>
  <c r="P76" s="1"/>
  <c r="J76"/>
  <c r="L75"/>
  <c r="J75"/>
  <c r="N74"/>
  <c r="L74"/>
  <c r="J74"/>
  <c r="L73"/>
  <c r="J73"/>
  <c r="L72"/>
  <c r="R72" s="1"/>
  <c r="J72"/>
  <c r="N71"/>
  <c r="L71"/>
  <c r="J71"/>
  <c r="L70"/>
  <c r="J70"/>
  <c r="L69"/>
  <c r="J69"/>
  <c r="L68"/>
  <c r="R68" s="1"/>
  <c r="J68"/>
  <c r="L67"/>
  <c r="J67"/>
  <c r="L66"/>
  <c r="J66"/>
  <c r="L65"/>
  <c r="J65"/>
  <c r="L64"/>
  <c r="J64"/>
  <c r="L63"/>
  <c r="J63"/>
  <c r="N62"/>
  <c r="L62"/>
  <c r="J62"/>
  <c r="L61"/>
  <c r="N61" s="1"/>
  <c r="J61"/>
  <c r="L60"/>
  <c r="J60"/>
  <c r="R59"/>
  <c r="L59"/>
  <c r="J59"/>
  <c r="L58"/>
  <c r="R57"/>
  <c r="L57"/>
  <c r="L56"/>
  <c r="J56"/>
  <c r="L55"/>
  <c r="J55"/>
  <c r="L54"/>
  <c r="J54"/>
  <c r="L53"/>
  <c r="J53"/>
  <c r="L52"/>
  <c r="J52"/>
  <c r="L51"/>
  <c r="J51"/>
  <c r="L50"/>
  <c r="J50"/>
  <c r="R49"/>
  <c r="L49"/>
  <c r="J49"/>
  <c r="L48"/>
  <c r="J48"/>
  <c r="L47"/>
  <c r="J47"/>
  <c r="L46"/>
  <c r="J46"/>
  <c r="L45"/>
  <c r="J45"/>
  <c r="L44"/>
  <c r="J44"/>
  <c r="L43"/>
  <c r="J43"/>
  <c r="L42"/>
  <c r="J42"/>
  <c r="L41"/>
  <c r="N41" s="1"/>
  <c r="J41"/>
  <c r="L40"/>
  <c r="J40"/>
  <c r="L39"/>
  <c r="J39"/>
  <c r="L38"/>
  <c r="J38"/>
  <c r="L37"/>
  <c r="J37"/>
  <c r="L36"/>
  <c r="J36"/>
  <c r="R35"/>
  <c r="L35"/>
  <c r="J35"/>
  <c r="L34"/>
  <c r="R34" s="1"/>
  <c r="J34"/>
  <c r="L33"/>
  <c r="J33"/>
  <c r="R32"/>
  <c r="L32"/>
  <c r="J32"/>
  <c r="L31"/>
  <c r="J31"/>
  <c r="L30"/>
  <c r="J30"/>
  <c r="L29"/>
  <c r="J29"/>
  <c r="L28"/>
  <c r="J28"/>
  <c r="L27"/>
  <c r="J27"/>
  <c r="L26"/>
  <c r="R26" s="1"/>
  <c r="J26"/>
  <c r="N25"/>
  <c r="L25"/>
  <c r="J25"/>
  <c r="L24"/>
  <c r="J24"/>
  <c r="L23"/>
  <c r="J23"/>
  <c r="L22"/>
  <c r="J22"/>
  <c r="L21"/>
  <c r="J21"/>
  <c r="L20"/>
  <c r="J20"/>
  <c r="L19"/>
  <c r="J19"/>
  <c r="L18"/>
  <c r="J18"/>
  <c r="L17"/>
  <c r="J17"/>
  <c r="L16"/>
  <c r="J16"/>
  <c r="L15"/>
  <c r="R15" s="1"/>
  <c r="J15"/>
  <c r="N14"/>
  <c r="L14"/>
  <c r="J14"/>
  <c r="L13"/>
  <c r="R13" s="1"/>
  <c r="L12"/>
  <c r="J12"/>
  <c r="L11"/>
  <c r="R11" s="1"/>
  <c r="J11"/>
  <c r="L10"/>
  <c r="J10"/>
  <c r="L9"/>
  <c r="J9"/>
  <c r="R8"/>
  <c r="L8"/>
  <c r="J8"/>
  <c r="L7"/>
  <c r="L101" s="1"/>
  <c r="J7"/>
  <c r="J101" s="1"/>
  <c r="H181" i="4"/>
  <c r="H182" s="1"/>
  <c r="L180"/>
  <c r="R180" s="1"/>
  <c r="J180"/>
  <c r="L179"/>
  <c r="J179"/>
  <c r="L178"/>
  <c r="J178"/>
  <c r="L177"/>
  <c r="J177"/>
  <c r="L176"/>
  <c r="J176"/>
  <c r="R175"/>
  <c r="L175"/>
  <c r="J175"/>
  <c r="L174"/>
  <c r="J174"/>
  <c r="L173"/>
  <c r="J173"/>
  <c r="L172"/>
  <c r="J172"/>
  <c r="L171"/>
  <c r="J171"/>
  <c r="L170"/>
  <c r="J170"/>
  <c r="L169"/>
  <c r="P169" s="1"/>
  <c r="J169"/>
  <c r="L168"/>
  <c r="J168"/>
  <c r="L167"/>
  <c r="J167"/>
  <c r="L166"/>
  <c r="J166"/>
  <c r="P165"/>
  <c r="L165"/>
  <c r="J165"/>
  <c r="L164"/>
  <c r="R164" s="1"/>
  <c r="J164"/>
  <c r="R163"/>
  <c r="L163"/>
  <c r="J163"/>
  <c r="L162"/>
  <c r="J162"/>
  <c r="L161"/>
  <c r="J161"/>
  <c r="L160"/>
  <c r="P160" s="1"/>
  <c r="J160"/>
  <c r="P159"/>
  <c r="L159"/>
  <c r="J159"/>
  <c r="L158"/>
  <c r="R158" s="1"/>
  <c r="J158"/>
  <c r="N157"/>
  <c r="L157"/>
  <c r="J157"/>
  <c r="L156"/>
  <c r="J156"/>
  <c r="L155"/>
  <c r="J155"/>
  <c r="L154"/>
  <c r="J154"/>
  <c r="L153"/>
  <c r="J153"/>
  <c r="L152"/>
  <c r="R152" s="1"/>
  <c r="J152"/>
  <c r="L151"/>
  <c r="J151"/>
  <c r="L150"/>
  <c r="J150"/>
  <c r="L149"/>
  <c r="J149"/>
  <c r="L148"/>
  <c r="J148"/>
  <c r="L147"/>
  <c r="J147"/>
  <c r="L146"/>
  <c r="J146"/>
  <c r="L145"/>
  <c r="J145"/>
  <c r="L144"/>
  <c r="J144"/>
  <c r="L143"/>
  <c r="J143"/>
  <c r="L142"/>
  <c r="J142"/>
  <c r="L141"/>
  <c r="J141"/>
  <c r="L140"/>
  <c r="J140"/>
  <c r="L139"/>
  <c r="J139"/>
  <c r="L138"/>
  <c r="J138"/>
  <c r="R137"/>
  <c r="L137"/>
  <c r="J137"/>
  <c r="L136"/>
  <c r="P136" s="1"/>
  <c r="J136"/>
  <c r="L135"/>
  <c r="J135"/>
  <c r="L134"/>
  <c r="J134"/>
  <c r="L133"/>
  <c r="J133"/>
  <c r="R132"/>
  <c r="L132"/>
  <c r="J132"/>
  <c r="L131"/>
  <c r="J131"/>
  <c r="L130"/>
  <c r="J130"/>
  <c r="L129"/>
  <c r="J129"/>
  <c r="L128"/>
  <c r="J128"/>
  <c r="L127"/>
  <c r="J127"/>
  <c r="L126"/>
  <c r="J126"/>
  <c r="L125"/>
  <c r="J125"/>
  <c r="R124"/>
  <c r="L124"/>
  <c r="J124"/>
  <c r="R123"/>
  <c r="L123"/>
  <c r="J123"/>
  <c r="R122"/>
  <c r="L122"/>
  <c r="J122"/>
  <c r="L121"/>
  <c r="J121"/>
  <c r="L120"/>
  <c r="J120"/>
  <c r="L119"/>
  <c r="J119"/>
  <c r="L118"/>
  <c r="J118"/>
  <c r="L117"/>
  <c r="J117"/>
  <c r="L116"/>
  <c r="J116"/>
  <c r="L115"/>
  <c r="J115"/>
  <c r="L114"/>
  <c r="J114"/>
  <c r="L113"/>
  <c r="J113"/>
  <c r="L112"/>
  <c r="R112" s="1"/>
  <c r="J112"/>
  <c r="L111"/>
  <c r="J111"/>
  <c r="L110"/>
  <c r="J110"/>
  <c r="L109"/>
  <c r="J109"/>
  <c r="L108"/>
  <c r="J108"/>
  <c r="P107"/>
  <c r="L107"/>
  <c r="J107"/>
  <c r="L106"/>
  <c r="J106"/>
  <c r="L105"/>
  <c r="J105"/>
  <c r="L104"/>
  <c r="J104"/>
  <c r="L103"/>
  <c r="J103"/>
  <c r="L102"/>
  <c r="J102"/>
  <c r="L101"/>
  <c r="J101"/>
  <c r="L100"/>
  <c r="J100"/>
  <c r="L99"/>
  <c r="J99"/>
  <c r="L98"/>
  <c r="J98"/>
  <c r="L97"/>
  <c r="J97"/>
  <c r="N96"/>
  <c r="L96"/>
  <c r="J96"/>
  <c r="L95"/>
  <c r="J95"/>
  <c r="L94"/>
  <c r="J94"/>
  <c r="L93"/>
  <c r="J93"/>
  <c r="L92"/>
  <c r="J92"/>
  <c r="L91"/>
  <c r="J91"/>
  <c r="L90"/>
  <c r="J90"/>
  <c r="L89"/>
  <c r="J89"/>
  <c r="R88"/>
  <c r="L88"/>
  <c r="J88"/>
  <c r="L87"/>
  <c r="J87"/>
  <c r="L86"/>
  <c r="P86" s="1"/>
  <c r="J86"/>
  <c r="R85"/>
  <c r="L85"/>
  <c r="J85"/>
  <c r="L84"/>
  <c r="J84"/>
  <c r="L83"/>
  <c r="R83" s="1"/>
  <c r="J83"/>
  <c r="L82"/>
  <c r="J82"/>
  <c r="L81"/>
  <c r="J81"/>
  <c r="L80"/>
  <c r="J80"/>
  <c r="L79"/>
  <c r="J79"/>
  <c r="L78"/>
  <c r="J78"/>
  <c r="L77"/>
  <c r="J77"/>
  <c r="L76"/>
  <c r="J76"/>
  <c r="L75"/>
  <c r="J75"/>
  <c r="R74"/>
  <c r="L74"/>
  <c r="J74"/>
  <c r="L73"/>
  <c r="J73"/>
  <c r="L72"/>
  <c r="P72" s="1"/>
  <c r="J72"/>
  <c r="R71"/>
  <c r="L71"/>
  <c r="J71"/>
  <c r="L70"/>
  <c r="R70" s="1"/>
  <c r="J70"/>
  <c r="L69"/>
  <c r="J69"/>
  <c r="L68"/>
  <c r="J68"/>
  <c r="L67"/>
  <c r="J67"/>
  <c r="L66"/>
  <c r="J66"/>
  <c r="L65"/>
  <c r="J65"/>
  <c r="L64"/>
  <c r="J64"/>
  <c r="L63"/>
  <c r="J63"/>
  <c r="L62"/>
  <c r="J62"/>
  <c r="L61"/>
  <c r="J61"/>
  <c r="L60"/>
  <c r="J60"/>
  <c r="L59"/>
  <c r="J59"/>
  <c r="R58"/>
  <c r="L58"/>
  <c r="J58"/>
  <c r="L57"/>
  <c r="P57" s="1"/>
  <c r="J57"/>
  <c r="R56"/>
  <c r="L56"/>
  <c r="J56"/>
  <c r="L55"/>
  <c r="P55" s="1"/>
  <c r="J55"/>
  <c r="L54"/>
  <c r="J54"/>
  <c r="P53"/>
  <c r="L53"/>
  <c r="J53"/>
  <c r="L52"/>
  <c r="J52"/>
  <c r="L51"/>
  <c r="J51"/>
  <c r="L50"/>
  <c r="J50"/>
  <c r="L49"/>
  <c r="J49"/>
  <c r="L48"/>
  <c r="R48" s="1"/>
  <c r="J48"/>
  <c r="P47"/>
  <c r="L47"/>
  <c r="J47"/>
  <c r="L46"/>
  <c r="N46" s="1"/>
  <c r="N181" s="1"/>
  <c r="L183" s="1"/>
  <c r="J46"/>
  <c r="R45"/>
  <c r="L45"/>
  <c r="J45"/>
  <c r="L44"/>
  <c r="J44"/>
  <c r="L43"/>
  <c r="J43"/>
  <c r="L42"/>
  <c r="J42"/>
  <c r="L41"/>
  <c r="J41"/>
  <c r="L40"/>
  <c r="R40" s="1"/>
  <c r="J40"/>
  <c r="L39"/>
  <c r="J39"/>
  <c r="L38"/>
  <c r="R38" s="1"/>
  <c r="J38"/>
  <c r="L37"/>
  <c r="J37"/>
  <c r="L36"/>
  <c r="J36"/>
  <c r="L35"/>
  <c r="J35"/>
  <c r="L34"/>
  <c r="J34"/>
  <c r="L33"/>
  <c r="J33"/>
  <c r="L32"/>
  <c r="J32"/>
  <c r="L31"/>
  <c r="J31"/>
  <c r="L30"/>
  <c r="J30"/>
  <c r="L29"/>
  <c r="J29"/>
  <c r="L28"/>
  <c r="J28"/>
  <c r="L27"/>
  <c r="J27"/>
  <c r="R26"/>
  <c r="L26"/>
  <c r="J26"/>
  <c r="L25"/>
  <c r="J25"/>
  <c r="L24"/>
  <c r="J24"/>
  <c r="L23"/>
  <c r="J23"/>
  <c r="L22"/>
  <c r="J22"/>
  <c r="L21"/>
  <c r="J21"/>
  <c r="L20"/>
  <c r="R20" s="1"/>
  <c r="J20"/>
  <c r="L19"/>
  <c r="P19" s="1"/>
  <c r="P181" s="1"/>
  <c r="L184" s="1"/>
  <c r="J19"/>
  <c r="L18"/>
  <c r="J18"/>
  <c r="L17"/>
  <c r="J17"/>
  <c r="L16"/>
  <c r="J16"/>
  <c r="L15"/>
  <c r="J15"/>
  <c r="L14"/>
  <c r="J14"/>
  <c r="L13"/>
  <c r="J13"/>
  <c r="L12"/>
  <c r="J12"/>
  <c r="L11"/>
  <c r="J11"/>
  <c r="L10"/>
  <c r="J10"/>
  <c r="L9"/>
  <c r="J9"/>
  <c r="L8"/>
  <c r="J8"/>
  <c r="R7"/>
  <c r="R181" s="1"/>
  <c r="L185" s="1"/>
  <c r="L7"/>
  <c r="L181" s="1"/>
  <c r="L182" s="1"/>
  <c r="J7"/>
  <c r="J181" s="1"/>
  <c r="H93" i="23"/>
  <c r="H94" s="1"/>
  <c r="R92"/>
  <c r="L92"/>
  <c r="J92"/>
  <c r="L91"/>
  <c r="R91" s="1"/>
  <c r="J91"/>
  <c r="R90"/>
  <c r="L90"/>
  <c r="J90"/>
  <c r="L89"/>
  <c r="J89"/>
  <c r="L88"/>
  <c r="R88" s="1"/>
  <c r="J88"/>
  <c r="P87"/>
  <c r="L87"/>
  <c r="J87"/>
  <c r="L86"/>
  <c r="J86"/>
  <c r="L85"/>
  <c r="J85"/>
  <c r="L84"/>
  <c r="J84"/>
  <c r="L83"/>
  <c r="R83" s="1"/>
  <c r="J83"/>
  <c r="R82"/>
  <c r="L82"/>
  <c r="J82"/>
  <c r="L81"/>
  <c r="J81"/>
  <c r="L80"/>
  <c r="R80" s="1"/>
  <c r="J80"/>
  <c r="L79"/>
  <c r="J79"/>
  <c r="L78"/>
  <c r="J78"/>
  <c r="L77"/>
  <c r="J77"/>
  <c r="L76"/>
  <c r="J76"/>
  <c r="L75"/>
  <c r="J75"/>
  <c r="L74"/>
  <c r="J74"/>
  <c r="L73"/>
  <c r="J73"/>
  <c r="L72"/>
  <c r="J72"/>
  <c r="L71"/>
  <c r="J71"/>
  <c r="R70"/>
  <c r="L70"/>
  <c r="J70"/>
  <c r="L69"/>
  <c r="N69" s="1"/>
  <c r="J69"/>
  <c r="P68"/>
  <c r="L68"/>
  <c r="J68"/>
  <c r="L67"/>
  <c r="J67"/>
  <c r="L66"/>
  <c r="J66"/>
  <c r="L65"/>
  <c r="J65"/>
  <c r="L64"/>
  <c r="J64"/>
  <c r="L63"/>
  <c r="J63"/>
  <c r="L62"/>
  <c r="J62"/>
  <c r="L61"/>
  <c r="J61"/>
  <c r="L60"/>
  <c r="R60" s="1"/>
  <c r="J60"/>
  <c r="R59"/>
  <c r="L59"/>
  <c r="J59"/>
  <c r="L58"/>
  <c r="R58" s="1"/>
  <c r="J58"/>
  <c r="R57"/>
  <c r="L57"/>
  <c r="J57"/>
  <c r="L56"/>
  <c r="J56"/>
  <c r="L55"/>
  <c r="J55"/>
  <c r="L54"/>
  <c r="R54" s="1"/>
  <c r="J54"/>
  <c r="R53"/>
  <c r="L53"/>
  <c r="J53"/>
  <c r="L52"/>
  <c r="R52" s="1"/>
  <c r="J52"/>
  <c r="L51"/>
  <c r="J51"/>
  <c r="N50"/>
  <c r="L50"/>
  <c r="J50"/>
  <c r="L49"/>
  <c r="J49"/>
  <c r="L48"/>
  <c r="N48" s="1"/>
  <c r="J48"/>
  <c r="R47"/>
  <c r="L47"/>
  <c r="J47"/>
  <c r="L46"/>
  <c r="R46" s="1"/>
  <c r="J46"/>
  <c r="L45"/>
  <c r="J45"/>
  <c r="R44"/>
  <c r="L44"/>
  <c r="J44"/>
  <c r="L43"/>
  <c r="R43" s="1"/>
  <c r="J43"/>
  <c r="R42"/>
  <c r="L42"/>
  <c r="J42"/>
  <c r="L41"/>
  <c r="R41" s="1"/>
  <c r="J41"/>
  <c r="L40"/>
  <c r="J40"/>
  <c r="N39"/>
  <c r="L39"/>
  <c r="J39"/>
  <c r="L38"/>
  <c r="J38"/>
  <c r="L37"/>
  <c r="J37"/>
  <c r="L36"/>
  <c r="N36" s="1"/>
  <c r="J36"/>
  <c r="L35"/>
  <c r="J35"/>
  <c r="N34"/>
  <c r="L34"/>
  <c r="J34"/>
  <c r="L33"/>
  <c r="N33" s="1"/>
  <c r="J33"/>
  <c r="L32"/>
  <c r="J32"/>
  <c r="P31"/>
  <c r="P93" s="1"/>
  <c r="L96" s="1"/>
  <c r="L31"/>
  <c r="J31"/>
  <c r="L30"/>
  <c r="R30" s="1"/>
  <c r="J30"/>
  <c r="L29"/>
  <c r="J29"/>
  <c r="L28"/>
  <c r="J28"/>
  <c r="R27"/>
  <c r="L27"/>
  <c r="J27"/>
  <c r="L26"/>
  <c r="J26"/>
  <c r="L25"/>
  <c r="J25"/>
  <c r="L24"/>
  <c r="R24" s="1"/>
  <c r="J24"/>
  <c r="R23"/>
  <c r="L23"/>
  <c r="J23"/>
  <c r="L22"/>
  <c r="R22" s="1"/>
  <c r="J22"/>
  <c r="L21"/>
  <c r="J21"/>
  <c r="L20"/>
  <c r="J20"/>
  <c r="L19"/>
  <c r="J19"/>
  <c r="L18"/>
  <c r="J18"/>
  <c r="L17"/>
  <c r="J17"/>
  <c r="R16"/>
  <c r="L16"/>
  <c r="J16"/>
  <c r="L15"/>
  <c r="N15" s="1"/>
  <c r="N93" s="1"/>
  <c r="L95" s="1"/>
  <c r="J15"/>
  <c r="L14"/>
  <c r="J14"/>
  <c r="L13"/>
  <c r="J13"/>
  <c r="L12"/>
  <c r="J12"/>
  <c r="L11"/>
  <c r="J11"/>
  <c r="L10"/>
  <c r="J10"/>
  <c r="L9"/>
  <c r="J9"/>
  <c r="L8"/>
  <c r="L7"/>
  <c r="L93" s="1"/>
  <c r="J7"/>
  <c r="J93" s="1"/>
  <c r="C10" i="13"/>
  <c r="N701" i="12"/>
  <c r="M701"/>
  <c r="K701"/>
  <c r="I701"/>
  <c r="H701"/>
  <c r="G701"/>
  <c r="F701"/>
  <c r="E701"/>
  <c r="D701"/>
  <c r="C701"/>
  <c r="F702" s="1"/>
  <c r="J598"/>
  <c r="J413"/>
  <c r="J368"/>
  <c r="L354"/>
  <c r="L353"/>
  <c r="L352"/>
  <c r="L351"/>
  <c r="L343"/>
  <c r="L701" s="1"/>
  <c r="J337"/>
  <c r="J306"/>
  <c r="J297"/>
  <c r="N257"/>
  <c r="M257"/>
  <c r="I257"/>
  <c r="H257"/>
  <c r="F257"/>
  <c r="E257"/>
  <c r="D257"/>
  <c r="C257"/>
  <c r="C258" s="1"/>
  <c r="L241"/>
  <c r="L257" s="1"/>
  <c r="K196"/>
  <c r="K193"/>
  <c r="K257" s="1"/>
  <c r="J75"/>
  <c r="J257" s="1"/>
  <c r="G48"/>
  <c r="G257" s="1"/>
  <c r="C259" s="1"/>
  <c r="M31" i="18"/>
  <c r="N11" s="1"/>
  <c r="P11" s="1"/>
  <c r="M26"/>
  <c r="N9" s="1"/>
  <c r="N16"/>
  <c r="K16"/>
  <c r="I16"/>
  <c r="H16"/>
  <c r="C16"/>
  <c r="F15"/>
  <c r="L14"/>
  <c r="J14"/>
  <c r="F12"/>
  <c r="L10"/>
  <c r="J10"/>
  <c r="J9"/>
  <c r="D16"/>
  <c r="C18" i="19"/>
  <c r="M59" i="15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P15" i="18" l="1"/>
  <c r="P10"/>
  <c r="P14"/>
  <c r="P12"/>
  <c r="M16"/>
  <c r="P9"/>
  <c r="L112" i="7"/>
  <c r="L108"/>
  <c r="P13" i="18"/>
  <c r="F16"/>
  <c r="G15" i="10"/>
  <c r="J701" i="12"/>
  <c r="F703" s="1"/>
  <c r="P101" i="6"/>
  <c r="L104" s="1"/>
  <c r="R80"/>
  <c r="R101" s="1"/>
  <c r="L105" s="1"/>
  <c r="L102"/>
  <c r="N101"/>
  <c r="L103" s="1"/>
  <c r="L94" i="23"/>
  <c r="R7"/>
  <c r="R93" s="1"/>
  <c r="L97" s="1"/>
  <c r="C260" i="12"/>
  <c r="J16" i="18"/>
  <c r="Q9" l="1"/>
  <c r="Q16" s="1"/>
  <c r="P16"/>
  <c r="F704" i="12"/>
  <c r="F705" s="1"/>
  <c r="C11" i="13"/>
  <c r="C12" s="1"/>
  <c r="L106" i="6"/>
  <c r="L98" i="23"/>
  <c r="G67" i="11" l="1"/>
  <c r="I60"/>
  <c r="G59"/>
  <c r="G58"/>
  <c r="G57"/>
  <c r="G56"/>
  <c r="G55"/>
  <c r="G54"/>
  <c r="G53"/>
  <c r="G52"/>
  <c r="G51"/>
  <c r="G50"/>
  <c r="G49"/>
  <c r="I48"/>
  <c r="I49" s="1"/>
  <c r="G46"/>
  <c r="G45"/>
  <c r="G44"/>
  <c r="G43"/>
  <c r="G42"/>
  <c r="G41"/>
  <c r="I40"/>
  <c r="I47" s="1"/>
  <c r="G40"/>
  <c r="G39"/>
  <c r="I38"/>
  <c r="G35"/>
  <c r="I34"/>
  <c r="F34"/>
  <c r="G32"/>
  <c r="G31"/>
  <c r="G30"/>
  <c r="G29"/>
  <c r="G28"/>
  <c r="G27"/>
  <c r="G26"/>
  <c r="G25"/>
  <c r="G24"/>
  <c r="I23"/>
  <c r="F23"/>
  <c r="G22"/>
  <c r="G21"/>
  <c r="G20"/>
  <c r="G19"/>
  <c r="I18"/>
  <c r="G16"/>
  <c r="G15"/>
  <c r="G14"/>
  <c r="G13"/>
  <c r="G12"/>
  <c r="G11"/>
  <c r="G10"/>
  <c r="G9"/>
  <c r="G8"/>
  <c r="G7"/>
  <c r="D23" i="14"/>
  <c r="E23"/>
  <c r="I76" i="11" l="1"/>
  <c r="G60"/>
  <c r="G38"/>
  <c r="G18"/>
  <c r="G23"/>
  <c r="G34"/>
  <c r="G47"/>
  <c r="F23" i="14"/>
  <c r="G76" i="11" l="1"/>
  <c r="C15" i="13"/>
  <c r="C16" s="1"/>
</calcChain>
</file>

<file path=xl/comments1.xml><?xml version="1.0" encoding="utf-8"?>
<comments xmlns="http://schemas.openxmlformats.org/spreadsheetml/2006/main">
  <authors>
    <author>Admin</author>
  </authors>
  <commentList>
    <comment ref="D61" authorId="0">
      <text>
        <r>
          <rPr>
            <b/>
            <sz val="9"/>
            <color indexed="81"/>
            <rFont val="Tahoma"/>
            <family val="2"/>
            <charset val="163"/>
          </rPr>
          <t>Admin: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<sst xmlns="http://schemas.openxmlformats.org/spreadsheetml/2006/main" count="6414" uniqueCount="1828">
  <si>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</si>
  <si>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</si>
  <si>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</si>
  <si>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</si>
  <si>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ĐƠN HÀNG </t>
  </si>
  <si>
    <t xml:space="preserve">         TỪ 21/7 ĐẾN 31/7/ 2019</t>
  </si>
  <si>
    <t>STT</t>
  </si>
  <si>
    <t>Ngày, tháng</t>
  </si>
  <si>
    <t>Người bán</t>
  </si>
  <si>
    <t>Thông tin khách hàng</t>
  </si>
  <si>
    <t>Thông tin sản phẩm</t>
  </si>
  <si>
    <t>Thành tiền sau CK (VNĐ)</t>
  </si>
  <si>
    <t>Tiền bán hàng thực tế thu về</t>
  </si>
  <si>
    <t>Ghi chú</t>
  </si>
  <si>
    <t>Tên khách hàng</t>
  </si>
  <si>
    <t>Địa chỉ</t>
  </si>
  <si>
    <t>Số điện thoại</t>
  </si>
  <si>
    <t>Mã sản phẩm</t>
  </si>
  <si>
    <t>Số lượng (hộp)</t>
  </si>
  <si>
    <t>Đơn giá (VNĐ)</t>
  </si>
  <si>
    <t>Thành tiền (VNĐ)</t>
  </si>
  <si>
    <t>Chiết khấu</t>
  </si>
  <si>
    <t>Tiền mặt (111)</t>
  </si>
  <si>
    <t>Số tiền</t>
  </si>
  <si>
    <t>Tiền gửi ngân hàng (112)</t>
  </si>
  <si>
    <t>Chưa thanh toán (131)</t>
  </si>
  <si>
    <t>21/07</t>
  </si>
  <si>
    <t>Anh Lâm</t>
  </si>
  <si>
    <t>Em Dung</t>
  </si>
  <si>
    <t>0988269968</t>
  </si>
  <si>
    <t>2CX90</t>
  </si>
  <si>
    <t>Lúc đầu nhập 4 sau trả lại 1 hộp</t>
  </si>
  <si>
    <t>3CX45</t>
  </si>
  <si>
    <t>GCX45</t>
  </si>
  <si>
    <t>GC90</t>
  </si>
  <si>
    <t>Hàng tặng</t>
  </si>
  <si>
    <t>SOY</t>
  </si>
  <si>
    <t>Bùi Ngọc Long</t>
  </si>
  <si>
    <t>01234811616</t>
  </si>
  <si>
    <t>Nguyễn Thị Thi</t>
  </si>
  <si>
    <t>Hà Đông</t>
  </si>
  <si>
    <t>0982038758</t>
  </si>
  <si>
    <t>2CX45</t>
  </si>
  <si>
    <t>Phạm Thuỳ Duyên</t>
  </si>
  <si>
    <t>0904622744</t>
  </si>
  <si>
    <t>GCX90</t>
  </si>
  <si>
    <t>TD90</t>
  </si>
  <si>
    <t>Anh Phong</t>
  </si>
  <si>
    <t>Mỹ Đình</t>
  </si>
  <si>
    <t>0989330686</t>
  </si>
  <si>
    <t>3CX90</t>
  </si>
  <si>
    <t>'21/07</t>
  </si>
  <si>
    <t>Nguyễn Thị Hiên</t>
  </si>
  <si>
    <t>Thanh Xuân</t>
  </si>
  <si>
    <t>032607418</t>
  </si>
  <si>
    <t>Phạm Kim Chung</t>
  </si>
  <si>
    <t>0349205273</t>
  </si>
  <si>
    <t>Chị Vân</t>
  </si>
  <si>
    <t>Định Công Thượng, Hoàng Mai</t>
  </si>
  <si>
    <t>0964371923</t>
  </si>
  <si>
    <t>1CX90</t>
  </si>
  <si>
    <t>Chị Hiền</t>
  </si>
  <si>
    <t>24/07</t>
  </si>
  <si>
    <t>Em Thảo</t>
  </si>
  <si>
    <t>Tuệ Tĩnh Hà Nội</t>
  </si>
  <si>
    <t>Anh Hùng ( Biếu hỗ trợ họp báo)</t>
  </si>
  <si>
    <t>Nhà báo</t>
  </si>
  <si>
    <t>0912065819</t>
  </si>
  <si>
    <t>NPP Chị Hiền _ Gia Lai</t>
  </si>
  <si>
    <t>Cty XNK Tuấn Tú Kao</t>
  </si>
  <si>
    <t>0943945657- 0865152079</t>
  </si>
  <si>
    <t>Cty thiếu 5 hộp sữa non chuyển sau</t>
  </si>
  <si>
    <t>BCX45</t>
  </si>
  <si>
    <t>BCX90</t>
  </si>
  <si>
    <t>SN45</t>
  </si>
  <si>
    <t>25/07</t>
  </si>
  <si>
    <t>TP Vĩnh Yên</t>
  </si>
  <si>
    <t>Nhập 5-&gt; KH trả lại 01 hộp tiểu đường để đổi sang người già</t>
  </si>
  <si>
    <t>26/07</t>
  </si>
  <si>
    <t>Chị khách hàng</t>
  </si>
  <si>
    <t>Số 32 N7B ngõ 7 Hoàng Minh Giám</t>
  </si>
  <si>
    <t>0904251919</t>
  </si>
  <si>
    <t>Tặng 01 cốc</t>
  </si>
  <si>
    <t>NPP Chị Phương Tuyên Quang</t>
  </si>
  <si>
    <t>TP Tuyên Quang</t>
  </si>
  <si>
    <t>E. Long</t>
  </si>
  <si>
    <t>Khách lẻ</t>
  </si>
  <si>
    <t>Phòng kinh doanh</t>
  </si>
  <si>
    <t>Long thanh toán tiền mặt cho cty, đã gửi chứng từ cho Long. Cty chưa nhận được tiền.</t>
  </si>
  <si>
    <t>27/07</t>
  </si>
  <si>
    <t>NPP Em Huệ_ TP Điện Biên</t>
  </si>
  <si>
    <t>TP Điện Biên</t>
  </si>
  <si>
    <t>KH trừ 200.000đ tiền phí vận chuyển</t>
  </si>
  <si>
    <t>Liên Hương</t>
  </si>
  <si>
    <t>Công ty</t>
  </si>
  <si>
    <t>28/7</t>
  </si>
  <si>
    <t>Em Tâm</t>
  </si>
  <si>
    <t>28/07</t>
  </si>
  <si>
    <t>0947813786</t>
  </si>
  <si>
    <t>30/07</t>
  </si>
  <si>
    <t>Em Chung</t>
  </si>
  <si>
    <t>0913328266</t>
  </si>
  <si>
    <t>31/07</t>
  </si>
  <si>
    <t>Em Ngọc ( Giáo viên)</t>
  </si>
  <si>
    <t>0969229828</t>
  </si>
  <si>
    <t>Tổng cộng</t>
  </si>
  <si>
    <t xml:space="preserve">Tổng doanh số bán hàng toàn công ty tháng 7/2019 </t>
  </si>
  <si>
    <t>Thực tế tiền mặt thu về tháng 7/2019</t>
  </si>
  <si>
    <t xml:space="preserve"> KH thanh toán bằng chuyển khoản thu về tháng 7/2019</t>
  </si>
  <si>
    <t>Thực tế công nợ KH phải thanh toán tháng 7/2019</t>
  </si>
  <si>
    <t>Chi phí vận chuyển cty thanh toán cho KH</t>
  </si>
  <si>
    <t>Doanh số anh Lâm tháng 7/2019</t>
  </si>
  <si>
    <t>Doanh số em Long tháng 7/2019</t>
  </si>
  <si>
    <t>Doanh số em Tâm tháng 7/2019</t>
  </si>
  <si>
    <t>KẾ TOÁN</t>
  </si>
  <si>
    <t>THỦ QUỸ</t>
  </si>
  <si>
    <t>VPĐD: ( 024) 22.16.76.76  Tòa Golden An Khánh , HN</t>
  </si>
  <si>
    <t xml:space="preserve">       TỪ 1/8 ĐẾN 31/8/2019</t>
  </si>
  <si>
    <t>Ngày</t>
  </si>
  <si>
    <t>Thông tin về sản phẩm</t>
  </si>
  <si>
    <t>Thành tiền sau CK(VNĐ)</t>
  </si>
  <si>
    <t>Tiền mặt ( 111)</t>
  </si>
  <si>
    <t>Chuyển khoản (112)</t>
  </si>
  <si>
    <t>01/08</t>
  </si>
  <si>
    <t>Anh Sơn</t>
  </si>
  <si>
    <t>Anh Xuân</t>
  </si>
  <si>
    <t>Phúc Yên</t>
  </si>
  <si>
    <t>Trừ lương</t>
  </si>
  <si>
    <t>ĐL Em Lan Sài Gòn</t>
  </si>
  <si>
    <t>Sài Gòn</t>
  </si>
  <si>
    <t>02/08</t>
  </si>
  <si>
    <t xml:space="preserve">Phòng KD </t>
  </si>
  <si>
    <t>ĐL Chị Sáu Trần Khát Chân HN</t>
  </si>
  <si>
    <t>182 Trần Khát Chân- HN</t>
  </si>
  <si>
    <t>03/08</t>
  </si>
  <si>
    <t>Chị Bình</t>
  </si>
  <si>
    <t>Nguyễn Văn Huyên, Xuân Đỉnh, HN</t>
  </si>
  <si>
    <t>ĐL Siêu thị Bình An_ Ninh Bình</t>
  </si>
  <si>
    <t>Khánh Tân, Khánh Phú, Yên Khánh, Ninh Bình</t>
  </si>
  <si>
    <t>0988046399</t>
  </si>
  <si>
    <t>Tặng KH</t>
  </si>
  <si>
    <t>04/08</t>
  </si>
  <si>
    <t>Xuân Hòa Lập Thạch</t>
  </si>
  <si>
    <t>05/08</t>
  </si>
  <si>
    <t>Anh Phi</t>
  </si>
  <si>
    <t>Vĩnh Phúc</t>
  </si>
  <si>
    <t>07/08</t>
  </si>
  <si>
    <t>Em  Long</t>
  </si>
  <si>
    <t>Nguyễn Văn Huyên</t>
  </si>
  <si>
    <t>10/08</t>
  </si>
  <si>
    <t>182 Trần Khát Chân</t>
  </si>
  <si>
    <t>Lúc đầu lấy 24 hộp sau đó đổi từ 12 hộp bầu sang lấy 12 hộp già nhỏ</t>
  </si>
  <si>
    <t>14/8</t>
  </si>
  <si>
    <t>Chị Hà</t>
  </si>
  <si>
    <t>Ngõ 7 Hoàng Minh Giám</t>
  </si>
  <si>
    <t>16/8</t>
  </si>
  <si>
    <t>Em Lan</t>
  </si>
  <si>
    <t>19/8</t>
  </si>
  <si>
    <t>Bệnh viện nội tiết</t>
  </si>
  <si>
    <t>Đã báo cáo ban quản trị doanh số chốt đến 19/8</t>
  </si>
  <si>
    <t>21/8</t>
  </si>
  <si>
    <t>22/8</t>
  </si>
  <si>
    <t xml:space="preserve">ĐL em Dung </t>
  </si>
  <si>
    <t>Vĩnh Phúc- Vĩnh Yên</t>
  </si>
  <si>
    <t>KH trả lại để đổi sang sữa người già</t>
  </si>
  <si>
    <t>ĐL em Dung</t>
  </si>
  <si>
    <t xml:space="preserve"> Vĩnh Phúc- Vĩnh Yên</t>
  </si>
  <si>
    <t>23/8</t>
  </si>
  <si>
    <t>29/8</t>
  </si>
  <si>
    <t>Phòng KD</t>
  </si>
  <si>
    <t>ĐL Siêu thị Bảo An</t>
  </si>
  <si>
    <t>Sông Lô Vĩnh Phúc</t>
  </si>
  <si>
    <t>097482887</t>
  </si>
  <si>
    <t>Thực tế hoá đơn bán hàng ghi 5.544.000đ( thu thừa of KH 400.000đ), nhắc Tâm sửa lại trên HĐơn</t>
  </si>
  <si>
    <t>28/8</t>
  </si>
  <si>
    <t>Demo KH</t>
  </si>
  <si>
    <t>ĐL Chị Thủy</t>
  </si>
  <si>
    <t>TP Hà Giang</t>
  </si>
  <si>
    <t>0981379123</t>
  </si>
  <si>
    <t>30/8</t>
  </si>
  <si>
    <t>25/8</t>
  </si>
  <si>
    <t>ĐL Chị Hường</t>
  </si>
  <si>
    <t>35 Tràng Thi, Hoàn Kiếm, HN</t>
  </si>
  <si>
    <t>0983516987</t>
  </si>
  <si>
    <t>ĐL Cty TNHH Grup</t>
  </si>
  <si>
    <t>số 37, ngõ 38, An Đà Trạch Tray, Hải Phòng</t>
  </si>
  <si>
    <t>Tổng đơn là 46 hộp, KH bán được 8 hộp còn trả lại cty</t>
  </si>
  <si>
    <t>Chị Thùy Trinh</t>
  </si>
  <si>
    <t>Demo marketing SP Soy</t>
  </si>
  <si>
    <t>Quán Cơm</t>
  </si>
  <si>
    <t>Thái Nguyên</t>
  </si>
  <si>
    <t>0982069636</t>
  </si>
  <si>
    <t>Bách Thành</t>
  </si>
  <si>
    <t>0919829762</t>
  </si>
  <si>
    <t>Sản phẩm Demo</t>
  </si>
  <si>
    <t>Chị Nga</t>
  </si>
  <si>
    <t>ĐL Hiệu thuốc</t>
  </si>
  <si>
    <t>Phổ Yên, Thái Nguyên</t>
  </si>
  <si>
    <t>31/8</t>
  </si>
  <si>
    <t>ĐLý Thủy Vi</t>
  </si>
  <si>
    <t>Sơn Dương Tuyên Quang</t>
  </si>
  <si>
    <t>0365395728/0385917265</t>
  </si>
  <si>
    <t>Xuất 150 hộp, ngày 20/11 cty nhập lại 50 hộp</t>
  </si>
  <si>
    <t>Xuất ngày 31/8 là 24 hộp, ngày 20/11 nhập lại 12 hộp</t>
  </si>
  <si>
    <t xml:space="preserve">Tổng doanh số bán hàng toàn công ty tháng 8/2019 </t>
  </si>
  <si>
    <t>Thực tế tiền mặt thu về tháng 8/2019</t>
  </si>
  <si>
    <t xml:space="preserve"> KH thanh toán bằng chuyển khoản thu về tháng 8/2019</t>
  </si>
  <si>
    <t>Thực tế công nợ KH phải thanh toán tháng 8/2019</t>
  </si>
  <si>
    <t>Doanh số anh Lâm tháng 8/2019</t>
  </si>
  <si>
    <t>Doanh số anh Sơn tháng 8/2019</t>
  </si>
  <si>
    <t>Doanh số em Lan tháng 8/2019</t>
  </si>
  <si>
    <t>Doanh số em Long tháng 8/2019</t>
  </si>
  <si>
    <t>Doanh số em Tâm tháng 8/2019</t>
  </si>
  <si>
    <t>Doanh số phòng kinh doanh tháng 8/2019</t>
  </si>
  <si>
    <t>GIÁM ĐỐC</t>
  </si>
  <si>
    <t xml:space="preserve">       TỪ 1/9 ĐẾN 30/9/2019</t>
  </si>
  <si>
    <t>4/9</t>
  </si>
  <si>
    <t>Demo</t>
  </si>
  <si>
    <t>5/9</t>
  </si>
  <si>
    <t>Hàng đổi vỡ</t>
  </si>
  <si>
    <t>Em Hảo</t>
  </si>
  <si>
    <t>Linh Đàm</t>
  </si>
  <si>
    <t>0961437868</t>
  </si>
  <si>
    <t>6/9</t>
  </si>
  <si>
    <t>Em Long</t>
  </si>
  <si>
    <t>ĐL Trần Thị Phương</t>
  </si>
  <si>
    <t>123 Nguyễn Trãi Tuyên Quang</t>
  </si>
  <si>
    <t>KH trả lại 6 hộp</t>
  </si>
  <si>
    <t>KH trả lại 5 hộp</t>
  </si>
  <si>
    <t>KH trả lại 11 hộp</t>
  </si>
  <si>
    <t>KH trả lại 16 hộp</t>
  </si>
  <si>
    <t>KH trả lại 4 hộp</t>
  </si>
  <si>
    <t>7/9</t>
  </si>
  <si>
    <t>Đi công tác Đà Nẵng</t>
  </si>
  <si>
    <t>Kho nhập về 1 số 2 nhỏ và 1 số 3 nhỏ-&gt; đã trừ trên đơn</t>
  </si>
  <si>
    <t>8/9</t>
  </si>
  <si>
    <t>Bán tại hội chợ An Khánh</t>
  </si>
  <si>
    <t>9/9</t>
  </si>
  <si>
    <t>ĐL Thuỷ Vi</t>
  </si>
  <si>
    <t>10/9</t>
  </si>
  <si>
    <t>Em Huệ</t>
  </si>
  <si>
    <t>Điện Biên</t>
  </si>
  <si>
    <t>HĐBH ghi số tiền 16.318.000đ chênh lệch 213.800d so với thực tế.</t>
  </si>
  <si>
    <t>11/9</t>
  </si>
  <si>
    <t>12/9</t>
  </si>
  <si>
    <t>Công tác Hải Phòng</t>
  </si>
  <si>
    <t>13/9</t>
  </si>
  <si>
    <t>Anh Tùng</t>
  </si>
  <si>
    <t>0869675523</t>
  </si>
  <si>
    <t>ĐL Chị Nguyệt TP Lạng Sơn</t>
  </si>
  <si>
    <t>TT Phật Chỉ, xã ĐÌnh Lộc, huyện Đình Lộc, TP Lạng Sơn</t>
  </si>
  <si>
    <t>KH đã thanh toán tiền nhưng Tâm chưa xuất hàng.</t>
  </si>
  <si>
    <t>Chị Hương Lan nhà đất 24h</t>
  </si>
  <si>
    <t>1CX45</t>
  </si>
  <si>
    <t>16/9</t>
  </si>
  <si>
    <t>ĐL Sữa Bống Bang_ Điện Biên</t>
  </si>
  <si>
    <t>20/9</t>
  </si>
  <si>
    <t>Bạn a Thịnh</t>
  </si>
  <si>
    <t>Chị Thanh</t>
  </si>
  <si>
    <t>Lập Thạch Vĩnh Phúc</t>
  </si>
  <si>
    <t>0983098186</t>
  </si>
  <si>
    <t>21/9</t>
  </si>
  <si>
    <t xml:space="preserve">Chị Thắm </t>
  </si>
  <si>
    <t>Yên Bái</t>
  </si>
  <si>
    <t>22/9</t>
  </si>
  <si>
    <t>Siêu thị Bảo An</t>
  </si>
  <si>
    <t>Tặng cháu 455.000đ giảm giá 30% còn 319.000đ, ngày 16/11 trả lại 19 hộp</t>
  </si>
  <si>
    <t>Đã trừ vao đơn hàng nhập về ngày 7/2/2020(1010)</t>
  </si>
  <si>
    <t>Lúc đầu lấy 12 hộp GC sau đó trả lại 4 hộp, ngày 18/11 trả tiếp 7 hộp</t>
  </si>
  <si>
    <t>23/9</t>
  </si>
  <si>
    <t>Chị Hảo</t>
  </si>
  <si>
    <t>Anh Việt</t>
  </si>
  <si>
    <t>Ô tô Mishubishi</t>
  </si>
  <si>
    <t>Nghệ An</t>
  </si>
  <si>
    <t>0971558537</t>
  </si>
  <si>
    <t>24/9</t>
  </si>
  <si>
    <t>ĐL Tuyết Nhung</t>
  </si>
  <si>
    <t>Ngô Quyền, Vĩnh Yên, Vĩnh Phúc</t>
  </si>
  <si>
    <t>Lan</t>
  </si>
  <si>
    <t>Trừ lương, xuất nhầm thành 1 GC90 và 1 GCX90</t>
  </si>
  <si>
    <t>Quà 2/9</t>
  </si>
  <si>
    <t>19/9</t>
  </si>
  <si>
    <t>Anh Tùng AW</t>
  </si>
  <si>
    <t>Trung ương HGDCSSK GĐ VN</t>
  </si>
  <si>
    <t>Số 1, Tôn Thất Thuyết, Dịch Vọng Hậu, Cầu Giấy, HN</t>
  </si>
  <si>
    <t>27/09</t>
  </si>
  <si>
    <t>Đlý Hà Tuyên</t>
  </si>
  <si>
    <t>367, Phan Đình Phùng, Thái Nguyên</t>
  </si>
  <si>
    <t>30/9</t>
  </si>
  <si>
    <t>27/9</t>
  </si>
  <si>
    <t xml:space="preserve">ĐL Thuỷ Vi </t>
  </si>
  <si>
    <t>114 Ngô Quyền Vĩnh Yên Vĩnh Phúc</t>
  </si>
  <si>
    <t>Anh Thiều Hải Dương</t>
  </si>
  <si>
    <t>28/9</t>
  </si>
  <si>
    <t>ĐL Thủy Vi</t>
  </si>
  <si>
    <t>0968063455/0385917265</t>
  </si>
  <si>
    <t>lúc đầu xuất cho KH 24 hộp sau đó 27/9 cty nhập về 12 hôp để xuất cho Tuyết Nhung</t>
  </si>
  <si>
    <t>Hội chợ An Khánh</t>
  </si>
  <si>
    <t>Vinhome</t>
  </si>
  <si>
    <t>2/9</t>
  </si>
  <si>
    <t xml:space="preserve">Quà 2/9 </t>
  </si>
  <si>
    <t>Hùng</t>
  </si>
  <si>
    <t>Sơn</t>
  </si>
  <si>
    <t>Thịnh</t>
  </si>
  <si>
    <t>Tâm</t>
  </si>
  <si>
    <t xml:space="preserve">Tổng doanh số bán hàng toàn công ty tháng 9/2019 </t>
  </si>
  <si>
    <t>Thực tế tiền mặt thu về tháng 9/2019</t>
  </si>
  <si>
    <t>Thực tế tiền gửi ngân hàng( KH thanh toán bằng chuyển khoản) thu về tháng 9/2019</t>
  </si>
  <si>
    <t>Thực tế công nợ KH phải thanh toán tháng  9/2019</t>
  </si>
  <si>
    <t xml:space="preserve">Cty tặng khách hàng </t>
  </si>
  <si>
    <t>Doanh số a Lâm</t>
  </si>
  <si>
    <t>Doanh số phòng kinh doanh</t>
  </si>
  <si>
    <t>Doanh số a Sơn</t>
  </si>
  <si>
    <t>Doanh số Long</t>
  </si>
  <si>
    <t>Doanh số Tâm</t>
  </si>
  <si>
    <t>Doanh số Lan</t>
  </si>
  <si>
    <t xml:space="preserve">       TỪ 1/10 ĐẾN 31/10/2019</t>
  </si>
  <si>
    <t>1/10</t>
  </si>
  <si>
    <t>A Sơn CTV</t>
  </si>
  <si>
    <t>Lập Thạch, Vĩnh Phúc</t>
  </si>
  <si>
    <t>Lúc đầu lấy 13 hộp, sau trả lại 5 hộp</t>
  </si>
  <si>
    <t>3/10</t>
  </si>
  <si>
    <t xml:space="preserve">Em Huệ </t>
  </si>
  <si>
    <t>NPP Điện Biên</t>
  </si>
  <si>
    <t>HĐBH ghi tổng tiền là 15.560.000đ. Tính thừa of KH 2.250.000đ</t>
  </si>
  <si>
    <t>VTV3</t>
  </si>
  <si>
    <t>Xuất cho CT Hãy chọn giá đúng</t>
  </si>
  <si>
    <t xml:space="preserve">Anh Quang </t>
  </si>
  <si>
    <t>Miền Nam</t>
  </si>
  <si>
    <t>6/10</t>
  </si>
  <si>
    <t>Anh Thiều</t>
  </si>
  <si>
    <t>Hải Dương</t>
  </si>
  <si>
    <t>Đổi hộp vận chuyển bị vỡ</t>
  </si>
  <si>
    <t>Anh Lâm- Anh Sơn</t>
  </si>
  <si>
    <t xml:space="preserve">ĐL Tuyết Nhung </t>
  </si>
  <si>
    <t>Vĩnh Yên, Vĩnh Phúc</t>
  </si>
  <si>
    <t>7/10</t>
  </si>
  <si>
    <t xml:space="preserve">Chị Hà </t>
  </si>
  <si>
    <t>Chị Trường</t>
  </si>
  <si>
    <t>Cty Biển Đỏ Hải Phòng</t>
  </si>
  <si>
    <t>Bạn anh Lâm</t>
  </si>
  <si>
    <t>Lập Thạch Xuân Hòa</t>
  </si>
  <si>
    <t>8/10</t>
  </si>
  <si>
    <t>ĐL chị Phương HN</t>
  </si>
  <si>
    <t>87 Châu Long, Hoàn Kiếm, HN</t>
  </si>
  <si>
    <t>HH1a. Linh Đàm, HN</t>
  </si>
  <si>
    <t>Hà Tùng</t>
  </si>
  <si>
    <t xml:space="preserve">Lập Thạch </t>
  </si>
  <si>
    <t>9/10</t>
  </si>
  <si>
    <t>Chị Phương dược sỹ Sơn La</t>
  </si>
  <si>
    <t>43 TT Yên Chân Sơn La</t>
  </si>
  <si>
    <t>0346089709</t>
  </si>
  <si>
    <t>11/10</t>
  </si>
  <si>
    <t xml:space="preserve"> Lập Thạch Vĩnh Phúc</t>
  </si>
  <si>
    <t>Chị Thủy</t>
  </si>
  <si>
    <t>Trung Văn Quận Thanh Xuân</t>
  </si>
  <si>
    <t>10/10</t>
  </si>
  <si>
    <t xml:space="preserve">A Sơn CTV </t>
  </si>
  <si>
    <t>ĐL Hòa Thanh</t>
  </si>
  <si>
    <t>Tử Du Lập Thạch, Vĩnh Phúc</t>
  </si>
  <si>
    <t>Tặng chồng Ms Lan ốm nằm viện</t>
  </si>
  <si>
    <t>Tam Đảo Vĩnh Phúc</t>
  </si>
  <si>
    <t>Linh Đàm , HN</t>
  </si>
  <si>
    <t xml:space="preserve">Quầy thuốc Vĩnh Quy </t>
  </si>
  <si>
    <t>Cụm 3, TT Phúc Thọ, HN</t>
  </si>
  <si>
    <t>Ký gửi</t>
  </si>
  <si>
    <t>12/10</t>
  </si>
  <si>
    <t>Chị Hưng</t>
  </si>
  <si>
    <t>Mộc Châu</t>
  </si>
  <si>
    <t>Chị Hợi</t>
  </si>
  <si>
    <t>Thu thiếu of KH 24ngd</t>
  </si>
  <si>
    <t>Chị Phương ĐBiên</t>
  </si>
  <si>
    <t>Tuần Giáo Điện Biên</t>
  </si>
  <si>
    <t>Thu thừa of KH 34ngd</t>
  </si>
  <si>
    <t>TP Điện Biên Phủ</t>
  </si>
  <si>
    <t>Công tác Điện Biên cty tặng bố Tâm</t>
  </si>
  <si>
    <t>15/10</t>
  </si>
  <si>
    <t>ĐL Hà Tuyên</t>
  </si>
  <si>
    <t>17/10</t>
  </si>
  <si>
    <t>Tính tiền KH 05 bộ cốc 300.000đ</t>
  </si>
  <si>
    <t>Quà tặng và sữa uống thử khai trương ĐL Tuyết Nhung</t>
  </si>
  <si>
    <t>19/10</t>
  </si>
  <si>
    <t>Chị Phương Tuyên Quang</t>
  </si>
  <si>
    <t>KH trả lại 12 hộp</t>
  </si>
  <si>
    <t>KH trả lại 12 hộp có trong hóa đơn và 8 hộp ngoài</t>
  </si>
  <si>
    <t>20/10</t>
  </si>
  <si>
    <t>Tài trợ giải bóng chuyền</t>
  </si>
  <si>
    <t>21/10</t>
  </si>
  <si>
    <t>Chú Ba</t>
  </si>
  <si>
    <t>393A Nguyễn Khoái, Thanh Trì, Hoàng Mai, HN</t>
  </si>
  <si>
    <t>22/10</t>
  </si>
  <si>
    <t>Từ 20/10 a Sơn CTV Vĩnh Phúc được CK 41%</t>
  </si>
  <si>
    <t>Em Dung Vĩnh Phúc</t>
  </si>
  <si>
    <t>KH trả lại sữa để đổi sang sữa người già</t>
  </si>
  <si>
    <t>Ninh</t>
  </si>
  <si>
    <t>Từ Liêm, HN</t>
  </si>
  <si>
    <t>23/10</t>
  </si>
  <si>
    <t>Chị Thắm</t>
  </si>
  <si>
    <t>0987695733</t>
  </si>
  <si>
    <t>Hà Giang</t>
  </si>
  <si>
    <t>25/10</t>
  </si>
  <si>
    <t>Chị Xuyến</t>
  </si>
  <si>
    <t>Thuận Thành, Bắc Ninh</t>
  </si>
  <si>
    <t>Sản phẩm demo</t>
  </si>
  <si>
    <t>Xuất bù số hàng mở cho khách xem rồi để sử dụng tại cty</t>
  </si>
  <si>
    <t>26/10</t>
  </si>
  <si>
    <t>Linh Đàm, HN</t>
  </si>
  <si>
    <t>28/10</t>
  </si>
  <si>
    <t>29/10</t>
  </si>
  <si>
    <t>Sản phẩm Hùng và Long tặng KH khi đi thị trường</t>
  </si>
  <si>
    <t>30/10</t>
  </si>
  <si>
    <t>Anh Quang</t>
  </si>
  <si>
    <t xml:space="preserve">Tổng doanh số bán hàng toàn công ty tháng 10/2019 </t>
  </si>
  <si>
    <t>Thực tế tiền mặt thu về tháng 10/2019</t>
  </si>
  <si>
    <t>Thực tế tiền gửi ngân hàng( KH thanh toán bằng chuyển khoản) thu về tháng 10/2019</t>
  </si>
  <si>
    <t>Thực tế công nợ KH phải thanh toán tháng  10/2019</t>
  </si>
  <si>
    <t>Doanh số a Lâm và a Sơn</t>
  </si>
  <si>
    <t>Doanh số a Sơn CTV</t>
  </si>
  <si>
    <t xml:space="preserve">       TỪ 1/11 ĐẾN30/11/2019</t>
  </si>
  <si>
    <t>1/11</t>
  </si>
  <si>
    <t>A Lâm- A Sơn</t>
  </si>
  <si>
    <t xml:space="preserve">ĐL Trường Hiền </t>
  </si>
  <si>
    <t>Đã trừ đơn hàng nhập về ngày 12/1</t>
  </si>
  <si>
    <t>Chị Huệ Điện Biên</t>
  </si>
  <si>
    <t>0368972468</t>
  </si>
  <si>
    <t>3/11</t>
  </si>
  <si>
    <t>KH Hòa Bình</t>
  </si>
  <si>
    <t>4/11</t>
  </si>
  <si>
    <t>Chị Dung</t>
  </si>
  <si>
    <t>B5,25 Vinhomes Botanica, Hàm Nghi, Mỹ Đình</t>
  </si>
  <si>
    <t>5/11</t>
  </si>
  <si>
    <t>Chị Thu</t>
  </si>
  <si>
    <t>Lạch Tray, Hải Phòng</t>
  </si>
  <si>
    <t>Em Long kho</t>
  </si>
  <si>
    <t xml:space="preserve">Chị Nho </t>
  </si>
  <si>
    <t>Hải Phòng</t>
  </si>
  <si>
    <t>6/11</t>
  </si>
  <si>
    <t>Chị Xuân</t>
  </si>
  <si>
    <t>Hà Nội</t>
  </si>
  <si>
    <t>Demo Bii Mall</t>
  </si>
  <si>
    <t xml:space="preserve">Em Tâm </t>
  </si>
  <si>
    <t>Bắc Ninh</t>
  </si>
  <si>
    <t>0964036000</t>
  </si>
  <si>
    <t>7/11</t>
  </si>
  <si>
    <t>18T1 An Khánh</t>
  </si>
  <si>
    <t>Đã chốt kho với Tâm</t>
  </si>
  <si>
    <t>8/11</t>
  </si>
  <si>
    <t>9/11</t>
  </si>
  <si>
    <t>10/11</t>
  </si>
  <si>
    <t>A Sơn V.Phúc</t>
  </si>
  <si>
    <t>ĐL Xuân Hòa</t>
  </si>
  <si>
    <t>11/11</t>
  </si>
  <si>
    <t xml:space="preserve">Anh Sơn </t>
  </si>
  <si>
    <t>Cô Hà</t>
  </si>
  <si>
    <t>13/11</t>
  </si>
  <si>
    <t>Anh Mạnh</t>
  </si>
  <si>
    <t>14/11</t>
  </si>
  <si>
    <t>15/11</t>
  </si>
  <si>
    <t xml:space="preserve">Chị Nguyệt </t>
  </si>
  <si>
    <t>16/11</t>
  </si>
  <si>
    <t>18/11</t>
  </si>
  <si>
    <t>Chị Phương</t>
  </si>
  <si>
    <t>Chị Trường Hải Phòng</t>
  </si>
  <si>
    <t>19/11</t>
  </si>
  <si>
    <t>Chị  Minh</t>
  </si>
  <si>
    <t>SN 22, ngõ 175, Nam Từ Liêm, HN</t>
  </si>
  <si>
    <t>0988520592</t>
  </si>
  <si>
    <t>Chị Nguyệt Lạng Sơn</t>
  </si>
  <si>
    <t>Chị Loan</t>
  </si>
  <si>
    <t>20/11</t>
  </si>
  <si>
    <t>Hàng mẫu đi công tác</t>
  </si>
  <si>
    <t>Hỏi lại A Sơn xem hàng mẫu đã trả lại cty chưa</t>
  </si>
  <si>
    <t>21/11</t>
  </si>
  <si>
    <t>34 Hàng Thùng</t>
  </si>
  <si>
    <t>22/11</t>
  </si>
  <si>
    <t>ĐL chị Huệ Điện Biên</t>
  </si>
  <si>
    <t>23/11</t>
  </si>
  <si>
    <t>A Sơn V. Phúc</t>
  </si>
  <si>
    <t>ĐL Dung Phi</t>
  </si>
  <si>
    <t>Xuân Hòa Lập Thạch Vĩnh Phúc</t>
  </si>
  <si>
    <t>Bà Hồng Minh</t>
  </si>
  <si>
    <t>24/11</t>
  </si>
  <si>
    <t xml:space="preserve">Anh Minh </t>
  </si>
  <si>
    <t>Gia Lâm</t>
  </si>
  <si>
    <t>Hiệu thuốc Vinh Quang</t>
  </si>
  <si>
    <t>Phúc Thị Thạch Thất</t>
  </si>
  <si>
    <t>25/11</t>
  </si>
  <si>
    <t>Hỏi a Sơn xem hàng mẫu đã trả cty chưa</t>
  </si>
  <si>
    <t>26/11</t>
  </si>
  <si>
    <t>E Nam thiết kế</t>
  </si>
  <si>
    <t>Hàng mẫu đi chụp ảnh</t>
  </si>
  <si>
    <t>Bác Vinh nhà báo</t>
  </si>
  <si>
    <t>27/11</t>
  </si>
  <si>
    <t xml:space="preserve">ĐL Anh Minh </t>
  </si>
  <si>
    <t>Đã trừ đơn hàng nhập về ngày 18/1(356) và đơn hàng nhập về ngày 31/1(1001)</t>
  </si>
  <si>
    <t>29/11</t>
  </si>
  <si>
    <t>A Lâm</t>
  </si>
  <si>
    <t>Chị Ngân</t>
  </si>
  <si>
    <t>Đan Phượng</t>
  </si>
  <si>
    <t>30/11</t>
  </si>
  <si>
    <t>Big Buy</t>
  </si>
  <si>
    <t>KH mua hai hộp sữa non chỉ tính 800.000đ còn lại cty tặng</t>
  </si>
  <si>
    <t>E Long Kdoanh</t>
  </si>
  <si>
    <t>Lễ ký kết Big buy</t>
  </si>
  <si>
    <t xml:space="preserve">Pha cho khách trải nghiệm </t>
  </si>
  <si>
    <t>Hàng tặng khách khi giao lưu</t>
  </si>
  <si>
    <t>27/10</t>
  </si>
  <si>
    <t>Hỏi Tâm xem hàng mẫu đã trả lại chưa</t>
  </si>
  <si>
    <t>Tổng doanh số bán hàng toàn công ty tháng 11/2019</t>
  </si>
  <si>
    <t xml:space="preserve">Thực tế tiền mặt thu về </t>
  </si>
  <si>
    <t xml:space="preserve"> KH thanh toán bằng chuyển khoản</t>
  </si>
  <si>
    <t xml:space="preserve">Thực tế công nợ KH phải thanh toán </t>
  </si>
  <si>
    <t>Chênh lệch</t>
  </si>
  <si>
    <t>Tặng khách hàng</t>
  </si>
  <si>
    <t>Doanh số Anh Sơn CTV Vĩnh Phúc</t>
  </si>
  <si>
    <t>Doanh số Long kho</t>
  </si>
  <si>
    <t>Doanh số Long kinh doanh</t>
  </si>
  <si>
    <t xml:space="preserve">       TỪ 1/12 ĐẾN 31/12/2019</t>
  </si>
  <si>
    <t>công ty</t>
  </si>
  <si>
    <t>Hàng mẫu</t>
  </si>
  <si>
    <t>Chị Huệ</t>
  </si>
  <si>
    <t>chú Minh</t>
  </si>
  <si>
    <t xml:space="preserve">Tặng </t>
  </si>
  <si>
    <t>Nha khoa Khánh An</t>
  </si>
  <si>
    <t>em Tâm</t>
  </si>
  <si>
    <t>Anh Minh</t>
  </si>
  <si>
    <t>em Thanh</t>
  </si>
  <si>
    <t>Điên Biên</t>
  </si>
  <si>
    <t>chị Hà</t>
  </si>
  <si>
    <t xml:space="preserve"> 72, Nguyễn Tuân</t>
  </si>
  <si>
    <t>Hàng Trưng Bày</t>
  </si>
  <si>
    <t>chị Xuân</t>
  </si>
  <si>
    <t>36, Dịch vọng, Cầu Giấy</t>
  </si>
  <si>
    <t>chị Hảo</t>
  </si>
  <si>
    <t>HH1A Linh Đàm</t>
  </si>
  <si>
    <t xml:space="preserve"> quàKT đại lý</t>
  </si>
  <si>
    <t>chú Ba</t>
  </si>
  <si>
    <t>Hoàng Mai</t>
  </si>
  <si>
    <t>13/12</t>
  </si>
  <si>
    <t>chị Bích</t>
  </si>
  <si>
    <t>Chùa Láng, Đống Đa</t>
  </si>
  <si>
    <t>14/12</t>
  </si>
  <si>
    <t>BBI Hải Dương</t>
  </si>
  <si>
    <t>15/12</t>
  </si>
  <si>
    <t xml:space="preserve">Sơn CTV </t>
  </si>
  <si>
    <t>Lập Thạch - VP</t>
  </si>
  <si>
    <t>16/12</t>
  </si>
  <si>
    <t>chị Trâm</t>
  </si>
  <si>
    <t>Hoàng Diện, Đà Nẵng</t>
  </si>
  <si>
    <t>17/12</t>
  </si>
  <si>
    <t>18/12</t>
  </si>
  <si>
    <t>chị Quý</t>
  </si>
  <si>
    <t>Mầm non Tà Té</t>
  </si>
  <si>
    <t>23/12</t>
  </si>
  <si>
    <t>24/12</t>
  </si>
  <si>
    <t>25/12</t>
  </si>
  <si>
    <t>Yên Châu</t>
  </si>
  <si>
    <t>28/12</t>
  </si>
  <si>
    <t>29/12</t>
  </si>
  <si>
    <t>Tiền vc 180.000</t>
  </si>
  <si>
    <t>31/12</t>
  </si>
  <si>
    <t>ĐL Cường Oanh</t>
  </si>
  <si>
    <t>Hạ Hòa - Phú Thọ</t>
  </si>
  <si>
    <t>Tổng doanh số bán hàng toàn công ty tháng 12/2019</t>
  </si>
  <si>
    <t xml:space="preserve">       TỪ 1/1 ĐẾN 31/1/2020</t>
  </si>
  <si>
    <t>Chị Na</t>
  </si>
  <si>
    <t>Biên Hòa - Đồng Nai</t>
  </si>
  <si>
    <t xml:space="preserve">Chị Huệ </t>
  </si>
  <si>
    <t>Đã trừ đơn hàng nhập về ngày 13/1</t>
  </si>
  <si>
    <t>Tùng - CTV</t>
  </si>
  <si>
    <t>Khuyến mại</t>
  </si>
  <si>
    <t>EmTâm</t>
  </si>
  <si>
    <t>Chị Quân</t>
  </si>
  <si>
    <t>Dịch Vọng Hậu</t>
  </si>
  <si>
    <t>Đly Cường Oanh</t>
  </si>
  <si>
    <t>Thủy Sơn La</t>
  </si>
  <si>
    <t>Đại lý Lào Cai</t>
  </si>
  <si>
    <t>Đi ĐB</t>
  </si>
  <si>
    <t>Chị Hà - CTV</t>
  </si>
  <si>
    <t>Đã trừ đơn hàng nhập về ngày 9/2(1018)</t>
  </si>
  <si>
    <t>Chị Hải</t>
  </si>
  <si>
    <t>Lào Cai</t>
  </si>
  <si>
    <t>Chị Thúy</t>
  </si>
  <si>
    <t>Tiền cước77000</t>
  </si>
  <si>
    <t>Em Liệu</t>
  </si>
  <si>
    <t>BV Đa khoa Hải Dương</t>
  </si>
  <si>
    <t>13/1</t>
  </si>
  <si>
    <t>CK 10% tết</t>
  </si>
  <si>
    <t>14/1</t>
  </si>
  <si>
    <t>Chị Tuyết</t>
  </si>
  <si>
    <t>293 Hồng Bàng HCM</t>
  </si>
  <si>
    <t>Đã trừ vào đơn hàng nhập về ngày 9/2(1020) và ngày 13/2(1017)</t>
  </si>
  <si>
    <t>294 Hồng Bàng HCM</t>
  </si>
  <si>
    <t>295 Hồng Bàng HCM</t>
  </si>
  <si>
    <t>296 Hồng Bàng HCM</t>
  </si>
  <si>
    <t>297 Hồng Bàng HCM</t>
  </si>
  <si>
    <t>Em Hằng BBI</t>
  </si>
  <si>
    <t>57 Nguyễn Quốc Trị</t>
  </si>
  <si>
    <t>58 Nguyễn Quốc Trị</t>
  </si>
  <si>
    <t>Công hàng mẫu</t>
  </si>
  <si>
    <t>Sớn</t>
  </si>
  <si>
    <t>Anh Quang CTV</t>
  </si>
  <si>
    <t xml:space="preserve">Em Hằng </t>
  </si>
  <si>
    <t>16/1</t>
  </si>
  <si>
    <t>Long</t>
  </si>
  <si>
    <t>17/1</t>
  </si>
  <si>
    <t>A. Tùng -  CTV</t>
  </si>
  <si>
    <t>18/1</t>
  </si>
  <si>
    <t>Anh Vinh</t>
  </si>
  <si>
    <t>Hiệu Thuốc Vinh Quy</t>
  </si>
  <si>
    <t xml:space="preserve">Anh Thắng </t>
  </si>
  <si>
    <t>19/1</t>
  </si>
  <si>
    <t>20/1</t>
  </si>
  <si>
    <t>31/1</t>
  </si>
  <si>
    <t xml:space="preserve">Chị Thủy </t>
  </si>
  <si>
    <t>Tổng doanh số bán hàng toàn công ty tháng 01/2020</t>
  </si>
  <si>
    <t>Diễn giải</t>
  </si>
  <si>
    <t>Thu về tiền mặt</t>
  </si>
  <si>
    <t>Thu về TGNH</t>
  </si>
  <si>
    <t>Công nợ phải thu KH</t>
  </si>
  <si>
    <t>Công nợ đã thu hồi được</t>
  </si>
  <si>
    <t>Tổng doanh thu trên hoá đơn sau CK</t>
  </si>
  <si>
    <t xml:space="preserve">Doanh thu bán hàng tháng 7 </t>
  </si>
  <si>
    <t>Doanh thu bán hàng tháng 8</t>
  </si>
  <si>
    <t>Doanh thu bán hàng tháng 9</t>
  </si>
  <si>
    <t>Doanh thu bán hàng tháng 10</t>
  </si>
  <si>
    <t>Doanh thu bán hàng từ 1/11 đến 30/11</t>
  </si>
  <si>
    <t>Doanh thu tháng 12</t>
  </si>
  <si>
    <t>Doanh thu Tháng 1/2020</t>
  </si>
  <si>
    <t>Người lập biều</t>
  </si>
  <si>
    <t>Giám đốc</t>
  </si>
  <si>
    <t>Ký, ghi rõ họ tên)</t>
  </si>
  <si>
    <t>(Ký tên, đóng dấu)</t>
  </si>
  <si>
    <t>Công nợ thu hồi được</t>
  </si>
  <si>
    <t>Công nợ còn phải thu</t>
  </si>
  <si>
    <t>Doanh thu tháng 1/2020</t>
  </si>
  <si>
    <t xml:space="preserve">Họ và tên </t>
  </si>
  <si>
    <t>Lần 1</t>
  </si>
  <si>
    <t>Lần 2</t>
  </si>
  <si>
    <t>Nguyễn Tiến Lâm</t>
  </si>
  <si>
    <t>Ngô Huy Thịnh</t>
  </si>
  <si>
    <t>Nguyễn Đình Nam</t>
  </si>
  <si>
    <t>Nguyễn Đình Hùng</t>
  </si>
  <si>
    <t>Nguyễn Văn Sơn</t>
  </si>
  <si>
    <t>Nguyễn Văn Hà</t>
  </si>
  <si>
    <t>Người lập biểu</t>
  </si>
  <si>
    <t>( Ký, ghi rõ họ tên)</t>
  </si>
  <si>
    <t>( Doanh thu gồm cả tiền mặt, chuyển khoản và công nợ)</t>
  </si>
  <si>
    <t>Các khoản thu</t>
  </si>
  <si>
    <t>Các khoản chi</t>
  </si>
  <si>
    <t>Mr Long</t>
  </si>
  <si>
    <t>TK cty BIDV</t>
  </si>
  <si>
    <t>TK cty ACB</t>
  </si>
  <si>
    <t>TK cá nhân a Lâm ( Tiền mặt)</t>
  </si>
  <si>
    <t>TK cá nhân A Lâm</t>
  </si>
  <si>
    <t xml:space="preserve">A Sơn ứng tiền cá nhân </t>
  </si>
  <si>
    <t xml:space="preserve">A Hùng ứng tiền cá nhân </t>
  </si>
  <si>
    <t xml:space="preserve">A Nam ứng tiền cá nhân </t>
  </si>
  <si>
    <t xml:space="preserve">A Hà ứng tiền cá nhân </t>
  </si>
  <si>
    <t>27/6</t>
  </si>
  <si>
    <t>LONG đóng cổ đông</t>
  </si>
  <si>
    <t>HÙNG đóng cổ đông</t>
  </si>
  <si>
    <t>NAM đóng cổ đông</t>
  </si>
  <si>
    <t>THỊNH đóng cổ đông</t>
  </si>
  <si>
    <t>Doanh thu bán hàng tháng 7- Đly Gia lai C. Hiền ngày 24/7</t>
  </si>
  <si>
    <t>A Sơn ứng cho công ty vay</t>
  </si>
  <si>
    <t>A Hà ứng cho công ty vay</t>
  </si>
  <si>
    <t>In nhãn- Cty ứng trước một phần tiền -Chuyển nhà máy (nguyễn thanh Long)</t>
  </si>
  <si>
    <t>In nhãn- Cty ứng trước một phần Chi phí in nhãn mác-Chuyển nhà máy</t>
  </si>
  <si>
    <t>Công ty chuyển tiền đặt cọc cho Hợp đồng nhập hàng đợt 1- Chuyển nhà máy</t>
  </si>
  <si>
    <t>Công ty thanh toán 1 phần chi phí nhập hàng đợt 1- Chuyển nhà máy</t>
  </si>
  <si>
    <t>Đặt áo vest</t>
  </si>
  <si>
    <t>Đặt cọc nhà hang Vạn Hoa</t>
  </si>
  <si>
    <t>Thuê văn phòng từ 1/7</t>
  </si>
  <si>
    <t>29/6</t>
  </si>
  <si>
    <t>TSCĐ- Bàn ghế sofa, GĐ</t>
  </si>
  <si>
    <t>Mua cốc thủy tinh và bóng bay (2.400 cốc thủy tinh+ 2.000 bóng bay)</t>
  </si>
  <si>
    <t>2/7</t>
  </si>
  <si>
    <t>TSCĐ- Rèm cửa</t>
  </si>
  <si>
    <t>Túi nilon</t>
  </si>
  <si>
    <t>Áo đồng phục Nano Milk</t>
  </si>
  <si>
    <t>Biển bảng GĐ</t>
  </si>
  <si>
    <t>Lắp Internet</t>
  </si>
  <si>
    <t>6/7</t>
  </si>
  <si>
    <t>Điều hòa (lắp, ống đồng, ..)</t>
  </si>
  <si>
    <t>Tủ lạnh</t>
  </si>
  <si>
    <t>Kệ để giầy</t>
  </si>
  <si>
    <t>Bàn kế toán. Ghế bàn họp</t>
  </si>
  <si>
    <t xml:space="preserve">Thần tài </t>
  </si>
  <si>
    <t>Cây + chậu</t>
  </si>
  <si>
    <t xml:space="preserve">Khóa </t>
  </si>
  <si>
    <t>chìa</t>
  </si>
  <si>
    <t>Về nhà bà A. Hà (vhoa, lễ 750k, nước uống 40k)</t>
  </si>
  <si>
    <t>Nồi cơm điện</t>
  </si>
  <si>
    <t xml:space="preserve">Bóng đèn </t>
  </si>
  <si>
    <t>Bóng nháy</t>
  </si>
  <si>
    <t>Lông công,..(a Hà mua giúp)</t>
  </si>
  <si>
    <t>Hoa họp báo 6 bó, 1 lãng</t>
  </si>
  <si>
    <t>Photo, ghim, văn bản, HĐ 2 lần</t>
  </si>
  <si>
    <t>2 thùng nước Lavi</t>
  </si>
  <si>
    <t>Đổi bình nước lọc tầng  1</t>
  </si>
  <si>
    <t>19/7</t>
  </si>
  <si>
    <t>Ghim siêu thị T1</t>
  </si>
  <si>
    <t>Bia Thu Hằng trc hôm họp báo</t>
  </si>
  <si>
    <t>7/7</t>
  </si>
  <si>
    <t>2 Cây phát lộc</t>
  </si>
  <si>
    <t>Biển phòng kế toán</t>
  </si>
  <si>
    <t>2 gói chè siêu thị</t>
  </si>
  <si>
    <t>Chổi lau, chổi quét, nước vsinh, nước rửa bát, .. dọn vp mới</t>
  </si>
  <si>
    <t>10/7</t>
  </si>
  <si>
    <t>Đi siêu thị T1 cùng a Sơn, mua một số đồ gia dụng</t>
  </si>
  <si>
    <t>16/7</t>
  </si>
  <si>
    <t>Ăn quán gà sau khi chụp ảnh đồng phục tại Vp</t>
  </si>
  <si>
    <t xml:space="preserve">Sửa tủ lạnh </t>
  </si>
  <si>
    <t>Mua lễ, đồ, trc hôm nhập trạch</t>
  </si>
  <si>
    <t>Bia Tam Hùng (A Sơn, A Lâm, A Hà, Long, A Hùng)</t>
  </si>
  <si>
    <t>Bảng kính viết</t>
  </si>
  <si>
    <t>CP ăn uống- Ăn cuối tháng, đi chợ + bia</t>
  </si>
  <si>
    <t>CP ăn uống- Ăn mới dọn vp mới + bia</t>
  </si>
  <si>
    <t>VPP- Rắc cắm, 2 ổ dài</t>
  </si>
  <si>
    <t>CP ăn uống-Café MAX họp cổ đông (hôm trúng đề)- HĐ cafe New window</t>
  </si>
  <si>
    <t>8/7</t>
  </si>
  <si>
    <t>Công chứng GPKD</t>
  </si>
  <si>
    <t>CP xăng xe- Đổ xăng trc khi đi mua tủ lạnh đường Nguyễn Trãi</t>
  </si>
  <si>
    <t>Dấu xuất kho, …</t>
  </si>
  <si>
    <t>Chi phí thuê xe từ 19/7 đến 19/8</t>
  </si>
  <si>
    <t>A Lâm vay cá nhân từ tiền công ty để chi cho công ty (7tr + 5tr +1.5tr +1tr + 100k)</t>
  </si>
  <si>
    <t>Chuyển trước A Lâm (11tr+ 5tr)- A Lâm vay cá nhân từ tiền công ty để chi cho công ty</t>
  </si>
  <si>
    <t>Gửi lễ Thầy</t>
  </si>
  <si>
    <t>Hoa quả, bánh</t>
  </si>
  <si>
    <t>Ca sĩ, Mc</t>
  </si>
  <si>
    <t>Bếp hồng ngoại</t>
  </si>
  <si>
    <t>15/7</t>
  </si>
  <si>
    <t>Đồ gia dụng BigC</t>
  </si>
  <si>
    <t>Thuế VAT 10%</t>
  </si>
  <si>
    <t>Thuế VAT 5%</t>
  </si>
  <si>
    <t>Thanh toán lần 2 chi phí in nhãn</t>
  </si>
  <si>
    <t>Cty nhập hàng đợt 1- Soy 10 Thùng</t>
  </si>
  <si>
    <t>Cty nhập hàng đợt 1- Sữa 67 thùng</t>
  </si>
  <si>
    <t>25/6</t>
  </si>
  <si>
    <t>Thông tấn xã</t>
  </si>
  <si>
    <t>Báo chí, VTC</t>
  </si>
  <si>
    <t xml:space="preserve">Xăng </t>
  </si>
  <si>
    <t>Lễ hôm nhập trạch</t>
  </si>
  <si>
    <t>Gạo, hoa quả</t>
  </si>
  <si>
    <t>Bữa ăn hôm tập duyệt</t>
  </si>
  <si>
    <t xml:space="preserve">Xăng xe đi lại </t>
  </si>
  <si>
    <t>Đặt cọc tiền thuê xe ô tô</t>
  </si>
  <si>
    <t>19/6</t>
  </si>
  <si>
    <t>Thanh toán chi phí thuê xe từ 19/06 -19/07</t>
  </si>
  <si>
    <t>Tiền nhãn (Đăng ký VSATTP)</t>
  </si>
  <si>
    <t>20/6</t>
  </si>
  <si>
    <t>A Lâm đưa Long nộp quỹ công ty ( A Lâm đóng CP)</t>
  </si>
  <si>
    <t>A Sơn đưa ( Long mượn cá nhân)</t>
  </si>
  <si>
    <t>A Lâm đưa</t>
  </si>
  <si>
    <t>Bán sữa Canxi Nano bên Nông nghiệp Long thu</t>
  </si>
  <si>
    <t>Chuyển 2 hộp sữa Canxi Nano Cô Khách ngõ 7 Trung Hòa Nhân Chính</t>
  </si>
  <si>
    <t>17/5</t>
  </si>
  <si>
    <t>Ăn tối với C Phương, C Hạnh, A Hùng</t>
  </si>
  <si>
    <t>22/5</t>
  </si>
  <si>
    <t>Gửi hàng tuyên Quang</t>
  </si>
  <si>
    <t>Ẩm thực gà ngon</t>
  </si>
  <si>
    <t>Xuống Hưng Yên đổ xăng</t>
  </si>
  <si>
    <t>31/5</t>
  </si>
  <si>
    <t>Café gặp Nam</t>
  </si>
  <si>
    <t>29/5</t>
  </si>
  <si>
    <t>Café Highland Trần Hưng Đạo</t>
  </si>
  <si>
    <t>Mua xăng lúc xe hỏng trên Đại Lộ</t>
  </si>
  <si>
    <t>Mua xăng tại Long Hải</t>
  </si>
  <si>
    <t>4/6</t>
  </si>
  <si>
    <t>Sáng café 18T1 (3 ae)</t>
  </si>
  <si>
    <t>3/6</t>
  </si>
  <si>
    <t>Gửi hàng A lợi Đà Nẵng</t>
  </si>
  <si>
    <t>Nhận hàng Sơn La</t>
  </si>
  <si>
    <t>Café Minalo gặp Nam</t>
  </si>
  <si>
    <t>Mua cây bên Nông nghiệp</t>
  </si>
  <si>
    <t>Đổ xăng lúc về</t>
  </si>
  <si>
    <t>Đóng tiền nhà kho</t>
  </si>
  <si>
    <t>Xuống nhà máy đưa a Lâm trên đường xuống</t>
  </si>
  <si>
    <t>Đưa a Sơn</t>
  </si>
  <si>
    <t>Hôm đi Vĩnh Phúc về tối</t>
  </si>
  <si>
    <t>Đổ xăng xuống Hải Phòng</t>
  </si>
  <si>
    <t>Cước đường bộ</t>
  </si>
  <si>
    <t>Uống café với 2 chị Ngọc Hà, Ba ĐÌnh</t>
  </si>
  <si>
    <t>Ăn trưa Hoàng Đạo Thúy</t>
  </si>
  <si>
    <t>Lên Lào cai nghỉ nhà nghỉ đêm</t>
  </si>
  <si>
    <t>Nghỉ trưa hôm sau (hôm đi ăn cùng chị Hải)</t>
  </si>
  <si>
    <t>Ăn tối Yên Bái dọc đường về</t>
  </si>
  <si>
    <t>Mua kem nước</t>
  </si>
  <si>
    <t>Phí đường về</t>
  </si>
  <si>
    <t>Caphe Myway Hoàng Đạo Thúy</t>
  </si>
  <si>
    <t>Đổ xăng đường Láng</t>
  </si>
  <si>
    <t>Sau đó đi Vĩnh Phúc</t>
  </si>
  <si>
    <t>Tối lên Tuyên Quang</t>
  </si>
  <si>
    <t>Ăn sáng hôm sau</t>
  </si>
  <si>
    <t>In 2 cuốn thu chi</t>
  </si>
  <si>
    <t>Hôm đi từ nhà máy về</t>
  </si>
  <si>
    <t>Ăn vịt trưa</t>
  </si>
  <si>
    <t>Đổ xăng Hoàng Quốc Việt</t>
  </si>
  <si>
    <t>Trưa café 18T1</t>
  </si>
  <si>
    <t>Họp cổ đông Max caffe ( Hoá đơn New window)</t>
  </si>
  <si>
    <t>Sáng café 18T1, chiều cafe Max</t>
  </si>
  <si>
    <t>Đi gửi hàng lên tp Tuyên Quang về đổ xăng</t>
  </si>
  <si>
    <t>Họp kinh doanh Café max ( HĐ New window)</t>
  </si>
  <si>
    <t>Họp báo</t>
  </si>
  <si>
    <t>Sửa ô tô Long Hải</t>
  </si>
  <si>
    <t>Thuế VAT</t>
  </si>
  <si>
    <t>3/5</t>
  </si>
  <si>
    <t>Ăn trưa quán nhà sàn gần Long Hải</t>
  </si>
  <si>
    <t>Khai trương đại lý tuyên quang</t>
  </si>
  <si>
    <t>18/5</t>
  </si>
  <si>
    <t>Ngủ khách sạn Mường Thanh</t>
  </si>
  <si>
    <t>23/5</t>
  </si>
  <si>
    <t>Cafe Hoàng Quốc Việt</t>
  </si>
  <si>
    <t>Ăn trưa Vĩnh Phúc</t>
  </si>
  <si>
    <t>26/7</t>
  </si>
  <si>
    <t>Thuê kho bắt đầu từ 14/6</t>
  </si>
  <si>
    <t>A Lâm Chuyển vào tài khoản của Long để nộp thuế môn bài ( A Lâm đóng CP)</t>
  </si>
  <si>
    <t>A Lâm đưa Long tiền mặt nộp thuế ( A Lâm đóng CP)</t>
  </si>
  <si>
    <t>24/7</t>
  </si>
  <si>
    <t>Đi lên Vĩnh Phúc tối đổ xăng, sau đó rút tiền TP</t>
  </si>
  <si>
    <t xml:space="preserve">Thuế VAT </t>
  </si>
  <si>
    <t>Trạm thu phí</t>
  </si>
  <si>
    <t>23/6</t>
  </si>
  <si>
    <t>Café mộc gặp Kế toán xin việc</t>
  </si>
  <si>
    <t>Ăn trưa trung hòa Nhân chính</t>
  </si>
  <si>
    <t>Mua phát wifi máy tính, đi chợ</t>
  </si>
  <si>
    <t>5/6</t>
  </si>
  <si>
    <t>Sửa chữa ô tô</t>
  </si>
  <si>
    <t>Cafe Milano</t>
  </si>
  <si>
    <t>15/6</t>
  </si>
  <si>
    <t xml:space="preserve">Cafe Myway </t>
  </si>
  <si>
    <t>5/7</t>
  </si>
  <si>
    <t>Mua đồ dùng sử dụng cho văn phòng cty</t>
  </si>
  <si>
    <t>26/6</t>
  </si>
  <si>
    <t>Cafe tiếp khách New window</t>
  </si>
  <si>
    <t>22/7</t>
  </si>
  <si>
    <t>Thanh toán lần 2 chi phí tiệc họp báo ra mắt sp nhà hàng Vạn Hoa</t>
  </si>
  <si>
    <t>05/07</t>
  </si>
  <si>
    <t>Mua nước rửa chén</t>
  </si>
  <si>
    <t>14/6</t>
  </si>
  <si>
    <t>Cước đường bộ cao tốc HN- HP</t>
  </si>
  <si>
    <t>Mua 2 cây phát lộc</t>
  </si>
  <si>
    <t>Mua cây Kim Tiền</t>
  </si>
  <si>
    <t>Chi phí chuyển phát sữa lên Yên Bái</t>
  </si>
  <si>
    <t>9/7</t>
  </si>
  <si>
    <t>Xăng E5 ron 92-II</t>
  </si>
  <si>
    <t>Xăng Ron 95</t>
  </si>
  <si>
    <t>Chi phí ăn uống nhà hàng Bình Minh Vĩnh Phúc</t>
  </si>
  <si>
    <t>Long đặt cọc tiền mua tủ đựng tài liệu phòng kế toán</t>
  </si>
  <si>
    <t>31/7</t>
  </si>
  <si>
    <t>A Lâm thanh toán tiền mua tủ đựng tài liệu phòng kế toán</t>
  </si>
  <si>
    <t>Cước vận chuyển tủ tài liệu</t>
  </si>
  <si>
    <t>Cafe Mộc Quán</t>
  </si>
  <si>
    <t>Tiếp khách Quý Đức- ĐLý HN-Lẩu nướng Hàn Quốc</t>
  </si>
  <si>
    <t>Doanh thu bán hàng tháng 7 đã trừ công nợ KH và khoản của Đại lý chị Hiền Gia Lai.</t>
  </si>
  <si>
    <t>Số liệu thay đổi do KH trả lại hàng</t>
  </si>
  <si>
    <t>Cafe Times Coffee Vĩnh Phúc</t>
  </si>
  <si>
    <t>29/7</t>
  </si>
  <si>
    <t>Thực phẩm bữa trưa tại văn phòng</t>
  </si>
  <si>
    <t>Chi phí tiếp khách Thông tấn xã- VTC</t>
  </si>
  <si>
    <t>Chi phí tiếp khách nhà hàng Thanh Xuân Ninh Bình</t>
  </si>
  <si>
    <t>Mua xăng Ron 95 tại Vĩnh Phúc</t>
  </si>
  <si>
    <t>Thuế GTGT</t>
  </si>
  <si>
    <t>Cước đường bộ trạm thu phí Bắc Thăng Long- Nội Bài</t>
  </si>
  <si>
    <t>Cước đường bộ đoạn Bài Vĩnh Yên (Quốc lộ 2)</t>
  </si>
  <si>
    <t>Cước đường bộ Cao tốc Nội Bài- Lào Cai</t>
  </si>
  <si>
    <t>Cước đường bộ quốc lộ 17B</t>
  </si>
  <si>
    <t>Cước đường cao tốc Nội Bài- Lào Cai</t>
  </si>
  <si>
    <t>Cước đường bộ Pháp Vân - Cầu Giẽ</t>
  </si>
  <si>
    <t>Vé sử dụng đường bộ Thăng Long- Nội Bài</t>
  </si>
  <si>
    <t>Vé thu phí dịch vụ sử dụng đường bộ Quảng Ninh</t>
  </si>
  <si>
    <t>Cước đường bộ cao tốc Hà Nội- Hải Phòng</t>
  </si>
  <si>
    <t>Vé trông giữ ô tô chợ Đồng Xuân</t>
  </si>
  <si>
    <t>Mua phần mềm học bán hàng online Unimall</t>
  </si>
  <si>
    <t>Mua máy in + mực phòng kế toán</t>
  </si>
  <si>
    <t>2/8</t>
  </si>
  <si>
    <t>Mua thực phẩm bữa trưa tại cty</t>
  </si>
  <si>
    <t>Mua lễ thắp hương ngày mùng một tại đền Bia Bà</t>
  </si>
  <si>
    <t>3/8</t>
  </si>
  <si>
    <t>4/8</t>
  </si>
  <si>
    <t>Mua xăng công tác Vĩnh Yên</t>
  </si>
  <si>
    <t>Cafe gặp khách hàng</t>
  </si>
  <si>
    <t>5/8</t>
  </si>
  <si>
    <t>Tiếp khách bữa trưa tại Vĩnh Yên</t>
  </si>
  <si>
    <t>6/8</t>
  </si>
  <si>
    <t>Mua quạt, móc áo, sổ, ổ điện dùng trong văn phòng cty</t>
  </si>
  <si>
    <t xml:space="preserve">Lệ phí cầu đường </t>
  </si>
  <si>
    <t>Phụ cấp công tác ( Tiền cafe)</t>
  </si>
  <si>
    <t>Mua xăng dầu</t>
  </si>
  <si>
    <t>10/8</t>
  </si>
  <si>
    <t>Cty mua bảng ghim treo tường</t>
  </si>
  <si>
    <t>Thanh toán tiền dọn dẹp vệ sinh tháng 7</t>
  </si>
  <si>
    <t>12/8</t>
  </si>
  <si>
    <t>Mua dây ống nước</t>
  </si>
  <si>
    <t>8/8</t>
  </si>
  <si>
    <t>Thanh toán lần 1 tiền làm biển đại lý chị Sáu đê Trần Khát Chân</t>
  </si>
  <si>
    <t>Phí chuyển khoản</t>
  </si>
  <si>
    <t>Thanh toán lần 1 tiền nhập hàng đợt 2 cho Nguyễn Thanh Long</t>
  </si>
  <si>
    <t>9/8</t>
  </si>
  <si>
    <t>Thanh toán tiền thiết kế website cho anh Hà</t>
  </si>
  <si>
    <t>11/8</t>
  </si>
  <si>
    <t>In ấn Brochure và Phiếu bán hàng</t>
  </si>
  <si>
    <t xml:space="preserve">Thanh toán chi phí tiếp khách bữa trưa </t>
  </si>
  <si>
    <t>Vé dịch vụ dừng đỗ ô tô</t>
  </si>
  <si>
    <t>Đăng ký nhạc chờ</t>
  </si>
  <si>
    <t>Doanh thu bán hàng tháng 8 đã trừ công nợ KH ( chốt đến 31/8)</t>
  </si>
  <si>
    <t>7/8</t>
  </si>
  <si>
    <t>A Lâm ứng tiền cho Lan đi chợ</t>
  </si>
  <si>
    <t>Thanh toán lần 2 tiền làm biển đại lý chị Sáu đê Trần Khát Chân</t>
  </si>
  <si>
    <t>KH thanh toán tiền mua hàng qua TK BIDV của Long( a Lâm bán sữa Canxi Nano)</t>
  </si>
  <si>
    <t>Cty nhập hàng lần 2- anh Lâm thanh toán số còn lại</t>
  </si>
  <si>
    <t>Thanh toán tiền làm giấy phép hoạt động cty</t>
  </si>
  <si>
    <t>Chi phí chuyển phát nhanh</t>
  </si>
  <si>
    <t>Nam tự ứng tiền cá nhân thanh toán các khoản chi cho cty ( Chi tiết trong sheet Chi phí khác)</t>
  </si>
  <si>
    <t>Hoa tặng anh Hùng sinh nhật</t>
  </si>
  <si>
    <t>17/8</t>
  </si>
  <si>
    <t>Mua gạo nấu bữa trưa (30kg)</t>
  </si>
  <si>
    <t>A Lâm ứng tiền cho Tâm đi chợ</t>
  </si>
  <si>
    <t>20/7</t>
  </si>
  <si>
    <t>Cốc giấy sử dụng họp báo ra mắt SP</t>
  </si>
  <si>
    <t>Tiền vé vào cửa, tiền gửi 02 xe ô tô, tiền mua lễ, tiền nước uống</t>
  </si>
  <si>
    <t>Thanh toán tiền điện kỳ 1 tháng 8</t>
  </si>
  <si>
    <t>Thanh toán tiền phí dịch vụ, tiền nước văn phòng tháng 7</t>
  </si>
  <si>
    <t>Mua nước uống tại cty</t>
  </si>
  <si>
    <t>30/7</t>
  </si>
  <si>
    <t>Mua xăng</t>
  </si>
  <si>
    <t>18/8</t>
  </si>
  <si>
    <t>Thuê phòng nghỉ qua đêm ( 2 đêm x 300.000đ/đêm)</t>
  </si>
  <si>
    <t>Phụ cấp công tác ( Tiền ăn-3 ngày x  240.000đ/ngày )</t>
  </si>
  <si>
    <t>Mua xăng (715 km x2.000đ/km)</t>
  </si>
  <si>
    <t xml:space="preserve">Thuê phòng nghỉ qua đêm </t>
  </si>
  <si>
    <t>Phụ cấp công tác ( Tiền ăn-1 ngày x  240.000đ/ngày )</t>
  </si>
  <si>
    <t>Thu lại tiền đặt cọc do cty dừng không thuê xe ô tô</t>
  </si>
  <si>
    <t>Thu lại tiền đặt cọc khi nhập hàng 67 thùng sữa</t>
  </si>
  <si>
    <t>Tổng cộng các khoản thu chi từ T5 đến 19.8</t>
  </si>
  <si>
    <t>Tổng thu từ T5 đến 19.8</t>
  </si>
  <si>
    <t>Tổng chi từ T5 đến 19.8</t>
  </si>
  <si>
    <t>Lợi nhuận từ T5 đến 19.8</t>
  </si>
  <si>
    <t>TIỀN CỔ PHẦN</t>
  </si>
  <si>
    <t>Anh Thịnh đóng tiền cổ phần</t>
  </si>
  <si>
    <t>3/9</t>
  </si>
  <si>
    <t>Anh Lâm đóng tiền cổ phần</t>
  </si>
  <si>
    <t>24/10</t>
  </si>
  <si>
    <t>DOANH THU BÁN HÀNG</t>
  </si>
  <si>
    <t>Tháng 9</t>
  </si>
  <si>
    <t>Doanh thu T7 và T8 có sự thay đổi nên đưa sang bảng tổng hợp thu chi họp 20.8</t>
  </si>
  <si>
    <t>Tháng 10</t>
  </si>
  <si>
    <t>Tháng 11</t>
  </si>
  <si>
    <t>CÔNG NỢ THU HỒI ĐƯỢC</t>
  </si>
  <si>
    <t>Đại lý Thủy Vi</t>
  </si>
  <si>
    <t>Đại lý Thanh Hòa</t>
  </si>
  <si>
    <t>Đại lý Dung Phi</t>
  </si>
  <si>
    <t>Đại lý anh Minh Gia Lâm</t>
  </si>
  <si>
    <t>Đại lý Trường Hiền</t>
  </si>
  <si>
    <t>Đại lý Tuyết Nhung</t>
  </si>
  <si>
    <t>Anh Sơn nhân viên Vĩnh Phúc</t>
  </si>
  <si>
    <t>Đại lý chị Huệ Điện Biên</t>
  </si>
  <si>
    <t>CÁC KHOẢN THU KHÁC</t>
  </si>
  <si>
    <t>26/8</t>
  </si>
  <si>
    <t>KH của Ms Lan ở Hải Dương thanh toán tiền mua 02 hộp sữa giảm cân</t>
  </si>
  <si>
    <t>Đơn hàng sữa Lạng Sơn thanh toán tiền hàng</t>
  </si>
  <si>
    <t>Thu tiền trang bị máy móc cho ĐL Thủy Vi</t>
  </si>
  <si>
    <t>Thu tiền hoàn ứng lương giả định để vay vốn NH của Hương</t>
  </si>
  <si>
    <t>ĐL Thủy Vi thanh toán tiền cờ giải bóng chuyền chào mừng 20/11 ở Vĩnh Phúc</t>
  </si>
  <si>
    <t>CHI PHÍ NHẬP HÀNG</t>
  </si>
  <si>
    <t>Chuyển tiền đặt hàng đợt 3</t>
  </si>
  <si>
    <t>Thanh toán tiền nhập hàng đợt 3</t>
  </si>
  <si>
    <t>Đặt cọc tiền nhập hàng đợt 4</t>
  </si>
  <si>
    <t xml:space="preserve">Thanh toán lần 1 </t>
  </si>
  <si>
    <t>Thanh toán lần 2</t>
  </si>
  <si>
    <t>Thanh toán lần 1 tiền nhập hàng đợt 5</t>
  </si>
  <si>
    <t>Thanh toán tiền nhập hàng đợt 6 ( 49 hộp Soy)</t>
  </si>
  <si>
    <t>Đặt cọc tiền nhập hàng đợt 7</t>
  </si>
  <si>
    <t>CHI PHÍ LƯƠNG ĐÃ THANH TOÁN</t>
  </si>
  <si>
    <t>1/9</t>
  </si>
  <si>
    <t>Thanh toán tiền lương tháng 8 cho Tâm</t>
  </si>
  <si>
    <t>Ứng trước 50% lương tháng 9 cho Tâm</t>
  </si>
  <si>
    <t>Ứng lương tháng 8 cho a Sơn</t>
  </si>
  <si>
    <t>Cty thanh toán tiền lương tháng 8 cho a Sơn</t>
  </si>
  <si>
    <t>Cty thanh toán tiền lương tháng 8 cho Lan kế toán</t>
  </si>
  <si>
    <t>Long chi lương giả định cho A Sơn</t>
  </si>
  <si>
    <t xml:space="preserve">Long chi lương giả định cho Hương </t>
  </si>
  <si>
    <t>Long chi lương giả định cho Long</t>
  </si>
  <si>
    <t xml:space="preserve">Anh Sơn ứng lương tháng 9 </t>
  </si>
  <si>
    <t>Tâm ứng lương tháng 9 và 10</t>
  </si>
  <si>
    <t xml:space="preserve">Anh Sơn ứng lương T9+T10 </t>
  </si>
  <si>
    <t>Anh Sơn ứng lương T9</t>
  </si>
  <si>
    <t>Lan ứng lương tháng 9 và 10</t>
  </si>
  <si>
    <t>Thanh toán lương tháng 9 cho chị Thanh kế toán thuế</t>
  </si>
  <si>
    <t>Anh Sơn ứng lương tháng 10</t>
  </si>
  <si>
    <t>Em Tâm ứng lương tháng 10</t>
  </si>
  <si>
    <t>Long kho vận ứng lương tháng 10</t>
  </si>
  <si>
    <t>Anh Sơn ứng lương tháng 9 và 10</t>
  </si>
  <si>
    <t>Thanh toán tiền lương tháng 10 cho Đức thiết kế</t>
  </si>
  <si>
    <t>Thanh toán cho Tâm phần còn lại của lương T9,10 và các khoản Tâm ứng để mua thực phẩm, văn phòng phẩm đã chi cho cty từ 11/ 9 đến 27/11</t>
  </si>
  <si>
    <t>Thanh toán cho a Sơn lương tháng 9+10</t>
  </si>
  <si>
    <t>A Sơn ứng lương tháng 11</t>
  </si>
  <si>
    <t>CHI PHÍ KHÁC</t>
  </si>
  <si>
    <t>20/8</t>
  </si>
  <si>
    <t>Thanh toán tiền phí dịch vụ và tiền nước tháng 8</t>
  </si>
  <si>
    <t>Thanh toán tiền điện tháng 8</t>
  </si>
  <si>
    <t>Ứng chi tiền mua thực phẩm tại văn phòng</t>
  </si>
  <si>
    <t>Chi phí anh Hùng phòng kinh doanh đi Vĩnh Yên-Phúc Yên-Lập Thạch, tiền vé cầu đường</t>
  </si>
  <si>
    <t>( Đã gồm VAT)</t>
  </si>
  <si>
    <t>Chi phí anh Hùng phòng kinh doanh đi công tác Vĩnh Yên-Phúc Yên-Lập Thạch tiền tiếp khách ăn uống cafe</t>
  </si>
  <si>
    <t>Chi phí anh Hùng phòng kinh doanh đi Vĩnh Yên-Phúc Yên-Lập Thạch tiền mua xăng</t>
  </si>
  <si>
    <t>395km, đơn giá 2.000đ/km</t>
  </si>
  <si>
    <t>24/8</t>
  </si>
  <si>
    <t xml:space="preserve">Phí dịch vụ nhắn tin tự động tháng 7 </t>
  </si>
  <si>
    <t>Khóa học USB công ty</t>
  </si>
  <si>
    <t xml:space="preserve">Anh Lâm ứng cho Tâm tiền mua thực phẩm </t>
  </si>
  <si>
    <t xml:space="preserve">Cty mua két sắt lưu trữ để tại phòng kế toán </t>
  </si>
  <si>
    <t>HĐ số 0000083</t>
  </si>
  <si>
    <t>Chi phí A Hùng phòng kinh doanh đi công tác tuyến HN-Sông Công-Thái Nguyên-Vĩnh Phúc từ 27-&gt; 28/8,  vé cầu đường</t>
  </si>
  <si>
    <t>Chi phí A Hùng phòng kinh doanh đi công tác tuyến HN-Sông Công-Thái Nguyên-Vĩnh Phúc từ 27-&gt; 28/8,  phụ cấp công tác</t>
  </si>
  <si>
    <t xml:space="preserve">Chi phí A Hùng phòng kinh doanh đi công tác tuyến HN-Sông Công-Thái Nguyên-Vĩnh Phúc từ 27-&gt; 28/8,  mua xăng </t>
  </si>
  <si>
    <t>Chi phí A Hùng phòng kinh doanh đi công tác Tuyên Quang ngày 29/8,  vé cầu đường</t>
  </si>
  <si>
    <t>Chi phí phòng kinh doanh đi công tác Tuyên Quang ngày 29/8,  tiền mua xăng</t>
  </si>
  <si>
    <t>Chi phí tiếp khách tại Vĩnh Phúc nhà sàn Khương Duy</t>
  </si>
  <si>
    <t>Chi phí mua bàn hỗ trợ đại lý</t>
  </si>
  <si>
    <t>Chi phí tiếp khách</t>
  </si>
  <si>
    <t>Anh Lâm ứng Lan để chi dùng cho văn phòng</t>
  </si>
  <si>
    <t>Chi phí mua xăng</t>
  </si>
  <si>
    <t>HĐ số 0266405</t>
  </si>
  <si>
    <t>HĐ số 0000108</t>
  </si>
  <si>
    <t>HĐ số 0007936</t>
  </si>
  <si>
    <t xml:space="preserve">Cty thanh toán tiền mua xăng đi công tác Vĩnh Phúc- Tuyên Quang- Phú Thọ </t>
  </si>
  <si>
    <t>HĐ số 0397731</t>
  </si>
  <si>
    <t>Chi phí tiếp khách Tam Đảo Vĩnh Phúc</t>
  </si>
  <si>
    <t>Chi phí công tác Vĩnh Phúc Tuyên Quang tiền lệ phí cầu đường</t>
  </si>
  <si>
    <t>Chi phí công tác Vĩnh Phúc Tuyên Quang tiền mua xăng dầu</t>
  </si>
  <si>
    <t>Cafe tiếp khách hàng</t>
  </si>
  <si>
    <t>Chi phí tiếp khách công tác Tuyên Quang ( trưa và tối)</t>
  </si>
  <si>
    <t>Thu phí mua séc số lượng 50 tờ</t>
  </si>
  <si>
    <t>Thu phí dưới số dư</t>
  </si>
  <si>
    <t>Phí chuyển khoản 20tr tiền đặt hàng lần 3</t>
  </si>
  <si>
    <t>Thanh toán tiền mua 15 cờ + 3 cờ giải + 1 backroup lưu niệm 20/10</t>
  </si>
  <si>
    <t>Đi công tác Vĩnh Phúc chi phí thuê xe ngày 1,2,3/9/2019</t>
  </si>
  <si>
    <t>Đi công tác Vĩnh Phúc chi phí tiếp khách</t>
  </si>
  <si>
    <t>Đi công tác Vĩnh Phúc chi phí xăng xe</t>
  </si>
  <si>
    <t>Thanh toán tiền thuê gian hàng ngày 8/9 hội chợ tòa nhà An Khánh</t>
  </si>
  <si>
    <t>Chị Hương vợ a Lâm ứng và a Lâm thanh toán</t>
  </si>
  <si>
    <t>Anh Lâm thanh toán tiền thuê kho từ 13/7-&gt; 13/8 ( âm lịch)</t>
  </si>
  <si>
    <t>Chi phí công tác TP Thái Nguyên ngày 5/9 tiền thuê xe</t>
  </si>
  <si>
    <t>Chi phí công tác TP Thái Nguyên ngày 5/9 tiền tiếp khách ăn sáng</t>
  </si>
  <si>
    <t xml:space="preserve">Anh Lâm thanh toán tiền in decal </t>
  </si>
  <si>
    <t>Công ty thanh toán công nợ với anh Sơn</t>
  </si>
  <si>
    <t>Long ứng tiênf mua VPP</t>
  </si>
  <si>
    <t>Chi phí công tác Đà Nẵng ngày 7 -&gt; 9/9  tiền thuê phòng nghỉ</t>
  </si>
  <si>
    <t xml:space="preserve">Chi phí công tác Đà Nẵng ngày 7 -&gt; 9/9 tiền vé máy bay </t>
  </si>
  <si>
    <t>Chi phí công tác Đà Nẵng ngày 7 -&gt; 9/9  tiền ăn</t>
  </si>
  <si>
    <t>Cty đặt hoa tặng khai trương đại lý Thủy Vi Tuyên Quang</t>
  </si>
  <si>
    <t>Chi phí thuê MC khai trương ĐL Thủy Vi</t>
  </si>
  <si>
    <t>Chi phí cầu đường đi Tuyên Quang khai trương ĐL Thủy Vi</t>
  </si>
  <si>
    <t>Chi phí tiếp khách bữa sáng đi khai trương ĐL Thủy Vi</t>
  </si>
  <si>
    <t>Chi phí công tác Tuyên Quang ngày 9/9 tiền phòng nghỉ</t>
  </si>
  <si>
    <t>Chi phí công tác Tuyên Quang ngày 9/9 tiền mua nước uống</t>
  </si>
  <si>
    <t>Chi phí công tác Tuyên Quang ngày 9/9 tiền cầu đường</t>
  </si>
  <si>
    <t>Chi phí công tác Tuyên Quang ngày 9/9 tiền mua xăng</t>
  </si>
  <si>
    <t>HĐ số 0340973</t>
  </si>
  <si>
    <t>Chi phí công tác Tuyên Quang khai trương đại lý Thủy Vi ngày 10/9 tiền cầu đường</t>
  </si>
  <si>
    <t>Tiền taxi anh Sơn và Long đi ngân hàng rút tiền</t>
  </si>
  <si>
    <t>Tiếp khách bữa tối khi đi khai trương đại lý Thủy Vi Tuyên Quang</t>
  </si>
  <si>
    <t>Mua thịt lợn sạch để tủ lạnh cty nấu bữa trưa 10kg</t>
  </si>
  <si>
    <t>Thanh toán tiền VAT của hóa đơn nhập hàng số 0000132 ngày 9/9/2019</t>
  </si>
  <si>
    <t>Thanh toán tiền VAT của hóa đơn nhập hàng số 0000133 ngày 10/9/2019</t>
  </si>
  <si>
    <t>Chi phí công tác Hải Phòng tiền cầu đường</t>
  </si>
  <si>
    <t>Chi phí công tác Hải Phòng tiền xăng dầu</t>
  </si>
  <si>
    <t>Chi phí công tác Hải Phòng tiền tiếp khách</t>
  </si>
  <si>
    <t>Chi phí công tác TP Hải Dương- Bắc Ninh tiền ăn sáng, cafe, tiếp khách</t>
  </si>
  <si>
    <t>Chi phí công tác TP Hải Dương- Bắc Ninh tiền xăng dầu</t>
  </si>
  <si>
    <t>Thanh toán tiền máy tính Bách Khoa Thủy Vi</t>
  </si>
  <si>
    <t>Lưu ý các khoản này ĐL sẽ trả lại cty tiền</t>
  </si>
  <si>
    <t>Chi phí công tác Lập Thạch - Tuyên Quang ngày 13/9 lệ phí cầu đường</t>
  </si>
  <si>
    <t>Chi phí công tác Lập Thạch - Tuyên Quang ngày 13/9 nước uống+ ăn</t>
  </si>
  <si>
    <t>Chi phí công tác Lập Thạch - Tuyên Quang ngày 13/9 xăng</t>
  </si>
  <si>
    <t>Thanh toán lần 1 tiền in hóa đơn bán hàng</t>
  </si>
  <si>
    <t>14/9</t>
  </si>
  <si>
    <t>Chi phí công tác Vĩnh Yên- Lập Thạch ngày 14/9 tiền phí cầu đường</t>
  </si>
  <si>
    <t>Chi phí công tác Vĩnh Yên- Lập Thạch ngày 14/9 tiền xăng</t>
  </si>
  <si>
    <t>Thanh toán cho Tâm và Lan tiền ứng mua thực phẩm nấu bữa trưa, văn phòng phẩm từ 20/8 đến 10/9 và tiền điện thoại cố định cty tháng 7,8</t>
  </si>
  <si>
    <t>Có bảng kê chi tiết đính kèm</t>
  </si>
  <si>
    <t>15/9</t>
  </si>
  <si>
    <t>Cty tổ chức sinh nhật cho Nam phòng truyền thông</t>
  </si>
  <si>
    <t>Cafe tiếp đoàn anh Hải đối tác</t>
  </si>
  <si>
    <t>Mua bia tiếp đoàn anh Hải buổi trưa</t>
  </si>
  <si>
    <t>Thanh toán tiền mua phần mềm và thiết bị bán hàng Sapo cho ĐL Thủy Vi</t>
  </si>
  <si>
    <t>HĐ số 0000315 và 0000800</t>
  </si>
  <si>
    <t>Mua kệ trưng bày sữa trang bị cho đại lý Thủy Vy</t>
  </si>
  <si>
    <t>Thanh toán tiền biển sữa ĐL Thủy Vi Tuyên Quang</t>
  </si>
  <si>
    <t>18/9</t>
  </si>
  <si>
    <t>Mua máy tính trang bị cho đại lý Tuyết Nhung</t>
  </si>
  <si>
    <t xml:space="preserve">In 10 hộp card </t>
  </si>
  <si>
    <t>Chứng từ ngày 8/7</t>
  </si>
  <si>
    <t>Thanh toán tiền biển siêu thị Bảo An</t>
  </si>
  <si>
    <t>Thanh toán lần 2 tiền in 50 cuốn hóa đơn</t>
  </si>
  <si>
    <t>Tổng là 1,7tr</t>
  </si>
  <si>
    <t>Thanh toán tiền còn lại của áo vest</t>
  </si>
  <si>
    <t>Bổ sung chứng từ CK</t>
  </si>
  <si>
    <t>Thanh toán cho Tâm tiền mua VPP</t>
  </si>
  <si>
    <t>Chi phí công tác Vĩnh Phúc ngày 17,18/9 tiền cầu đường</t>
  </si>
  <si>
    <t>Chi phí công tác Vĩnh Phúc ngày 17,18/9 tiền thuê xe 1,5 ngày</t>
  </si>
  <si>
    <t>Chi phí công tác Vĩnh Phúc ngày 17,18/9 tiền tiếp khách cafe</t>
  </si>
  <si>
    <t>Chi phí công tác Vĩnh Phúc ngày 17,18/9 tiền xăng xe</t>
  </si>
  <si>
    <t>HĐ số 0234860</t>
  </si>
  <si>
    <t>Thanh toán tiền điện tháng 9</t>
  </si>
  <si>
    <t>Chi phí tiếp khách ẩm thực gà ngon KH tỉnh</t>
  </si>
  <si>
    <t>Thanh toán tiền mua phần mềm Misa</t>
  </si>
  <si>
    <t>Phí chuyển khoản của 100tr tiền hợp thức hóa CP A Lâm ngày 21/9 theo quy định của luật</t>
  </si>
  <si>
    <t>Phí chuyển khoản của 30tr tiền hợp thức hóa CP A Thịnh ngày 21/9 theo quy định của luật</t>
  </si>
  <si>
    <t>Phí chuyển khoản của 60tr tiền hợp thức hóa CP A Sơn ngày 21/9 theo quy định của luật</t>
  </si>
  <si>
    <t>Chi phí công tác Vĩnh Phúc ngày 21/9 tiền phòng nghỉ qua đêm</t>
  </si>
  <si>
    <t>Chi phí công tác Vĩnh Phúc ngày 21/9 tiền lệ phí cầu đường</t>
  </si>
  <si>
    <t>Chi phí công tác Vĩnh Phúc ngày 21/9 tiền thuê xe ô tô</t>
  </si>
  <si>
    <t>Chi phí công tác Vĩnh Phúc ngày 21/9 tiền xăng</t>
  </si>
  <si>
    <t>Đặt cọc tiền mua ô tô</t>
  </si>
  <si>
    <t>Thanh toán lần 1 tiền biển ĐL Tuyết Nhung</t>
  </si>
  <si>
    <t>Thanh toán tiền standy poster và chân X</t>
  </si>
  <si>
    <t>Chi phí tiếp khách công tác Vĩnh Yên- Lập Thạch- Tuyên Quang tiền cầu đường</t>
  </si>
  <si>
    <t>Chi phí tiếp khách công tác Vĩnh Yên- Lập Thạch- Tuyên Quang tiền ăn trưa uống nước</t>
  </si>
  <si>
    <t>Chi phí tiếp khách công tác Vĩnh Yên- Lập Thạch- Tuyên Quang tiền xăng</t>
  </si>
  <si>
    <t>25/9</t>
  </si>
  <si>
    <t>Chi phí taxi đi lễ tôn vinh thầy thuốc vì cộng đồng</t>
  </si>
  <si>
    <t>Chi phí tiếp khách NPP Vĩnh Phúc</t>
  </si>
  <si>
    <t>Cafe tiếp khách</t>
  </si>
  <si>
    <t>26/9</t>
  </si>
  <si>
    <t>Chuyển tiền mua xe ô tô</t>
  </si>
  <si>
    <t>Mua tài liệu đào tạo</t>
  </si>
  <si>
    <t>Anh Lâm ứng Tâm chi phí văn phòng</t>
  </si>
  <si>
    <t>Chi phí công tác Vĩnh Yên, Lập Thạch, Tuyên Quang, Thái Nguyên , tiền cầu đường</t>
  </si>
  <si>
    <t>Chi phí công tác Vĩnh Yên, Lập Thạch, Tuyên Quang, Thái Nguyên , tiền ăn trưa uống nước</t>
  </si>
  <si>
    <t>Chi phí công tác Vĩnh Yên, Lập Thạch, Tuyên Quang, Thái Nguyên , tiền xăng dầu</t>
  </si>
  <si>
    <t>Thanh toán tiền mua xe đẩy sữa</t>
  </si>
  <si>
    <t>29/9</t>
  </si>
  <si>
    <t>Chi phí đưa đón MC đi khai trương đại lý Tuyết Nhung lệ phí cầu đường</t>
  </si>
  <si>
    <t xml:space="preserve">Chi phí đưa đón MC đi khai trương đại lý Tuyết Nhung tiền ăn sáng </t>
  </si>
  <si>
    <t>Chi phí đưa đón MC đi khai trương đại lý Tuyết Nhung tiền xăng dầu</t>
  </si>
  <si>
    <t>Thanh toán tiền chuyển fat hợp đồng mua chữ ký số Newca</t>
  </si>
  <si>
    <t>Thanh toán chi phí đi công tác ngày 28 và 29/9 khai trương ĐL Tuyết Nhung Vĩnh Yên tiền phòng nghỉ</t>
  </si>
  <si>
    <t>HĐ GTGT số 0001914</t>
  </si>
  <si>
    <t>Thanh toán chi phí đi công tác ngày 28 và 29/9 khai trương ĐL Tuyết Nhung Vĩnh Yên tiền vé cầu đường</t>
  </si>
  <si>
    <t>A Sơn ứng tiền và a Lâm đã thanh toán</t>
  </si>
  <si>
    <t>Thanh toán chi phí đi công tác ngày 28 và 29/9 khai trương ĐL Tuyết Nhung Vĩnh Yên tiền thuê xe ô tô</t>
  </si>
  <si>
    <t>Thanh toán chi phí đi công tác ngày 28 và 29/9 khai trương ĐL Tuyết Nhung Vĩnh Yên tiền ăn tối ( A Lâm, Lan, Tâm)</t>
  </si>
  <si>
    <t xml:space="preserve">Thanh toán chi phí đi công tác ngày 28 và 29/9 khai trương ĐL Tuyết Nhung Vĩnh Yên tiền mua xăng </t>
  </si>
  <si>
    <t>Thanh toán chi phí đi công tác ngày 28 và 29/9 khai trương ĐL Tuyết Nhung Vĩnh Yên tiền mua hoa tặng khai trương ĐL Tuyết Nhung</t>
  </si>
  <si>
    <t>Thanh toán chi phí đi công tác ngày 28 và 29/9 khai trương ĐL Tuyết Nhung Vĩnh Yên tiền ăn sáng tối</t>
  </si>
  <si>
    <t>Chi phí công tác Thái Nguyên, Phổ Yên tiền xăng dầu</t>
  </si>
  <si>
    <t>Chi phí thuê MC khai trương ĐL Tuyết Nhung Vĩnh Yên Vĩnh Phúc</t>
  </si>
  <si>
    <t xml:space="preserve">Thanh toán tiền biển sữa em Huy Sơn La </t>
  </si>
  <si>
    <t>4/10</t>
  </si>
  <si>
    <t>Chi phí công tác Vĩnh Phúc Thái Nguyên từ 1/10 đến 4/10- phí cầu đường</t>
  </si>
  <si>
    <t>Chi phí công tác Vĩnh Phúc Thái Nguyên từ 1/10 đến 4/10- tiền thuê xe</t>
  </si>
  <si>
    <t>Chi phí công tác Vĩnh Phúc Thái Nguyên từ 1/10 đến 4/10- tiền tiếp khách Xuân Hòa</t>
  </si>
  <si>
    <t>Chi phí công tác Vĩnh Phúc Thái Nguyên từ 1/10 đến 4/10- tiền xăng</t>
  </si>
  <si>
    <t>Nợ hóa đơn</t>
  </si>
  <si>
    <t xml:space="preserve">Chi phí công tác Vĩnh Phúc Thái Nguyên từ 1/10 đến 4/10- tiền xăng </t>
  </si>
  <si>
    <t>Chi phí công tác Vĩnh Phúc Tuyên Quang tiền cầu đường</t>
  </si>
  <si>
    <t>Chi phí công tác Vĩnh Phúc Tuyên Quang tiền ăn trưa uống nước</t>
  </si>
  <si>
    <t>Chi phí công tác Vĩnh Phúc Tuyên Quang tiền xăng dầu</t>
  </si>
  <si>
    <t>Chi tiền mua 01 thùng giấy A4</t>
  </si>
  <si>
    <t>Chi phí công tác Vĩnh Phúc ngày 8/10- phí cầu đường</t>
  </si>
  <si>
    <t>Chi phí công tác Vĩnh Phúc ngày 8/10- thuê xe ô tô</t>
  </si>
  <si>
    <t>Chi phí công tác Vĩnh Phúc ngày 8/10- tiếp khách cafe Xuân Hòa</t>
  </si>
  <si>
    <t>Chi phí công tác Vĩnh Phúc ngày 8/10- tiền xăng dầu</t>
  </si>
  <si>
    <t>HĐ số 0002532</t>
  </si>
  <si>
    <t>Thanh toán tiền Nam ứng chi phí cho văn phòng</t>
  </si>
  <si>
    <t>Thanh toán lần 2 cho Nguyễn Mạnh Trường tiền biển ĐL Tuyết Nhung</t>
  </si>
  <si>
    <t>13/10</t>
  </si>
  <si>
    <t xml:space="preserve">Thanh toán cho nội thất Hương Giang  tiền kệ ĐL Tuyết Nhung </t>
  </si>
  <si>
    <t>Tổng tt là 19.600.000đ</t>
  </si>
  <si>
    <t>14/10</t>
  </si>
  <si>
    <t>Chi phí công tác Hà Tây- Hòa Bình- Sơn La- Điện Biên từ ngày 11-&gt; 13/10 tiền ăn trưa</t>
  </si>
  <si>
    <t>Chi phí công tác Hà Tây- Hòa Bình- Sơn La- Điện Biên từ ngày 11-&gt; 13/10 vé thăm quan</t>
  </si>
  <si>
    <t>Chi phí công tác Hà Tây- Hòa Bình- Sơn La- Điện Biên từ ngày 11-&gt; 13/10 vé cầu đường</t>
  </si>
  <si>
    <t>Chi phí công tác Hà Tây- Hòa Bình- Sơn La- Điện Biên từ ngày 11-&gt; 13/10 xăng xe</t>
  </si>
  <si>
    <t>HĐ số 0045680</t>
  </si>
  <si>
    <t>Chi phí công tác Hà Tây- Hòa Bình- Sơn La- Điện Biên từ ngày 11-&gt; 13/10 nhà nghỉ</t>
  </si>
  <si>
    <t>HĐ số 0095506, 0002083</t>
  </si>
  <si>
    <t>Chi phí công tác Hà Tây- Hòa Bình- Sơn La- Điện Biên từ ngày 11-&gt; 13/10 tiếp khách</t>
  </si>
  <si>
    <t>Chi phí công tác Hà Tây- Hòa Bình- Sơn La- Điện Biên từ ngày 11-&gt; 13/10 ăn tối Hòa Bình</t>
  </si>
  <si>
    <t>Chi phí công tác Hà Tây, Hòa Bình, Sơn La, Điện Biên từ 11/10 đến 13/10- tiền a Sơn đưa a Lâm đổ xăng</t>
  </si>
  <si>
    <t>Chi phí công tác Hà Tây, Hòa Bình, Sơn La, Điện Biên từ 11/10 đến 13/10- xăng đổ lúc về</t>
  </si>
  <si>
    <t>Chi phí công tác Hà Tây, Hòa Bình, Sơn La, Điện Biên từ 11/10 đến 13/10- ăn uống tại Sơn La</t>
  </si>
  <si>
    <t>Thanh toán tiền thuê xe ô tô 1 tháng từ 10/10 đến 10/11</t>
  </si>
  <si>
    <t>18/10</t>
  </si>
  <si>
    <t>Chi phí công tác Lập Thạch Vĩnh Phúc từ 16/10 đến 18/10 khai trương ĐL Hòa Thanh- tiền mua xăng sáng ngày 16/10</t>
  </si>
  <si>
    <t>Chi phí công tác Lập Thạch Vĩnh Phúc từ 16/10 đến 18/10 khai trương ĐL Hòa Thanh- tiền ăn trưa ngày 17/10</t>
  </si>
  <si>
    <t>Chi phí công tác Lập Thạch Vĩnh Phúc từ 16/10 đến 18/10 khai trương ĐL Hòa Thanh- tiền mua chai</t>
  </si>
  <si>
    <t>Chi phí công tác Lập Thạch Vĩnh Phúc từ 16/10 đến 18/10 khai trương ĐL Hòa Thanh- lẩu ngựa Xuân Hòa</t>
  </si>
  <si>
    <t>Chi phí công tác Lập Thạch Vĩnh Phúc từ 16/10 đến 18/10 khai trương ĐL Hòa Thanh-ăn sáng ngày 18/10</t>
  </si>
  <si>
    <t>Chi phí công tác Lập Thạch Vĩnh Phúc từ 16/10 đến 18/10 khai trương ĐL Hòa Thanh-vé xe</t>
  </si>
  <si>
    <t>Chi phí công tác Lập Thạch Vĩnh Phúc từ 16/10 đến 18/10 khai trương ĐL Hòa Thanh-hoa tặng đại lý</t>
  </si>
  <si>
    <t>Chi phí công tác Lập Thạch Vĩnh Phúc từ 16/10 đến 18/10 khai trương ĐL Hòa Thanh- ăn lẩu tối cùng đại lý</t>
  </si>
  <si>
    <t>Chi phí công tác Lập Thạch Vĩnh Phúc từ 16/10 đến 18/10 khai trương ĐL Hòa Thanh- xăng xe ô tô mua chiều ngày 17/10</t>
  </si>
  <si>
    <t>HĐ số 0003583</t>
  </si>
  <si>
    <t>Chi phí công tác Lập Thạch Vĩnh Phúc từ 16/10 đến 18/10 khai trương ĐL Hòa Thanh- bữa sáng cùng Sơn CTV</t>
  </si>
  <si>
    <t>Chi phí công tác Lập Thạch Vĩnh Phúc từ 16/10 đến 18/10 khai trương ĐL Hòa Thanh- quà tặng 20/10 nhân viên cty</t>
  </si>
  <si>
    <t>Chi phí công tác Lập Thạch Vĩnh Phúc từ 16/10 đến 18/10 khai trương ĐL Hòa Thanh- mua 2 khăn mặt và 5 bàn chải</t>
  </si>
  <si>
    <t xml:space="preserve">Chi phí công tác Lập Thạch Vĩnh Phúc từ 16/10 đến 18/10 khai trương ĐL Hòa Thanh- lễ thiền viện </t>
  </si>
  <si>
    <t>Thanh toán tiền mua phần mềm Sapo trang bị cho ĐL Tuyết Nhung</t>
  </si>
  <si>
    <t>Chi phí công tác Vĩnh Phúc Tuyên Quang ngày 20/10- tiền vé xe cầu đường</t>
  </si>
  <si>
    <t>Chi phí công tác Vĩnh Phúc Tuyên Quang ngày 20/10- tài trợ giải bóng+ tiền ăn</t>
  </si>
  <si>
    <t>Chi phí công tác Vĩnh Phúc Tuyên Quang ngày 20/10- xăng xe ô tô</t>
  </si>
  <si>
    <t>HĐ số 0338255</t>
  </si>
  <si>
    <t>Chi phí công tác Vĩnh Phúc Tuyên Quang ngày 20/10- ăn tối</t>
  </si>
  <si>
    <t>Chi phí công tác Thái Nguyên Tuyên Quang ngày 21/10 - vé cầu đường</t>
  </si>
  <si>
    <t>Chi phí công tác Thái Nguyên Tuyên Quang ngày 21/10 -xăng xe</t>
  </si>
  <si>
    <t>HĐ số 0009875</t>
  </si>
  <si>
    <t>Chi phí công tác Thái Nguyên Tuyên Quang ngày 21/10 - tiếp khách</t>
  </si>
  <si>
    <t>Thanh toán tiền MC khai trương đại lý Thanh Hòa Lập Thạch Vĩnh Phúc</t>
  </si>
  <si>
    <t>Thanh toán tiền phí dịch vụ tòa nhà tháng 10 và tiền nước tháng 8</t>
  </si>
  <si>
    <t>Thanh toán tiền điện tháng 10</t>
  </si>
  <si>
    <t>Thanh toán tiền mua xăng</t>
  </si>
  <si>
    <t>Chi phí công tác Vĩnh Phúc ngày 27/10 tiền vé cao tốc</t>
  </si>
  <si>
    <t>Chi phí công tác Vĩnh Phúc ngày 27/10 tiền xăng xe ô tô</t>
  </si>
  <si>
    <t>HĐ số 0351018</t>
  </si>
  <si>
    <t xml:space="preserve">Chi phí công tác Tam Đảo Vĩnh Phúc- vé cao tốc Nội Bài </t>
  </si>
  <si>
    <t>Chi phí công tác Tam Đảo Vĩnh Phúc- ăn trưa tiếp khách</t>
  </si>
  <si>
    <t>Chi phí công tác Tam Đảo Vĩnh Phúc- xăng xe ô tô</t>
  </si>
  <si>
    <t>Thanh toán kệ đại lý Hòa Thanh Tử Du Lập Thạch Vĩnh Phúc</t>
  </si>
  <si>
    <t>Chi phí công tác HN- Vĩnh Phúc- Tuyên Quang tiền vé cầu đường</t>
  </si>
  <si>
    <t>Chi phí công tác HN- Vĩnh Phúc- Tuyên Quang tiền xăng xe ô tô</t>
  </si>
  <si>
    <t>HĐ số 0355715, 0348777, 0005302</t>
  </si>
  <si>
    <t>Vay bạn Nhất để Nhập hàng</t>
  </si>
  <si>
    <t>Thanh toán tiền mua ô tô</t>
  </si>
  <si>
    <t>Cước gửi hàng a Quang Sgon</t>
  </si>
  <si>
    <t>Thanh toán kinh phí tham gia CT Thương hiệu, nhãn hiệu, dịch vụ</t>
  </si>
  <si>
    <t>Chi phí công tác Hòa Bình- HN- Ninh Bình tiền cầu đường</t>
  </si>
  <si>
    <t>Chi phí công tác Hòa Bình- HN- Ninh Bình tiền ăn trưa</t>
  </si>
  <si>
    <t>Chi phí công tác Hòa Bình- HN- Ninh Bình tiền xăng dầu</t>
  </si>
  <si>
    <t>HĐ số 0000578</t>
  </si>
  <si>
    <t>Thanh toán phí đăng ký giao dịch đảm bảo, phí quản lý TS, phí chuyển tiền liên NH và phí công chứng khi lấy xe về</t>
  </si>
  <si>
    <t>HĐ số 0024195</t>
  </si>
  <si>
    <t>Phí sử dụng đường bộ cty CP đăng kiểm Nam HN</t>
  </si>
  <si>
    <t>Mua phí bảo hiểm ô tô</t>
  </si>
  <si>
    <t>Chi phí công tác TP Tuyên Quang ( A Lâm, a Sơn) tiền xăng xe</t>
  </si>
  <si>
    <t>HĐ số 0013268</t>
  </si>
  <si>
    <t>Chi phí công tác TP Tuyên Quang ( A Lâm, a Sơn) tiền tiếp khách</t>
  </si>
  <si>
    <t xml:space="preserve">Chi phí công tác TP Tuyên Quang ( A Lâm, a Sơn) tiền cầu đường </t>
  </si>
  <si>
    <t>Thanh toán phí giấy phép đăng ký kinh doanh sửa đổi lần 1 bao gồm VAT</t>
  </si>
  <si>
    <t>Hóa đơn có lấy VAT</t>
  </si>
  <si>
    <t>Thanh toán 50% tiền mua áo đồng phục Nanomilk</t>
  </si>
  <si>
    <t>HĐ 200 áo đồng phục Nanomilk, thanh toán 50% có lấy VAT</t>
  </si>
  <si>
    <t>Thanh toán tiền thuê kho từ 13/9-&gt; 13/10 và 13/10- 13/11</t>
  </si>
  <si>
    <t>Thanh toán chi phí tiếp khách đi công tác Vĩnh Phúc</t>
  </si>
  <si>
    <t>Chi phí tiếp khách đoàn chị Hà bên tiền Patincoi</t>
  </si>
  <si>
    <t>Thanh toán tiền thuê ô tô fat sinh 3 ngày 10,11,12/11 do việc nhận ô tô mới mua bị chậm vì khi nộp thuế môn bài ghi sai đ/c văn phòng cty</t>
  </si>
  <si>
    <t>Thuê xe tháng trước từ 9/10-&gt; 9/11</t>
  </si>
  <si>
    <t>Thay đổi gương xe + công</t>
  </si>
  <si>
    <t>Ô tô thuê bị trộm lấy gương</t>
  </si>
  <si>
    <t xml:space="preserve">Cafe tiếp khách </t>
  </si>
  <si>
    <t>Cafe tiếp khách Vĩnh Phúc</t>
  </si>
  <si>
    <t>Thanh toán tiền mua 25 áo đồng phục bóng đá NanoMilk</t>
  </si>
  <si>
    <t>Thanh toán lần 1 phí dịch vụ hồ sơ đăng ký sở hữu trí tuệ 2 nhãn</t>
  </si>
  <si>
    <t>Tổng phí là 8.200.000đ, thanh toán trước 6tr</t>
  </si>
  <si>
    <t>Thanh toán lần 2 phí dịch vụ sở hữu trí tuệ 2 nhãn</t>
  </si>
  <si>
    <t>Thanh toán lần 2 tiền biển ĐL Tuyết Nhung- em Trường</t>
  </si>
  <si>
    <t>Chi phí fat sinh thuê xe 2,5 ngày do xe mua đang làm thủ tục bị chạm tiến độ</t>
  </si>
  <si>
    <t>Phí xe ô tô quá hạn do bên bán ô tô ghi sai địa chỉ văn phòng cty khi đi làm đăng ký xe</t>
  </si>
  <si>
    <t>Chi phí tiếp khách tại ẩm thực nhà sàn km8, Thăng Long, HN</t>
  </si>
  <si>
    <t>Thanh toán tiền điện tháng 11</t>
  </si>
  <si>
    <t>Thanh toán tiền phí dịch vụ tháng 11 và nước tháng 9</t>
  </si>
  <si>
    <t>Số đúng là 332.000d, tòa nhà đã xác nhận cty thanh toán thừa 58.000d trừ vào tháng sau.</t>
  </si>
  <si>
    <t>Chi phí xăng ô tô công ty</t>
  </si>
  <si>
    <t>Thanh toán số còn lại của HĐ mua 200 áo đồng phục</t>
  </si>
  <si>
    <t>Chi phí chuyển hàng cho chị Huệ Điện Biên</t>
  </si>
  <si>
    <t>Chi phí xăng ô tô cty</t>
  </si>
  <si>
    <t>Chi phí bữa tối đi khai trương ĐL Dung Phi lập Thạch Vĩnh Phúc</t>
  </si>
  <si>
    <t xml:space="preserve">Chi phí tiếp khách đi công tác Gia Lâm chuẩn bị khai trương ĐLý </t>
  </si>
  <si>
    <t>Thanh toán cước viễn thông Viettel cố định cty tháng 9, 10</t>
  </si>
  <si>
    <t>Chi phí mua 03 cây xanh cho văn phòng và 01 cây tặng chú Lưu Vinh TBT báo Pháp luật</t>
  </si>
  <si>
    <t>Cty ứng trước tiền in decan, stady cho ĐLý chị Huệ Điện Biên</t>
  </si>
  <si>
    <t>Chi phí mua hoa quả bánh kẹo lễ ký kết với sàn TMĐT BigBuy ngày 30/11</t>
  </si>
  <si>
    <t>Chi phí chuyển fat Standy NanoMilk cho ĐL Chị Huệ Điện Biên</t>
  </si>
  <si>
    <t>HĐ số 2852036</t>
  </si>
  <si>
    <t>28/11</t>
  </si>
  <si>
    <t>Ứng trước tiền in 5000 túi giấy trong Sài Gòn</t>
  </si>
  <si>
    <t>Tổng HĐ có VAT là 30tr</t>
  </si>
  <si>
    <t xml:space="preserve">Chi phí tiếp khách chay Thiên An </t>
  </si>
  <si>
    <t>Thanh toán tiền mua giấy A4 sử dụng trong văn phòng</t>
  </si>
  <si>
    <t>Thanh toán chi phí tham gia2 số CT Hãy chọn giá đúng V3</t>
  </si>
  <si>
    <t>Vé máy bay CT Sài Gòn: Sếp Lâm và Triệu Anh Sơn</t>
  </si>
  <si>
    <t>1/12-31/12</t>
  </si>
  <si>
    <t>Vé cầu đường</t>
  </si>
  <si>
    <t>VAT</t>
  </si>
  <si>
    <t>Cà phê tiếp khách</t>
  </si>
  <si>
    <t>Chi phí xăng xe</t>
  </si>
  <si>
    <t>Trả gốc tiền vay bạn Nhât</t>
  </si>
  <si>
    <t>Thanh toán tiền lãi vay cty từ Nhất</t>
  </si>
  <si>
    <t>Chi tiền mua bìa A4</t>
  </si>
  <si>
    <t>Chi tiền tiếp khách Lẩu ngựa</t>
  </si>
  <si>
    <t>Chi tiền ăn</t>
  </si>
  <si>
    <t>Chi tiền kệ Đại lý Văn Minh GLâm</t>
  </si>
  <si>
    <t>Cà phê</t>
  </si>
  <si>
    <t>Tiếp khách tại nhà hàng Trâu Ngon Quán</t>
  </si>
  <si>
    <t>Vé gửi xe sân bay</t>
  </si>
  <si>
    <t>Chi tiếp khách</t>
  </si>
  <si>
    <t>Tiền ăn</t>
  </si>
  <si>
    <t>Thuê phòng nghỉ KS Nhật Minh</t>
  </si>
  <si>
    <t>Chi phí xăng dầu Đồng Tháp</t>
  </si>
  <si>
    <t>Chi ăn sáng</t>
  </si>
  <si>
    <t>Chi ăn trưa</t>
  </si>
  <si>
    <t>Chi tiếp khách ăn tối</t>
  </si>
  <si>
    <t>Chi tiếp khách nhà hàng QUEN</t>
  </si>
  <si>
    <t>Thuê phòng nghỉ KS Cần Thơ</t>
  </si>
  <si>
    <t>vat</t>
  </si>
  <si>
    <t xml:space="preserve">Chi tiếp khách ăn tối </t>
  </si>
  <si>
    <t>Cước vận chuyển</t>
  </si>
  <si>
    <t>Thuê phòng nghỉ KS Nhật Minh Anh</t>
  </si>
  <si>
    <t>Tiếp khách</t>
  </si>
  <si>
    <t>Chi tiếp khách nhà hàng Huy Béo</t>
  </si>
  <si>
    <t>Mua hoa khai trương đại lý A Minh</t>
  </si>
  <si>
    <t>Mua chổi lau nhà</t>
  </si>
  <si>
    <t>Chi tiền Biển bảng đại lý Văn Minh Gia Lâm</t>
  </si>
  <si>
    <t>Chi mua gia vị</t>
  </si>
  <si>
    <t>Chi mua thức ăn văn phòng</t>
  </si>
  <si>
    <t>Trà quất</t>
  </si>
  <si>
    <t>Trà chanh</t>
  </si>
  <si>
    <t>Chi tiếp khách nhà hàng Mai Châu</t>
  </si>
  <si>
    <t>Chà chanh</t>
  </si>
  <si>
    <t>Chi cà phê</t>
  </si>
  <si>
    <t>Chi tiền nước Ice</t>
  </si>
  <si>
    <t>Chi phí khac</t>
  </si>
  <si>
    <t>Chi phí khác</t>
  </si>
  <si>
    <t>Chi mua rau</t>
  </si>
  <si>
    <t>Chi tiền MC đại lý Văn Minh</t>
  </si>
  <si>
    <t>Thu tiền hàng Lan SG</t>
  </si>
  <si>
    <t>Mua phiếu thu chi ghim</t>
  </si>
  <si>
    <t>Chi đồ dùng văn phòng</t>
  </si>
  <si>
    <t>Mua máy say sinh tố</t>
  </si>
  <si>
    <t>Thu tiền hàng Vũ Thị Thu Hà</t>
  </si>
  <si>
    <t>Tiền dịch vụ T11</t>
  </si>
  <si>
    <t>Phí dịch vụ T12</t>
  </si>
  <si>
    <t>Thanh toán lương Lò Thị Minh Tâm T11</t>
  </si>
  <si>
    <t>Chi phí đồ dùng văn phòng</t>
  </si>
  <si>
    <t>Chi tiếp khách Việt Trì</t>
  </si>
  <si>
    <t>Ứng lương Nguyễn Văn Sơn T12</t>
  </si>
  <si>
    <t>19/12</t>
  </si>
  <si>
    <t>Thu tiền hàng Vũ Thị Thu Hà( gói 10tr)</t>
  </si>
  <si>
    <t>Chi tiền ăn Vịt nướng Vân Đình VY</t>
  </si>
  <si>
    <t>20/12</t>
  </si>
  <si>
    <t>Shíp sữa chị Hà Hoàng Đạo Thúy</t>
  </si>
  <si>
    <t>22/12</t>
  </si>
  <si>
    <t>Thu tiền em Hảo Ctv Linh Đàm</t>
  </si>
  <si>
    <t>Thanh toán tiền thuê kho 2 tháng</t>
  </si>
  <si>
    <t>Chi tiền điện + phí phạt</t>
  </si>
  <si>
    <t>Trả lại tiền thu thừa đại lý Văn Minh Gia Lâm( đã thu 12.170.000đ)</t>
  </si>
  <si>
    <t>Chi tiền vận chuyển Túi sữa SG-HN</t>
  </si>
  <si>
    <t>Tích trả điểm Hùng Kim Kaka 30%</t>
  </si>
  <si>
    <t>Chi cà phê tiếp khách</t>
  </si>
  <si>
    <t>Ứng lương Vũ Hoài Thanh T12</t>
  </si>
  <si>
    <t>26/12</t>
  </si>
  <si>
    <t>Chi mua thức ăn vp</t>
  </si>
  <si>
    <t>Gia vị</t>
  </si>
  <si>
    <t>27/12</t>
  </si>
  <si>
    <t>Thu tiền hàng Đlý Thanh Hòa LT</t>
  </si>
  <si>
    <t>Thu tiền hàng Đlý Huệ ĐB</t>
  </si>
  <si>
    <t>Chi tiền vận chuyển Huệ ĐB</t>
  </si>
  <si>
    <t>30/12</t>
  </si>
  <si>
    <t>Chi tiền vận chuyển 4 T hàng</t>
  </si>
  <si>
    <t>Thanh toán tiền lãi xe ôtô</t>
  </si>
  <si>
    <t xml:space="preserve">Chi tiền đá phong thủy Cty </t>
  </si>
  <si>
    <t>Đặt cọc tiền hàng</t>
  </si>
  <si>
    <t>Thu tiền Chu Lệ Na đặt cọc tiền hàng</t>
  </si>
  <si>
    <t>Thanh toán tiền Nhập hàng</t>
  </si>
  <si>
    <t>Tổng cộng các khoản thu chi từ 20.8 đến 31.12</t>
  </si>
  <si>
    <t>Tổng thu từ 20.8 đến 31.12</t>
  </si>
  <si>
    <t>Tổng chi từ 20.8 đến 31.12</t>
  </si>
  <si>
    <t>Lợi nhuận từ 20.8 đến 31.12</t>
  </si>
  <si>
    <t>Tổng lợi nhuận từ T5 đến 31.12</t>
  </si>
  <si>
    <t>Tiếp khách đào tạo Em Công anh Vinh</t>
  </si>
  <si>
    <t xml:space="preserve">Tiếp khách nhà hàng Gà tươi </t>
  </si>
  <si>
    <t>Mua thực phẩm nấu ăn cho văn phòng</t>
  </si>
  <si>
    <t>Chi phí xăng dầu</t>
  </si>
  <si>
    <t xml:space="preserve">Chi phí vận chuyển hàng 30Thùng </t>
  </si>
  <si>
    <t>Chi phí xăng dầu ĐB</t>
  </si>
  <si>
    <t>Ứng anh Quang MN</t>
  </si>
  <si>
    <t>Thanh toán tiền nhà nghỉ ĐB</t>
  </si>
  <si>
    <t>Chi phí xăng xe tại Sơn La</t>
  </si>
  <si>
    <t>Mua ấm siêu tốc</t>
  </si>
  <si>
    <t>Thu tiền hàng( đại lý Hiến SG)</t>
  </si>
  <si>
    <t>Thu tiền em Huân 36 Dịch Vọng</t>
  </si>
  <si>
    <t>Chi phí vận chuyển hàng vào SG</t>
  </si>
  <si>
    <t>Chi tiếp khách Nhà hàng Cường</t>
  </si>
  <si>
    <t>Chi phí vận chuyển hàng 9 T</t>
  </si>
  <si>
    <t>Chi phí giới thiệu đơn vị trên báo</t>
  </si>
  <si>
    <t>Ăn tối nhà hàng Trung Hoa ĐN</t>
  </si>
  <si>
    <t>Thanh toán tiền Kệ đại lý Tuyết Nhung</t>
  </si>
  <si>
    <t>Thanh toán tiền lương T12 cho Vũ Hoài Thanh</t>
  </si>
  <si>
    <t>Chi phí xăng xe đi Phú Thọ</t>
  </si>
  <si>
    <t>Chi phí bọc xe lắp màn hình xeotô</t>
  </si>
  <si>
    <t xml:space="preserve">Hoa chúc mừng đại lý Cường Oanh </t>
  </si>
  <si>
    <t>Chi phí xăng xe đi Nam Định</t>
  </si>
  <si>
    <t>Thu tiền chị Thủy Gia Lâm (415 Tâm)</t>
  </si>
  <si>
    <t>Thu tiền Đại lý Cường Oanh PT</t>
  </si>
  <si>
    <t>Thu tiền hàng Hằng BBI</t>
  </si>
  <si>
    <t>15/1</t>
  </si>
  <si>
    <t>Phí DVC và tiền nước</t>
  </si>
  <si>
    <t>Chi mua bàn dập ghim tại Lập Thạch</t>
  </si>
  <si>
    <t>Vé vào Him</t>
  </si>
  <si>
    <t>Vé Tắm</t>
  </si>
  <si>
    <t>Chi tiền nước</t>
  </si>
  <si>
    <t>Chi tiền ăn tại DB</t>
  </si>
  <si>
    <t>Chi tiền ăn tại Mai Châu - Hòa Binh</t>
  </si>
  <si>
    <t>Tiếp khách Anh Sơn + Anh Vĩnh Lập Thạch</t>
  </si>
  <si>
    <t>Chi mua đồ gia vị nấu ăn</t>
  </si>
  <si>
    <t>Chi tiền vé máy bay Sài Gòn</t>
  </si>
  <si>
    <t>Vé máy bay CT Sài Gòn</t>
  </si>
  <si>
    <t>Công tác sài gòn giặt là</t>
  </si>
  <si>
    <t>Càphê</t>
  </si>
  <si>
    <t>Đồ dùng sinh hoạt</t>
  </si>
  <si>
    <t>Tiếp khách cùng ae SG</t>
  </si>
  <si>
    <t>Ăn sáng ở Sân bay</t>
  </si>
  <si>
    <t>Cà phê sân bay</t>
  </si>
  <si>
    <t>Ăn sáng cùng đội SG</t>
  </si>
  <si>
    <t>Cà phê cùng đội SG</t>
  </si>
  <si>
    <t>Ăn cơm chưa Đồng Nai</t>
  </si>
  <si>
    <t>Ăn tối tiếp khách</t>
  </si>
  <si>
    <t>Cafê cùng chị Tuyết</t>
  </si>
  <si>
    <t>Xe ôm đi đồng nai</t>
  </si>
  <si>
    <t>Giặt là</t>
  </si>
  <si>
    <t>Tiếp khách Chị tuyết và đội SG</t>
  </si>
  <si>
    <t>Chuyển 13 thùng hàng từ điện biên về</t>
  </si>
  <si>
    <t>Tiền nhà nghỉ</t>
  </si>
  <si>
    <t>Cà phê sáng</t>
  </si>
  <si>
    <t>Ăn cơm</t>
  </si>
  <si>
    <t>Mua cốc</t>
  </si>
  <si>
    <t>Đi tácxi</t>
  </si>
  <si>
    <t>Tiền nhà nghỉ Đồng Nai</t>
  </si>
  <si>
    <t>Tiền ăn ra Sân bay</t>
  </si>
  <si>
    <t>Chi tiền cước gửi hàng vào SG</t>
  </si>
  <si>
    <t>Cafê tiếp khách</t>
  </si>
  <si>
    <t>Chi tất niên công ty</t>
  </si>
  <si>
    <t>Tiếp khách MN đi chợ</t>
  </si>
  <si>
    <t>Thanh toán tiền điện</t>
  </si>
  <si>
    <t>Chi phí Xăng xe</t>
  </si>
  <si>
    <t>Thanh toán tiền lãi vay Cty bạn Nhất T12</t>
  </si>
  <si>
    <t>Thanh toán lương T12 anh Sơn</t>
  </si>
  <si>
    <t xml:space="preserve"> Chi phí Vé cầu đường từ 16/1-24/1</t>
  </si>
  <si>
    <t>Chi 20 xuất quà tết Rượu Nho</t>
  </si>
  <si>
    <t>Chi tiền thưởng anh em Sài Gòn</t>
  </si>
  <si>
    <t>Thu tiền hàng đại lý Cường Oanh</t>
  </si>
  <si>
    <t>Thu tiền Hiệu thuốc Vinh Quy</t>
  </si>
  <si>
    <t>Chi sắm lễ Đền Mẫu</t>
  </si>
  <si>
    <t>Thu tiền Nguyễn Văn Thắng SG</t>
  </si>
  <si>
    <t>Thu tiền hàng đại lý Dung Phi</t>
  </si>
  <si>
    <t>Chi Tạm ứng biển bảng chi nhánh MN</t>
  </si>
  <si>
    <t>Chi Trả Tâm tiền đã ứng chi cho văn phòng công ty</t>
  </si>
  <si>
    <t>Thu tiền hàng đại lý Thanh Hòa</t>
  </si>
  <si>
    <t>21/1</t>
  </si>
  <si>
    <t>Thu tiền hàng anh Tùng QN</t>
  </si>
  <si>
    <t>22/1</t>
  </si>
  <si>
    <t>Chi Tạm ứng lương T1 Nguyễn Văn Sơn</t>
  </si>
  <si>
    <t>23/1</t>
  </si>
  <si>
    <t>24/1</t>
  </si>
  <si>
    <t>Tạm ứng  lương t2 Lò Thị Minh Tâm</t>
  </si>
  <si>
    <t>Chi thanh toán lương Nguyễn Văn Long</t>
  </si>
  <si>
    <t>Chi mua giỏ quà tết đại lý Thanh Hòa</t>
  </si>
  <si>
    <t>Chi thanh toán lương Triệu anh Sơn T10,11,12,01/2020 và thưởng tế</t>
  </si>
  <si>
    <t>Thanh toán tiền hưởng hoa hồng từ các đại lý của Triệu Anh Sơn đến hết 31/12/2019.</t>
  </si>
  <si>
    <t>Tổng cộng các khoản thu chi từ 01.01đến 31.01</t>
  </si>
  <si>
    <t xml:space="preserve">Tổng thu từ 01.01 đến 31.01 </t>
  </si>
  <si>
    <t>Tổng chi từ 01.01 đến 31.01</t>
  </si>
  <si>
    <t>Lợi nhuận từ 01.01 đến 31.01</t>
  </si>
  <si>
    <t>BÁO CÁO  KẾT QUẢ HOẠT ĐỘNG KINH DOANH</t>
  </si>
  <si>
    <t>Tổng thu từ T5 đến 19/8</t>
  </si>
  <si>
    <t>Tổng chi từ T5 đến 19/8</t>
  </si>
  <si>
    <t>Lợi nhuận từ T5 đến 19/8</t>
  </si>
  <si>
    <t>Tổng thu từ 20/8 đến 31/12</t>
  </si>
  <si>
    <t>Tổng chi từ 20/8 đến 31/12</t>
  </si>
  <si>
    <t>Lợi nhuận từ 20/8 đến 31/12</t>
  </si>
  <si>
    <t>Số liệu đã họp ở cuộc họp cổ đông ngày 20/8/2019</t>
  </si>
  <si>
    <t>Tên hàng</t>
  </si>
  <si>
    <t>Mã hàng</t>
  </si>
  <si>
    <t>Số lượng nhập</t>
  </si>
  <si>
    <t>Số lượng xuất</t>
  </si>
  <si>
    <t>Số lượng tồn</t>
  </si>
  <si>
    <t>NanoMilk 1 loại 450g</t>
  </si>
  <si>
    <t>NanoMilk 1 loại 900g</t>
  </si>
  <si>
    <t>NanoMilk 2 loại 450g</t>
  </si>
  <si>
    <t>NanoMilk 2 loại 900g</t>
  </si>
  <si>
    <t>NanoMilk 3 loại 450g</t>
  </si>
  <si>
    <t>NanoMilk 3 loại 900g</t>
  </si>
  <si>
    <t>Bầu 450g</t>
  </si>
  <si>
    <t>Bầu 900g</t>
  </si>
  <si>
    <t>Sữa giảm cân 900g</t>
  </si>
  <si>
    <t>Người già 450g</t>
  </si>
  <si>
    <t>Người già 900g</t>
  </si>
  <si>
    <t>Sữa non 450g</t>
  </si>
  <si>
    <t>Soy</t>
  </si>
  <si>
    <t>Tiểu đường 900g</t>
  </si>
  <si>
    <t>Thủ kho</t>
  </si>
  <si>
    <t>Kế toán</t>
  </si>
  <si>
    <t>BẢNG TỔNG HỢP CHI PHÍ NHẬP HÀNG</t>
  </si>
  <si>
    <t>Nội dung</t>
  </si>
  <si>
    <t>Chủng loại</t>
  </si>
  <si>
    <t>Số lượng (thùng)</t>
  </si>
  <si>
    <t>Số lượng (Hộp)</t>
  </si>
  <si>
    <t>Tiến độ thanh toán</t>
  </si>
  <si>
    <t>Số tiền thanh toán cho nhà cung cấp</t>
  </si>
  <si>
    <t>Nhập hàng đợt 1</t>
  </si>
  <si>
    <t>Thanh toán 100%</t>
  </si>
  <si>
    <t>TK cá nhân a Lâm</t>
  </si>
  <si>
    <t>TK cty Long chi</t>
  </si>
  <si>
    <t>50 lọ/thùng; 6.750.000đ/thùng</t>
  </si>
  <si>
    <t>24 hộp/ thùng bé; 12 hộp/thùng to</t>
  </si>
  <si>
    <t>5 thùng+ 8 hộp</t>
  </si>
  <si>
    <t>11 thùng+ 6 hộp</t>
  </si>
  <si>
    <t>19 thùng+ 3 hộp</t>
  </si>
  <si>
    <t>Nhập hàng đợt 2</t>
  </si>
  <si>
    <t>Cty thanh toán theo số lượng nhập 35 thùng</t>
  </si>
  <si>
    <t>Đã quyết toán trong cuộc họp ngày 20.8</t>
  </si>
  <si>
    <t>Nhập hàng đợt 3</t>
  </si>
  <si>
    <t xml:space="preserve">Đặt cọc </t>
  </si>
  <si>
    <t xml:space="preserve">TK BIDV </t>
  </si>
  <si>
    <t>TK BIDV</t>
  </si>
  <si>
    <t>Thuế VAT 20tr tiền hàng</t>
  </si>
  <si>
    <t>Tổng thanh toán tiền hàng lần 3</t>
  </si>
  <si>
    <t>Nhập hàng đợt 4</t>
  </si>
  <si>
    <t>Tổng thanh toán tiền hàng lần 4</t>
  </si>
  <si>
    <t>Nhập hàng đợt 5</t>
  </si>
  <si>
    <t>Tổng số lượng tiền hàng lần 5</t>
  </si>
  <si>
    <t>Nhập hàng đợt 6</t>
  </si>
  <si>
    <t>Tổng số lượng tiền hàng lần 6</t>
  </si>
  <si>
    <t>Nhập hàng đợt 7</t>
  </si>
  <si>
    <t>Tổng số lượng tiền hàng lần 7</t>
  </si>
  <si>
    <t>Nhập hàng đợt 8</t>
  </si>
  <si>
    <t xml:space="preserve">    Giám đốc</t>
  </si>
  <si>
    <t xml:space="preserve">  (Ký, họ tên)</t>
  </si>
  <si>
    <t>(Ký, họ tên)</t>
  </si>
  <si>
    <t>BẢNG KÊ CHI TIẾT HÀNG BÁN BỊ TRẢ LẠI</t>
  </si>
  <si>
    <t>Sale</t>
  </si>
  <si>
    <t>Hình thức hợp tác</t>
  </si>
  <si>
    <t>Thành tiền trên hoá đơn bán hàng(VNĐ)</t>
  </si>
  <si>
    <t>Nhà phân phối</t>
  </si>
  <si>
    <t>Đại lý</t>
  </si>
  <si>
    <t>Cty</t>
  </si>
  <si>
    <t xml:space="preserve">Cô Sáu </t>
  </si>
  <si>
    <t>Trần Khát Chân</t>
  </si>
  <si>
    <t>Đại lý Cô Sáu Trần Khát Chân</t>
  </si>
  <si>
    <t>Cty THN group</t>
  </si>
  <si>
    <t>Khách lẻ Vĩnh Phúc ( Chị Thanh)</t>
  </si>
  <si>
    <t>Chị Dung Vĩnh Phúc</t>
  </si>
  <si>
    <t>Sơn CTV</t>
  </si>
  <si>
    <t>Tuyên Quang</t>
  </si>
  <si>
    <t>ĐL Trường Hiền</t>
  </si>
  <si>
    <t xml:space="preserve">Huệ </t>
  </si>
  <si>
    <t>ĐL Văn Minh</t>
  </si>
  <si>
    <t>BCX</t>
  </si>
  <si>
    <t>172 Nguyễn Tuân</t>
  </si>
  <si>
    <t>BẢNG TỔNG HỢP CÁC KHOẢN THU TỪ TIỀN ĐÓNG CỔ PHẦN</t>
  </si>
  <si>
    <t>Chứng từ đi kèm</t>
  </si>
  <si>
    <t xml:space="preserve">TK cá nhân Long </t>
  </si>
  <si>
    <t>Kế toán trưởng</t>
  </si>
  <si>
    <t>Tên cổ đông</t>
  </si>
  <si>
    <t>Số cổ phần</t>
  </si>
  <si>
    <t>Cổ phần ưu đãi</t>
  </si>
  <si>
    <t>Thu tiền cổ đông giai đoạn 1 (50%)</t>
  </si>
  <si>
    <t>Thu tiền cổ đông giai đoạn 2 (50%)</t>
  </si>
  <si>
    <t>Tổng số CP đã đóng</t>
  </si>
  <si>
    <t>Số tiền các cổ đông đã đóng lần 1 ( ngày 28/6)</t>
  </si>
  <si>
    <t>Tiền các cá nhân khác đã ứng để chi phí cho cty chốt đến 19/8</t>
  </si>
  <si>
    <t>Tiền lương cty phải thanh toán 3 tháng 5,6,7/2019</t>
  </si>
  <si>
    <t>Tiền cty vay cá nhân để trang trải chi phí hoạt động thời gian đầu</t>
  </si>
  <si>
    <t>Thực tế thu</t>
  </si>
  <si>
    <t>Quyền lợi</t>
  </si>
  <si>
    <t>Khấu trừ vào tiền đã ứng ra chi phí cho công ty từ 20/8 đến 20/11</t>
  </si>
  <si>
    <t>Chuyển khoản</t>
  </si>
  <si>
    <t>Anh Thịnh</t>
  </si>
  <si>
    <t>Không hưởng lương trong 2 năm</t>
  </si>
  <si>
    <t>Người nộp tiền</t>
  </si>
  <si>
    <t>Người nộp</t>
  </si>
  <si>
    <t>NH ACB</t>
  </si>
  <si>
    <t>NH BIDV</t>
  </si>
  <si>
    <t>TK Lâm</t>
  </si>
  <si>
    <t>Thanh toán tiền gửi xe ôtô T11,12</t>
  </si>
  <si>
    <t xml:space="preserve">Các khoản Thu </t>
  </si>
  <si>
    <t>Thu tiền hàng Trần Thị Huệ ĐB</t>
  </si>
  <si>
    <t>Chuyến công tác và từ thiện điện biên( Mua cốc giấy đại lý Huệ)</t>
  </si>
  <si>
    <t>Tiền cước chở hàng từ bến xe về Chị Thắm Yên bái</t>
  </si>
  <si>
    <t>Thanh toán tiền gửi xe ôtô T12-T1</t>
  </si>
  <si>
    <t>Thanh toán tiền mua thức ăn chi phí văn phòng cho em Tâm</t>
  </si>
  <si>
    <t>Thu tiền vay Nhất để đóng thuế Môn Bài</t>
  </si>
  <si>
    <t>Đi lễ</t>
  </si>
  <si>
    <t>Chi tiếp khách ẩm thực gà ngon</t>
  </si>
  <si>
    <t>Thu tiền hàng Đlý anh Minh Gia Lâm</t>
  </si>
  <si>
    <t>Chi lễ đầu năm đền Mẫu</t>
  </si>
  <si>
    <t>Phí ck</t>
  </si>
  <si>
    <t>Thu tiền góp vốn cổ phần Triệu Anh Sơn</t>
  </si>
  <si>
    <t>Trả tiền mua xe TPBank</t>
  </si>
  <si>
    <t>Nộp thuế môn bài 2020</t>
  </si>
  <si>
    <t>ăn tối tiếp khách</t>
  </si>
  <si>
    <t>Vé máy bay CT SG Về HN( ngày bay về 10/2)</t>
  </si>
  <si>
    <t>Tiến ăn sáng</t>
  </si>
  <si>
    <t>Thanh toán tiền thuê phòng nghỉ khách sạn Hà Ngọc TP HCM</t>
  </si>
  <si>
    <t>Thanh toán tiền ăn tiếp khách</t>
  </si>
  <si>
    <t>13/2</t>
  </si>
  <si>
    <t>Thu tiền hàng Chị Na Đồng Nai</t>
  </si>
  <si>
    <t>14/2</t>
  </si>
  <si>
    <t>Chi em Tâm văn phòng</t>
  </si>
  <si>
    <t>Tạm ứng đội anh Quang MN( Nguyễn Văn Dũng</t>
  </si>
  <si>
    <t>Tạm ứng đội Anh Quang MN( TK Phan Văn Trung)</t>
  </si>
  <si>
    <t>Tạm ứng lương cho anh Nguyễn Văn Sơn</t>
  </si>
  <si>
    <t>15/2</t>
  </si>
  <si>
    <t>Thanh toán tiền nhập hàng cho Cty THL</t>
  </si>
  <si>
    <t>16/2</t>
  </si>
  <si>
    <t>17/2</t>
  </si>
  <si>
    <t>Chi tiếp khách Vĩnh Tường</t>
  </si>
  <si>
    <t>18/2</t>
  </si>
  <si>
    <t>19/2</t>
  </si>
  <si>
    <t>Cước vận chuyển hàng</t>
  </si>
  <si>
    <t>Lẩu hải sản họp cổ đông</t>
  </si>
  <si>
    <t>21/2</t>
  </si>
  <si>
    <t>Thu tiền góp vốn cổ phần Nguyễn Đình Nam</t>
  </si>
  <si>
    <t xml:space="preserve">Chi phí cước vận chuyển hàng </t>
  </si>
  <si>
    <t>22/2</t>
  </si>
  <si>
    <t>Kệ giá Nhật Thành</t>
  </si>
  <si>
    <t>Thu tiền công nợ Hòa Thanh</t>
  </si>
  <si>
    <t>24/2</t>
  </si>
  <si>
    <t>Phí cầu đường</t>
  </si>
  <si>
    <t>Anh Quang chuyển tiền hàng</t>
  </si>
  <si>
    <t>Chi mua giường gấp</t>
  </si>
  <si>
    <t>25/2</t>
  </si>
  <si>
    <t>Thanh toán tiền Ghế gấp văn phòng</t>
  </si>
  <si>
    <t>Thanh toán tiền Kệ hàng sữa Thổ Tang</t>
  </si>
  <si>
    <t>26/2</t>
  </si>
  <si>
    <t>Thanh toán lương KT Vũ Hoài Thanh T1</t>
  </si>
  <si>
    <t>Thu tiền hàng Đại lý Thu Tình</t>
  </si>
  <si>
    <t>Chi tiền mua hoa khai trương Đại lý Thu Tình</t>
  </si>
  <si>
    <t>Đổ dầu máy ôtô ở T50 Vĩnh Yên</t>
  </si>
  <si>
    <t>Lẩu ngựa tiếp khách Lập Thạch</t>
  </si>
  <si>
    <t>Cà\ phê</t>
  </si>
  <si>
    <t>Nước lọc</t>
  </si>
  <si>
    <t>27/2</t>
  </si>
  <si>
    <t>Phí vận chuyển sữa</t>
  </si>
  <si>
    <t>29/2</t>
  </si>
  <si>
    <t>Thanh toán tiền gửi xe otô T2</t>
  </si>
  <si>
    <t>Thanh toán tiền lương cho triệu anh Sơn</t>
  </si>
  <si>
    <t>Thanh toán tiền hưởng hoa hồng từ đại lý cho Triệu Sơn T1 và T2</t>
  </si>
  <si>
    <t>Phí\ cầu đường</t>
  </si>
  <si>
    <t>Tổng các khoản thu chi từ 01/2 đến 29/2</t>
  </si>
  <si>
    <t>Tổng Thu T2</t>
  </si>
  <si>
    <t>Tổng chi T2</t>
  </si>
  <si>
    <t>Lợi nhuận Tháng 2</t>
  </si>
  <si>
    <t xml:space="preserve">       TỪ 1/2 ĐẾN 29/2/2020</t>
  </si>
  <si>
    <t>Trưng bày bàn thờ</t>
  </si>
  <si>
    <t>Hàng Mẫu</t>
  </si>
  <si>
    <t>Đlý Thủy Vi</t>
  </si>
  <si>
    <t>Đồng Nai</t>
  </si>
  <si>
    <t>Lấy hàng từ chị  Trương Tuyết chuyển sang</t>
  </si>
  <si>
    <t xml:space="preserve">Châu Quỳ </t>
  </si>
  <si>
    <t>Chị Hằng</t>
  </si>
  <si>
    <t>112 Xuân Đỉnh</t>
  </si>
  <si>
    <t>113 Xuân Đỉnh</t>
  </si>
  <si>
    <t>Cty Nanomilk</t>
  </si>
  <si>
    <t>Hương</t>
  </si>
  <si>
    <t>Chị Tuyết Mai</t>
  </si>
  <si>
    <t>Tây Hồ</t>
  </si>
  <si>
    <t>ĐLý Dung Phi</t>
  </si>
  <si>
    <t>Lập Thạch</t>
  </si>
  <si>
    <t>Thắm</t>
  </si>
  <si>
    <t>Chị Huyền Phương</t>
  </si>
  <si>
    <t>Đlý Dung Phi</t>
  </si>
  <si>
    <t>Đlý Anh Minh</t>
  </si>
  <si>
    <t>chị Phương</t>
  </si>
  <si>
    <t>Sơn La</t>
  </si>
  <si>
    <t>20/2</t>
  </si>
  <si>
    <t>C. Hảo</t>
  </si>
  <si>
    <t>Lấy hàng từ Thủy Vi chuyển sang</t>
  </si>
  <si>
    <t>Đlý Cường Oanh</t>
  </si>
  <si>
    <t>Chị Minh</t>
  </si>
  <si>
    <t>Hà Nam</t>
  </si>
  <si>
    <t>25/02</t>
  </si>
  <si>
    <t>Đlý Thu Tình</t>
  </si>
  <si>
    <t>Pha trải nghiệm</t>
  </si>
  <si>
    <t>Đlý Thanh Hòa</t>
  </si>
  <si>
    <t>Đề mô tặng mẫu</t>
  </si>
  <si>
    <t>28/2</t>
  </si>
  <si>
    <t>Tổng doanh số bán hàng toàn công ty tháng 02/2020</t>
  </si>
  <si>
    <t xml:space="preserve">Thực tế công nợ KH còn phải thanh toán </t>
  </si>
  <si>
    <t>Trừ vào đơn hàng trả về ngày 7/2 số hóa đơn 1014</t>
  </si>
  <si>
    <t>Đã trừ vào đơn hàng nhập về ngày 28/12: SOY</t>
  </si>
  <si>
    <t>Đã trừ vào đơn hàng nhập về ngày 28/12 SOY</t>
  </si>
  <si>
    <t>Trừ vào đơn hàng trả về ngày 26/2 số hđ 1040</t>
  </si>
  <si>
    <t>Trừ vào đơn hàng trả về ngày 7/2 hóa đơn 1014 10 TD90</t>
  </si>
  <si>
    <t>Trừ vào đơn hàng trả vê 11 hộp BCX90 tháng 2</t>
  </si>
  <si>
    <t>Quà tặng bốc thăm</t>
  </si>
  <si>
    <t>CTV Cô Trang cổ Tân cô Hằng Thảo</t>
  </si>
  <si>
    <t>Quà tặng KT</t>
  </si>
  <si>
    <t>Đại lý Anh Minh</t>
  </si>
  <si>
    <t>Đã trừ vào đơn hàng trả về ngày 31/1 số hđ362</t>
  </si>
  <si>
    <t>Hỗ trợ tiền vận chuyển 250.000</t>
  </si>
  <si>
    <t>Doanh thu Tháng 2/2020</t>
  </si>
  <si>
    <t>Doanh số bán hàng sau khi đã triết khấu cho khách là:</t>
  </si>
  <si>
    <t>Khách hàng đã thanh toán tiền mặt và chuyển khoản tài khoản ngân hàng là</t>
  </si>
  <si>
    <t>Số Công nợ thu hồi được là</t>
  </si>
  <si>
    <t>Vũ Hoài Thanh</t>
  </si>
  <si>
    <t>Doanh thu tháng 2/2020</t>
  </si>
  <si>
    <t xml:space="preserve">BẢNG TỔNG HỢP NHẬP XUẤT TỒN </t>
  </si>
  <si>
    <t>ST Bảo An</t>
  </si>
  <si>
    <t>Hải Lựu VP</t>
  </si>
  <si>
    <t xml:space="preserve">NPP Trương Tuyết </t>
  </si>
  <si>
    <t xml:space="preserve">Đại lý Anh Minh </t>
  </si>
  <si>
    <t xml:space="preserve">       TỪ 1/8 ĐẾN 29/02/2020</t>
  </si>
  <si>
    <t>Tiền cổ phần còn phải đóng</t>
  </si>
  <si>
    <t>Phần trăm cổ phần</t>
  </si>
  <si>
    <t>Triệu Anh Sơn</t>
  </si>
  <si>
    <t xml:space="preserve">Tổng tiền cổ đông đã đóng </t>
  </si>
  <si>
    <t>Triệu Sơn đóng tiền cổ phần</t>
  </si>
  <si>
    <t>Triệu Sơn</t>
  </si>
  <si>
    <t>Đình Nam</t>
  </si>
  <si>
    <t>NHBIDV</t>
  </si>
  <si>
    <t>Nhập hàng đợt 9</t>
  </si>
  <si>
    <t>Tổng số lượng tiền hàng lần 8</t>
  </si>
  <si>
    <t>Tổng thanh toán tiền hàng lần 2</t>
  </si>
  <si>
    <t>Tổng thanh toán tiền hàng lần 1</t>
  </si>
  <si>
    <t>A.Lâm</t>
  </si>
  <si>
    <t>Sơn Lâm</t>
  </si>
  <si>
    <t>Tổng cộng doanh thu tháng 7, 8 , 9, 10 ,11,12,1 -29/02/2020</t>
  </si>
  <si>
    <t>BẢNG TỔNG HỢP CÁC KHOẢN THU CHI TỪ THÁNG 5 ĐẾN 31.12.2019</t>
  </si>
  <si>
    <t>Lương tháng 8,9,10,11,12,1,2/2020</t>
  </si>
  <si>
    <t>Tiền cá nhân đã ứng để chi phí cho Cty chốt đến 29/2/2020</t>
  </si>
  <si>
    <t>TIỀN CỔ PHẦN MỌI NGƯỜI ĐÃ CHUYỂN KHOẢN ĐẾN 29/02</t>
  </si>
  <si>
    <t>TIẾN ĐỘ GÓP VỐN CỔ ĐÔNG LẦN 1 SỐ VỐN 2.000.000VNĐ</t>
  </si>
  <si>
    <t>Lê Đăng Long</t>
  </si>
  <si>
    <t>BẢNG TỔNG HỢP SỐ TIỀN ĐÃ ĐÓNG CỔ PHẦN CỦA CÁC CỔ ĐÔNG ĐẾN 20/3/2020</t>
  </si>
  <si>
    <t>CỘNG HÒA XÃ HỘI CHỦ NGHĨA ViỆT NAM</t>
  </si>
  <si>
    <t>Độc lập - Tự do - Hạnh phúc</t>
  </si>
  <si>
    <t>Thanh toán tiền Thuê văn phòng cty 6 tháng tiếp theo</t>
  </si>
  <si>
    <t xml:space="preserve">Chi phí tiền thuê Kho </t>
  </si>
  <si>
    <t>Lỗ</t>
  </si>
  <si>
    <t>Thu từ tiền góp vốn cổ phần của Triệu Anh Sơn</t>
  </si>
  <si>
    <t xml:space="preserve">Trẻ nợ gốc vay Bạn Nhất </t>
  </si>
  <si>
    <t>Thanh toán tiền Lãi vay Nhất( 25 ngày)</t>
  </si>
  <si>
    <t>Thanh toán tiền thuê Kho</t>
  </si>
  <si>
    <t>Chi phí lương Nguyễn Tiến Lâm năm 2019 và tháng 1 tháng 2 2020</t>
  </si>
  <si>
    <t>Lãi</t>
  </si>
  <si>
    <t xml:space="preserve">       TỪ 1/3 ĐẾN 31/3/2020</t>
  </si>
  <si>
    <t>Em Minh Anh</t>
  </si>
  <si>
    <t>TD45</t>
  </si>
  <si>
    <t xml:space="preserve">Chị Yến </t>
  </si>
  <si>
    <t>Thanh Trì</t>
  </si>
  <si>
    <t>Dịch Vọng</t>
  </si>
  <si>
    <t>13/3</t>
  </si>
  <si>
    <t>14/3</t>
  </si>
  <si>
    <t>Anh Sơn CTV</t>
  </si>
  <si>
    <t>Xuân Hòa</t>
  </si>
  <si>
    <t>16/3</t>
  </si>
  <si>
    <t>17/3</t>
  </si>
  <si>
    <t>Phú Thọ</t>
  </si>
  <si>
    <t>Chị Thủy VP</t>
  </si>
  <si>
    <t>18/3</t>
  </si>
  <si>
    <t>Hảo</t>
  </si>
  <si>
    <t>19/3</t>
  </si>
  <si>
    <t xml:space="preserve">Tổng cộng </t>
  </si>
  <si>
    <t>Nhập hàng đợt 10</t>
  </si>
  <si>
    <t>Tổng số lượng tiền hàng đợt 10</t>
  </si>
  <si>
    <t>Tổng số lượng tiền hàng lần 9</t>
  </si>
  <si>
    <t>1 thùng cộng 20 hộp</t>
  </si>
  <si>
    <t>Từ tháng 5/2019 đến 20/03/2020</t>
  </si>
  <si>
    <t>BẢNG TỔNG HỢP CÁC KHOẢN THU CHI TỪ THÁNG 1 ĐẾN 31.03.2020</t>
  </si>
  <si>
    <t>Chi Trả tiền lương Nguyễn Thị Lan( đối trừ sang tiền hàng T9,10)</t>
  </si>
  <si>
    <t>Chi trả tiền lương Nguyễn Văn Long( đối trừ sang tiền hàng T11)</t>
  </si>
  <si>
    <t>Chi trả tiền lương Nguyễn Văn Sơn( đối trừ sang tiền hàng T9,10,11)</t>
  </si>
  <si>
    <t>Chi trả tiền lương Lò Thị Minh Tâm( Đối trừ sang tiền lấy hàng T9,10,11,12,1,2)</t>
  </si>
  <si>
    <t>Phí bảo hiểm vật chất xe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</si>
  <si>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</si>
  <si>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</si>
  <si>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</si>
  <si>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</si>
  <si>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</si>
  <si>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</si>
  <si>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</si>
  <si>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</si>
  <si>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</si>
  <si>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</si>
  <si>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</si>
  <si>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</si>
  <si>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</si>
  <si>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</si>
  <si>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</si>
  <si>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CP làm web + nuôi web + SEO 2 từ khóa</t>
  </si>
  <si>
    <t>Chị Minh Hà Nam chuyển tiền hàng</t>
  </si>
  <si>
    <t>Chị huệ điện biên thanh toán tiền hàng</t>
  </si>
  <si>
    <t xml:space="preserve">Chi phí đi đường </t>
  </si>
  <si>
    <t>Thu tiền hàng của Tâm</t>
  </si>
  <si>
    <t>Trả nốt tiền túi nilong</t>
  </si>
  <si>
    <t xml:space="preserve">Thu tiền hàng Chị Hảo 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</si>
  <si>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</si>
  <si>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</si>
  <si>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</si>
  <si>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</si>
  <si>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</si>
  <si>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</si>
  <si>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</si>
  <si>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</si>
  <si>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</si>
  <si>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>Tổng các khoản thu chi từ 1/3 đến 20/3</t>
  </si>
  <si>
    <t>Tổng thu T3</t>
  </si>
  <si>
    <t>Tổng chi T3</t>
  </si>
  <si>
    <t>Lợi nhuận T3</t>
  </si>
  <si>
    <t>Lợi nhuận quý I/2020</t>
  </si>
  <si>
    <t>Tổng doanh số bán hàng toàn công ty tháng 03/2020</t>
  </si>
  <si>
    <t>BẢNG TỔNG HỢP DOANH THU BÁN HÀNG ĐẾN 20/3/2020</t>
  </si>
  <si>
    <t>Hà Nội, ngày 20 tháng 3 năm 2020</t>
  </si>
  <si>
    <t>Doanh thu Tháng 3/2020</t>
  </si>
  <si>
    <t>Tổng cộng doanh thu tháng 7, 8 , 9, 10 ,11,12,1,2-&gt; 20/03/2020</t>
  </si>
  <si>
    <t>Kết luận:</t>
  </si>
  <si>
    <t>Số tiền khách hàng còn nợ đến ngày 20/3/2020 là:</t>
  </si>
  <si>
    <t>BẢNG TỔNG HỢP CÔNG NỢ KHÁCH HÀNG 7,8,9,10,11,12,01,02,03/2020</t>
  </si>
  <si>
    <t>Doanh thu tháng 3/2020</t>
  </si>
  <si>
    <t>Hà Nội, ngày 20 tháng 03 năm 2020</t>
  </si>
  <si>
    <t>Vốn giai đoạn 1 (2 tỷ)</t>
  </si>
  <si>
    <t>Tổng chi Quý I/2020</t>
  </si>
  <si>
    <t>Tổng thu  quý I/2020</t>
  </si>
  <si>
    <t>Lợi nhuận từ 1/1/2020 đến 20/3/2020</t>
  </si>
  <si>
    <t>Trong đó Chi nhập hàng: 1.149.915.000đ</t>
  </si>
  <si>
    <t>Chi tiền Nhập SOY</t>
  </si>
  <si>
    <t>Chi phí khác : 2.064.205.092</t>
  </si>
  <si>
    <t>Từ T5/2019 đến ngày 20/03/2020</t>
  </si>
  <si>
    <t>Tổng Lợi nhuận từ T5 đến 20/3/2020</t>
  </si>
  <si>
    <t>TỪ 20.8 ĐẾN 20.03.2020</t>
  </si>
  <si>
    <t>TK cá nhân Lâm</t>
  </si>
  <si>
    <t>Tài khoản BIDV 50 triệu</t>
  </si>
  <si>
    <t>Tài khoản cá nhân Lâm 148 triệu</t>
  </si>
  <si>
    <t>TỪ THÁNG 7 ĐẾN THÁNG 3 NĂM 2020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</si>
</sst>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  <numFmt numFmtId="166" formatCode="m/d;@"/>
    <numFmt numFmtId="167" formatCode="dd/mm/yyyy;@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indexed="8"/>
      <name val="Calibri"/>
      <family val="2"/>
      <charset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8"/>
      <color theme="1"/>
      <name val="Times New Roman"/>
      <family val="1"/>
    </font>
    <font>
      <sz val="8"/>
      <color rgb="FFFF0000"/>
      <name val="Times New Roman"/>
      <family val="1"/>
    </font>
    <font>
      <sz val="9"/>
      <name val="Times New Roman"/>
      <family val="1"/>
    </font>
    <font>
      <b/>
      <sz val="7"/>
      <color theme="1"/>
      <name val="Times New Roman"/>
      <family val="1"/>
    </font>
    <font>
      <sz val="7"/>
      <color theme="1"/>
      <name val="Times New Roman"/>
      <family val="1"/>
    </font>
    <font>
      <sz val="7"/>
      <color rgb="FFFF0000"/>
      <name val="Times New Roman"/>
      <family val="1"/>
    </font>
    <font>
      <b/>
      <sz val="8"/>
      <color theme="1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8"/>
      <color theme="1"/>
      <name val="Times New Roman"/>
      <family val="1"/>
      <charset val="163"/>
    </font>
    <font>
      <sz val="11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  <font>
      <b/>
      <sz val="8"/>
      <name val="Times New Roman"/>
      <family val="1"/>
      <charset val="163"/>
    </font>
    <font>
      <sz val="11"/>
      <name val="Times New Roman"/>
      <family val="1"/>
      <charset val="163"/>
    </font>
    <font>
      <b/>
      <sz val="9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sz val="8"/>
      <color theme="1"/>
      <name val="Cambria"/>
      <family val="1"/>
      <charset val="163"/>
      <scheme val="major"/>
    </font>
    <font>
      <b/>
      <sz val="16"/>
      <name val="Times New Roman"/>
      <family val="1"/>
    </font>
    <font>
      <sz val="8"/>
      <name val="Cambria"/>
      <family val="1"/>
      <charset val="163"/>
      <scheme val="major"/>
    </font>
    <font>
      <b/>
      <sz val="7"/>
      <name val="Times New Roman"/>
      <family val="1"/>
      <charset val="163"/>
    </font>
    <font>
      <sz val="7"/>
      <name val="Times New Roman"/>
      <family val="1"/>
      <charset val="163"/>
    </font>
    <font>
      <b/>
      <sz val="7"/>
      <color theme="1"/>
      <name val="Times New Roman"/>
      <family val="1"/>
      <charset val="163"/>
    </font>
    <font>
      <sz val="7"/>
      <color theme="1"/>
      <name val="Times New Roman"/>
      <family val="1"/>
      <charset val="163"/>
    </font>
    <font>
      <i/>
      <sz val="7"/>
      <color theme="1"/>
      <name val="Times New Roman"/>
      <family val="1"/>
    </font>
    <font>
      <b/>
      <sz val="8"/>
      <color rgb="FFFF0000"/>
      <name val="Times New Roman"/>
      <family val="1"/>
      <charset val="163"/>
    </font>
    <font>
      <b/>
      <sz val="11"/>
      <color theme="1"/>
      <name val="Calibri"/>
      <family val="2"/>
      <charset val="163"/>
      <scheme val="minor"/>
    </font>
    <font>
      <sz val="11"/>
      <color rgb="FFFF0000"/>
      <name val="Times New Roman"/>
      <family val="1"/>
      <charset val="163"/>
    </font>
    <font>
      <sz val="7"/>
      <color rgb="FF00B050"/>
      <name val="Times New Roman"/>
      <family val="1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charset val="163"/>
      <scheme val="minor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sz val="9"/>
      <name val="Times New Roman"/>
      <family val="1"/>
      <charset val="163"/>
    </font>
    <font>
      <sz val="9"/>
      <name val="Cambria"/>
      <family val="1"/>
      <charset val="163"/>
      <scheme val="major"/>
    </font>
    <font>
      <b/>
      <sz val="9"/>
      <name val="Times New Roman"/>
      <family val="1"/>
      <charset val="163"/>
    </font>
    <font>
      <i/>
      <sz val="8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9"/>
      <color theme="1"/>
      <name val="Times New Roman"/>
      <family val="1"/>
    </font>
    <font>
      <sz val="9"/>
      <color rgb="FFFF0000"/>
      <name val="Times New Roman"/>
      <family val="1"/>
    </font>
    <font>
      <b/>
      <sz val="11"/>
      <name val="Times New Roman"/>
      <family val="1"/>
      <charset val="163"/>
    </font>
    <font>
      <b/>
      <i/>
      <sz val="10"/>
      <name val="Times New Roman"/>
      <family val="1"/>
      <charset val="163"/>
    </font>
    <font>
      <sz val="10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i/>
      <sz val="10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7"/>
      <color rgb="FFFF0000"/>
      <name val="Times New Roman"/>
      <family val="1"/>
      <charset val="163"/>
    </font>
    <font>
      <b/>
      <i/>
      <sz val="11"/>
      <color theme="1"/>
      <name val="Times New Roman"/>
      <family val="1"/>
      <charset val="163"/>
    </font>
    <font>
      <sz val="7"/>
      <color rgb="FFFF0000"/>
      <name val="Times New Roman"/>
      <family val="1"/>
      <charset val="163"/>
    </font>
    <font>
      <b/>
      <sz val="16"/>
      <color theme="1"/>
      <name val="Times New Roman"/>
      <family val="1"/>
      <charset val="163"/>
    </font>
    <font>
      <i/>
      <sz val="16"/>
      <color theme="1"/>
      <name val="Times New Roman"/>
      <family val="1"/>
      <charset val="163"/>
    </font>
    <font>
      <sz val="16"/>
      <color theme="1"/>
      <name val="Times New Roman"/>
      <family val="1"/>
      <charset val="163"/>
    </font>
    <font>
      <b/>
      <sz val="18"/>
      <color theme="1"/>
      <name val="Times New Roman"/>
      <family val="1"/>
      <charset val="163"/>
    </font>
    <font>
      <sz val="18"/>
      <color theme="1"/>
      <name val="Times New Roman"/>
      <family val="1"/>
      <charset val="163"/>
    </font>
    <font>
      <i/>
      <sz val="18"/>
      <color theme="1"/>
      <name val="Times New Roman"/>
      <family val="1"/>
      <charset val="163"/>
    </font>
    <font>
      <i/>
      <sz val="11"/>
      <color theme="1"/>
      <name val="Calibri"/>
      <family val="2"/>
      <charset val="163"/>
      <scheme val="minor"/>
    </font>
    <font>
      <b/>
      <i/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i/>
      <sz val="14"/>
      <name val="Times New Roman"/>
      <family val="1"/>
    </font>
    <font>
      <i/>
      <sz val="11"/>
      <name val="Times New Roman"/>
      <family val="1"/>
      <charset val="163"/>
    </font>
    <font>
      <b/>
      <i/>
      <sz val="11"/>
      <name val="Times New Roman"/>
      <family val="1"/>
      <charset val="163"/>
    </font>
    <font>
      <i/>
      <sz val="11"/>
      <color rgb="FFFF0000"/>
      <name val="Times New Roman"/>
      <family val="1"/>
      <charset val="163"/>
    </font>
    <font>
      <b/>
      <i/>
      <sz val="11"/>
      <name val="Times New Roman"/>
      <family val="1"/>
    </font>
    <font>
      <b/>
      <sz val="16"/>
      <name val="Times New Roman"/>
      <family val="1"/>
      <charset val="163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  <charset val="163"/>
    </font>
    <font>
      <b/>
      <i/>
      <sz val="10"/>
      <color theme="1"/>
      <name val="Times New Roman"/>
      <family val="1"/>
      <charset val="163"/>
    </font>
    <font>
      <sz val="10"/>
      <color rgb="FFFF0000"/>
      <name val="Times New Roman"/>
      <family val="1"/>
      <charset val="16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DFF"/>
        <bgColor indexed="64"/>
      </patternFill>
    </fill>
  </fills>
  <borders count="10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8" fillId="0" borderId="0"/>
  </cellStyleXfs>
  <cellXfs count="1934">
    <xf numFmtId="0" fontId="0" fillId="0" borderId="0" xfId="0"/>
    <xf numFmtId="0" fontId="0" fillId="0" borderId="0" xfId="0"/>
    <xf numFmtId="0" fontId="2" fillId="0" borderId="0" xfId="0" applyFont="1"/>
    <xf numFmtId="0" fontId="6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41" fontId="27" fillId="0" borderId="12" xfId="2" applyFont="1" applyBorder="1" applyAlignment="1">
      <alignment horizontal="center"/>
    </xf>
    <xf numFmtId="41" fontId="27" fillId="0" borderId="15" xfId="2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41" fontId="27" fillId="0" borderId="21" xfId="2" applyFont="1" applyBorder="1" applyAlignment="1">
      <alignment horizontal="center"/>
    </xf>
    <xf numFmtId="41" fontId="27" fillId="0" borderId="52" xfId="2" applyFont="1" applyBorder="1" applyAlignment="1">
      <alignment horizontal="center"/>
    </xf>
    <xf numFmtId="41" fontId="27" fillId="0" borderId="37" xfId="2" applyFont="1" applyBorder="1" applyAlignment="1">
      <alignment horizontal="center" vertical="top"/>
    </xf>
    <xf numFmtId="41" fontId="27" fillId="0" borderId="12" xfId="2" applyFont="1" applyBorder="1" applyAlignment="1">
      <alignment horizontal="center" vertical="top"/>
    </xf>
    <xf numFmtId="41" fontId="27" fillId="0" borderId="52" xfId="2" applyFont="1" applyBorder="1" applyAlignment="1">
      <alignment horizontal="center" vertical="top"/>
    </xf>
    <xf numFmtId="41" fontId="27" fillId="0" borderId="1" xfId="2" applyFont="1" applyBorder="1" applyAlignment="1">
      <alignment horizontal="center"/>
    </xf>
    <xf numFmtId="41" fontId="27" fillId="0" borderId="36" xfId="2" applyFont="1" applyBorder="1" applyAlignment="1">
      <alignment horizontal="center"/>
    </xf>
    <xf numFmtId="41" fontId="27" fillId="0" borderId="37" xfId="2" applyFont="1" applyBorder="1" applyAlignment="1">
      <alignment horizontal="center"/>
    </xf>
    <xf numFmtId="0" fontId="36" fillId="0" borderId="0" xfId="0" applyFont="1"/>
    <xf numFmtId="164" fontId="27" fillId="0" borderId="12" xfId="0" applyNumberFormat="1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21" xfId="0" applyFont="1" applyBorder="1" applyAlignment="1">
      <alignment horizontal="left" wrapText="1"/>
    </xf>
    <xf numFmtId="164" fontId="27" fillId="0" borderId="21" xfId="0" applyNumberFormat="1" applyFont="1" applyBorder="1" applyAlignment="1">
      <alignment horizontal="center"/>
    </xf>
    <xf numFmtId="9" fontId="27" fillId="0" borderId="21" xfId="3" applyNumberFormat="1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9" fontId="27" fillId="0" borderId="12" xfId="3" applyNumberFormat="1" applyFont="1" applyBorder="1" applyAlignment="1">
      <alignment horizontal="center"/>
    </xf>
    <xf numFmtId="0" fontId="27" fillId="0" borderId="12" xfId="0" quotePrefix="1" applyFont="1" applyBorder="1" applyAlignment="1">
      <alignment horizontal="center"/>
    </xf>
    <xf numFmtId="0" fontId="27" fillId="0" borderId="13" xfId="0" applyFont="1" applyBorder="1" applyAlignment="1">
      <alignment wrapText="1"/>
    </xf>
    <xf numFmtId="0" fontId="27" fillId="0" borderId="12" xfId="0" applyFont="1" applyBorder="1" applyAlignment="1">
      <alignment horizontal="left" wrapText="1"/>
    </xf>
    <xf numFmtId="0" fontId="27" fillId="0" borderId="12" xfId="0" applyFont="1" applyBorder="1" applyAlignment="1">
      <alignment horizontal="center" wrapText="1"/>
    </xf>
    <xf numFmtId="0" fontId="27" fillId="0" borderId="51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52" xfId="0" applyFont="1" applyBorder="1" applyAlignment="1">
      <alignment horizontal="left" wrapText="1"/>
    </xf>
    <xf numFmtId="164" fontId="27" fillId="0" borderId="52" xfId="0" applyNumberFormat="1" applyFont="1" applyBorder="1" applyAlignment="1">
      <alignment horizontal="center"/>
    </xf>
    <xf numFmtId="9" fontId="27" fillId="0" borderId="52" xfId="3" applyNumberFormat="1" applyFont="1" applyBorder="1" applyAlignment="1">
      <alignment horizontal="center"/>
    </xf>
    <xf numFmtId="41" fontId="27" fillId="0" borderId="3" xfId="2" applyFont="1" applyBorder="1" applyAlignment="1">
      <alignment horizontal="center"/>
    </xf>
    <xf numFmtId="0" fontId="27" fillId="0" borderId="21" xfId="0" quotePrefix="1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3" xfId="0" applyFont="1" applyBorder="1" applyAlignment="1">
      <alignment horizontal="left" wrapText="1"/>
    </xf>
    <xf numFmtId="0" fontId="27" fillId="0" borderId="52" xfId="0" quotePrefix="1" applyFont="1" applyBorder="1" applyAlignment="1">
      <alignment horizontal="center"/>
    </xf>
    <xf numFmtId="0" fontId="27" fillId="0" borderId="53" xfId="0" applyFont="1" applyBorder="1" applyAlignment="1">
      <alignment wrapText="1"/>
    </xf>
    <xf numFmtId="0" fontId="27" fillId="0" borderId="26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wrapText="1"/>
    </xf>
    <xf numFmtId="0" fontId="27" fillId="0" borderId="1" xfId="0" quotePrefix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9" fontId="27" fillId="0" borderId="1" xfId="3" applyNumberFormat="1" applyFont="1" applyBorder="1" applyAlignment="1">
      <alignment horizontal="center"/>
    </xf>
    <xf numFmtId="0" fontId="27" fillId="0" borderId="35" xfId="0" applyFont="1" applyBorder="1" applyAlignment="1">
      <alignment horizontal="center"/>
    </xf>
    <xf numFmtId="0" fontId="27" fillId="0" borderId="36" xfId="0" applyFont="1" applyBorder="1" applyAlignment="1">
      <alignment horizontal="left" wrapText="1"/>
    </xf>
    <xf numFmtId="0" fontId="27" fillId="0" borderId="36" xfId="0" quotePrefix="1" applyFont="1" applyBorder="1" applyAlignment="1">
      <alignment horizontal="center"/>
    </xf>
    <xf numFmtId="164" fontId="27" fillId="0" borderId="36" xfId="0" applyNumberFormat="1" applyFont="1" applyBorder="1" applyAlignment="1">
      <alignment horizontal="center"/>
    </xf>
    <xf numFmtId="9" fontId="27" fillId="0" borderId="36" xfId="3" applyNumberFormat="1" applyFont="1" applyBorder="1" applyAlignment="1">
      <alignment horizontal="center"/>
    </xf>
    <xf numFmtId="0" fontId="27" fillId="0" borderId="21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7" fillId="0" borderId="27" xfId="0" applyFont="1" applyBorder="1" applyAlignment="1">
      <alignment wrapText="1"/>
    </xf>
    <xf numFmtId="0" fontId="27" fillId="0" borderId="52" xfId="0" applyFont="1" applyBorder="1" applyAlignment="1">
      <alignment horizontal="center" wrapText="1"/>
    </xf>
    <xf numFmtId="0" fontId="29" fillId="0" borderId="0" xfId="0" applyFont="1"/>
    <xf numFmtId="9" fontId="27" fillId="0" borderId="37" xfId="3" applyNumberFormat="1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37" xfId="0" applyFont="1" applyBorder="1" applyAlignment="1">
      <alignment horizontal="left" wrapText="1"/>
    </xf>
    <xf numFmtId="0" fontId="27" fillId="0" borderId="37" xfId="0" quotePrefix="1" applyFont="1" applyBorder="1" applyAlignment="1">
      <alignment horizontal="center"/>
    </xf>
    <xf numFmtId="164" fontId="27" fillId="0" borderId="37" xfId="0" applyNumberFormat="1" applyFont="1" applyBorder="1" applyAlignment="1">
      <alignment horizontal="center"/>
    </xf>
    <xf numFmtId="0" fontId="27" fillId="0" borderId="3" xfId="0" quotePrefix="1" applyFont="1" applyBorder="1" applyAlignment="1">
      <alignment horizontal="center"/>
    </xf>
    <xf numFmtId="164" fontId="27" fillId="0" borderId="3" xfId="0" applyNumberFormat="1" applyFont="1" applyBorder="1" applyAlignment="1">
      <alignment horizontal="center"/>
    </xf>
    <xf numFmtId="9" fontId="27" fillId="0" borderId="3" xfId="3" applyNumberFormat="1" applyFont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164" fontId="27" fillId="2" borderId="1" xfId="0" applyNumberFormat="1" applyFont="1" applyFill="1" applyBorder="1" applyAlignment="1">
      <alignment horizontal="center"/>
    </xf>
    <xf numFmtId="164" fontId="27" fillId="2" borderId="37" xfId="0" applyNumberFormat="1" applyFont="1" applyFill="1" applyBorder="1" applyAlignment="1">
      <alignment horizontal="center"/>
    </xf>
    <xf numFmtId="164" fontId="27" fillId="2" borderId="52" xfId="0" applyNumberFormat="1" applyFont="1" applyFill="1" applyBorder="1" applyAlignment="1">
      <alignment horizontal="center"/>
    </xf>
    <xf numFmtId="0" fontId="27" fillId="0" borderId="22" xfId="0" applyFont="1" applyBorder="1" applyAlignment="1">
      <alignment wrapText="1"/>
    </xf>
    <xf numFmtId="0" fontId="27" fillId="0" borderId="14" xfId="0" applyFont="1" applyBorder="1" applyAlignment="1">
      <alignment horizontal="center"/>
    </xf>
    <xf numFmtId="0" fontId="27" fillId="0" borderId="21" xfId="0" applyFont="1" applyBorder="1" applyAlignment="1">
      <alignment horizontal="left"/>
    </xf>
    <xf numFmtId="0" fontId="27" fillId="0" borderId="50" xfId="0" applyFont="1" applyBorder="1" applyAlignment="1">
      <alignment wrapText="1"/>
    </xf>
    <xf numFmtId="0" fontId="27" fillId="0" borderId="15" xfId="0" quotePrefix="1" applyFont="1" applyBorder="1" applyAlignment="1">
      <alignment horizontal="center"/>
    </xf>
    <xf numFmtId="0" fontId="27" fillId="0" borderId="60" xfId="0" applyFont="1" applyBorder="1" applyAlignment="1">
      <alignment wrapText="1"/>
    </xf>
    <xf numFmtId="0" fontId="27" fillId="0" borderId="37" xfId="0" quotePrefix="1" applyFont="1" applyBorder="1" applyAlignment="1">
      <alignment horizontal="center" wrapText="1"/>
    </xf>
    <xf numFmtId="0" fontId="27" fillId="0" borderId="1" xfId="0" quotePrefix="1" applyFont="1" applyBorder="1" applyAlignment="1">
      <alignment horizontal="center" wrapText="1"/>
    </xf>
    <xf numFmtId="0" fontId="27" fillId="0" borderId="12" xfId="0" quotePrefix="1" applyFont="1" applyBorder="1" applyAlignment="1">
      <alignment horizontal="center" wrapText="1"/>
    </xf>
    <xf numFmtId="0" fontId="27" fillId="2" borderId="12" xfId="0" applyFont="1" applyFill="1" applyBorder="1" applyAlignment="1">
      <alignment horizontal="center"/>
    </xf>
    <xf numFmtId="0" fontId="27" fillId="0" borderId="36" xfId="0" quotePrefix="1" applyFont="1" applyBorder="1" applyAlignment="1">
      <alignment horizontal="center" wrapText="1"/>
    </xf>
    <xf numFmtId="164" fontId="27" fillId="2" borderId="12" xfId="0" applyNumberFormat="1" applyFont="1" applyFill="1" applyBorder="1" applyAlignment="1">
      <alignment horizontal="center"/>
    </xf>
    <xf numFmtId="164" fontId="27" fillId="2" borderId="3" xfId="0" applyNumberFormat="1" applyFont="1" applyFill="1" applyBorder="1" applyAlignment="1">
      <alignment horizontal="center"/>
    </xf>
    <xf numFmtId="164" fontId="27" fillId="2" borderId="36" xfId="0" applyNumberFormat="1" applyFont="1" applyFill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27" fillId="0" borderId="21" xfId="0" quotePrefix="1" applyFont="1" applyBorder="1" applyAlignment="1">
      <alignment horizontal="center" wrapText="1"/>
    </xf>
    <xf numFmtId="0" fontId="27" fillId="0" borderId="52" xfId="0" quotePrefix="1" applyFont="1" applyBorder="1" applyAlignment="1">
      <alignment horizontal="center" wrapText="1"/>
    </xf>
    <xf numFmtId="0" fontId="27" fillId="0" borderId="36" xfId="0" applyFont="1" applyBorder="1" applyAlignment="1">
      <alignment horizontal="center"/>
    </xf>
    <xf numFmtId="0" fontId="27" fillId="0" borderId="37" xfId="0" applyFont="1" applyBorder="1" applyAlignment="1">
      <alignment horizontal="center"/>
    </xf>
    <xf numFmtId="0" fontId="27" fillId="0" borderId="15" xfId="0" quotePrefix="1" applyFont="1" applyBorder="1" applyAlignment="1">
      <alignment horizontal="center" wrapText="1"/>
    </xf>
    <xf numFmtId="0" fontId="27" fillId="0" borderId="29" xfId="0" applyFont="1" applyBorder="1" applyAlignment="1">
      <alignment wrapText="1"/>
    </xf>
    <xf numFmtId="41" fontId="27" fillId="0" borderId="37" xfId="2" applyFont="1" applyBorder="1" applyAlignment="1">
      <alignment vertical="top"/>
    </xf>
    <xf numFmtId="41" fontId="27" fillId="0" borderId="12" xfId="2" applyFont="1" applyBorder="1" applyAlignment="1">
      <alignment vertical="top"/>
    </xf>
    <xf numFmtId="41" fontId="27" fillId="0" borderId="52" xfId="2" applyFont="1" applyBorder="1" applyAlignment="1">
      <alignment vertical="top"/>
    </xf>
    <xf numFmtId="41" fontId="27" fillId="0" borderId="21" xfId="2" applyFont="1" applyBorder="1" applyAlignment="1">
      <alignment vertical="center"/>
    </xf>
    <xf numFmtId="41" fontId="27" fillId="0" borderId="52" xfId="2" applyFont="1" applyBorder="1" applyAlignment="1">
      <alignment vertical="center"/>
    </xf>
    <xf numFmtId="16" fontId="27" fillId="0" borderId="21" xfId="0" quotePrefix="1" applyNumberFormat="1" applyFont="1" applyBorder="1" applyAlignment="1">
      <alignment horizontal="center"/>
    </xf>
    <xf numFmtId="16" fontId="27" fillId="0" borderId="12" xfId="0" quotePrefix="1" applyNumberFormat="1" applyFont="1" applyBorder="1" applyAlignment="1">
      <alignment horizontal="center"/>
    </xf>
    <xf numFmtId="16" fontId="27" fillId="0" borderId="52" xfId="0" quotePrefix="1" applyNumberFormat="1" applyFont="1" applyBorder="1" applyAlignment="1">
      <alignment horizontal="center"/>
    </xf>
    <xf numFmtId="16" fontId="27" fillId="0" borderId="1" xfId="0" quotePrefix="1" applyNumberFormat="1" applyFont="1" applyBorder="1" applyAlignment="1">
      <alignment horizontal="center"/>
    </xf>
    <xf numFmtId="41" fontId="27" fillId="0" borderId="36" xfId="2" applyFont="1" applyBorder="1" applyAlignment="1">
      <alignment vertical="center"/>
    </xf>
    <xf numFmtId="0" fontId="27" fillId="0" borderId="52" xfId="0" applyFont="1" applyBorder="1" applyAlignment="1">
      <alignment horizontal="left"/>
    </xf>
    <xf numFmtId="41" fontId="27" fillId="0" borderId="3" xfId="2" applyFont="1" applyBorder="1" applyAlignment="1">
      <alignment vertical="center"/>
    </xf>
    <xf numFmtId="164" fontId="27" fillId="2" borderId="21" xfId="0" applyNumberFormat="1" applyFont="1" applyFill="1" applyBorder="1" applyAlignment="1">
      <alignment horizontal="center"/>
    </xf>
    <xf numFmtId="164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vertical="center" wrapText="1"/>
    </xf>
    <xf numFmtId="164" fontId="34" fillId="0" borderId="0" xfId="0" applyNumberFormat="1" applyFont="1" applyAlignment="1">
      <alignment vertical="center"/>
    </xf>
    <xf numFmtId="0" fontId="34" fillId="0" borderId="44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4" fillId="0" borderId="1" xfId="0" applyFont="1" applyBorder="1"/>
    <xf numFmtId="41" fontId="34" fillId="0" borderId="1" xfId="2" applyFont="1" applyBorder="1"/>
    <xf numFmtId="0" fontId="34" fillId="0" borderId="27" xfId="0" applyFont="1" applyBorder="1" applyAlignment="1">
      <alignment wrapText="1"/>
    </xf>
    <xf numFmtId="0" fontId="34" fillId="0" borderId="45" xfId="0" applyFont="1" applyBorder="1" applyAlignment="1">
      <alignment horizontal="left"/>
    </xf>
    <xf numFmtId="0" fontId="34" fillId="0" borderId="46" xfId="0" applyFont="1" applyBorder="1" applyAlignment="1">
      <alignment horizontal="left"/>
    </xf>
    <xf numFmtId="0" fontId="34" fillId="0" borderId="47" xfId="0" applyFont="1" applyBorder="1" applyAlignment="1">
      <alignment horizontal="left"/>
    </xf>
    <xf numFmtId="0" fontId="34" fillId="0" borderId="18" xfId="0" applyFont="1" applyBorder="1"/>
    <xf numFmtId="41" fontId="34" fillId="0" borderId="18" xfId="2" applyFont="1" applyBorder="1"/>
    <xf numFmtId="0" fontId="34" fillId="0" borderId="19" xfId="0" applyFont="1" applyBorder="1" applyAlignment="1">
      <alignment wrapText="1"/>
    </xf>
    <xf numFmtId="0" fontId="17" fillId="0" borderId="0" xfId="0" applyFont="1"/>
    <xf numFmtId="164" fontId="21" fillId="2" borderId="1" xfId="0" applyNumberFormat="1" applyFont="1" applyFill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1" xfId="0" quotePrefix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center" wrapText="1"/>
    </xf>
    <xf numFmtId="164" fontId="21" fillId="0" borderId="1" xfId="0" applyNumberFormat="1" applyFont="1" applyBorder="1" applyAlignment="1">
      <alignment horizontal="center"/>
    </xf>
    <xf numFmtId="41" fontId="21" fillId="0" borderId="1" xfId="2" applyFont="1" applyBorder="1" applyAlignment="1">
      <alignment horizontal="center"/>
    </xf>
    <xf numFmtId="9" fontId="21" fillId="0" borderId="1" xfId="3" applyNumberFormat="1" applyFont="1" applyBorder="1" applyAlignment="1">
      <alignment horizontal="center"/>
    </xf>
    <xf numFmtId="0" fontId="21" fillId="0" borderId="27" xfId="0" applyFont="1" applyBorder="1" applyAlignment="1">
      <alignment wrapText="1"/>
    </xf>
    <xf numFmtId="0" fontId="0" fillId="0" borderId="0" xfId="0"/>
    <xf numFmtId="0" fontId="19" fillId="0" borderId="1" xfId="0" applyFont="1" applyBorder="1" applyAlignment="1">
      <alignment horizontal="center" vertical="center" wrapText="1"/>
    </xf>
    <xf numFmtId="41" fontId="27" fillId="2" borderId="12" xfId="2" applyFont="1" applyFill="1" applyBorder="1" applyAlignment="1">
      <alignment horizontal="center"/>
    </xf>
    <xf numFmtId="41" fontId="27" fillId="2" borderId="21" xfId="2" applyFont="1" applyFill="1" applyBorder="1" applyAlignment="1">
      <alignment horizontal="center"/>
    </xf>
    <xf numFmtId="41" fontId="27" fillId="2" borderId="36" xfId="2" applyFont="1" applyFill="1" applyBorder="1" applyAlignment="1">
      <alignment horizontal="center"/>
    </xf>
    <xf numFmtId="41" fontId="27" fillId="2" borderId="52" xfId="2" applyFont="1" applyFill="1" applyBorder="1" applyAlignment="1">
      <alignment horizontal="center"/>
    </xf>
    <xf numFmtId="41" fontId="27" fillId="2" borderId="1" xfId="2" applyFont="1" applyFill="1" applyBorder="1" applyAlignment="1">
      <alignment horizontal="center"/>
    </xf>
    <xf numFmtId="14" fontId="27" fillId="2" borderId="12" xfId="0" quotePrefix="1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41" fontId="27" fillId="0" borderId="12" xfId="2" applyFont="1" applyBorder="1" applyAlignment="1">
      <alignment horizontal="center"/>
    </xf>
    <xf numFmtId="41" fontId="27" fillId="0" borderId="15" xfId="2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25" fillId="0" borderId="0" xfId="0" applyFont="1"/>
    <xf numFmtId="41" fontId="27" fillId="0" borderId="21" xfId="2" applyFont="1" applyBorder="1" applyAlignment="1">
      <alignment horizontal="center"/>
    </xf>
    <xf numFmtId="41" fontId="27" fillId="0" borderId="52" xfId="2" applyFont="1" applyBorder="1" applyAlignment="1">
      <alignment horizontal="center"/>
    </xf>
    <xf numFmtId="41" fontId="27" fillId="0" borderId="1" xfId="2" applyFont="1" applyBorder="1" applyAlignment="1">
      <alignment horizontal="center"/>
    </xf>
    <xf numFmtId="41" fontId="27" fillId="0" borderId="36" xfId="2" applyFont="1" applyBorder="1" applyAlignment="1">
      <alignment horizontal="center"/>
    </xf>
    <xf numFmtId="41" fontId="27" fillId="0" borderId="37" xfId="2" applyFont="1" applyBorder="1" applyAlignment="1">
      <alignment horizontal="center"/>
    </xf>
    <xf numFmtId="0" fontId="36" fillId="0" borderId="0" xfId="0" applyFont="1"/>
    <xf numFmtId="0" fontId="26" fillId="0" borderId="0" xfId="0" applyFont="1" applyBorder="1"/>
    <xf numFmtId="164" fontId="27" fillId="0" borderId="12" xfId="0" applyNumberFormat="1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21" xfId="0" applyFont="1" applyBorder="1" applyAlignment="1">
      <alignment horizontal="left" wrapText="1"/>
    </xf>
    <xf numFmtId="164" fontId="27" fillId="0" borderId="21" xfId="0" applyNumberFormat="1" applyFont="1" applyBorder="1" applyAlignment="1">
      <alignment horizontal="center"/>
    </xf>
    <xf numFmtId="9" fontId="27" fillId="0" borderId="21" xfId="3" applyNumberFormat="1" applyFont="1" applyBorder="1" applyAlignment="1">
      <alignment horizontal="center"/>
    </xf>
    <xf numFmtId="41" fontId="27" fillId="0" borderId="2" xfId="2" applyFont="1" applyBorder="1" applyAlignment="1">
      <alignment horizontal="center"/>
    </xf>
    <xf numFmtId="9" fontId="27" fillId="0" borderId="21" xfId="3" applyFont="1" applyBorder="1" applyAlignment="1">
      <alignment horizontal="center"/>
    </xf>
    <xf numFmtId="0" fontId="27" fillId="0" borderId="22" xfId="0" applyFont="1" applyBorder="1"/>
    <xf numFmtId="0" fontId="27" fillId="0" borderId="11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9" fontId="27" fillId="0" borderId="12" xfId="3" applyNumberFormat="1" applyFont="1" applyBorder="1" applyAlignment="1">
      <alignment horizontal="center"/>
    </xf>
    <xf numFmtId="9" fontId="27" fillId="0" borderId="12" xfId="3" applyFont="1" applyBorder="1" applyAlignment="1">
      <alignment horizontal="center"/>
    </xf>
    <xf numFmtId="0" fontId="27" fillId="0" borderId="13" xfId="0" applyFont="1" applyBorder="1"/>
    <xf numFmtId="0" fontId="27" fillId="0" borderId="12" xfId="0" quotePrefix="1" applyFont="1" applyBorder="1" applyAlignment="1">
      <alignment horizontal="center"/>
    </xf>
    <xf numFmtId="0" fontId="27" fillId="0" borderId="13" xfId="0" applyFont="1" applyBorder="1" applyAlignment="1">
      <alignment wrapText="1"/>
    </xf>
    <xf numFmtId="0" fontId="27" fillId="0" borderId="51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52" xfId="0" applyFont="1" applyBorder="1" applyAlignment="1">
      <alignment horizontal="left" wrapText="1"/>
    </xf>
    <xf numFmtId="164" fontId="27" fillId="0" borderId="52" xfId="0" applyNumberFormat="1" applyFont="1" applyBorder="1" applyAlignment="1">
      <alignment horizontal="center"/>
    </xf>
    <xf numFmtId="9" fontId="27" fillId="0" borderId="52" xfId="3" applyNumberFormat="1" applyFont="1" applyBorder="1" applyAlignment="1">
      <alignment horizontal="center"/>
    </xf>
    <xf numFmtId="41" fontId="27" fillId="0" borderId="3" xfId="2" applyFont="1" applyBorder="1" applyAlignment="1">
      <alignment horizontal="center"/>
    </xf>
    <xf numFmtId="9" fontId="27" fillId="0" borderId="52" xfId="3" applyFont="1" applyBorder="1" applyAlignment="1">
      <alignment horizontal="center"/>
    </xf>
    <xf numFmtId="0" fontId="27" fillId="0" borderId="53" xfId="0" applyFont="1" applyBorder="1"/>
    <xf numFmtId="0" fontId="27" fillId="0" borderId="21" xfId="0" quotePrefix="1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3" xfId="0" applyFont="1" applyBorder="1" applyAlignment="1">
      <alignment horizontal="left" wrapText="1"/>
    </xf>
    <xf numFmtId="0" fontId="27" fillId="0" borderId="52" xfId="0" quotePrefix="1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wrapText="1"/>
    </xf>
    <xf numFmtId="0" fontId="27" fillId="0" borderId="1" xfId="0" quotePrefix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9" fontId="27" fillId="0" borderId="1" xfId="3" applyNumberFormat="1" applyFont="1" applyBorder="1" applyAlignment="1">
      <alignment horizontal="center"/>
    </xf>
    <xf numFmtId="9" fontId="27" fillId="0" borderId="1" xfId="3" applyFont="1" applyBorder="1" applyAlignment="1">
      <alignment horizontal="center"/>
    </xf>
    <xf numFmtId="0" fontId="27" fillId="0" borderId="27" xfId="0" applyFont="1" applyBorder="1"/>
    <xf numFmtId="0" fontId="27" fillId="0" borderId="21" xfId="0" applyFont="1" applyBorder="1" applyAlignment="1">
      <alignment horizontal="center" wrapText="1"/>
    </xf>
    <xf numFmtId="0" fontId="27" fillId="0" borderId="52" xfId="0" applyFont="1" applyBorder="1" applyAlignment="1">
      <alignment horizontal="center" wrapText="1"/>
    </xf>
    <xf numFmtId="14" fontId="27" fillId="2" borderId="21" xfId="0" quotePrefix="1" applyNumberFormat="1" applyFont="1" applyFill="1" applyBorder="1" applyAlignment="1">
      <alignment horizontal="center"/>
    </xf>
    <xf numFmtId="14" fontId="27" fillId="2" borderId="52" xfId="0" quotePrefix="1" applyNumberFormat="1" applyFont="1" applyFill="1" applyBorder="1" applyAlignment="1">
      <alignment horizontal="center"/>
    </xf>
    <xf numFmtId="14" fontId="27" fillId="2" borderId="1" xfId="0" quotePrefix="1" applyNumberFormat="1" applyFont="1" applyFill="1" applyBorder="1" applyAlignment="1">
      <alignment horizontal="center"/>
    </xf>
    <xf numFmtId="14" fontId="27" fillId="2" borderId="37" xfId="0" quotePrefix="1" applyNumberFormat="1" applyFont="1" applyFill="1" applyBorder="1" applyAlignment="1">
      <alignment horizontal="center"/>
    </xf>
    <xf numFmtId="0" fontId="27" fillId="0" borderId="55" xfId="0" applyFont="1" applyBorder="1" applyAlignment="1">
      <alignment horizontal="center"/>
    </xf>
    <xf numFmtId="164" fontId="27" fillId="0" borderId="3" xfId="0" applyNumberFormat="1" applyFont="1" applyBorder="1" applyAlignment="1">
      <alignment horizontal="center"/>
    </xf>
    <xf numFmtId="9" fontId="27" fillId="0" borderId="3" xfId="3" applyFont="1" applyBorder="1" applyAlignment="1">
      <alignment horizontal="center"/>
    </xf>
    <xf numFmtId="0" fontId="27" fillId="0" borderId="29" xfId="0" applyFont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9" fontId="26" fillId="0" borderId="1" xfId="3" applyFont="1" applyBorder="1" applyAlignment="1">
      <alignment horizontal="center" vertical="center" wrapText="1"/>
    </xf>
    <xf numFmtId="14" fontId="27" fillId="0" borderId="1" xfId="0" quotePrefix="1" applyNumberFormat="1" applyFont="1" applyBorder="1" applyAlignment="1">
      <alignment horizontal="center"/>
    </xf>
    <xf numFmtId="41" fontId="27" fillId="0" borderId="4" xfId="2" applyFont="1" applyBorder="1" applyAlignment="1">
      <alignment horizontal="center"/>
    </xf>
    <xf numFmtId="14" fontId="27" fillId="0" borderId="21" xfId="0" quotePrefix="1" applyNumberFormat="1" applyFont="1" applyBorder="1" applyAlignment="1">
      <alignment horizontal="center"/>
    </xf>
    <xf numFmtId="41" fontId="27" fillId="0" borderId="33" xfId="2" applyFont="1" applyBorder="1" applyAlignment="1">
      <alignment horizontal="center"/>
    </xf>
    <xf numFmtId="41" fontId="27" fillId="0" borderId="34" xfId="2" applyFont="1" applyBorder="1" applyAlignment="1">
      <alignment horizontal="center"/>
    </xf>
    <xf numFmtId="14" fontId="27" fillId="0" borderId="52" xfId="0" quotePrefix="1" applyNumberFormat="1" applyFont="1" applyBorder="1" applyAlignment="1">
      <alignment horizontal="center"/>
    </xf>
    <xf numFmtId="41" fontId="27" fillId="0" borderId="59" xfId="2" applyFont="1" applyBorder="1" applyAlignment="1">
      <alignment horizontal="center"/>
    </xf>
    <xf numFmtId="14" fontId="27" fillId="0" borderId="12" xfId="0" quotePrefix="1" applyNumberFormat="1" applyFont="1" applyBorder="1" applyAlignment="1">
      <alignment horizontal="center"/>
    </xf>
    <xf numFmtId="0" fontId="27" fillId="2" borderId="37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14" fontId="27" fillId="0" borderId="3" xfId="0" quotePrefix="1" applyNumberFormat="1" applyFont="1" applyBorder="1" applyAlignment="1">
      <alignment horizontal="center"/>
    </xf>
    <xf numFmtId="41" fontId="27" fillId="0" borderId="63" xfId="2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2" borderId="26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 wrapText="1"/>
    </xf>
    <xf numFmtId="164" fontId="27" fillId="2" borderId="1" xfId="0" applyNumberFormat="1" applyFont="1" applyFill="1" applyBorder="1" applyAlignment="1">
      <alignment horizontal="center"/>
    </xf>
    <xf numFmtId="9" fontId="27" fillId="2" borderId="1" xfId="3" applyNumberFormat="1" applyFont="1" applyFill="1" applyBorder="1" applyAlignment="1">
      <alignment horizontal="center"/>
    </xf>
    <xf numFmtId="41" fontId="27" fillId="2" borderId="4" xfId="2" applyFont="1" applyFill="1" applyBorder="1" applyAlignment="1">
      <alignment horizontal="center"/>
    </xf>
    <xf numFmtId="0" fontId="27" fillId="2" borderId="27" xfId="0" applyFont="1" applyFill="1" applyBorder="1"/>
    <xf numFmtId="0" fontId="27" fillId="2" borderId="48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left" wrapText="1"/>
    </xf>
    <xf numFmtId="164" fontId="27" fillId="2" borderId="37" xfId="0" applyNumberFormat="1" applyFont="1" applyFill="1" applyBorder="1" applyAlignment="1">
      <alignment horizontal="center"/>
    </xf>
    <xf numFmtId="41" fontId="27" fillId="2" borderId="37" xfId="2" applyFont="1" applyFill="1" applyBorder="1" applyAlignment="1">
      <alignment horizontal="center"/>
    </xf>
    <xf numFmtId="9" fontId="27" fillId="2" borderId="37" xfId="3" applyNumberFormat="1" applyFont="1" applyFill="1" applyBorder="1" applyAlignment="1">
      <alignment horizontal="center"/>
    </xf>
    <xf numFmtId="41" fontId="27" fillId="2" borderId="49" xfId="2" applyFont="1" applyFill="1" applyBorder="1" applyAlignment="1">
      <alignment horizontal="center"/>
    </xf>
    <xf numFmtId="0" fontId="27" fillId="2" borderId="60" xfId="0" applyFont="1" applyFill="1" applyBorder="1"/>
    <xf numFmtId="0" fontId="27" fillId="2" borderId="14" xfId="0" applyFont="1" applyFill="1" applyBorder="1" applyAlignment="1">
      <alignment horizontal="center"/>
    </xf>
    <xf numFmtId="14" fontId="27" fillId="2" borderId="15" xfId="0" quotePrefix="1" applyNumberFormat="1" applyFont="1" applyFill="1" applyBorder="1" applyAlignment="1">
      <alignment horizontal="center"/>
    </xf>
    <xf numFmtId="0" fontId="27" fillId="2" borderId="15" xfId="0" applyFont="1" applyFill="1" applyBorder="1" applyAlignment="1">
      <alignment horizontal="left" wrapText="1"/>
    </xf>
    <xf numFmtId="164" fontId="27" fillId="2" borderId="15" xfId="0" applyNumberFormat="1" applyFont="1" applyFill="1" applyBorder="1" applyAlignment="1">
      <alignment horizontal="center"/>
    </xf>
    <xf numFmtId="41" fontId="27" fillId="2" borderId="15" xfId="2" applyFont="1" applyFill="1" applyBorder="1" applyAlignment="1">
      <alignment horizontal="center"/>
    </xf>
    <xf numFmtId="9" fontId="27" fillId="2" borderId="15" xfId="3" applyNumberFormat="1" applyFont="1" applyFill="1" applyBorder="1" applyAlignment="1">
      <alignment horizontal="center"/>
    </xf>
    <xf numFmtId="41" fontId="27" fillId="2" borderId="38" xfId="2" applyFont="1" applyFill="1" applyBorder="1" applyAlignment="1">
      <alignment horizontal="center"/>
    </xf>
    <xf numFmtId="0" fontId="27" fillId="2" borderId="16" xfId="0" applyFont="1" applyFill="1" applyBorder="1"/>
    <xf numFmtId="0" fontId="27" fillId="2" borderId="51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left" wrapText="1"/>
    </xf>
    <xf numFmtId="0" fontId="27" fillId="2" borderId="52" xfId="0" applyFont="1" applyFill="1" applyBorder="1" applyAlignment="1">
      <alignment horizontal="left" wrapText="1"/>
    </xf>
    <xf numFmtId="164" fontId="27" fillId="2" borderId="52" xfId="0" applyNumberFormat="1" applyFont="1" applyFill="1" applyBorder="1" applyAlignment="1">
      <alignment horizontal="center"/>
    </xf>
    <xf numFmtId="9" fontId="27" fillId="2" borderId="52" xfId="3" applyNumberFormat="1" applyFont="1" applyFill="1" applyBorder="1" applyAlignment="1">
      <alignment horizontal="center"/>
    </xf>
    <xf numFmtId="41" fontId="27" fillId="2" borderId="59" xfId="2" applyFont="1" applyFill="1" applyBorder="1" applyAlignment="1">
      <alignment horizontal="center"/>
    </xf>
    <xf numFmtId="0" fontId="27" fillId="2" borderId="53" xfId="0" applyFont="1" applyFill="1" applyBorder="1"/>
    <xf numFmtId="164" fontId="26" fillId="2" borderId="52" xfId="0" applyNumberFormat="1" applyFont="1" applyFill="1" applyBorder="1" applyAlignment="1">
      <alignment horizontal="center"/>
    </xf>
    <xf numFmtId="0" fontId="27" fillId="2" borderId="43" xfId="0" applyFont="1" applyFill="1" applyBorder="1" applyAlignment="1">
      <alignment horizontal="center"/>
    </xf>
    <xf numFmtId="14" fontId="27" fillId="2" borderId="2" xfId="0" quotePrefix="1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wrapText="1"/>
    </xf>
    <xf numFmtId="0" fontId="27" fillId="2" borderId="2" xfId="0" applyFont="1" applyFill="1" applyBorder="1" applyAlignment="1">
      <alignment horizontal="left" wrapText="1"/>
    </xf>
    <xf numFmtId="164" fontId="27" fillId="2" borderId="2" xfId="0" applyNumberFormat="1" applyFont="1" applyFill="1" applyBorder="1" applyAlignment="1">
      <alignment horizontal="center"/>
    </xf>
    <xf numFmtId="41" fontId="27" fillId="2" borderId="2" xfId="2" applyFont="1" applyFill="1" applyBorder="1" applyAlignment="1">
      <alignment horizontal="center"/>
    </xf>
    <xf numFmtId="9" fontId="27" fillId="2" borderId="2" xfId="3" applyNumberFormat="1" applyFont="1" applyFill="1" applyBorder="1" applyAlignment="1">
      <alignment horizontal="center"/>
    </xf>
    <xf numFmtId="41" fontId="27" fillId="2" borderId="8" xfId="2" applyFont="1" applyFill="1" applyBorder="1" applyAlignment="1">
      <alignment horizontal="center"/>
    </xf>
    <xf numFmtId="0" fontId="27" fillId="0" borderId="22" xfId="0" applyFont="1" applyBorder="1" applyAlignment="1">
      <alignment wrapText="1"/>
    </xf>
    <xf numFmtId="0" fontId="27" fillId="2" borderId="52" xfId="0" applyFont="1" applyFill="1" applyBorder="1" applyAlignment="1">
      <alignment horizontal="center"/>
    </xf>
    <xf numFmtId="0" fontId="27" fillId="2" borderId="21" xfId="0" applyFont="1" applyFill="1" applyBorder="1" applyAlignment="1">
      <alignment horizontal="left" wrapText="1"/>
    </xf>
    <xf numFmtId="0" fontId="27" fillId="2" borderId="2" xfId="0" quotePrefix="1" applyFont="1" applyFill="1" applyBorder="1" applyAlignment="1">
      <alignment horizontal="left" wrapText="1"/>
    </xf>
    <xf numFmtId="0" fontId="27" fillId="2" borderId="12" xfId="0" applyFont="1" applyFill="1" applyBorder="1" applyAlignment="1">
      <alignment horizontal="left" wrapText="1"/>
    </xf>
    <xf numFmtId="0" fontId="27" fillId="2" borderId="15" xfId="0" quotePrefix="1" applyFont="1" applyFill="1" applyBorder="1" applyAlignment="1">
      <alignment horizontal="left" wrapText="1"/>
    </xf>
    <xf numFmtId="0" fontId="27" fillId="2" borderId="52" xfId="0" quotePrefix="1" applyFont="1" applyFill="1" applyBorder="1" applyAlignment="1">
      <alignment horizontal="left" wrapText="1"/>
    </xf>
    <xf numFmtId="0" fontId="27" fillId="2" borderId="1" xfId="0" quotePrefix="1" applyFont="1" applyFill="1" applyBorder="1" applyAlignment="1">
      <alignment horizontal="left" wrapText="1"/>
    </xf>
    <xf numFmtId="0" fontId="27" fillId="2" borderId="27" xfId="0" applyFont="1" applyFill="1" applyBorder="1" applyAlignment="1">
      <alignment wrapText="1"/>
    </xf>
    <xf numFmtId="0" fontId="27" fillId="2" borderId="37" xfId="0" quotePrefix="1" applyFont="1" applyFill="1" applyBorder="1" applyAlignment="1">
      <alignment horizontal="left" wrapText="1"/>
    </xf>
    <xf numFmtId="0" fontId="27" fillId="2" borderId="16" xfId="0" applyFont="1" applyFill="1" applyBorder="1" applyAlignment="1">
      <alignment wrapText="1"/>
    </xf>
    <xf numFmtId="0" fontId="27" fillId="2" borderId="9" xfId="0" applyFont="1" applyFill="1" applyBorder="1" applyAlignment="1">
      <alignment wrapText="1"/>
    </xf>
    <xf numFmtId="0" fontId="26" fillId="0" borderId="0" xfId="0" applyFont="1" applyBorder="1" applyAlignment="1">
      <alignment horizontal="left"/>
    </xf>
    <xf numFmtId="41" fontId="26" fillId="0" borderId="0" xfId="2" applyFont="1" applyBorder="1"/>
    <xf numFmtId="9" fontId="26" fillId="0" borderId="0" xfId="3" applyFont="1" applyBorder="1"/>
    <xf numFmtId="0" fontId="36" fillId="0" borderId="0" xfId="0" applyFont="1" applyAlignment="1">
      <alignment horizontal="center"/>
    </xf>
    <xf numFmtId="9" fontId="36" fillId="0" borderId="0" xfId="3" applyFont="1"/>
    <xf numFmtId="14" fontId="27" fillId="2" borderId="3" xfId="0" quotePrefix="1" applyNumberFormat="1" applyFont="1" applyFill="1" applyBorder="1" applyAlignment="1">
      <alignment horizontal="center"/>
    </xf>
    <xf numFmtId="0" fontId="27" fillId="2" borderId="12" xfId="0" applyFont="1" applyFill="1" applyBorder="1" applyAlignment="1">
      <alignment horizontal="center"/>
    </xf>
    <xf numFmtId="0" fontId="27" fillId="2" borderId="55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164" fontId="27" fillId="2" borderId="12" xfId="0" applyNumberFormat="1" applyFont="1" applyFill="1" applyBorder="1" applyAlignment="1">
      <alignment horizontal="center"/>
    </xf>
    <xf numFmtId="164" fontId="27" fillId="2" borderId="3" xfId="0" applyNumberFormat="1" applyFont="1" applyFill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164" fontId="27" fillId="2" borderId="21" xfId="0" applyNumberFormat="1" applyFont="1" applyFill="1" applyBorder="1" applyAlignment="1">
      <alignment horizontal="center"/>
    </xf>
    <xf numFmtId="0" fontId="27" fillId="2" borderId="13" xfId="0" applyFont="1" applyFill="1" applyBorder="1" applyAlignment="1">
      <alignment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0" xfId="0" applyFont="1" applyFill="1" applyBorder="1"/>
    <xf numFmtId="0" fontId="27" fillId="2" borderId="15" xfId="0" applyFont="1" applyFill="1" applyBorder="1" applyAlignment="1">
      <alignment horizontal="center"/>
    </xf>
    <xf numFmtId="164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/>
    <xf numFmtId="41" fontId="34" fillId="0" borderId="1" xfId="2" applyFont="1" applyBorder="1"/>
    <xf numFmtId="0" fontId="35" fillId="0" borderId="1" xfId="0" applyFont="1" applyBorder="1"/>
    <xf numFmtId="41" fontId="35" fillId="0" borderId="1" xfId="2" applyFont="1" applyBorder="1"/>
    <xf numFmtId="0" fontId="35" fillId="2" borderId="1" xfId="0" applyFont="1" applyFill="1" applyBorder="1"/>
    <xf numFmtId="9" fontId="35" fillId="0" borderId="27" xfId="3" applyFont="1" applyBorder="1"/>
    <xf numFmtId="0" fontId="27" fillId="0" borderId="66" xfId="0" applyFont="1" applyBorder="1" applyAlignment="1">
      <alignment wrapText="1"/>
    </xf>
    <xf numFmtId="0" fontId="27" fillId="0" borderId="67" xfId="0" applyFont="1" applyBorder="1" applyAlignment="1">
      <alignment wrapText="1"/>
    </xf>
    <xf numFmtId="164" fontId="34" fillId="2" borderId="2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vertical="center"/>
    </xf>
    <xf numFmtId="164" fontId="34" fillId="2" borderId="1" xfId="0" applyNumberFormat="1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9" fontId="34" fillId="0" borderId="27" xfId="3" applyFont="1" applyBorder="1" applyAlignment="1">
      <alignment horizontal="center" vertical="center"/>
    </xf>
    <xf numFmtId="0" fontId="34" fillId="2" borderId="1" xfId="0" applyFont="1" applyFill="1" applyBorder="1"/>
    <xf numFmtId="9" fontId="34" fillId="0" borderId="27" xfId="3" applyFont="1" applyBorder="1"/>
    <xf numFmtId="0" fontId="0" fillId="0" borderId="0" xfId="0"/>
    <xf numFmtId="0" fontId="19" fillId="0" borderId="1" xfId="0" applyFont="1" applyBorder="1" applyAlignment="1">
      <alignment horizontal="center" vertical="center" wrapText="1"/>
    </xf>
    <xf numFmtId="0" fontId="27" fillId="0" borderId="0" xfId="0" applyFont="1"/>
    <xf numFmtId="41" fontId="27" fillId="2" borderId="1" xfId="2" applyFont="1" applyFill="1" applyBorder="1" applyAlignment="1">
      <alignment horizontal="center"/>
    </xf>
    <xf numFmtId="14" fontId="27" fillId="2" borderId="12" xfId="0" quotePrefix="1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41" fontId="27" fillId="0" borderId="12" xfId="2" applyFont="1" applyBorder="1" applyAlignment="1">
      <alignment horizontal="center"/>
    </xf>
    <xf numFmtId="41" fontId="27" fillId="0" borderId="15" xfId="2" applyFont="1" applyBorder="1" applyAlignment="1">
      <alignment horizontal="center"/>
    </xf>
    <xf numFmtId="0" fontId="25" fillId="0" borderId="0" xfId="0" applyFont="1"/>
    <xf numFmtId="41" fontId="27" fillId="0" borderId="21" xfId="2" applyFont="1" applyBorder="1" applyAlignment="1">
      <alignment horizontal="center"/>
    </xf>
    <xf numFmtId="41" fontId="27" fillId="0" borderId="52" xfId="2" applyFont="1" applyBorder="1" applyAlignment="1">
      <alignment horizontal="center"/>
    </xf>
    <xf numFmtId="41" fontId="27" fillId="0" borderId="1" xfId="2" applyFont="1" applyBorder="1" applyAlignment="1">
      <alignment horizontal="center"/>
    </xf>
    <xf numFmtId="41" fontId="27" fillId="0" borderId="36" xfId="2" applyFont="1" applyBorder="1" applyAlignment="1">
      <alignment horizontal="center"/>
    </xf>
    <xf numFmtId="41" fontId="27" fillId="0" borderId="37" xfId="2" applyFont="1" applyBorder="1" applyAlignment="1">
      <alignment horizontal="center"/>
    </xf>
    <xf numFmtId="0" fontId="36" fillId="0" borderId="0" xfId="0" applyFont="1"/>
    <xf numFmtId="164" fontId="27" fillId="0" borderId="12" xfId="0" applyNumberFormat="1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21" xfId="0" applyFont="1" applyBorder="1" applyAlignment="1">
      <alignment horizontal="left" wrapText="1"/>
    </xf>
    <xf numFmtId="164" fontId="27" fillId="0" borderId="21" xfId="0" applyNumberFormat="1" applyFont="1" applyBorder="1" applyAlignment="1">
      <alignment horizontal="center"/>
    </xf>
    <xf numFmtId="9" fontId="27" fillId="0" borderId="21" xfId="3" applyNumberFormat="1" applyFont="1" applyBorder="1" applyAlignment="1">
      <alignment horizontal="center"/>
    </xf>
    <xf numFmtId="41" fontId="27" fillId="0" borderId="2" xfId="2" applyFont="1" applyBorder="1" applyAlignment="1">
      <alignment horizontal="center"/>
    </xf>
    <xf numFmtId="0" fontId="27" fillId="0" borderId="22" xfId="0" applyFont="1" applyBorder="1"/>
    <xf numFmtId="0" fontId="27" fillId="0" borderId="11" xfId="0" applyFont="1" applyBorder="1" applyAlignment="1">
      <alignment horizontal="center"/>
    </xf>
    <xf numFmtId="9" fontId="27" fillId="0" borderId="12" xfId="3" applyNumberFormat="1" applyFont="1" applyBorder="1" applyAlignment="1">
      <alignment horizontal="center"/>
    </xf>
    <xf numFmtId="0" fontId="27" fillId="0" borderId="13" xfId="0" applyFont="1" applyBorder="1"/>
    <xf numFmtId="0" fontId="27" fillId="0" borderId="12" xfId="0" quotePrefix="1" applyFont="1" applyBorder="1" applyAlignment="1">
      <alignment horizontal="center"/>
    </xf>
    <xf numFmtId="0" fontId="27" fillId="0" borderId="13" xfId="0" applyFont="1" applyBorder="1" applyAlignment="1">
      <alignment wrapText="1"/>
    </xf>
    <xf numFmtId="0" fontId="27" fillId="0" borderId="12" xfId="0" applyFont="1" applyBorder="1" applyAlignment="1">
      <alignment horizontal="left" wrapText="1"/>
    </xf>
    <xf numFmtId="0" fontId="27" fillId="0" borderId="51" xfId="0" applyFont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52" xfId="0" applyFont="1" applyBorder="1" applyAlignment="1">
      <alignment horizontal="left" wrapText="1"/>
    </xf>
    <xf numFmtId="164" fontId="27" fillId="0" borderId="52" xfId="0" applyNumberFormat="1" applyFont="1" applyBorder="1" applyAlignment="1">
      <alignment horizontal="center"/>
    </xf>
    <xf numFmtId="9" fontId="27" fillId="0" borderId="52" xfId="3" applyNumberFormat="1" applyFont="1" applyBorder="1" applyAlignment="1">
      <alignment horizontal="center"/>
    </xf>
    <xf numFmtId="41" fontId="27" fillId="0" borderId="3" xfId="2" applyFont="1" applyBorder="1" applyAlignment="1">
      <alignment horizontal="center"/>
    </xf>
    <xf numFmtId="0" fontId="27" fillId="0" borderId="53" xfId="0" applyFont="1" applyBorder="1"/>
    <xf numFmtId="0" fontId="27" fillId="0" borderId="21" xfId="0" quotePrefix="1" applyFont="1" applyBorder="1" applyAlignment="1">
      <alignment horizontal="center"/>
    </xf>
    <xf numFmtId="0" fontId="27" fillId="0" borderId="3" xfId="0" applyFont="1" applyBorder="1" applyAlignment="1">
      <alignment horizontal="left" wrapText="1"/>
    </xf>
    <xf numFmtId="0" fontId="27" fillId="0" borderId="52" xfId="0" quotePrefix="1" applyFont="1" applyBorder="1" applyAlignment="1">
      <alignment horizontal="center"/>
    </xf>
    <xf numFmtId="0" fontId="27" fillId="0" borderId="53" xfId="0" applyFont="1" applyBorder="1" applyAlignment="1">
      <alignment wrapText="1"/>
    </xf>
    <xf numFmtId="0" fontId="27" fillId="0" borderId="26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 wrapText="1"/>
    </xf>
    <xf numFmtId="0" fontId="27" fillId="0" borderId="1" xfId="0" quotePrefix="1" applyFont="1" applyBorder="1" applyAlignment="1">
      <alignment horizontal="center"/>
    </xf>
    <xf numFmtId="164" fontId="27" fillId="0" borderId="1" xfId="0" applyNumberFormat="1" applyFont="1" applyBorder="1" applyAlignment="1">
      <alignment horizontal="center"/>
    </xf>
    <xf numFmtId="9" fontId="27" fillId="0" borderId="1" xfId="3" applyNumberFormat="1" applyFont="1" applyBorder="1" applyAlignment="1">
      <alignment horizontal="center"/>
    </xf>
    <xf numFmtId="0" fontId="27" fillId="0" borderId="27" xfId="0" applyFont="1" applyBorder="1"/>
    <xf numFmtId="0" fontId="27" fillId="0" borderId="35" xfId="0" applyFont="1" applyBorder="1" applyAlignment="1">
      <alignment horizontal="center"/>
    </xf>
    <xf numFmtId="0" fontId="27" fillId="0" borderId="36" xfId="0" applyFont="1" applyBorder="1" applyAlignment="1">
      <alignment horizontal="left" wrapText="1"/>
    </xf>
    <xf numFmtId="0" fontId="27" fillId="0" borderId="36" xfId="0" quotePrefix="1" applyFont="1" applyBorder="1" applyAlignment="1">
      <alignment horizontal="center"/>
    </xf>
    <xf numFmtId="164" fontId="27" fillId="0" borderId="36" xfId="0" applyNumberFormat="1" applyFont="1" applyBorder="1" applyAlignment="1">
      <alignment horizontal="center"/>
    </xf>
    <xf numFmtId="9" fontId="27" fillId="0" borderId="36" xfId="3" applyNumberFormat="1" applyFont="1" applyBorder="1" applyAlignment="1">
      <alignment horizontal="center"/>
    </xf>
    <xf numFmtId="0" fontId="27" fillId="0" borderId="50" xfId="0" applyFont="1" applyBorder="1"/>
    <xf numFmtId="0" fontId="27" fillId="0" borderId="27" xfId="0" applyFont="1" applyBorder="1" applyAlignment="1">
      <alignment wrapText="1"/>
    </xf>
    <xf numFmtId="0" fontId="27" fillId="0" borderId="2" xfId="0" applyFont="1" applyBorder="1" applyAlignment="1">
      <alignment horizontal="left" wrapText="1"/>
    </xf>
    <xf numFmtId="14" fontId="27" fillId="2" borderId="21" xfId="0" quotePrefix="1" applyNumberFormat="1" applyFont="1" applyFill="1" applyBorder="1" applyAlignment="1">
      <alignment horizontal="center"/>
    </xf>
    <xf numFmtId="14" fontId="27" fillId="2" borderId="52" xfId="0" quotePrefix="1" applyNumberFormat="1" applyFont="1" applyFill="1" applyBorder="1" applyAlignment="1">
      <alignment horizontal="center"/>
    </xf>
    <xf numFmtId="14" fontId="27" fillId="2" borderId="1" xfId="0" quotePrefix="1" applyNumberFormat="1" applyFont="1" applyFill="1" applyBorder="1" applyAlignment="1">
      <alignment horizontal="center"/>
    </xf>
    <xf numFmtId="14" fontId="27" fillId="2" borderId="37" xfId="0" quotePrefix="1" applyNumberFormat="1" applyFont="1" applyFill="1" applyBorder="1" applyAlignment="1">
      <alignment horizontal="center"/>
    </xf>
    <xf numFmtId="14" fontId="27" fillId="2" borderId="36" xfId="0" quotePrefix="1" applyNumberFormat="1" applyFont="1" applyFill="1" applyBorder="1" applyAlignment="1">
      <alignment horizontal="center"/>
    </xf>
    <xf numFmtId="0" fontId="27" fillId="0" borderId="15" xfId="0" applyFont="1" applyBorder="1" applyAlignment="1">
      <alignment horizontal="left" wrapText="1"/>
    </xf>
    <xf numFmtId="9" fontId="27" fillId="0" borderId="37" xfId="3" applyNumberFormat="1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37" xfId="0" applyFont="1" applyBorder="1" applyAlignment="1">
      <alignment horizontal="left" wrapText="1"/>
    </xf>
    <xf numFmtId="164" fontId="27" fillId="0" borderId="37" xfId="0" applyNumberFormat="1" applyFont="1" applyBorder="1" applyAlignment="1">
      <alignment horizontal="center"/>
    </xf>
    <xf numFmtId="0" fontId="27" fillId="0" borderId="60" xfId="0" applyFont="1" applyBorder="1"/>
    <xf numFmtId="0" fontId="27" fillId="0" borderId="55" xfId="0" applyFont="1" applyBorder="1" applyAlignment="1">
      <alignment horizontal="center"/>
    </xf>
    <xf numFmtId="0" fontId="27" fillId="0" borderId="3" xfId="0" quotePrefix="1" applyFont="1" applyBorder="1" applyAlignment="1">
      <alignment horizontal="center"/>
    </xf>
    <xf numFmtId="164" fontId="27" fillId="0" borderId="3" xfId="0" applyNumberFormat="1" applyFont="1" applyBorder="1" applyAlignment="1">
      <alignment horizontal="center"/>
    </xf>
    <xf numFmtId="0" fontId="27" fillId="0" borderId="29" xfId="0" applyFont="1" applyBorder="1"/>
    <xf numFmtId="9" fontId="27" fillId="0" borderId="3" xfId="3" applyNumberFormat="1" applyFont="1" applyBorder="1" applyAlignment="1">
      <alignment horizontal="center"/>
    </xf>
    <xf numFmtId="0" fontId="27" fillId="0" borderId="43" xfId="0" applyFont="1" applyBorder="1" applyAlignment="1">
      <alignment horizontal="center"/>
    </xf>
    <xf numFmtId="164" fontId="27" fillId="0" borderId="2" xfId="0" applyNumberFormat="1" applyFont="1" applyBorder="1" applyAlignment="1">
      <alignment horizontal="center"/>
    </xf>
    <xf numFmtId="9" fontId="27" fillId="0" borderId="2" xfId="3" applyNumberFormat="1" applyFont="1" applyBorder="1" applyAlignment="1">
      <alignment horizontal="center"/>
    </xf>
    <xf numFmtId="0" fontId="27" fillId="0" borderId="9" xfId="0" applyFont="1" applyBorder="1"/>
    <xf numFmtId="164" fontId="27" fillId="0" borderId="15" xfId="0" applyNumberFormat="1" applyFont="1" applyBorder="1" applyAlignment="1">
      <alignment horizont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 wrapText="1"/>
    </xf>
    <xf numFmtId="0" fontId="26" fillId="0" borderId="1" xfId="0" applyFont="1" applyBorder="1" applyAlignment="1">
      <alignment vertical="center" wrapText="1"/>
    </xf>
    <xf numFmtId="9" fontId="26" fillId="0" borderId="1" xfId="3" applyFont="1" applyBorder="1" applyAlignment="1">
      <alignment horizontal="center" vertical="center" wrapText="1"/>
    </xf>
    <xf numFmtId="0" fontId="27" fillId="0" borderId="1" xfId="0" applyFont="1" applyBorder="1" applyAlignment="1">
      <alignment horizontal="left"/>
    </xf>
    <xf numFmtId="164" fontId="27" fillId="2" borderId="1" xfId="0" applyNumberFormat="1" applyFont="1" applyFill="1" applyBorder="1" applyAlignment="1">
      <alignment horizontal="center"/>
    </xf>
    <xf numFmtId="164" fontId="27" fillId="2" borderId="37" xfId="0" applyNumberFormat="1" applyFont="1" applyFill="1" applyBorder="1" applyAlignment="1">
      <alignment horizontal="center"/>
    </xf>
    <xf numFmtId="14" fontId="27" fillId="2" borderId="15" xfId="0" quotePrefix="1" applyNumberFormat="1" applyFont="1" applyFill="1" applyBorder="1" applyAlignment="1">
      <alignment horizontal="center"/>
    </xf>
    <xf numFmtId="164" fontId="27" fillId="2" borderId="52" xfId="0" applyNumberFormat="1" applyFont="1" applyFill="1" applyBorder="1" applyAlignment="1">
      <alignment horizontal="center"/>
    </xf>
    <xf numFmtId="14" fontId="27" fillId="2" borderId="2" xfId="0" quotePrefix="1" applyNumberFormat="1" applyFont="1" applyFill="1" applyBorder="1" applyAlignment="1">
      <alignment horizontal="center"/>
    </xf>
    <xf numFmtId="164" fontId="27" fillId="2" borderId="2" xfId="0" applyNumberFormat="1" applyFont="1" applyFill="1" applyBorder="1" applyAlignment="1">
      <alignment horizontal="center"/>
    </xf>
    <xf numFmtId="0" fontId="27" fillId="0" borderId="22" xfId="0" applyFont="1" applyBorder="1" applyAlignment="1">
      <alignment wrapText="1"/>
    </xf>
    <xf numFmtId="0" fontId="27" fillId="0" borderId="14" xfId="0" applyFont="1" applyBorder="1" applyAlignment="1">
      <alignment horizontal="center"/>
    </xf>
    <xf numFmtId="9" fontId="27" fillId="0" borderId="15" xfId="3" applyNumberFormat="1" applyFont="1" applyBorder="1" applyAlignment="1">
      <alignment horizontal="center"/>
    </xf>
    <xf numFmtId="0" fontId="27" fillId="0" borderId="16" xfId="0" applyFont="1" applyBorder="1"/>
    <xf numFmtId="0" fontId="36" fillId="0" borderId="0" xfId="0" applyFont="1" applyAlignment="1">
      <alignment horizontal="center"/>
    </xf>
    <xf numFmtId="9" fontId="36" fillId="0" borderId="0" xfId="3" applyFont="1"/>
    <xf numFmtId="0" fontId="30" fillId="2" borderId="0" xfId="0" applyFont="1" applyFill="1" applyAlignment="1">
      <alignment vertical="center"/>
    </xf>
    <xf numFmtId="0" fontId="30" fillId="0" borderId="0" xfId="0" applyFont="1" applyAlignment="1">
      <alignment horizontal="left" vertical="center"/>
    </xf>
    <xf numFmtId="0" fontId="36" fillId="2" borderId="0" xfId="0" applyFont="1" applyFill="1" applyAlignment="1">
      <alignment vertical="center"/>
    </xf>
    <xf numFmtId="0" fontId="36" fillId="0" borderId="0" xfId="0" applyFont="1" applyAlignment="1">
      <alignment horizontal="left" vertical="center"/>
    </xf>
    <xf numFmtId="0" fontId="27" fillId="0" borderId="21" xfId="0" applyFont="1" applyBorder="1" applyAlignment="1">
      <alignment horizontal="left"/>
    </xf>
    <xf numFmtId="0" fontId="27" fillId="0" borderId="50" xfId="0" applyFont="1" applyBorder="1" applyAlignment="1">
      <alignment wrapText="1"/>
    </xf>
    <xf numFmtId="0" fontId="27" fillId="0" borderId="15" xfId="0" quotePrefix="1" applyFont="1" applyBorder="1" applyAlignment="1">
      <alignment horizontal="center"/>
    </xf>
    <xf numFmtId="0" fontId="27" fillId="0" borderId="36" xfId="0" applyFont="1" applyBorder="1" applyAlignment="1">
      <alignment horizontal="left"/>
    </xf>
    <xf numFmtId="14" fontId="27" fillId="2" borderId="3" xfId="0" quotePrefix="1" applyNumberFormat="1" applyFont="1" applyFill="1" applyBorder="1" applyAlignment="1">
      <alignment horizontal="center"/>
    </xf>
    <xf numFmtId="0" fontId="27" fillId="0" borderId="60" xfId="0" applyFont="1" applyBorder="1" applyAlignment="1">
      <alignment wrapText="1"/>
    </xf>
    <xf numFmtId="0" fontId="27" fillId="0" borderId="37" xfId="0" quotePrefix="1" applyFont="1" applyBorder="1" applyAlignment="1">
      <alignment horizontal="center" wrapText="1"/>
    </xf>
    <xf numFmtId="0" fontId="27" fillId="0" borderId="1" xfId="0" quotePrefix="1" applyFont="1" applyBorder="1" applyAlignment="1">
      <alignment horizontal="center" wrapText="1"/>
    </xf>
    <xf numFmtId="164" fontId="25" fillId="0" borderId="0" xfId="0" applyNumberFormat="1" applyFont="1"/>
    <xf numFmtId="41" fontId="25" fillId="0" borderId="0" xfId="0" applyNumberFormat="1" applyFont="1"/>
    <xf numFmtId="0" fontId="27" fillId="0" borderId="2" xfId="0" quotePrefix="1" applyFont="1" applyBorder="1" applyAlignment="1">
      <alignment horizontal="center" wrapText="1"/>
    </xf>
    <xf numFmtId="0" fontId="27" fillId="0" borderId="12" xfId="0" quotePrefix="1" applyFont="1" applyBorder="1" applyAlignment="1">
      <alignment horizontal="center" wrapText="1"/>
    </xf>
    <xf numFmtId="0" fontId="27" fillId="0" borderId="36" xfId="0" quotePrefix="1" applyFont="1" applyBorder="1" applyAlignment="1">
      <alignment horizontal="center" wrapText="1"/>
    </xf>
    <xf numFmtId="164" fontId="27" fillId="2" borderId="12" xfId="0" applyNumberFormat="1" applyFont="1" applyFill="1" applyBorder="1" applyAlignment="1">
      <alignment horizontal="center"/>
    </xf>
    <xf numFmtId="164" fontId="27" fillId="2" borderId="3" xfId="0" applyNumberFormat="1" applyFont="1" applyFill="1" applyBorder="1" applyAlignment="1">
      <alignment horizontal="center"/>
    </xf>
    <xf numFmtId="164" fontId="27" fillId="2" borderId="36" xfId="0" applyNumberFormat="1" applyFont="1" applyFill="1" applyBorder="1" applyAlignment="1">
      <alignment horizontal="center"/>
    </xf>
    <xf numFmtId="0" fontId="27" fillId="0" borderId="52" xfId="0" applyFont="1" applyBorder="1" applyAlignment="1">
      <alignment horizontal="left"/>
    </xf>
    <xf numFmtId="164" fontId="27" fillId="2" borderId="21" xfId="0" applyNumberFormat="1" applyFont="1" applyFill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2" borderId="2" xfId="0" applyFont="1" applyFill="1" applyBorder="1" applyAlignment="1">
      <alignment horizontal="left"/>
    </xf>
    <xf numFmtId="0" fontId="27" fillId="2" borderId="52" xfId="0" applyFont="1" applyFill="1" applyBorder="1" applyAlignment="1">
      <alignment horizontal="left"/>
    </xf>
    <xf numFmtId="0" fontId="27" fillId="0" borderId="12" xfId="0" applyFont="1" applyBorder="1" applyAlignment="1">
      <alignment horizontal="left"/>
    </xf>
    <xf numFmtId="164" fontId="21" fillId="2" borderId="21" xfId="0" applyNumberFormat="1" applyFont="1" applyFill="1" applyBorder="1" applyAlignment="1">
      <alignment horizontal="center"/>
    </xf>
    <xf numFmtId="164" fontId="21" fillId="2" borderId="12" xfId="0" applyNumberFormat="1" applyFont="1" applyFill="1" applyBorder="1" applyAlignment="1">
      <alignment horizontal="center"/>
    </xf>
    <xf numFmtId="164" fontId="21" fillId="2" borderId="15" xfId="0" applyNumberFormat="1" applyFont="1" applyFill="1" applyBorder="1" applyAlignment="1">
      <alignment horizontal="center"/>
    </xf>
    <xf numFmtId="164" fontId="21" fillId="2" borderId="52" xfId="0" applyNumberFormat="1" applyFont="1" applyFill="1" applyBorder="1" applyAlignment="1">
      <alignment horizontal="center"/>
    </xf>
    <xf numFmtId="164" fontId="34" fillId="0" borderId="2" xfId="0" applyNumberFormat="1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64" fontId="34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/>
    <xf numFmtId="41" fontId="34" fillId="0" borderId="1" xfId="2" applyFont="1" applyBorder="1"/>
    <xf numFmtId="0" fontId="18" fillId="0" borderId="0" xfId="0" applyFont="1"/>
    <xf numFmtId="0" fontId="34" fillId="0" borderId="9" xfId="0" applyFont="1" applyBorder="1" applyAlignment="1">
      <alignment vertical="center"/>
    </xf>
    <xf numFmtId="0" fontId="34" fillId="0" borderId="1" xfId="0" applyFont="1" applyBorder="1" applyAlignment="1">
      <alignment horizontal="center" vertical="center"/>
    </xf>
    <xf numFmtId="164" fontId="34" fillId="0" borderId="1" xfId="0" applyNumberFormat="1" applyFont="1" applyBorder="1" applyAlignment="1">
      <alignment horizontal="center" vertical="center"/>
    </xf>
    <xf numFmtId="9" fontId="34" fillId="0" borderId="27" xfId="3" applyFont="1" applyBorder="1" applyAlignment="1">
      <alignment horizontal="center" vertical="center"/>
    </xf>
    <xf numFmtId="9" fontId="34" fillId="0" borderId="27" xfId="3" applyFont="1" applyBorder="1"/>
    <xf numFmtId="0" fontId="27" fillId="2" borderId="15" xfId="0" applyFont="1" applyFill="1" applyBorder="1" applyAlignment="1">
      <alignment horizontal="left" wrapText="1"/>
    </xf>
    <xf numFmtId="0" fontId="27" fillId="2" borderId="9" xfId="0" applyFont="1" applyFill="1" applyBorder="1" applyAlignment="1">
      <alignment wrapText="1"/>
    </xf>
    <xf numFmtId="41" fontId="25" fillId="0" borderId="0" xfId="0" applyNumberFormat="1" applyFont="1"/>
    <xf numFmtId="0" fontId="27" fillId="2" borderId="37" xfId="0" applyFont="1" applyFill="1" applyBorder="1" applyAlignment="1">
      <alignment horizontal="center" wrapText="1"/>
    </xf>
    <xf numFmtId="0" fontId="27" fillId="2" borderId="21" xfId="0" applyFont="1" applyFill="1" applyBorder="1" applyAlignment="1">
      <alignment horizontal="center" wrapText="1"/>
    </xf>
    <xf numFmtId="0" fontId="27" fillId="2" borderId="52" xfId="0" applyFont="1" applyFill="1" applyBorder="1" applyAlignment="1">
      <alignment horizontal="center" wrapText="1"/>
    </xf>
    <xf numFmtId="0" fontId="27" fillId="2" borderId="1" xfId="0" applyFont="1" applyFill="1" applyBorder="1" applyAlignment="1">
      <alignment horizontal="center" wrapText="1"/>
    </xf>
    <xf numFmtId="0" fontId="27" fillId="2" borderId="36" xfId="0" applyFont="1" applyFill="1" applyBorder="1" applyAlignment="1">
      <alignment horizontal="center" wrapText="1"/>
    </xf>
    <xf numFmtId="164" fontId="27" fillId="2" borderId="1" xfId="1" applyNumberFormat="1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 wrapText="1"/>
    </xf>
    <xf numFmtId="164" fontId="27" fillId="2" borderId="36" xfId="1" applyNumberFormat="1" applyFont="1" applyFill="1" applyBorder="1" applyAlignment="1">
      <alignment horizontal="center"/>
    </xf>
    <xf numFmtId="0" fontId="27" fillId="2" borderId="12" xfId="0" applyFont="1" applyFill="1" applyBorder="1" applyAlignment="1">
      <alignment horizontal="center" wrapText="1"/>
    </xf>
    <xf numFmtId="0" fontId="27" fillId="2" borderId="9" xfId="0" applyFont="1" applyFill="1" applyBorder="1"/>
    <xf numFmtId="164" fontId="34" fillId="0" borderId="2" xfId="0" applyNumberFormat="1" applyFont="1" applyBorder="1" applyAlignment="1">
      <alignment horizontal="center" vertical="center"/>
    </xf>
    <xf numFmtId="164" fontId="34" fillId="0" borderId="0" xfId="0" applyNumberFormat="1" applyFont="1" applyAlignment="1">
      <alignment vertical="center"/>
    </xf>
    <xf numFmtId="164" fontId="34" fillId="2" borderId="2" xfId="0" applyNumberFormat="1" applyFont="1" applyFill="1" applyBorder="1" applyAlignment="1">
      <alignment horizontal="center" vertical="center"/>
    </xf>
    <xf numFmtId="0" fontId="34" fillId="0" borderId="9" xfId="0" applyFont="1" applyBorder="1" applyAlignment="1">
      <alignment vertical="center"/>
    </xf>
    <xf numFmtId="164" fontId="34" fillId="2" borderId="1" xfId="0" applyNumberFormat="1" applyFont="1" applyFill="1" applyBorder="1" applyAlignment="1">
      <alignment horizontal="center" vertical="center"/>
    </xf>
    <xf numFmtId="0" fontId="34" fillId="2" borderId="1" xfId="0" applyFont="1" applyFill="1" applyBorder="1"/>
    <xf numFmtId="0" fontId="34" fillId="2" borderId="1" xfId="0" applyFont="1" applyFill="1" applyBorder="1" applyAlignment="1">
      <alignment horizontal="center" vertical="center"/>
    </xf>
    <xf numFmtId="9" fontId="34" fillId="2" borderId="27" xfId="3" applyFont="1" applyFill="1" applyBorder="1" applyAlignment="1">
      <alignment horizontal="center" vertical="center"/>
    </xf>
    <xf numFmtId="164" fontId="34" fillId="2" borderId="0" xfId="0" applyNumberFormat="1" applyFont="1" applyFill="1" applyAlignment="1">
      <alignment vertical="center"/>
    </xf>
    <xf numFmtId="0" fontId="34" fillId="2" borderId="0" xfId="0" applyFont="1" applyFill="1" applyAlignment="1">
      <alignment vertical="center"/>
    </xf>
    <xf numFmtId="41" fontId="34" fillId="2" borderId="1" xfId="2" applyFont="1" applyFill="1" applyBorder="1"/>
    <xf numFmtId="9" fontId="34" fillId="2" borderId="27" xfId="3" applyFont="1" applyFill="1" applyBorder="1"/>
    <xf numFmtId="0" fontId="18" fillId="2" borderId="0" xfId="0" applyFont="1" applyFill="1"/>
    <xf numFmtId="41" fontId="27" fillId="2" borderId="60" xfId="0" applyNumberFormat="1" applyFont="1" applyFill="1" applyBorder="1" applyAlignment="1">
      <alignment wrapText="1"/>
    </xf>
    <xf numFmtId="0" fontId="0" fillId="0" borderId="0" xfId="0"/>
    <xf numFmtId="164" fontId="20" fillId="0" borderId="12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/>
    <xf numFmtId="41" fontId="27" fillId="2" borderId="12" xfId="2" applyFont="1" applyFill="1" applyBorder="1" applyAlignment="1">
      <alignment horizontal="center"/>
    </xf>
    <xf numFmtId="164" fontId="26" fillId="0" borderId="2" xfId="0" applyNumberFormat="1" applyFont="1" applyBorder="1" applyAlignment="1">
      <alignment horizontal="center" vertical="center"/>
    </xf>
    <xf numFmtId="0" fontId="26" fillId="0" borderId="9" xfId="0" applyFont="1" applyBorder="1" applyAlignment="1">
      <alignment vertical="center"/>
    </xf>
    <xf numFmtId="41" fontId="27" fillId="2" borderId="21" xfId="2" applyFont="1" applyFill="1" applyBorder="1" applyAlignment="1">
      <alignment horizontal="center"/>
    </xf>
    <xf numFmtId="41" fontId="27" fillId="2" borderId="36" xfId="2" applyFont="1" applyFill="1" applyBorder="1" applyAlignment="1">
      <alignment horizontal="center"/>
    </xf>
    <xf numFmtId="41" fontId="27" fillId="2" borderId="52" xfId="2" applyFont="1" applyFill="1" applyBorder="1" applyAlignment="1">
      <alignment horizontal="center"/>
    </xf>
    <xf numFmtId="41" fontId="27" fillId="2" borderId="1" xfId="2" applyFont="1" applyFill="1" applyBorder="1" applyAlignment="1">
      <alignment horizontal="center"/>
    </xf>
    <xf numFmtId="14" fontId="27" fillId="2" borderId="12" xfId="0" quotePrefix="1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25" fillId="0" borderId="0" xfId="0" applyFont="1"/>
    <xf numFmtId="14" fontId="27" fillId="2" borderId="21" xfId="0" quotePrefix="1" applyNumberFormat="1" applyFont="1" applyFill="1" applyBorder="1" applyAlignment="1">
      <alignment horizontal="center"/>
    </xf>
    <xf numFmtId="14" fontId="27" fillId="2" borderId="52" xfId="0" quotePrefix="1" applyNumberFormat="1" applyFont="1" applyFill="1" applyBorder="1" applyAlignment="1">
      <alignment horizontal="center"/>
    </xf>
    <xf numFmtId="14" fontId="27" fillId="2" borderId="1" xfId="0" quotePrefix="1" applyNumberFormat="1" applyFont="1" applyFill="1" applyBorder="1" applyAlignment="1">
      <alignment horizontal="center"/>
    </xf>
    <xf numFmtId="14" fontId="27" fillId="2" borderId="37" xfId="0" quotePrefix="1" applyNumberFormat="1" applyFont="1" applyFill="1" applyBorder="1" applyAlignment="1">
      <alignment horizontal="center"/>
    </xf>
    <xf numFmtId="14" fontId="27" fillId="2" borderId="36" xfId="0" quotePrefix="1" applyNumberFormat="1" applyFont="1" applyFill="1" applyBorder="1" applyAlignment="1">
      <alignment horizontal="center"/>
    </xf>
    <xf numFmtId="0" fontId="25" fillId="2" borderId="0" xfId="0" applyFont="1" applyFill="1"/>
    <xf numFmtId="164" fontId="26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9" fontId="25" fillId="0" borderId="0" xfId="3" applyFont="1"/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25" fillId="0" borderId="0" xfId="0" applyFont="1" applyAlignment="1">
      <alignment wrapText="1"/>
    </xf>
    <xf numFmtId="0" fontId="26" fillId="0" borderId="1" xfId="0" applyFont="1" applyBorder="1" applyAlignment="1">
      <alignment vertical="center" wrapText="1"/>
    </xf>
    <xf numFmtId="9" fontId="26" fillId="0" borderId="1" xfId="3" applyFont="1" applyBorder="1" applyAlignment="1">
      <alignment horizontal="center" vertical="center" wrapText="1"/>
    </xf>
    <xf numFmtId="0" fontId="27" fillId="2" borderId="37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/>
    </xf>
    <xf numFmtId="0" fontId="27" fillId="2" borderId="26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 wrapText="1"/>
    </xf>
    <xf numFmtId="164" fontId="27" fillId="2" borderId="1" xfId="0" applyNumberFormat="1" applyFont="1" applyFill="1" applyBorder="1" applyAlignment="1">
      <alignment horizontal="center"/>
    </xf>
    <xf numFmtId="9" fontId="27" fillId="2" borderId="1" xfId="3" applyNumberFormat="1" applyFont="1" applyFill="1" applyBorder="1" applyAlignment="1">
      <alignment horizontal="center"/>
    </xf>
    <xf numFmtId="0" fontId="27" fillId="2" borderId="27" xfId="0" applyFont="1" applyFill="1" applyBorder="1"/>
    <xf numFmtId="0" fontId="27" fillId="2" borderId="48" xfId="0" applyFont="1" applyFill="1" applyBorder="1" applyAlignment="1">
      <alignment horizontal="center"/>
    </xf>
    <xf numFmtId="0" fontId="27" fillId="2" borderId="37" xfId="0" applyFont="1" applyFill="1" applyBorder="1" applyAlignment="1">
      <alignment horizontal="left" wrapText="1"/>
    </xf>
    <xf numFmtId="164" fontId="27" fillId="2" borderId="37" xfId="0" applyNumberFormat="1" applyFont="1" applyFill="1" applyBorder="1" applyAlignment="1">
      <alignment horizontal="center"/>
    </xf>
    <xf numFmtId="41" fontId="27" fillId="2" borderId="37" xfId="2" applyFont="1" applyFill="1" applyBorder="1" applyAlignment="1">
      <alignment horizontal="center"/>
    </xf>
    <xf numFmtId="9" fontId="27" fillId="2" borderId="37" xfId="3" applyNumberFormat="1" applyFont="1" applyFill="1" applyBorder="1" applyAlignment="1">
      <alignment horizontal="center"/>
    </xf>
    <xf numFmtId="0" fontId="27" fillId="2" borderId="60" xfId="0" applyFont="1" applyFill="1" applyBorder="1"/>
    <xf numFmtId="0" fontId="27" fillId="2" borderId="14" xfId="0" applyFont="1" applyFill="1" applyBorder="1" applyAlignment="1">
      <alignment horizontal="center"/>
    </xf>
    <xf numFmtId="14" fontId="27" fillId="2" borderId="15" xfId="0" quotePrefix="1" applyNumberFormat="1" applyFont="1" applyFill="1" applyBorder="1" applyAlignment="1">
      <alignment horizontal="center"/>
    </xf>
    <xf numFmtId="164" fontId="27" fillId="2" borderId="15" xfId="0" applyNumberFormat="1" applyFont="1" applyFill="1" applyBorder="1" applyAlignment="1">
      <alignment horizontal="center"/>
    </xf>
    <xf numFmtId="41" fontId="27" fillId="2" borderId="15" xfId="2" applyFont="1" applyFill="1" applyBorder="1" applyAlignment="1">
      <alignment horizontal="center"/>
    </xf>
    <xf numFmtId="9" fontId="27" fillId="2" borderId="15" xfId="3" applyNumberFormat="1" applyFont="1" applyFill="1" applyBorder="1" applyAlignment="1">
      <alignment horizontal="center"/>
    </xf>
    <xf numFmtId="0" fontId="27" fillId="2" borderId="16" xfId="0" applyFont="1" applyFill="1" applyBorder="1"/>
    <xf numFmtId="0" fontId="27" fillId="2" borderId="51" xfId="0" applyFont="1" applyFill="1" applyBorder="1" applyAlignment="1">
      <alignment horizontal="center"/>
    </xf>
    <xf numFmtId="0" fontId="27" fillId="2" borderId="3" xfId="0" applyFont="1" applyFill="1" applyBorder="1" applyAlignment="1">
      <alignment horizontal="left" wrapText="1"/>
    </xf>
    <xf numFmtId="0" fontId="27" fillId="2" borderId="52" xfId="0" applyFont="1" applyFill="1" applyBorder="1" applyAlignment="1">
      <alignment horizontal="left" wrapText="1"/>
    </xf>
    <xf numFmtId="164" fontId="27" fillId="2" borderId="52" xfId="0" applyNumberFormat="1" applyFont="1" applyFill="1" applyBorder="1" applyAlignment="1">
      <alignment horizontal="center"/>
    </xf>
    <xf numFmtId="9" fontId="27" fillId="2" borderId="52" xfId="3" applyNumberFormat="1" applyFont="1" applyFill="1" applyBorder="1" applyAlignment="1">
      <alignment horizontal="center"/>
    </xf>
    <xf numFmtId="0" fontId="27" fillId="2" borderId="53" xfId="0" applyFont="1" applyFill="1" applyBorder="1"/>
    <xf numFmtId="0" fontId="27" fillId="2" borderId="43" xfId="0" applyFont="1" applyFill="1" applyBorder="1" applyAlignment="1">
      <alignment horizontal="center"/>
    </xf>
    <xf numFmtId="14" fontId="27" fillId="2" borderId="2" xfId="0" quotePrefix="1" applyNumberFormat="1" applyFont="1" applyFill="1" applyBorder="1" applyAlignment="1">
      <alignment horizontal="center"/>
    </xf>
    <xf numFmtId="0" fontId="27" fillId="2" borderId="36" xfId="0" applyFont="1" applyFill="1" applyBorder="1" applyAlignment="1">
      <alignment horizontal="center"/>
    </xf>
    <xf numFmtId="0" fontId="27" fillId="2" borderId="36" xfId="0" applyFont="1" applyFill="1" applyBorder="1" applyAlignment="1">
      <alignment horizontal="left" wrapText="1"/>
    </xf>
    <xf numFmtId="0" fontId="27" fillId="2" borderId="2" xfId="0" applyFont="1" applyFill="1" applyBorder="1" applyAlignment="1">
      <alignment horizontal="left" wrapText="1"/>
    </xf>
    <xf numFmtId="164" fontId="27" fillId="2" borderId="2" xfId="0" applyNumberFormat="1" applyFont="1" applyFill="1" applyBorder="1" applyAlignment="1">
      <alignment horizontal="center"/>
    </xf>
    <xf numFmtId="41" fontId="27" fillId="2" borderId="2" xfId="2" applyFont="1" applyFill="1" applyBorder="1" applyAlignment="1">
      <alignment horizontal="center"/>
    </xf>
    <xf numFmtId="9" fontId="27" fillId="2" borderId="2" xfId="3" applyNumberFormat="1" applyFont="1" applyFill="1" applyBorder="1" applyAlignment="1">
      <alignment horizontal="center"/>
    </xf>
    <xf numFmtId="0" fontId="27" fillId="2" borderId="52" xfId="0" applyFont="1" applyFill="1" applyBorder="1" applyAlignment="1">
      <alignment horizontal="center"/>
    </xf>
    <xf numFmtId="0" fontId="27" fillId="2" borderId="21" xfId="0" applyFont="1" applyFill="1" applyBorder="1" applyAlignment="1">
      <alignment horizontal="left" wrapText="1"/>
    </xf>
    <xf numFmtId="0" fontId="27" fillId="2" borderId="12" xfId="0" applyFont="1" applyFill="1" applyBorder="1" applyAlignment="1">
      <alignment horizontal="left" wrapText="1"/>
    </xf>
    <xf numFmtId="0" fontId="27" fillId="2" borderId="27" xfId="0" applyFont="1" applyFill="1" applyBorder="1" applyAlignment="1">
      <alignment wrapText="1"/>
    </xf>
    <xf numFmtId="0" fontId="30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14" fontId="27" fillId="2" borderId="3" xfId="0" quotePrefix="1" applyNumberFormat="1" applyFont="1" applyFill="1" applyBorder="1" applyAlignment="1">
      <alignment horizontal="center"/>
    </xf>
    <xf numFmtId="164" fontId="25" fillId="0" borderId="0" xfId="0" applyNumberFormat="1" applyFont="1"/>
    <xf numFmtId="0" fontId="27" fillId="2" borderId="12" xfId="0" applyFont="1" applyFill="1" applyBorder="1" applyAlignment="1">
      <alignment horizontal="center"/>
    </xf>
    <xf numFmtId="0" fontId="27" fillId="2" borderId="55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164" fontId="27" fillId="2" borderId="12" xfId="0" applyNumberFormat="1" applyFont="1" applyFill="1" applyBorder="1" applyAlignment="1">
      <alignment horizontal="center"/>
    </xf>
    <xf numFmtId="0" fontId="27" fillId="2" borderId="3" xfId="0" applyFont="1" applyFill="1" applyBorder="1" applyAlignment="1">
      <alignment horizontal="center" wrapText="1"/>
    </xf>
    <xf numFmtId="0" fontId="27" fillId="2" borderId="3" xfId="0" quotePrefix="1" applyFont="1" applyFill="1" applyBorder="1" applyAlignment="1">
      <alignment horizontal="center"/>
    </xf>
    <xf numFmtId="164" fontId="27" fillId="2" borderId="3" xfId="0" applyNumberFormat="1" applyFont="1" applyFill="1" applyBorder="1" applyAlignment="1">
      <alignment horizontal="center"/>
    </xf>
    <xf numFmtId="0" fontId="27" fillId="2" borderId="37" xfId="0" quotePrefix="1" applyFont="1" applyFill="1" applyBorder="1" applyAlignment="1">
      <alignment horizontal="center"/>
    </xf>
    <xf numFmtId="0" fontId="27" fillId="2" borderId="12" xfId="0" quotePrefix="1" applyFont="1" applyFill="1" applyBorder="1" applyAlignment="1">
      <alignment horizontal="center"/>
    </xf>
    <xf numFmtId="0" fontId="27" fillId="2" borderId="35" xfId="0" applyFont="1" applyFill="1" applyBorder="1" applyAlignment="1">
      <alignment horizontal="center"/>
    </xf>
    <xf numFmtId="0" fontId="27" fillId="2" borderId="36" xfId="0" quotePrefix="1" applyFont="1" applyFill="1" applyBorder="1" applyAlignment="1">
      <alignment horizontal="center"/>
    </xf>
    <xf numFmtId="164" fontId="27" fillId="2" borderId="36" xfId="0" applyNumberFormat="1" applyFont="1" applyFill="1" applyBorder="1" applyAlignment="1">
      <alignment horizontal="center"/>
    </xf>
    <xf numFmtId="0" fontId="27" fillId="2" borderId="1" xfId="0" quotePrefix="1" applyFont="1" applyFill="1" applyBorder="1" applyAlignment="1">
      <alignment horizontal="center"/>
    </xf>
    <xf numFmtId="0" fontId="27" fillId="2" borderId="21" xfId="0" applyFont="1" applyFill="1" applyBorder="1" applyAlignment="1">
      <alignment horizontal="center"/>
    </xf>
    <xf numFmtId="0" fontId="27" fillId="2" borderId="20" xfId="0" applyFont="1" applyFill="1" applyBorder="1" applyAlignment="1">
      <alignment horizontal="center"/>
    </xf>
    <xf numFmtId="164" fontId="27" fillId="2" borderId="21" xfId="0" applyNumberFormat="1" applyFont="1" applyFill="1" applyBorder="1" applyAlignment="1">
      <alignment horizontal="center"/>
    </xf>
    <xf numFmtId="9" fontId="27" fillId="2" borderId="21" xfId="3" applyNumberFormat="1" applyFont="1" applyFill="1" applyBorder="1" applyAlignment="1">
      <alignment horizontal="center"/>
    </xf>
    <xf numFmtId="0" fontId="27" fillId="2" borderId="22" xfId="0" applyFont="1" applyFill="1" applyBorder="1"/>
    <xf numFmtId="0" fontId="27" fillId="2" borderId="0" xfId="0" applyFont="1" applyFill="1"/>
    <xf numFmtId="0" fontId="27" fillId="2" borderId="13" xfId="0" applyFont="1" applyFill="1" applyBorder="1"/>
    <xf numFmtId="0" fontId="27" fillId="2" borderId="13" xfId="0" applyFont="1" applyFill="1" applyBorder="1" applyAlignment="1">
      <alignment wrapText="1"/>
    </xf>
    <xf numFmtId="0" fontId="27" fillId="2" borderId="52" xfId="0" quotePrefix="1" applyFont="1" applyFill="1" applyBorder="1" applyAlignment="1">
      <alignment horizontal="center"/>
    </xf>
    <xf numFmtId="0" fontId="27" fillId="2" borderId="53" xfId="0" applyFont="1" applyFill="1" applyBorder="1" applyAlignment="1">
      <alignment wrapText="1"/>
    </xf>
    <xf numFmtId="0" fontId="27" fillId="2" borderId="21" xfId="0" quotePrefix="1" applyFont="1" applyFill="1" applyBorder="1" applyAlignment="1">
      <alignment horizontal="center"/>
    </xf>
    <xf numFmtId="9" fontId="27" fillId="2" borderId="12" xfId="3" applyNumberFormat="1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/>
    </xf>
    <xf numFmtId="9" fontId="27" fillId="2" borderId="36" xfId="3" applyNumberFormat="1" applyFont="1" applyFill="1" applyBorder="1" applyAlignment="1">
      <alignment horizontal="center"/>
    </xf>
    <xf numFmtId="0" fontId="27" fillId="2" borderId="50" xfId="0" applyFont="1" applyFill="1" applyBorder="1"/>
    <xf numFmtId="41" fontId="27" fillId="2" borderId="3" xfId="2" applyFont="1" applyFill="1" applyBorder="1" applyAlignment="1">
      <alignment horizontal="center"/>
    </xf>
    <xf numFmtId="41" fontId="27" fillId="2" borderId="0" xfId="0" applyNumberFormat="1" applyFont="1" applyFill="1"/>
    <xf numFmtId="0" fontId="27" fillId="2" borderId="15" xfId="0" quotePrefix="1" applyFont="1" applyFill="1" applyBorder="1" applyAlignment="1">
      <alignment horizontal="center"/>
    </xf>
    <xf numFmtId="0" fontId="27" fillId="2" borderId="29" xfId="0" applyFont="1" applyFill="1" applyBorder="1"/>
    <xf numFmtId="9" fontId="27" fillId="2" borderId="3" xfId="3" applyNumberFormat="1" applyFont="1" applyFill="1" applyBorder="1" applyAlignment="1">
      <alignment horizontal="center"/>
    </xf>
    <xf numFmtId="0" fontId="27" fillId="2" borderId="22" xfId="0" applyFont="1" applyFill="1" applyBorder="1" applyAlignment="1">
      <alignment wrapText="1"/>
    </xf>
    <xf numFmtId="0" fontId="27" fillId="2" borderId="2" xfId="0" quotePrefix="1" applyFont="1" applyFill="1" applyBorder="1" applyAlignment="1">
      <alignment horizontal="center"/>
    </xf>
    <xf numFmtId="0" fontId="27" fillId="2" borderId="52" xfId="0" applyFont="1" applyFill="1" applyBorder="1" applyAlignment="1">
      <alignment horizontal="left"/>
    </xf>
    <xf numFmtId="0" fontId="26" fillId="0" borderId="2" xfId="0" applyFont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0" fontId="27" fillId="2" borderId="21" xfId="0" applyFont="1" applyFill="1" applyBorder="1" applyAlignment="1">
      <alignment horizontal="left"/>
    </xf>
    <xf numFmtId="0" fontId="27" fillId="2" borderId="29" xfId="0" applyFont="1" applyFill="1" applyBorder="1" applyAlignment="1">
      <alignment wrapText="1"/>
    </xf>
    <xf numFmtId="164" fontId="21" fillId="2" borderId="21" xfId="0" applyNumberFormat="1" applyFont="1" applyFill="1" applyBorder="1" applyAlignment="1">
      <alignment horizontal="center"/>
    </xf>
    <xf numFmtId="164" fontId="21" fillId="2" borderId="12" xfId="0" applyNumberFormat="1" applyFont="1" applyFill="1" applyBorder="1" applyAlignment="1">
      <alignment horizontal="center"/>
    </xf>
    <xf numFmtId="164" fontId="21" fillId="2" borderId="15" xfId="0" applyNumberFormat="1" applyFont="1" applyFill="1" applyBorder="1" applyAlignment="1">
      <alignment horizontal="center"/>
    </xf>
    <xf numFmtId="164" fontId="21" fillId="2" borderId="52" xfId="0" applyNumberFormat="1" applyFont="1" applyFill="1" applyBorder="1" applyAlignment="1">
      <alignment horizontal="center"/>
    </xf>
    <xf numFmtId="0" fontId="27" fillId="2" borderId="48" xfId="0" quotePrefix="1" applyFont="1" applyFill="1" applyBorder="1" applyAlignment="1">
      <alignment horizontal="center"/>
    </xf>
    <xf numFmtId="164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9" fontId="26" fillId="0" borderId="27" xfId="3" applyFont="1" applyBorder="1" applyAlignment="1">
      <alignment horizontal="center" vertical="center"/>
    </xf>
    <xf numFmtId="41" fontId="26" fillId="0" borderId="1" xfId="2" applyFont="1" applyBorder="1"/>
    <xf numFmtId="9" fontId="26" fillId="0" borderId="27" xfId="3" applyFont="1" applyBorder="1"/>
    <xf numFmtId="0" fontId="27" fillId="2" borderId="60" xfId="0" applyFont="1" applyFill="1" applyBorder="1" applyAlignment="1">
      <alignment wrapText="1"/>
    </xf>
    <xf numFmtId="0" fontId="27" fillId="2" borderId="50" xfId="0" applyFont="1" applyFill="1" applyBorder="1" applyAlignment="1">
      <alignment wrapText="1"/>
    </xf>
    <xf numFmtId="41" fontId="21" fillId="2" borderId="3" xfId="2" applyFont="1" applyFill="1" applyBorder="1" applyAlignment="1">
      <alignment horizontal="center"/>
    </xf>
    <xf numFmtId="0" fontId="27" fillId="2" borderId="60" xfId="0" applyFont="1" applyFill="1" applyBorder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164" fontId="21" fillId="2" borderId="36" xfId="0" applyNumberFormat="1" applyFont="1" applyFill="1" applyBorder="1" applyAlignment="1">
      <alignment horizontal="center"/>
    </xf>
    <xf numFmtId="164" fontId="21" fillId="2" borderId="3" xfId="0" applyNumberFormat="1" applyFont="1" applyFill="1" applyBorder="1" applyAlignment="1">
      <alignment horizontal="center"/>
    </xf>
    <xf numFmtId="164" fontId="21" fillId="2" borderId="37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/>
    </xf>
    <xf numFmtId="164" fontId="21" fillId="0" borderId="37" xfId="0" applyNumberFormat="1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4" fontId="21" fillId="0" borderId="3" xfId="0" applyNumberFormat="1" applyFont="1" applyBorder="1" applyAlignment="1">
      <alignment horizontal="center"/>
    </xf>
    <xf numFmtId="164" fontId="21" fillId="2" borderId="2" xfId="0" applyNumberFormat="1" applyFont="1" applyFill="1" applyBorder="1" applyAlignment="1">
      <alignment horizontal="center"/>
    </xf>
    <xf numFmtId="0" fontId="27" fillId="2" borderId="52" xfId="0" applyFont="1" applyFill="1" applyBorder="1" applyAlignment="1">
      <alignment horizontal="left" wrapText="1"/>
    </xf>
    <xf numFmtId="0" fontId="43" fillId="0" borderId="1" xfId="0" applyFont="1" applyBorder="1" applyAlignment="1">
      <alignment wrapText="1"/>
    </xf>
    <xf numFmtId="0" fontId="43" fillId="0" borderId="1" xfId="0" applyFont="1" applyBorder="1" applyAlignment="1">
      <alignment horizontal="left" wrapText="1"/>
    </xf>
    <xf numFmtId="165" fontId="43" fillId="0" borderId="1" xfId="1" applyNumberFormat="1" applyFont="1" applyBorder="1" applyAlignment="1">
      <alignment horizontal="center"/>
    </xf>
    <xf numFmtId="9" fontId="43" fillId="0" borderId="1" xfId="0" applyNumberFormat="1" applyFont="1" applyBorder="1" applyAlignment="1">
      <alignment horizontal="center"/>
    </xf>
    <xf numFmtId="165" fontId="43" fillId="0" borderId="1" xfId="1" applyNumberFormat="1" applyFont="1" applyFill="1" applyBorder="1" applyAlignment="1">
      <alignment horizontal="center"/>
    </xf>
    <xf numFmtId="9" fontId="43" fillId="0" borderId="1" xfId="0" applyNumberFormat="1" applyFont="1" applyFill="1" applyBorder="1" applyAlignment="1">
      <alignment horizontal="center"/>
    </xf>
    <xf numFmtId="165" fontId="43" fillId="0" borderId="1" xfId="0" applyNumberFormat="1" applyFont="1" applyBorder="1"/>
    <xf numFmtId="0" fontId="43" fillId="0" borderId="1" xfId="0" applyFont="1" applyBorder="1" applyAlignment="1"/>
    <xf numFmtId="165" fontId="43" fillId="0" borderId="1" xfId="1" applyNumberFormat="1" applyFont="1" applyBorder="1" applyAlignment="1">
      <alignment horizontal="right"/>
    </xf>
    <xf numFmtId="165" fontId="43" fillId="0" borderId="1" xfId="1" applyNumberFormat="1" applyFont="1" applyFill="1" applyBorder="1" applyAlignment="1">
      <alignment horizontal="right"/>
    </xf>
    <xf numFmtId="165" fontId="0" fillId="0" borderId="0" xfId="0" applyNumberFormat="1"/>
    <xf numFmtId="165" fontId="22" fillId="0" borderId="1" xfId="0" applyNumberFormat="1" applyFont="1" applyBorder="1"/>
    <xf numFmtId="164" fontId="24" fillId="0" borderId="1" xfId="0" applyNumberFormat="1" applyFont="1" applyBorder="1"/>
    <xf numFmtId="0" fontId="31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25" fillId="0" borderId="0" xfId="0" applyFont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9" fontId="31" fillId="0" borderId="0" xfId="3" applyFont="1" applyAlignment="1">
      <alignment horizont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9" fontId="31" fillId="0" borderId="0" xfId="3" applyFont="1" applyAlignment="1">
      <alignment horizontal="center" vertical="center"/>
    </xf>
    <xf numFmtId="0" fontId="26" fillId="0" borderId="1" xfId="0" applyFont="1" applyBorder="1" applyAlignment="1">
      <alignment vertical="center" wrapText="1"/>
    </xf>
    <xf numFmtId="9" fontId="26" fillId="0" borderId="1" xfId="3" applyFont="1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0" fontId="36" fillId="2" borderId="0" xfId="0" applyFont="1" applyFill="1" applyAlignment="1">
      <alignment vertical="center"/>
    </xf>
    <xf numFmtId="0" fontId="43" fillId="0" borderId="1" xfId="0" applyFont="1" applyBorder="1"/>
    <xf numFmtId="0" fontId="43" fillId="0" borderId="1" xfId="0" applyFont="1" applyBorder="1" applyAlignment="1">
      <alignment horizontal="center"/>
    </xf>
    <xf numFmtId="0" fontId="43" fillId="0" borderId="0" xfId="0" applyFont="1"/>
    <xf numFmtId="166" fontId="43" fillId="0" borderId="1" xfId="0" applyNumberFormat="1" applyFont="1" applyBorder="1"/>
    <xf numFmtId="16" fontId="43" fillId="0" borderId="1" xfId="0" applyNumberFormat="1" applyFont="1" applyBorder="1"/>
    <xf numFmtId="9" fontId="43" fillId="0" borderId="1" xfId="0" applyNumberFormat="1" applyFont="1" applyBorder="1"/>
    <xf numFmtId="164" fontId="43" fillId="0" borderId="1" xfId="1" applyNumberFormat="1" applyFont="1" applyBorder="1" applyAlignment="1">
      <alignment horizontal="center"/>
    </xf>
    <xf numFmtId="164" fontId="43" fillId="0" borderId="1" xfId="1" applyNumberFormat="1" applyFont="1" applyBorder="1"/>
    <xf numFmtId="0" fontId="24" fillId="0" borderId="1" xfId="0" applyFont="1" applyBorder="1"/>
    <xf numFmtId="0" fontId="24" fillId="0" borderId="0" xfId="0" applyFont="1"/>
    <xf numFmtId="164" fontId="24" fillId="0" borderId="1" xfId="1" applyNumberFormat="1" applyFont="1" applyBorder="1"/>
    <xf numFmtId="164" fontId="24" fillId="0" borderId="0" xfId="1" applyNumberFormat="1" applyFont="1"/>
    <xf numFmtId="164" fontId="43" fillId="0" borderId="1" xfId="0" applyNumberFormat="1" applyFont="1" applyBorder="1"/>
    <xf numFmtId="0" fontId="49" fillId="0" borderId="0" xfId="0" applyFont="1"/>
    <xf numFmtId="0" fontId="49" fillId="0" borderId="1" xfId="0" applyFont="1" applyBorder="1"/>
    <xf numFmtId="164" fontId="49" fillId="0" borderId="1" xfId="0" applyNumberFormat="1" applyFont="1" applyBorder="1"/>
    <xf numFmtId="164" fontId="42" fillId="0" borderId="1" xfId="1" applyNumberFormat="1" applyFont="1" applyBorder="1"/>
    <xf numFmtId="164" fontId="42" fillId="0" borderId="1" xfId="0" applyNumberFormat="1" applyFont="1" applyBorder="1"/>
    <xf numFmtId="166" fontId="43" fillId="0" borderId="1" xfId="0" applyNumberFormat="1" applyFont="1" applyBorder="1" applyAlignment="1">
      <alignment horizontal="center"/>
    </xf>
    <xf numFmtId="164" fontId="43" fillId="2" borderId="5" xfId="0" applyNumberFormat="1" applyFont="1" applyFill="1" applyBorder="1"/>
    <xf numFmtId="0" fontId="49" fillId="0" borderId="1" xfId="0" applyFont="1" applyBorder="1" applyAlignment="1">
      <alignment horizontal="center"/>
    </xf>
    <xf numFmtId="0" fontId="43" fillId="0" borderId="1" xfId="0" applyFont="1" applyFill="1" applyBorder="1"/>
    <xf numFmtId="164" fontId="43" fillId="0" borderId="1" xfId="1" applyNumberFormat="1" applyFont="1" applyFill="1" applyBorder="1" applyAlignment="1">
      <alignment horizontal="center"/>
    </xf>
    <xf numFmtId="164" fontId="49" fillId="0" borderId="1" xfId="1" applyNumberFormat="1" applyFont="1" applyBorder="1"/>
    <xf numFmtId="0" fontId="50" fillId="0" borderId="1" xfId="0" applyFont="1" applyBorder="1" applyAlignment="1">
      <alignment horizontal="center"/>
    </xf>
    <xf numFmtId="0" fontId="50" fillId="0" borderId="1" xfId="0" applyFont="1" applyBorder="1"/>
    <xf numFmtId="16" fontId="49" fillId="0" borderId="1" xfId="0" applyNumberFormat="1" applyFont="1" applyBorder="1"/>
    <xf numFmtId="0" fontId="43" fillId="0" borderId="1" xfId="0" applyFont="1" applyFill="1" applyBorder="1" applyAlignment="1">
      <alignment horizontal="center"/>
    </xf>
    <xf numFmtId="164" fontId="22" fillId="0" borderId="1" xfId="1" applyNumberFormat="1" applyFont="1" applyBorder="1"/>
    <xf numFmtId="0" fontId="12" fillId="0" borderId="0" xfId="0" applyFont="1" applyAlignment="1">
      <alignment vertical="center"/>
    </xf>
    <xf numFmtId="0" fontId="11" fillId="0" borderId="12" xfId="0" applyFont="1" applyBorder="1" applyAlignment="1">
      <alignment wrapText="1"/>
    </xf>
    <xf numFmtId="0" fontId="11" fillId="0" borderId="13" xfId="0" applyFont="1" applyBorder="1"/>
    <xf numFmtId="0" fontId="11" fillId="0" borderId="19" xfId="0" applyFont="1" applyBorder="1"/>
    <xf numFmtId="0" fontId="11" fillId="0" borderId="21" xfId="0" applyFont="1" applyBorder="1" applyAlignment="1">
      <alignment wrapText="1"/>
    </xf>
    <xf numFmtId="0" fontId="11" fillId="0" borderId="22" xfId="0" applyFont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 wrapText="1"/>
    </xf>
    <xf numFmtId="41" fontId="11" fillId="0" borderId="21" xfId="2" applyFont="1" applyBorder="1" applyAlignment="1">
      <alignment wrapText="1"/>
    </xf>
    <xf numFmtId="41" fontId="11" fillId="0" borderId="12" xfId="2" applyFont="1" applyBorder="1" applyAlignment="1">
      <alignment wrapText="1"/>
    </xf>
    <xf numFmtId="41" fontId="11" fillId="0" borderId="33" xfId="2" applyFont="1" applyBorder="1" applyAlignment="1">
      <alignment wrapText="1"/>
    </xf>
    <xf numFmtId="0" fontId="11" fillId="0" borderId="0" xfId="0" applyFont="1" applyAlignment="1"/>
    <xf numFmtId="41" fontId="11" fillId="0" borderId="0" xfId="0" applyNumberFormat="1" applyFont="1"/>
    <xf numFmtId="0" fontId="11" fillId="0" borderId="37" xfId="0" applyFont="1" applyBorder="1" applyAlignment="1">
      <alignment wrapText="1"/>
    </xf>
    <xf numFmtId="41" fontId="11" fillId="0" borderId="37" xfId="2" applyFont="1" applyBorder="1" applyAlignment="1">
      <alignment wrapText="1"/>
    </xf>
    <xf numFmtId="41" fontId="11" fillId="0" borderId="49" xfId="2" applyFont="1" applyBorder="1" applyAlignment="1">
      <alignment wrapText="1"/>
    </xf>
    <xf numFmtId="0" fontId="11" fillId="0" borderId="60" xfId="0" applyFont="1" applyBorder="1"/>
    <xf numFmtId="0" fontId="11" fillId="0" borderId="20" xfId="0" applyFont="1" applyBorder="1" applyAlignment="1">
      <alignment horizontal="center" wrapText="1"/>
    </xf>
    <xf numFmtId="0" fontId="11" fillId="0" borderId="11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2" fillId="0" borderId="31" xfId="0" applyFont="1" applyBorder="1" applyAlignment="1">
      <alignment horizontal="center"/>
    </xf>
    <xf numFmtId="0" fontId="33" fillId="0" borderId="12" xfId="0" applyFont="1" applyBorder="1" applyAlignment="1">
      <alignment wrapText="1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horizontal="center" wrapText="1"/>
    </xf>
    <xf numFmtId="0" fontId="13" fillId="0" borderId="63" xfId="0" applyFont="1" applyBorder="1" applyAlignment="1">
      <alignment horizontal="center" wrapText="1"/>
    </xf>
    <xf numFmtId="0" fontId="13" fillId="0" borderId="29" xfId="0" applyFont="1" applyBorder="1"/>
    <xf numFmtId="0" fontId="11" fillId="0" borderId="0" xfId="0" applyFont="1" applyAlignment="1">
      <alignment wrapText="1"/>
    </xf>
    <xf numFmtId="0" fontId="23" fillId="0" borderId="0" xfId="0" applyFont="1" applyAlignment="1">
      <alignment vertical="center"/>
    </xf>
    <xf numFmtId="0" fontId="0" fillId="0" borderId="0" xfId="0"/>
    <xf numFmtId="0" fontId="11" fillId="0" borderId="0" xfId="0" applyFont="1"/>
    <xf numFmtId="0" fontId="0" fillId="0" borderId="0" xfId="0" applyBorder="1"/>
    <xf numFmtId="164" fontId="11" fillId="0" borderId="0" xfId="1" applyNumberFormat="1" applyFont="1"/>
    <xf numFmtId="0" fontId="37" fillId="0" borderId="0" xfId="0" applyFont="1" applyBorder="1" applyAlignment="1">
      <alignment horizontal="left"/>
    </xf>
    <xf numFmtId="164" fontId="37" fillId="0" borderId="0" xfId="0" applyNumberFormat="1" applyFont="1" applyBorder="1" applyAlignment="1">
      <alignment horizontal="left"/>
    </xf>
    <xf numFmtId="0" fontId="39" fillId="0" borderId="0" xfId="0" applyFont="1" applyBorder="1"/>
    <xf numFmtId="0" fontId="37" fillId="2" borderId="0" xfId="0" applyFont="1" applyFill="1" applyBorder="1" applyAlignment="1">
      <alignment horizontal="left"/>
    </xf>
    <xf numFmtId="0" fontId="0" fillId="0" borderId="0" xfId="0" applyBorder="1" applyAlignment="1"/>
    <xf numFmtId="0" fontId="0" fillId="0" borderId="0" xfId="0" applyAlignment="1"/>
    <xf numFmtId="0" fontId="13" fillId="0" borderId="4" xfId="0" applyFont="1" applyBorder="1" applyAlignment="1">
      <alignment horizontal="center"/>
    </xf>
    <xf numFmtId="49" fontId="51" fillId="2" borderId="1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11" fillId="0" borderId="4" xfId="0" applyNumberFormat="1" applyFont="1" applyBorder="1"/>
    <xf numFmtId="49" fontId="51" fillId="2" borderId="1" xfId="0" applyNumberFormat="1" applyFont="1" applyFill="1" applyBorder="1" applyAlignment="1">
      <alignment vertical="center" wrapText="1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1" fillId="0" borderId="0" xfId="0" applyFont="1" applyBorder="1"/>
    <xf numFmtId="0" fontId="13" fillId="0" borderId="0" xfId="0" applyFont="1"/>
    <xf numFmtId="0" fontId="13" fillId="0" borderId="6" xfId="0" applyFont="1" applyBorder="1" applyAlignment="1"/>
    <xf numFmtId="0" fontId="11" fillId="0" borderId="6" xfId="0" applyFont="1" applyBorder="1" applyAlignment="1"/>
    <xf numFmtId="0" fontId="13" fillId="0" borderId="0" xfId="0" applyFont="1" applyBorder="1" applyAlignment="1">
      <alignment horizontal="center"/>
    </xf>
    <xf numFmtId="164" fontId="11" fillId="0" borderId="0" xfId="1" applyNumberFormat="1" applyFont="1" applyBorder="1"/>
    <xf numFmtId="164" fontId="11" fillId="0" borderId="1" xfId="0" applyNumberFormat="1" applyFont="1" applyBorder="1"/>
    <xf numFmtId="164" fontId="13" fillId="0" borderId="1" xfId="0" applyNumberFormat="1" applyFont="1" applyBorder="1"/>
    <xf numFmtId="164" fontId="11" fillId="0" borderId="1" xfId="0" applyNumberFormat="1" applyFont="1" applyBorder="1" applyAlignment="1"/>
    <xf numFmtId="0" fontId="51" fillId="2" borderId="1" xfId="0" applyFont="1" applyFill="1" applyBorder="1" applyAlignment="1"/>
    <xf numFmtId="0" fontId="2" fillId="0" borderId="0" xfId="0" applyFont="1"/>
    <xf numFmtId="0" fontId="9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164" fontId="9" fillId="0" borderId="0" xfId="1" applyNumberFormat="1" applyFont="1" applyAlignment="1">
      <alignment horizontal="center" vertical="center" wrapText="1"/>
    </xf>
    <xf numFmtId="164" fontId="6" fillId="0" borderId="0" xfId="1" applyNumberFormat="1" applyFont="1" applyAlignment="1">
      <alignment horizontal="center" vertical="center" wrapText="1"/>
    </xf>
    <xf numFmtId="0" fontId="20" fillId="0" borderId="0" xfId="0" applyFont="1"/>
    <xf numFmtId="0" fontId="20" fillId="0" borderId="27" xfId="0" applyFont="1" applyBorder="1" applyAlignment="1">
      <alignment wrapText="1"/>
    </xf>
    <xf numFmtId="164" fontId="20" fillId="0" borderId="12" xfId="1" applyNumberFormat="1" applyFont="1" applyBorder="1"/>
    <xf numFmtId="0" fontId="29" fillId="2" borderId="15" xfId="0" applyFont="1" applyFill="1" applyBorder="1" applyAlignment="1">
      <alignment wrapText="1"/>
    </xf>
    <xf numFmtId="0" fontId="20" fillId="0" borderId="12" xfId="0" applyFont="1" applyBorder="1"/>
    <xf numFmtId="164" fontId="16" fillId="2" borderId="15" xfId="1" applyNumberFormat="1" applyFont="1" applyFill="1" applyBorder="1"/>
    <xf numFmtId="164" fontId="19" fillId="7" borderId="1" xfId="1" applyNumberFormat="1" applyFont="1" applyFill="1" applyBorder="1" applyAlignment="1">
      <alignment vertical="center" wrapText="1"/>
    </xf>
    <xf numFmtId="164" fontId="26" fillId="4" borderId="4" xfId="1" applyNumberFormat="1" applyFont="1" applyFill="1" applyBorder="1" applyAlignment="1">
      <alignment horizontal="center" vertical="center" wrapText="1"/>
    </xf>
    <xf numFmtId="164" fontId="26" fillId="4" borderId="1" xfId="1" applyNumberFormat="1" applyFont="1" applyFill="1" applyBorder="1" applyAlignment="1">
      <alignment horizontal="center" vertical="center" wrapText="1"/>
    </xf>
    <xf numFmtId="164" fontId="19" fillId="2" borderId="37" xfId="1" applyNumberFormat="1" applyFont="1" applyFill="1" applyBorder="1" applyAlignment="1">
      <alignment vertical="center" wrapText="1"/>
    </xf>
    <xf numFmtId="164" fontId="19" fillId="2" borderId="21" xfId="1" applyNumberFormat="1" applyFont="1" applyFill="1" applyBorder="1" applyAlignment="1">
      <alignment vertical="center" wrapText="1"/>
    </xf>
    <xf numFmtId="164" fontId="20" fillId="2" borderId="21" xfId="1" applyNumberFormat="1" applyFont="1" applyFill="1" applyBorder="1"/>
    <xf numFmtId="0" fontId="20" fillId="2" borderId="12" xfId="0" quotePrefix="1" applyFont="1" applyFill="1" applyBorder="1" applyAlignment="1">
      <alignment horizontal="left"/>
    </xf>
    <xf numFmtId="16" fontId="20" fillId="2" borderId="12" xfId="0" quotePrefix="1" applyNumberFormat="1" applyFont="1" applyFill="1" applyBorder="1"/>
    <xf numFmtId="0" fontId="20" fillId="2" borderId="12" xfId="0" applyFont="1" applyFill="1" applyBorder="1" applyAlignment="1">
      <alignment wrapText="1"/>
    </xf>
    <xf numFmtId="0" fontId="20" fillId="2" borderId="12" xfId="0" applyFont="1" applyFill="1" applyBorder="1"/>
    <xf numFmtId="0" fontId="27" fillId="2" borderId="12" xfId="0" quotePrefix="1" applyFont="1" applyFill="1" applyBorder="1" applyAlignment="1">
      <alignment horizontal="left"/>
    </xf>
    <xf numFmtId="164" fontId="20" fillId="2" borderId="12" xfId="1" applyNumberFormat="1" applyFont="1" applyFill="1" applyBorder="1" applyAlignment="1">
      <alignment horizontal="left" wrapText="1"/>
    </xf>
    <xf numFmtId="0" fontId="20" fillId="2" borderId="12" xfId="0" quotePrefix="1" applyFont="1" applyFill="1" applyBorder="1" applyAlignment="1">
      <alignment horizontal="left" wrapText="1"/>
    </xf>
    <xf numFmtId="16" fontId="20" fillId="2" borderId="12" xfId="0" quotePrefix="1" applyNumberFormat="1" applyFont="1" applyFill="1" applyBorder="1" applyAlignment="1">
      <alignment horizontal="left"/>
    </xf>
    <xf numFmtId="16" fontId="27" fillId="2" borderId="12" xfId="0" quotePrefix="1" applyNumberFormat="1" applyFont="1" applyFill="1" applyBorder="1" applyAlignment="1">
      <alignment horizontal="left"/>
    </xf>
    <xf numFmtId="16" fontId="27" fillId="2" borderId="12" xfId="0" quotePrefix="1" applyNumberFormat="1" applyFont="1" applyFill="1" applyBorder="1"/>
    <xf numFmtId="16" fontId="27" fillId="2" borderId="12" xfId="0" quotePrefix="1" applyNumberFormat="1" applyFont="1" applyFill="1" applyBorder="1" applyAlignment="1">
      <alignment wrapText="1"/>
    </xf>
    <xf numFmtId="164" fontId="20" fillId="2" borderId="12" xfId="1" applyNumberFormat="1" applyFont="1" applyFill="1" applyBorder="1" applyAlignment="1">
      <alignment horizontal="center" wrapText="1"/>
    </xf>
    <xf numFmtId="0" fontId="21" fillId="2" borderId="12" xfId="0" quotePrefix="1" applyFont="1" applyFill="1" applyBorder="1" applyAlignment="1">
      <alignment horizontal="left"/>
    </xf>
    <xf numFmtId="0" fontId="20" fillId="2" borderId="14" xfId="0" quotePrefix="1" applyFont="1" applyFill="1" applyBorder="1" applyAlignment="1">
      <alignment horizontal="left"/>
    </xf>
    <xf numFmtId="164" fontId="20" fillId="2" borderId="15" xfId="1" applyNumberFormat="1" applyFont="1" applyFill="1" applyBorder="1"/>
    <xf numFmtId="164" fontId="19" fillId="2" borderId="15" xfId="1" applyNumberFormat="1" applyFont="1" applyFill="1" applyBorder="1" applyAlignment="1">
      <alignment vertical="center" wrapText="1"/>
    </xf>
    <xf numFmtId="164" fontId="19" fillId="2" borderId="1" xfId="1" applyNumberFormat="1" applyFont="1" applyFill="1" applyBorder="1" applyAlignment="1">
      <alignment vertical="center" wrapText="1"/>
    </xf>
    <xf numFmtId="165" fontId="19" fillId="2" borderId="1" xfId="1" applyNumberFormat="1" applyFont="1" applyFill="1" applyBorder="1" applyAlignment="1">
      <alignment horizontal="center" vertical="center" wrapText="1"/>
    </xf>
    <xf numFmtId="164" fontId="19" fillId="2" borderId="37" xfId="1" applyNumberFormat="1" applyFont="1" applyFill="1" applyBorder="1" applyAlignment="1">
      <alignment horizontal="center" vertical="center" wrapText="1"/>
    </xf>
    <xf numFmtId="164" fontId="19" fillId="2" borderId="49" xfId="1" applyNumberFormat="1" applyFont="1" applyFill="1" applyBorder="1" applyAlignment="1">
      <alignment horizontal="center" vertical="center" wrapText="1"/>
    </xf>
    <xf numFmtId="16" fontId="20" fillId="2" borderId="11" xfId="0" quotePrefix="1" applyNumberFormat="1" applyFont="1" applyFill="1" applyBorder="1" applyAlignment="1">
      <alignment horizontal="left"/>
    </xf>
    <xf numFmtId="164" fontId="20" fillId="2" borderId="34" xfId="1" applyNumberFormat="1" applyFont="1" applyFill="1" applyBorder="1"/>
    <xf numFmtId="165" fontId="20" fillId="2" borderId="12" xfId="1" applyNumberFormat="1" applyFont="1" applyFill="1" applyBorder="1" applyAlignment="1">
      <alignment wrapText="1"/>
    </xf>
    <xf numFmtId="16" fontId="20" fillId="2" borderId="51" xfId="0" quotePrefix="1" applyNumberFormat="1" applyFont="1" applyFill="1" applyBorder="1" applyAlignment="1">
      <alignment horizontal="left"/>
    </xf>
    <xf numFmtId="0" fontId="20" fillId="2" borderId="52" xfId="0" applyFont="1" applyFill="1" applyBorder="1" applyAlignment="1">
      <alignment wrapText="1"/>
    </xf>
    <xf numFmtId="164" fontId="20" fillId="2" borderId="52" xfId="1" applyNumberFormat="1" applyFont="1" applyFill="1" applyBorder="1"/>
    <xf numFmtId="0" fontId="20" fillId="2" borderId="21" xfId="0" quotePrefix="1" applyFont="1" applyFill="1" applyBorder="1" applyAlignment="1">
      <alignment horizontal="left"/>
    </xf>
    <xf numFmtId="164" fontId="20" fillId="2" borderId="21" xfId="1" applyNumberFormat="1" applyFont="1" applyFill="1" applyBorder="1" applyAlignment="1">
      <alignment wrapText="1"/>
    </xf>
    <xf numFmtId="165" fontId="20" fillId="2" borderId="21" xfId="1" applyNumberFormat="1" applyFont="1" applyFill="1" applyBorder="1" applyAlignment="1">
      <alignment wrapText="1"/>
    </xf>
    <xf numFmtId="16" fontId="27" fillId="2" borderId="14" xfId="0" quotePrefix="1" applyNumberFormat="1" applyFont="1" applyFill="1" applyBorder="1" applyAlignment="1">
      <alignment horizontal="left"/>
    </xf>
    <xf numFmtId="0" fontId="27" fillId="2" borderId="15" xfId="0" applyFont="1" applyFill="1" applyBorder="1" applyAlignment="1">
      <alignment wrapText="1"/>
    </xf>
    <xf numFmtId="16" fontId="27" fillId="2" borderId="51" xfId="0" quotePrefix="1" applyNumberFormat="1" applyFont="1" applyFill="1" applyBorder="1" applyAlignment="1">
      <alignment horizontal="left"/>
    </xf>
    <xf numFmtId="0" fontId="27" fillId="2" borderId="52" xfId="0" applyFont="1" applyFill="1" applyBorder="1" applyAlignment="1">
      <alignment wrapText="1"/>
    </xf>
    <xf numFmtId="164" fontId="20" fillId="2" borderId="52" xfId="1" applyNumberFormat="1" applyFont="1" applyFill="1" applyBorder="1" applyAlignment="1">
      <alignment wrapText="1"/>
    </xf>
    <xf numFmtId="165" fontId="20" fillId="2" borderId="52" xfId="1" applyNumberFormat="1" applyFont="1" applyFill="1" applyBorder="1" applyAlignment="1">
      <alignment wrapText="1"/>
    </xf>
    <xf numFmtId="165" fontId="20" fillId="2" borderId="15" xfId="1" applyNumberFormat="1" applyFont="1" applyFill="1" applyBorder="1" applyAlignment="1">
      <alignment wrapText="1"/>
    </xf>
    <xf numFmtId="16" fontId="20" fillId="2" borderId="21" xfId="0" quotePrefix="1" applyNumberFormat="1" applyFont="1" applyFill="1" applyBorder="1"/>
    <xf numFmtId="16" fontId="27" fillId="2" borderId="11" xfId="0" quotePrefix="1" applyNumberFormat="1" applyFont="1" applyFill="1" applyBorder="1" applyAlignment="1">
      <alignment horizontal="left"/>
    </xf>
    <xf numFmtId="0" fontId="27" fillId="2" borderId="12" xfId="0" applyFont="1" applyFill="1" applyBorder="1"/>
    <xf numFmtId="0" fontId="27" fillId="2" borderId="52" xfId="0" applyFont="1" applyFill="1" applyBorder="1"/>
    <xf numFmtId="165" fontId="20" fillId="2" borderId="52" xfId="1" applyNumberFormat="1" applyFont="1" applyFill="1" applyBorder="1" applyAlignment="1">
      <alignment vertical="top" wrapText="1"/>
    </xf>
    <xf numFmtId="165" fontId="20" fillId="2" borderId="21" xfId="1" applyNumberFormat="1" applyFont="1" applyFill="1" applyBorder="1" applyAlignment="1">
      <alignment vertical="top" wrapText="1"/>
    </xf>
    <xf numFmtId="0" fontId="20" fillId="2" borderId="0" xfId="0" applyFont="1" applyFill="1"/>
    <xf numFmtId="0" fontId="19" fillId="2" borderId="48" xfId="0" applyFont="1" applyFill="1" applyBorder="1" applyAlignment="1">
      <alignment horizontal="center" vertical="center" wrapText="1"/>
    </xf>
    <xf numFmtId="164" fontId="19" fillId="2" borderId="4" xfId="1" applyNumberFormat="1" applyFont="1" applyFill="1" applyBorder="1" applyAlignment="1">
      <alignment horizontal="center" vertical="center" wrapText="1"/>
    </xf>
    <xf numFmtId="164" fontId="19" fillId="2" borderId="7" xfId="1" applyNumberFormat="1" applyFont="1" applyFill="1" applyBorder="1" applyAlignment="1">
      <alignment horizontal="center" vertical="center" wrapText="1"/>
    </xf>
    <xf numFmtId="164" fontId="9" fillId="0" borderId="0" xfId="1" applyNumberFormat="1" applyFont="1" applyAlignment="1">
      <alignment horizontal="center" wrapText="1"/>
    </xf>
    <xf numFmtId="164" fontId="19" fillId="2" borderId="4" xfId="1" applyNumberFormat="1" applyFont="1" applyFill="1" applyBorder="1" applyAlignment="1">
      <alignment vertical="center" wrapText="1"/>
    </xf>
    <xf numFmtId="164" fontId="19" fillId="2" borderId="7" xfId="1" applyNumberFormat="1" applyFont="1" applyFill="1" applyBorder="1" applyAlignment="1">
      <alignment vertical="center" wrapText="1"/>
    </xf>
    <xf numFmtId="164" fontId="19" fillId="2" borderId="5" xfId="1" applyNumberFormat="1" applyFont="1" applyFill="1" applyBorder="1" applyAlignment="1">
      <alignment vertical="center" wrapText="1"/>
    </xf>
    <xf numFmtId="166" fontId="27" fillId="2" borderId="37" xfId="0" applyNumberFormat="1" applyFont="1" applyFill="1" applyBorder="1" applyAlignment="1">
      <alignment horizontal="left"/>
    </xf>
    <xf numFmtId="166" fontId="27" fillId="2" borderId="49" xfId="0" applyNumberFormat="1" applyFont="1" applyFill="1" applyBorder="1" applyAlignment="1">
      <alignment wrapText="1"/>
    </xf>
    <xf numFmtId="164" fontId="20" fillId="2" borderId="37" xfId="1" applyNumberFormat="1" applyFont="1" applyFill="1" applyBorder="1"/>
    <xf numFmtId="164" fontId="19" fillId="2" borderId="33" xfId="1" applyNumberFormat="1" applyFont="1" applyFill="1" applyBorder="1" applyAlignment="1">
      <alignment horizontal="center" vertical="center" wrapText="1"/>
    </xf>
    <xf numFmtId="164" fontId="20" fillId="2" borderId="15" xfId="1" applyNumberFormat="1" applyFont="1" applyFill="1" applyBorder="1" applyAlignment="1">
      <alignment wrapText="1"/>
    </xf>
    <xf numFmtId="164" fontId="20" fillId="2" borderId="34" xfId="0" applyNumberFormat="1" applyFont="1" applyFill="1" applyBorder="1"/>
    <xf numFmtId="164" fontId="20" fillId="2" borderId="38" xfId="0" applyNumberFormat="1" applyFont="1" applyFill="1" applyBorder="1"/>
    <xf numFmtId="164" fontId="20" fillId="2" borderId="12" xfId="0" applyNumberFormat="1" applyFont="1" applyFill="1" applyBorder="1"/>
    <xf numFmtId="164" fontId="20" fillId="2" borderId="0" xfId="1" applyNumberFormat="1" applyFont="1" applyFill="1" applyBorder="1"/>
    <xf numFmtId="41" fontId="20" fillId="2" borderId="12" xfId="2" applyFont="1" applyFill="1" applyBorder="1"/>
    <xf numFmtId="164" fontId="20" fillId="2" borderId="49" xfId="1" applyNumberFormat="1" applyFont="1" applyFill="1" applyBorder="1"/>
    <xf numFmtId="165" fontId="20" fillId="2" borderId="1" xfId="1" applyNumberFormat="1" applyFont="1" applyFill="1" applyBorder="1" applyAlignment="1">
      <alignment wrapText="1"/>
    </xf>
    <xf numFmtId="164" fontId="20" fillId="2" borderId="1" xfId="1" applyNumberFormat="1" applyFont="1" applyFill="1" applyBorder="1"/>
    <xf numFmtId="0" fontId="0" fillId="0" borderId="0" xfId="0"/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164" fontId="20" fillId="2" borderId="12" xfId="1" applyNumberFormat="1" applyFont="1" applyFill="1" applyBorder="1"/>
    <xf numFmtId="164" fontId="19" fillId="2" borderId="12" xfId="1" applyNumberFormat="1" applyFont="1" applyFill="1" applyBorder="1" applyAlignment="1">
      <alignment vertical="center" wrapText="1"/>
    </xf>
    <xf numFmtId="164" fontId="19" fillId="2" borderId="12" xfId="1" applyNumberFormat="1" applyFont="1" applyFill="1" applyBorder="1"/>
    <xf numFmtId="0" fontId="27" fillId="2" borderId="12" xfId="0" applyFont="1" applyFill="1" applyBorder="1" applyAlignment="1">
      <alignment wrapText="1"/>
    </xf>
    <xf numFmtId="164" fontId="20" fillId="2" borderId="12" xfId="1" applyNumberFormat="1" applyFont="1" applyFill="1" applyBorder="1" applyAlignment="1">
      <alignment wrapText="1"/>
    </xf>
    <xf numFmtId="164" fontId="19" fillId="2" borderId="34" xfId="1" applyNumberFormat="1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13" fillId="0" borderId="0" xfId="0" applyFont="1" applyAlignment="1"/>
    <xf numFmtId="0" fontId="1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27" fillId="2" borderId="27" xfId="0" applyFont="1" applyFill="1" applyBorder="1" applyAlignment="1">
      <alignment horizontal="center" vertical="center" wrapText="1"/>
    </xf>
    <xf numFmtId="0" fontId="11" fillId="0" borderId="69" xfId="0" applyFont="1" applyBorder="1"/>
    <xf numFmtId="164" fontId="11" fillId="0" borderId="77" xfId="1" applyNumberFormat="1" applyFont="1" applyBorder="1"/>
    <xf numFmtId="0" fontId="11" fillId="0" borderId="70" xfId="0" applyFont="1" applyBorder="1"/>
    <xf numFmtId="164" fontId="11" fillId="0" borderId="76" xfId="1" applyNumberFormat="1" applyFont="1" applyBorder="1"/>
    <xf numFmtId="164" fontId="13" fillId="0" borderId="78" xfId="1" applyNumberFormat="1" applyFont="1" applyBorder="1"/>
    <xf numFmtId="0" fontId="11" fillId="0" borderId="73" xfId="0" applyFont="1" applyFill="1" applyBorder="1" applyAlignment="1">
      <alignment horizontal="left" vertical="center" wrapText="1"/>
    </xf>
    <xf numFmtId="164" fontId="11" fillId="0" borderId="75" xfId="1" applyNumberFormat="1" applyFont="1" applyBorder="1" applyAlignment="1">
      <alignment horizontal="center" vertical="center" wrapText="1"/>
    </xf>
    <xf numFmtId="0" fontId="11" fillId="0" borderId="70" xfId="0" applyFont="1" applyFill="1" applyBorder="1" applyAlignment="1">
      <alignment horizontal="left" vertical="center" wrapText="1"/>
    </xf>
    <xf numFmtId="164" fontId="11" fillId="0" borderId="76" xfId="1" applyNumberFormat="1" applyFont="1" applyBorder="1" applyAlignment="1">
      <alignment horizontal="center" vertical="center" wrapText="1"/>
    </xf>
    <xf numFmtId="0" fontId="11" fillId="0" borderId="69" xfId="0" applyFont="1" applyFill="1" applyBorder="1"/>
    <xf numFmtId="0" fontId="11" fillId="0" borderId="70" xfId="0" applyFont="1" applyFill="1" applyBorder="1"/>
    <xf numFmtId="0" fontId="13" fillId="0" borderId="74" xfId="0" applyFont="1" applyFill="1" applyBorder="1" applyAlignment="1">
      <alignment horizontal="center" vertical="center" wrapText="1"/>
    </xf>
    <xf numFmtId="164" fontId="47" fillId="0" borderId="79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52" fillId="0" borderId="0" xfId="0" applyFont="1" applyAlignment="1"/>
    <xf numFmtId="0" fontId="37" fillId="0" borderId="0" xfId="0" applyFont="1"/>
    <xf numFmtId="0" fontId="53" fillId="2" borderId="12" xfId="0" applyFont="1" applyFill="1" applyBorder="1" applyAlignment="1">
      <alignment wrapText="1"/>
    </xf>
    <xf numFmtId="0" fontId="53" fillId="2" borderId="15" xfId="0" applyFont="1" applyFill="1" applyBorder="1" applyAlignment="1">
      <alignment wrapText="1"/>
    </xf>
    <xf numFmtId="0" fontId="0" fillId="0" borderId="70" xfId="0" applyBorder="1" applyAlignment="1">
      <alignment horizontal="center"/>
    </xf>
    <xf numFmtId="0" fontId="53" fillId="2" borderId="71" xfId="0" applyFont="1" applyFill="1" applyBorder="1" applyAlignment="1">
      <alignment wrapText="1"/>
    </xf>
    <xf numFmtId="164" fontId="54" fillId="2" borderId="71" xfId="0" applyNumberFormat="1" applyFont="1" applyFill="1" applyBorder="1" applyAlignment="1">
      <alignment horizontal="center"/>
    </xf>
    <xf numFmtId="0" fontId="54" fillId="2" borderId="71" xfId="0" applyFont="1" applyFill="1" applyBorder="1" applyAlignment="1">
      <alignment horizontal="center"/>
    </xf>
    <xf numFmtId="0" fontId="53" fillId="2" borderId="71" xfId="0" quotePrefix="1" applyFont="1" applyFill="1" applyBorder="1" applyAlignment="1">
      <alignment wrapText="1"/>
    </xf>
    <xf numFmtId="0" fontId="0" fillId="0" borderId="81" xfId="0" applyBorder="1" applyAlignment="1">
      <alignment horizontal="center"/>
    </xf>
    <xf numFmtId="0" fontId="53" fillId="2" borderId="82" xfId="0" applyFont="1" applyFill="1" applyBorder="1" applyAlignment="1">
      <alignment wrapText="1"/>
    </xf>
    <xf numFmtId="0" fontId="54" fillId="2" borderId="82" xfId="0" applyFont="1" applyFill="1" applyBorder="1" applyAlignment="1">
      <alignment horizontal="center"/>
    </xf>
    <xf numFmtId="0" fontId="46" fillId="0" borderId="1" xfId="0" applyFont="1" applyBorder="1"/>
    <xf numFmtId="0" fontId="46" fillId="0" borderId="1" xfId="0" applyFont="1" applyFill="1" applyBorder="1" applyAlignment="1"/>
    <xf numFmtId="0" fontId="0" fillId="0" borderId="73" xfId="0" applyBorder="1" applyAlignment="1">
      <alignment horizontal="center"/>
    </xf>
    <xf numFmtId="0" fontId="53" fillId="2" borderId="83" xfId="0" applyFont="1" applyFill="1" applyBorder="1" applyAlignment="1">
      <alignment wrapText="1"/>
    </xf>
    <xf numFmtId="164" fontId="54" fillId="2" borderId="83" xfId="0" applyNumberFormat="1" applyFont="1" applyFill="1" applyBorder="1" applyAlignment="1">
      <alignment horizontal="center"/>
    </xf>
    <xf numFmtId="0" fontId="53" fillId="2" borderId="21" xfId="0" applyFont="1" applyFill="1" applyBorder="1" applyAlignment="1">
      <alignment wrapText="1"/>
    </xf>
    <xf numFmtId="0" fontId="0" fillId="0" borderId="84" xfId="0" applyBorder="1"/>
    <xf numFmtId="0" fontId="46" fillId="0" borderId="1" xfId="0" applyFont="1" applyBorder="1" applyAlignment="1">
      <alignment horizontal="center" vertical="center" wrapText="1"/>
    </xf>
    <xf numFmtId="0" fontId="46" fillId="0" borderId="36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52" xfId="0" applyBorder="1"/>
    <xf numFmtId="0" fontId="31" fillId="0" borderId="0" xfId="0" applyFont="1" applyAlignment="1">
      <alignment horizontal="center" wrapText="1"/>
    </xf>
    <xf numFmtId="0" fontId="31" fillId="0" borderId="0" xfId="0" applyFont="1" applyAlignment="1">
      <alignment horizontal="center" vertical="center" wrapText="1"/>
    </xf>
    <xf numFmtId="164" fontId="25" fillId="0" borderId="0" xfId="1" applyNumberFormat="1" applyFont="1"/>
    <xf numFmtId="164" fontId="25" fillId="0" borderId="0" xfId="1" applyNumberFormat="1" applyFont="1" applyAlignment="1">
      <alignment wrapText="1"/>
    </xf>
    <xf numFmtId="0" fontId="33" fillId="0" borderId="0" xfId="0" applyFont="1"/>
    <xf numFmtId="164" fontId="33" fillId="0" borderId="0" xfId="0" applyNumberFormat="1" applyFont="1"/>
    <xf numFmtId="164" fontId="19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9" fontId="10" fillId="0" borderId="0" xfId="3" applyFont="1" applyAlignment="1">
      <alignment horizontal="center"/>
    </xf>
    <xf numFmtId="9" fontId="10" fillId="0" borderId="0" xfId="3" applyFont="1" applyAlignment="1">
      <alignment horizontal="center" vertical="center"/>
    </xf>
    <xf numFmtId="0" fontId="2" fillId="0" borderId="0" xfId="0" applyFont="1" applyAlignment="1">
      <alignment wrapText="1"/>
    </xf>
    <xf numFmtId="9" fontId="2" fillId="0" borderId="0" xfId="3" applyFont="1"/>
    <xf numFmtId="0" fontId="19" fillId="0" borderId="1" xfId="0" applyFont="1" applyBorder="1" applyAlignment="1">
      <alignment vertical="center" wrapText="1"/>
    </xf>
    <xf numFmtId="9" fontId="19" fillId="0" borderId="1" xfId="3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/>
    </xf>
    <xf numFmtId="14" fontId="20" fillId="0" borderId="1" xfId="0" quotePrefix="1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left" wrapText="1"/>
    </xf>
    <xf numFmtId="164" fontId="20" fillId="0" borderId="1" xfId="0" applyNumberFormat="1" applyFont="1" applyBorder="1" applyAlignment="1">
      <alignment horizontal="center"/>
    </xf>
    <xf numFmtId="41" fontId="20" fillId="0" borderId="1" xfId="2" applyFont="1" applyBorder="1" applyAlignment="1">
      <alignment horizontal="center"/>
    </xf>
    <xf numFmtId="9" fontId="20" fillId="0" borderId="1" xfId="3" applyNumberFormat="1" applyFont="1" applyBorder="1" applyAlignment="1">
      <alignment horizontal="center"/>
    </xf>
    <xf numFmtId="0" fontId="20" fillId="0" borderId="27" xfId="0" applyFont="1" applyBorder="1"/>
    <xf numFmtId="0" fontId="20" fillId="0" borderId="20" xfId="0" applyFont="1" applyBorder="1" applyAlignment="1">
      <alignment horizontal="center"/>
    </xf>
    <xf numFmtId="14" fontId="20" fillId="0" borderId="21" xfId="0" quotePrefix="1" applyNumberFormat="1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1" xfId="0" applyFont="1" applyBorder="1" applyAlignment="1">
      <alignment horizontal="left" wrapText="1"/>
    </xf>
    <xf numFmtId="164" fontId="20" fillId="0" borderId="21" xfId="0" applyNumberFormat="1" applyFont="1" applyBorder="1" applyAlignment="1">
      <alignment horizontal="center"/>
    </xf>
    <xf numFmtId="41" fontId="20" fillId="0" borderId="21" xfId="2" applyFont="1" applyBorder="1" applyAlignment="1">
      <alignment horizontal="center"/>
    </xf>
    <xf numFmtId="9" fontId="20" fillId="0" borderId="21" xfId="3" applyNumberFormat="1" applyFont="1" applyBorder="1" applyAlignment="1">
      <alignment horizontal="center"/>
    </xf>
    <xf numFmtId="0" fontId="20" fillId="0" borderId="22" xfId="0" applyFont="1" applyBorder="1"/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0" fillId="0" borderId="12" xfId="0" quotePrefix="1" applyFont="1" applyBorder="1" applyAlignment="1">
      <alignment horizontal="center"/>
    </xf>
    <xf numFmtId="41" fontId="20" fillId="0" borderId="12" xfId="2" applyFont="1" applyBorder="1" applyAlignment="1">
      <alignment horizontal="center"/>
    </xf>
    <xf numFmtId="9" fontId="20" fillId="0" borderId="12" xfId="3" applyNumberFormat="1" applyFont="1" applyBorder="1" applyAlignment="1">
      <alignment horizontal="center"/>
    </xf>
    <xf numFmtId="0" fontId="20" fillId="0" borderId="13" xfId="0" applyFont="1" applyBorder="1"/>
    <xf numFmtId="0" fontId="20" fillId="0" borderId="51" xfId="0" applyFont="1" applyBorder="1" applyAlignment="1">
      <alignment horizontal="center"/>
    </xf>
    <xf numFmtId="14" fontId="20" fillId="0" borderId="52" xfId="0" quotePrefix="1" applyNumberFormat="1" applyFont="1" applyBorder="1" applyAlignment="1">
      <alignment horizontal="center"/>
    </xf>
    <xf numFmtId="0" fontId="20" fillId="0" borderId="52" xfId="0" applyFont="1" applyBorder="1" applyAlignment="1">
      <alignment horizontal="center"/>
    </xf>
    <xf numFmtId="0" fontId="20" fillId="0" borderId="52" xfId="0" applyFont="1" applyBorder="1" applyAlignment="1">
      <alignment horizontal="left" wrapText="1"/>
    </xf>
    <xf numFmtId="0" fontId="20" fillId="0" borderId="52" xfId="0" quotePrefix="1" applyFont="1" applyBorder="1" applyAlignment="1">
      <alignment horizontal="center"/>
    </xf>
    <xf numFmtId="164" fontId="20" fillId="0" borderId="52" xfId="0" applyNumberFormat="1" applyFont="1" applyBorder="1" applyAlignment="1">
      <alignment horizontal="center"/>
    </xf>
    <xf numFmtId="41" fontId="20" fillId="0" borderId="52" xfId="2" applyFont="1" applyBorder="1" applyAlignment="1">
      <alignment horizontal="center"/>
    </xf>
    <xf numFmtId="9" fontId="20" fillId="0" borderId="52" xfId="3" applyNumberFormat="1" applyFont="1" applyBorder="1" applyAlignment="1">
      <alignment horizontal="center"/>
    </xf>
    <xf numFmtId="0" fontId="20" fillId="0" borderId="53" xfId="0" applyFont="1" applyBorder="1"/>
    <xf numFmtId="0" fontId="20" fillId="0" borderId="1" xfId="0" quotePrefix="1" applyFont="1" applyBorder="1" applyAlignment="1">
      <alignment horizontal="center"/>
    </xf>
    <xf numFmtId="0" fontId="20" fillId="0" borderId="21" xfId="0" quotePrefix="1" applyFont="1" applyBorder="1" applyAlignment="1">
      <alignment horizontal="center"/>
    </xf>
    <xf numFmtId="14" fontId="20" fillId="0" borderId="12" xfId="0" quotePrefix="1" applyNumberFormat="1" applyFont="1" applyBorder="1" applyAlignment="1">
      <alignment horizontal="center"/>
    </xf>
    <xf numFmtId="164" fontId="20" fillId="2" borderId="12" xfId="0" applyNumberFormat="1" applyFont="1" applyFill="1" applyBorder="1" applyAlignment="1">
      <alignment horizontal="center"/>
    </xf>
    <xf numFmtId="41" fontId="20" fillId="0" borderId="3" xfId="2" applyFont="1" applyBorder="1" applyAlignment="1">
      <alignment horizontal="center"/>
    </xf>
    <xf numFmtId="0" fontId="20" fillId="0" borderId="48" xfId="0" applyFont="1" applyBorder="1" applyAlignment="1">
      <alignment horizontal="center"/>
    </xf>
    <xf numFmtId="14" fontId="20" fillId="0" borderId="37" xfId="0" quotePrefix="1" applyNumberFormat="1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7" xfId="0" applyFont="1" applyBorder="1" applyAlignment="1">
      <alignment horizontal="left" wrapText="1"/>
    </xf>
    <xf numFmtId="0" fontId="20" fillId="0" borderId="37" xfId="0" quotePrefix="1" applyFont="1" applyBorder="1" applyAlignment="1">
      <alignment horizontal="center"/>
    </xf>
    <xf numFmtId="41" fontId="20" fillId="0" borderId="37" xfId="2" applyFont="1" applyBorder="1" applyAlignment="1">
      <alignment horizontal="center"/>
    </xf>
    <xf numFmtId="9" fontId="20" fillId="0" borderId="37" xfId="3" applyNumberFormat="1" applyFont="1" applyBorder="1" applyAlignment="1">
      <alignment horizontal="center"/>
    </xf>
    <xf numFmtId="0" fontId="20" fillId="0" borderId="60" xfId="0" applyFont="1" applyBorder="1"/>
    <xf numFmtId="0" fontId="20" fillId="0" borderId="1" xfId="0" applyFont="1" applyBorder="1"/>
    <xf numFmtId="0" fontId="20" fillId="0" borderId="55" xfId="0" applyFont="1" applyBorder="1" applyAlignment="1">
      <alignment horizontal="center"/>
    </xf>
    <xf numFmtId="14" fontId="20" fillId="0" borderId="3" xfId="0" quotePrefix="1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0" borderId="3" xfId="0" applyFont="1" applyBorder="1" applyAlignment="1">
      <alignment horizontal="left" wrapText="1"/>
    </xf>
    <xf numFmtId="0" fontId="20" fillId="0" borderId="3" xfId="0" quotePrefix="1" applyFont="1" applyBorder="1" applyAlignment="1">
      <alignment horizontal="center"/>
    </xf>
    <xf numFmtId="9" fontId="20" fillId="0" borderId="3" xfId="3" applyNumberFormat="1" applyFont="1" applyBorder="1" applyAlignment="1">
      <alignment horizontal="center"/>
    </xf>
    <xf numFmtId="0" fontId="20" fillId="0" borderId="29" xfId="0" applyFont="1" applyBorder="1"/>
    <xf numFmtId="0" fontId="20" fillId="0" borderId="35" xfId="0" applyFont="1" applyBorder="1" applyAlignment="1">
      <alignment horizontal="center"/>
    </xf>
    <xf numFmtId="14" fontId="20" fillId="0" borderId="36" xfId="0" quotePrefix="1" applyNumberFormat="1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left" wrapText="1"/>
    </xf>
    <xf numFmtId="0" fontId="20" fillId="0" borderId="36" xfId="0" quotePrefix="1" applyFont="1" applyBorder="1" applyAlignment="1">
      <alignment horizontal="center"/>
    </xf>
    <xf numFmtId="164" fontId="20" fillId="0" borderId="36" xfId="0" applyNumberFormat="1" applyFont="1" applyBorder="1" applyAlignment="1">
      <alignment horizontal="center"/>
    </xf>
    <xf numFmtId="41" fontId="20" fillId="0" borderId="36" xfId="2" applyFont="1" applyBorder="1" applyAlignment="1">
      <alignment horizontal="center"/>
    </xf>
    <xf numFmtId="9" fontId="20" fillId="0" borderId="36" xfId="3" applyNumberFormat="1" applyFont="1" applyBorder="1" applyAlignment="1">
      <alignment horizontal="center"/>
    </xf>
    <xf numFmtId="0" fontId="20" fillId="0" borderId="50" xfId="0" applyFont="1" applyBorder="1"/>
    <xf numFmtId="14" fontId="20" fillId="0" borderId="1" xfId="0" applyNumberFormat="1" applyFont="1" applyBorder="1" applyAlignment="1">
      <alignment horizontal="center"/>
    </xf>
    <xf numFmtId="166" fontId="20" fillId="0" borderId="36" xfId="0" quotePrefix="1" applyNumberFormat="1" applyFont="1" applyBorder="1" applyAlignment="1">
      <alignment horizontal="center"/>
    </xf>
    <xf numFmtId="166" fontId="20" fillId="0" borderId="21" xfId="0" quotePrefix="1" applyNumberFormat="1" applyFont="1" applyBorder="1" applyAlignment="1">
      <alignment horizontal="center"/>
    </xf>
    <xf numFmtId="166" fontId="20" fillId="0" borderId="52" xfId="0" quotePrefix="1" applyNumberFormat="1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166" fontId="20" fillId="0" borderId="15" xfId="0" quotePrefix="1" applyNumberFormat="1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 wrapText="1"/>
    </xf>
    <xf numFmtId="0" fontId="20" fillId="0" borderId="15" xfId="0" quotePrefix="1" applyFont="1" applyBorder="1" applyAlignment="1">
      <alignment horizontal="center"/>
    </xf>
    <xf numFmtId="164" fontId="20" fillId="0" borderId="15" xfId="0" applyNumberFormat="1" applyFont="1" applyBorder="1" applyAlignment="1">
      <alignment horizontal="center"/>
    </xf>
    <xf numFmtId="41" fontId="20" fillId="0" borderId="15" xfId="2" applyFont="1" applyBorder="1" applyAlignment="1">
      <alignment horizontal="center"/>
    </xf>
    <xf numFmtId="9" fontId="20" fillId="0" borderId="15" xfId="3" applyNumberFormat="1" applyFont="1" applyBorder="1" applyAlignment="1">
      <alignment horizontal="center"/>
    </xf>
    <xf numFmtId="0" fontId="20" fillId="0" borderId="16" xfId="0" applyFont="1" applyBorder="1"/>
    <xf numFmtId="0" fontId="20" fillId="0" borderId="61" xfId="0" applyFont="1" applyBorder="1" applyAlignment="1">
      <alignment horizontal="center"/>
    </xf>
    <xf numFmtId="166" fontId="20" fillId="0" borderId="61" xfId="0" applyNumberFormat="1" applyFont="1" applyBorder="1" applyAlignment="1">
      <alignment horizontal="center"/>
    </xf>
    <xf numFmtId="0" fontId="20" fillId="0" borderId="61" xfId="0" applyFont="1" applyBorder="1" applyAlignment="1">
      <alignment horizontal="left" wrapText="1"/>
    </xf>
    <xf numFmtId="0" fontId="20" fillId="0" borderId="61" xfId="0" quotePrefix="1" applyFont="1" applyBorder="1" applyAlignment="1">
      <alignment horizontal="center"/>
    </xf>
    <xf numFmtId="164" fontId="20" fillId="0" borderId="61" xfId="0" applyNumberFormat="1" applyFont="1" applyBorder="1" applyAlignment="1">
      <alignment horizontal="center"/>
    </xf>
    <xf numFmtId="41" fontId="20" fillId="0" borderId="61" xfId="2" applyFont="1" applyBorder="1" applyAlignment="1">
      <alignment horizontal="center"/>
    </xf>
    <xf numFmtId="9" fontId="20" fillId="0" borderId="61" xfId="3" applyNumberFormat="1" applyFont="1" applyBorder="1" applyAlignment="1">
      <alignment horizontal="center"/>
    </xf>
    <xf numFmtId="0" fontId="20" fillId="0" borderId="61" xfId="0" applyFont="1" applyBorder="1"/>
    <xf numFmtId="0" fontId="20" fillId="0" borderId="0" xfId="0" applyFont="1" applyBorder="1" applyAlignment="1">
      <alignment horizontal="center"/>
    </xf>
    <xf numFmtId="166" fontId="20" fillId="0" borderId="0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 wrapText="1"/>
    </xf>
    <xf numFmtId="0" fontId="20" fillId="0" borderId="0" xfId="0" quotePrefix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41" fontId="20" fillId="0" borderId="0" xfId="2" applyFont="1" applyBorder="1" applyAlignment="1">
      <alignment horizontal="center"/>
    </xf>
    <xf numFmtId="9" fontId="20" fillId="0" borderId="0" xfId="3" applyNumberFormat="1" applyFont="1" applyBorder="1" applyAlignment="1">
      <alignment horizontal="center"/>
    </xf>
    <xf numFmtId="0" fontId="20" fillId="0" borderId="0" xfId="0" applyFont="1" applyBorder="1"/>
    <xf numFmtId="0" fontId="20" fillId="0" borderId="6" xfId="0" applyFont="1" applyBorder="1" applyAlignment="1">
      <alignment horizontal="center"/>
    </xf>
    <xf numFmtId="166" fontId="20" fillId="0" borderId="6" xfId="0" quotePrefix="1" applyNumberFormat="1" applyFont="1" applyBorder="1" applyAlignment="1">
      <alignment horizontal="center"/>
    </xf>
    <xf numFmtId="0" fontId="20" fillId="0" borderId="6" xfId="0" applyFont="1" applyBorder="1" applyAlignment="1">
      <alignment horizontal="left" wrapText="1"/>
    </xf>
    <xf numFmtId="0" fontId="20" fillId="0" borderId="6" xfId="0" quotePrefix="1" applyFont="1" applyBorder="1" applyAlignment="1">
      <alignment horizontal="center"/>
    </xf>
    <xf numFmtId="164" fontId="20" fillId="0" borderId="6" xfId="0" applyNumberFormat="1" applyFont="1" applyBorder="1" applyAlignment="1">
      <alignment horizontal="center"/>
    </xf>
    <xf numFmtId="41" fontId="20" fillId="0" borderId="6" xfId="2" applyFont="1" applyBorder="1" applyAlignment="1">
      <alignment horizontal="center"/>
    </xf>
    <xf numFmtId="9" fontId="20" fillId="0" borderId="6" xfId="3" applyNumberFormat="1" applyFont="1" applyBorder="1" applyAlignment="1">
      <alignment horizontal="center"/>
    </xf>
    <xf numFmtId="0" fontId="20" fillId="0" borderId="6" xfId="0" applyFont="1" applyBorder="1"/>
    <xf numFmtId="166" fontId="20" fillId="0" borderId="3" xfId="0" applyNumberFormat="1" applyFont="1" applyBorder="1" applyAlignment="1">
      <alignment horizontal="center"/>
    </xf>
    <xf numFmtId="166" fontId="20" fillId="0" borderId="1" xfId="0" quotePrefix="1" applyNumberFormat="1" applyFont="1" applyBorder="1" applyAlignment="1">
      <alignment horizontal="center"/>
    </xf>
    <xf numFmtId="0" fontId="19" fillId="0" borderId="9" xfId="0" applyFont="1" applyBorder="1" applyAlignment="1">
      <alignment vertical="center"/>
    </xf>
    <xf numFmtId="0" fontId="19" fillId="0" borderId="0" xfId="0" applyFont="1" applyAlignment="1">
      <alignment vertical="center"/>
    </xf>
    <xf numFmtId="9" fontId="19" fillId="0" borderId="27" xfId="3" applyFont="1" applyBorder="1" applyAlignment="1">
      <alignment horizontal="center" vertical="center"/>
    </xf>
    <xf numFmtId="9" fontId="6" fillId="0" borderId="0" xfId="3" applyFont="1"/>
    <xf numFmtId="164" fontId="30" fillId="0" borderId="0" xfId="1" applyNumberFormat="1" applyFont="1" applyAlignment="1">
      <alignment horizontal="center" vertical="center" wrapText="1"/>
    </xf>
    <xf numFmtId="164" fontId="36" fillId="0" borderId="0" xfId="1" applyNumberFormat="1" applyFont="1" applyAlignment="1">
      <alignment horizontal="center" vertical="center" wrapText="1"/>
    </xf>
    <xf numFmtId="0" fontId="12" fillId="0" borderId="0" xfId="0" applyFont="1"/>
    <xf numFmtId="0" fontId="2" fillId="2" borderId="0" xfId="0" applyFont="1" applyFill="1"/>
    <xf numFmtId="164" fontId="61" fillId="2" borderId="3" xfId="1" applyNumberFormat="1" applyFont="1" applyFill="1" applyBorder="1" applyAlignment="1">
      <alignment horizontal="center" vertical="center" wrapText="1"/>
    </xf>
    <xf numFmtId="164" fontId="35" fillId="2" borderId="3" xfId="1" applyNumberFormat="1" applyFont="1" applyFill="1" applyBorder="1" applyAlignment="1">
      <alignment horizontal="center" vertical="center" wrapText="1"/>
    </xf>
    <xf numFmtId="16" fontId="62" fillId="2" borderId="11" xfId="0" quotePrefix="1" applyNumberFormat="1" applyFont="1" applyFill="1" applyBorder="1" applyAlignment="1">
      <alignment horizontal="center"/>
    </xf>
    <xf numFmtId="0" fontId="63" fillId="2" borderId="12" xfId="0" applyFont="1" applyFill="1" applyBorder="1" applyAlignment="1">
      <alignment wrapText="1"/>
    </xf>
    <xf numFmtId="164" fontId="64" fillId="2" borderId="12" xfId="1" applyNumberFormat="1" applyFont="1" applyFill="1" applyBorder="1" applyAlignment="1">
      <alignment wrapText="1"/>
    </xf>
    <xf numFmtId="164" fontId="65" fillId="2" borderId="12" xfId="1" applyNumberFormat="1" applyFont="1" applyFill="1" applyBorder="1" applyAlignment="1">
      <alignment wrapText="1"/>
    </xf>
    <xf numFmtId="164" fontId="18" fillId="2" borderId="12" xfId="1" applyNumberFormat="1" applyFont="1" applyFill="1" applyBorder="1" applyAlignment="1">
      <alignment wrapText="1"/>
    </xf>
    <xf numFmtId="164" fontId="18" fillId="2" borderId="12" xfId="1" applyNumberFormat="1" applyFont="1" applyFill="1" applyBorder="1"/>
    <xf numFmtId="165" fontId="62" fillId="2" borderId="13" xfId="1" applyNumberFormat="1" applyFont="1" applyFill="1" applyBorder="1" applyAlignment="1">
      <alignment wrapText="1"/>
    </xf>
    <xf numFmtId="0" fontId="62" fillId="2" borderId="0" xfId="0" applyFont="1" applyFill="1"/>
    <xf numFmtId="0" fontId="62" fillId="2" borderId="12" xfId="0" applyFont="1" applyFill="1" applyBorder="1" applyAlignment="1">
      <alignment wrapText="1"/>
    </xf>
    <xf numFmtId="164" fontId="65" fillId="2" borderId="12" xfId="1" applyNumberFormat="1" applyFont="1" applyFill="1" applyBorder="1"/>
    <xf numFmtId="164" fontId="34" fillId="2" borderId="88" xfId="1" applyNumberFormat="1" applyFont="1" applyFill="1" applyBorder="1"/>
    <xf numFmtId="0" fontId="63" fillId="2" borderId="89" xfId="0" applyFont="1" applyFill="1" applyBorder="1"/>
    <xf numFmtId="0" fontId="63" fillId="2" borderId="0" xfId="0" applyFont="1" applyFill="1"/>
    <xf numFmtId="0" fontId="3" fillId="0" borderId="0" xfId="0" applyFont="1" applyAlignment="1"/>
    <xf numFmtId="0" fontId="28" fillId="0" borderId="0" xfId="0" applyFont="1" applyAlignment="1"/>
    <xf numFmtId="164" fontId="2" fillId="0" borderId="0" xfId="1" applyNumberFormat="1" applyFont="1"/>
    <xf numFmtId="0" fontId="13" fillId="0" borderId="0" xfId="0" applyFont="1" applyAlignment="1">
      <alignment horizontal="center" wrapText="1"/>
    </xf>
    <xf numFmtId="164" fontId="6" fillId="0" borderId="0" xfId="1" applyNumberFormat="1" applyFont="1"/>
    <xf numFmtId="164" fontId="2" fillId="0" borderId="0" xfId="1" applyNumberFormat="1" applyFont="1" applyAlignment="1">
      <alignment wrapText="1"/>
    </xf>
    <xf numFmtId="9" fontId="2" fillId="0" borderId="0" xfId="3" applyNumberFormat="1" applyFont="1"/>
    <xf numFmtId="0" fontId="10" fillId="0" borderId="0" xfId="0" applyFont="1" applyAlignment="1"/>
    <xf numFmtId="0" fontId="2" fillId="0" borderId="0" xfId="0" applyFont="1" applyAlignment="1">
      <alignment horizontal="center"/>
    </xf>
    <xf numFmtId="0" fontId="62" fillId="0" borderId="0" xfId="0" applyFont="1"/>
    <xf numFmtId="0" fontId="61" fillId="0" borderId="0" xfId="0" applyFont="1"/>
    <xf numFmtId="0" fontId="19" fillId="0" borderId="0" xfId="0" applyFont="1" applyBorder="1" applyAlignment="1">
      <alignment horizontal="center"/>
    </xf>
    <xf numFmtId="9" fontId="19" fillId="0" borderId="0" xfId="3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 wrapText="1"/>
    </xf>
    <xf numFmtId="0" fontId="67" fillId="0" borderId="0" xfId="5" applyFont="1" applyFill="1" applyAlignment="1">
      <alignment vertical="center"/>
    </xf>
    <xf numFmtId="0" fontId="68" fillId="0" borderId="0" xfId="5" applyFont="1" applyFill="1" applyAlignment="1">
      <alignment vertical="center"/>
    </xf>
    <xf numFmtId="0" fontId="69" fillId="0" borderId="0" xfId="0" applyFont="1"/>
    <xf numFmtId="164" fontId="69" fillId="0" borderId="0" xfId="0" applyNumberFormat="1" applyFont="1" applyBorder="1" applyAlignment="1">
      <alignment horizontal="center"/>
    </xf>
    <xf numFmtId="164" fontId="69" fillId="0" borderId="0" xfId="0" applyNumberFormat="1" applyFont="1" applyBorder="1" applyAlignment="1">
      <alignment horizontal="center" wrapText="1"/>
    </xf>
    <xf numFmtId="0" fontId="67" fillId="0" borderId="0" xfId="5" applyFont="1" applyFill="1" applyAlignment="1">
      <alignment horizontal="left" vertical="center"/>
    </xf>
    <xf numFmtId="0" fontId="67" fillId="0" borderId="0" xfId="5" applyFont="1" applyFill="1" applyAlignment="1">
      <alignment horizontal="center" vertical="center"/>
    </xf>
    <xf numFmtId="0" fontId="70" fillId="0" borderId="0" xfId="5" applyFont="1" applyFill="1" applyAlignment="1">
      <alignment horizontal="left" vertical="center"/>
    </xf>
    <xf numFmtId="0" fontId="71" fillId="0" borderId="0" xfId="0" applyFont="1"/>
    <xf numFmtId="0" fontId="70" fillId="0" borderId="0" xfId="5" applyFont="1" applyFill="1" applyAlignment="1">
      <alignment horizontal="center" vertical="center"/>
    </xf>
    <xf numFmtId="0" fontId="56" fillId="0" borderId="0" xfId="0" applyFont="1"/>
    <xf numFmtId="0" fontId="58" fillId="0" borderId="0" xfId="0" applyFont="1" applyBorder="1" applyAlignment="1"/>
    <xf numFmtId="0" fontId="16" fillId="0" borderId="0" xfId="0" applyFont="1"/>
    <xf numFmtId="0" fontId="58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0" fontId="58" fillId="0" borderId="26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4" xfId="0" applyFont="1" applyBorder="1" applyAlignment="1">
      <alignment horizontal="center" vertical="center"/>
    </xf>
    <xf numFmtId="41" fontId="58" fillId="0" borderId="27" xfId="2" applyFont="1" applyBorder="1" applyAlignment="1">
      <alignment horizontal="center" vertical="center"/>
    </xf>
    <xf numFmtId="0" fontId="16" fillId="0" borderId="0" xfId="0" applyFont="1" applyBorder="1"/>
    <xf numFmtId="41" fontId="58" fillId="0" borderId="0" xfId="2" applyFont="1" applyBorder="1" applyAlignment="1">
      <alignment horizontal="center" vertical="center"/>
    </xf>
    <xf numFmtId="0" fontId="29" fillId="0" borderId="0" xfId="0" applyFont="1" applyBorder="1"/>
    <xf numFmtId="0" fontId="29" fillId="0" borderId="0" xfId="0" applyFont="1" applyBorder="1" applyAlignment="1"/>
    <xf numFmtId="9" fontId="29" fillId="0" borderId="0" xfId="3" applyNumberFormat="1" applyFont="1" applyBorder="1" applyAlignment="1"/>
    <xf numFmtId="0" fontId="56" fillId="0" borderId="0" xfId="0" applyFont="1" applyBorder="1"/>
    <xf numFmtId="0" fontId="27" fillId="0" borderId="11" xfId="0" quotePrefix="1" applyFont="1" applyBorder="1"/>
    <xf numFmtId="0" fontId="27" fillId="0" borderId="12" xfId="0" applyFont="1" applyBorder="1"/>
    <xf numFmtId="164" fontId="27" fillId="0" borderId="34" xfId="1" applyNumberFormat="1" applyFont="1" applyBorder="1"/>
    <xf numFmtId="41" fontId="27" fillId="0" borderId="13" xfId="2" applyFont="1" applyBorder="1"/>
    <xf numFmtId="164" fontId="29" fillId="0" borderId="0" xfId="1" applyNumberFormat="1" applyFont="1" applyBorder="1"/>
    <xf numFmtId="0" fontId="29" fillId="0" borderId="0" xfId="0" quotePrefix="1" applyFont="1" applyBorder="1"/>
    <xf numFmtId="41" fontId="29" fillId="0" borderId="0" xfId="2" applyFont="1" applyBorder="1"/>
    <xf numFmtId="164" fontId="29" fillId="0" borderId="0" xfId="0" applyNumberFormat="1" applyFont="1" applyBorder="1" applyAlignment="1">
      <alignment horizontal="center"/>
    </xf>
    <xf numFmtId="0" fontId="20" fillId="0" borderId="11" xfId="0" quotePrefix="1" applyFont="1" applyBorder="1"/>
    <xf numFmtId="164" fontId="16" fillId="0" borderId="0" xfId="1" applyNumberFormat="1" applyFont="1" applyBorder="1"/>
    <xf numFmtId="16" fontId="27" fillId="0" borderId="14" xfId="0" quotePrefix="1" applyNumberFormat="1" applyFont="1" applyBorder="1"/>
    <xf numFmtId="0" fontId="27" fillId="0" borderId="15" xfId="0" applyFont="1" applyBorder="1"/>
    <xf numFmtId="164" fontId="27" fillId="0" borderId="38" xfId="1" applyNumberFormat="1" applyFont="1" applyBorder="1"/>
    <xf numFmtId="41" fontId="27" fillId="0" borderId="16" xfId="2" applyFont="1" applyBorder="1"/>
    <xf numFmtId="0" fontId="16" fillId="0" borderId="0" xfId="0" quotePrefix="1" applyFont="1" applyBorder="1"/>
    <xf numFmtId="164" fontId="19" fillId="0" borderId="1" xfId="0" applyNumberFormat="1" applyFont="1" applyBorder="1" applyAlignment="1"/>
    <xf numFmtId="164" fontId="16" fillId="0" borderId="0" xfId="0" applyNumberFormat="1" applyFont="1" applyBorder="1" applyAlignment="1"/>
    <xf numFmtId="16" fontId="29" fillId="0" borderId="0" xfId="0" quotePrefix="1" applyNumberFormat="1" applyFont="1" applyBorder="1"/>
    <xf numFmtId="0" fontId="27" fillId="0" borderId="20" xfId="0" quotePrefix="1" applyFont="1" applyBorder="1"/>
    <xf numFmtId="0" fontId="27" fillId="0" borderId="21" xfId="0" applyFont="1" applyBorder="1"/>
    <xf numFmtId="164" fontId="27" fillId="0" borderId="33" xfId="1" applyNumberFormat="1" applyFont="1" applyBorder="1"/>
    <xf numFmtId="41" fontId="27" fillId="0" borderId="22" xfId="2" applyFont="1" applyBorder="1"/>
    <xf numFmtId="41" fontId="29" fillId="0" borderId="0" xfId="0" applyNumberFormat="1" applyFont="1" applyBorder="1" applyAlignment="1">
      <alignment horizontal="center"/>
    </xf>
    <xf numFmtId="166" fontId="27" fillId="0" borderId="20" xfId="0" quotePrefix="1" applyNumberFormat="1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29" fillId="2" borderId="0" xfId="0" applyFont="1" applyFill="1" applyBorder="1"/>
    <xf numFmtId="41" fontId="58" fillId="0" borderId="0" xfId="2" applyFont="1" applyBorder="1" applyAlignment="1">
      <alignment horizontal="center" vertical="center" wrapText="1"/>
    </xf>
    <xf numFmtId="164" fontId="29" fillId="0" borderId="0" xfId="0" applyNumberFormat="1" applyFont="1" applyBorder="1"/>
    <xf numFmtId="0" fontId="32" fillId="0" borderId="0" xfId="0" applyFont="1" applyBorder="1" applyAlignment="1">
      <alignment wrapText="1"/>
    </xf>
    <xf numFmtId="0" fontId="16" fillId="0" borderId="0" xfId="0" quotePrefix="1" applyFont="1" applyBorder="1" applyAlignment="1">
      <alignment horizontal="center"/>
    </xf>
    <xf numFmtId="41" fontId="2" fillId="0" borderId="0" xfId="2" applyFont="1"/>
    <xf numFmtId="0" fontId="19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164" fontId="19" fillId="4" borderId="32" xfId="1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164" fontId="20" fillId="0" borderId="0" xfId="1" applyNumberFormat="1" applyFont="1" applyBorder="1"/>
    <xf numFmtId="0" fontId="27" fillId="2" borderId="0" xfId="0" applyFont="1" applyFill="1" applyBorder="1" applyAlignment="1">
      <alignment wrapText="1"/>
    </xf>
    <xf numFmtId="164" fontId="20" fillId="0" borderId="0" xfId="1" applyNumberFormat="1" applyFont="1" applyBorder="1" applyAlignment="1">
      <alignment wrapText="1"/>
    </xf>
    <xf numFmtId="165" fontId="20" fillId="2" borderId="0" xfId="1" applyNumberFormat="1" applyFont="1" applyFill="1" applyBorder="1" applyAlignment="1">
      <alignment wrapText="1"/>
    </xf>
    <xf numFmtId="166" fontId="27" fillId="2" borderId="0" xfId="0" quotePrefix="1" applyNumberFormat="1" applyFont="1" applyFill="1" applyBorder="1" applyAlignment="1">
      <alignment horizontal="left"/>
    </xf>
    <xf numFmtId="166" fontId="27" fillId="2" borderId="0" xfId="0" applyNumberFormat="1" applyFont="1" applyFill="1" applyBorder="1" applyAlignment="1">
      <alignment horizontal="left"/>
    </xf>
    <xf numFmtId="0" fontId="48" fillId="2" borderId="0" xfId="0" applyFont="1" applyFill="1" applyBorder="1" applyAlignment="1">
      <alignment wrapText="1"/>
    </xf>
    <xf numFmtId="164" fontId="19" fillId="0" borderId="0" xfId="1" applyNumberFormat="1" applyFont="1" applyBorder="1" applyAlignment="1">
      <alignment wrapText="1"/>
    </xf>
    <xf numFmtId="164" fontId="20" fillId="0" borderId="0" xfId="1" applyNumberFormat="1" applyFont="1" applyBorder="1" applyAlignment="1"/>
    <xf numFmtId="164" fontId="2" fillId="0" borderId="0" xfId="1" applyNumberFormat="1" applyFont="1" applyBorder="1"/>
    <xf numFmtId="0" fontId="20" fillId="2" borderId="68" xfId="0" applyFont="1" applyFill="1" applyBorder="1"/>
    <xf numFmtId="164" fontId="2" fillId="0" borderId="0" xfId="1" applyNumberFormat="1" applyFont="1" applyBorder="1" applyAlignment="1">
      <alignment wrapText="1"/>
    </xf>
    <xf numFmtId="0" fontId="0" fillId="0" borderId="0" xfId="0" applyFont="1"/>
    <xf numFmtId="0" fontId="0" fillId="2" borderId="0" xfId="0" applyFont="1" applyFill="1"/>
    <xf numFmtId="0" fontId="21" fillId="2" borderId="12" xfId="0" applyFont="1" applyFill="1" applyBorder="1" applyAlignment="1">
      <alignment wrapText="1"/>
    </xf>
    <xf numFmtId="164" fontId="21" fillId="2" borderId="12" xfId="1" applyNumberFormat="1" applyFont="1" applyFill="1" applyBorder="1"/>
    <xf numFmtId="164" fontId="43" fillId="0" borderId="12" xfId="1" applyNumberFormat="1" applyFont="1" applyBorder="1"/>
    <xf numFmtId="0" fontId="43" fillId="0" borderId="11" xfId="0" applyFont="1" applyBorder="1" applyAlignment="1">
      <alignment horizontal="center"/>
    </xf>
    <xf numFmtId="0" fontId="43" fillId="0" borderId="12" xfId="0" applyFont="1" applyBorder="1"/>
    <xf numFmtId="0" fontId="43" fillId="0" borderId="13" xfId="0" applyFont="1" applyBorder="1"/>
    <xf numFmtId="166" fontId="43" fillId="0" borderId="11" xfId="0" applyNumberFormat="1" applyFont="1" applyBorder="1" applyAlignment="1">
      <alignment horizontal="center"/>
    </xf>
    <xf numFmtId="43" fontId="43" fillId="0" borderId="12" xfId="1" applyFont="1" applyBorder="1"/>
    <xf numFmtId="166" fontId="43" fillId="2" borderId="11" xfId="0" applyNumberFormat="1" applyFont="1" applyFill="1" applyBorder="1" applyAlignment="1">
      <alignment horizontal="center"/>
    </xf>
    <xf numFmtId="0" fontId="43" fillId="2" borderId="12" xfId="0" applyFont="1" applyFill="1" applyBorder="1"/>
    <xf numFmtId="164" fontId="43" fillId="2" borderId="12" xfId="1" applyNumberFormat="1" applyFont="1" applyFill="1" applyBorder="1"/>
    <xf numFmtId="43" fontId="43" fillId="2" borderId="12" xfId="1" applyFont="1" applyFill="1" applyBorder="1"/>
    <xf numFmtId="0" fontId="43" fillId="2" borderId="13" xfId="0" applyFont="1" applyFill="1" applyBorder="1"/>
    <xf numFmtId="166" fontId="43" fillId="0" borderId="11" xfId="1" applyNumberFormat="1" applyFont="1" applyBorder="1" applyAlignment="1">
      <alignment horizontal="center"/>
    </xf>
    <xf numFmtId="164" fontId="43" fillId="0" borderId="12" xfId="1" applyNumberFormat="1" applyFont="1" applyFill="1" applyBorder="1"/>
    <xf numFmtId="164" fontId="43" fillId="0" borderId="13" xfId="1" applyNumberFormat="1" applyFont="1" applyBorder="1"/>
    <xf numFmtId="164" fontId="43" fillId="0" borderId="11" xfId="1" applyNumberFormat="1" applyFont="1" applyFill="1" applyBorder="1" applyAlignment="1">
      <alignment horizontal="center"/>
    </xf>
    <xf numFmtId="166" fontId="43" fillId="0" borderId="11" xfId="1" applyNumberFormat="1" applyFont="1" applyFill="1" applyBorder="1" applyAlignment="1">
      <alignment horizontal="center"/>
    </xf>
    <xf numFmtId="166" fontId="43" fillId="0" borderId="14" xfId="1" applyNumberFormat="1" applyFont="1" applyBorder="1" applyAlignment="1">
      <alignment horizontal="center"/>
    </xf>
    <xf numFmtId="164" fontId="43" fillId="0" borderId="15" xfId="1" applyNumberFormat="1" applyFont="1" applyBorder="1"/>
    <xf numFmtId="164" fontId="43" fillId="0" borderId="16" xfId="1" applyNumberFormat="1" applyFont="1" applyBorder="1"/>
    <xf numFmtId="164" fontId="69" fillId="0" borderId="1" xfId="1" applyNumberFormat="1" applyFont="1" applyBorder="1"/>
    <xf numFmtId="164" fontId="71" fillId="0" borderId="1" xfId="1" applyNumberFormat="1" applyFont="1" applyBorder="1"/>
    <xf numFmtId="0" fontId="71" fillId="0" borderId="1" xfId="0" applyFont="1" applyBorder="1"/>
    <xf numFmtId="164" fontId="71" fillId="0" borderId="1" xfId="0" applyNumberFormat="1" applyFont="1" applyBorder="1"/>
    <xf numFmtId="164" fontId="69" fillId="0" borderId="1" xfId="0" applyNumberFormat="1" applyFont="1" applyBorder="1"/>
    <xf numFmtId="0" fontId="73" fillId="0" borderId="72" xfId="0" applyFont="1" applyFill="1" applyBorder="1" applyAlignment="1">
      <alignment horizontal="center"/>
    </xf>
    <xf numFmtId="0" fontId="73" fillId="0" borderId="72" xfId="0" applyFont="1" applyBorder="1" applyAlignment="1">
      <alignment horizontal="center"/>
    </xf>
    <xf numFmtId="0" fontId="11" fillId="0" borderId="38" xfId="0" applyFont="1" applyBorder="1"/>
    <xf numFmtId="0" fontId="11" fillId="0" borderId="97" xfId="0" applyFont="1" applyBorder="1"/>
    <xf numFmtId="164" fontId="11" fillId="0" borderId="98" xfId="0" applyNumberFormat="1" applyFont="1" applyBorder="1"/>
    <xf numFmtId="0" fontId="11" fillId="0" borderId="49" xfId="0" applyFont="1" applyBorder="1"/>
    <xf numFmtId="0" fontId="11" fillId="0" borderId="56" xfId="0" applyFont="1" applyBorder="1"/>
    <xf numFmtId="0" fontId="11" fillId="0" borderId="63" xfId="0" applyFont="1" applyBorder="1"/>
    <xf numFmtId="0" fontId="11" fillId="0" borderId="6" xfId="0" applyFont="1" applyBorder="1"/>
    <xf numFmtId="0" fontId="11" fillId="0" borderId="65" xfId="0" applyFont="1" applyBorder="1"/>
    <xf numFmtId="0" fontId="20" fillId="0" borderId="5" xfId="0" applyFont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164" fontId="43" fillId="0" borderId="1" xfId="1" applyNumberFormat="1" applyFont="1" applyBorder="1" applyAlignment="1">
      <alignment horizontal="center" vertical="center" wrapText="1"/>
    </xf>
    <xf numFmtId="9" fontId="20" fillId="0" borderId="1" xfId="3" applyFont="1" applyBorder="1" applyAlignment="1">
      <alignment horizontal="center" vertical="center" wrapText="1"/>
    </xf>
    <xf numFmtId="164" fontId="43" fillId="0" borderId="3" xfId="1" applyNumberFormat="1" applyFont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166" fontId="43" fillId="2" borderId="1" xfId="0" applyNumberFormat="1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43" fillId="0" borderId="5" xfId="0" applyFont="1" applyBorder="1" applyAlignment="1">
      <alignment horizontal="center" vertical="center" wrapText="1"/>
    </xf>
    <xf numFmtId="9" fontId="43" fillId="0" borderId="1" xfId="3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164" fontId="43" fillId="0" borderId="1" xfId="1" applyNumberFormat="1" applyFont="1" applyBorder="1" applyAlignment="1">
      <alignment vertical="center" wrapText="1"/>
    </xf>
    <xf numFmtId="164" fontId="43" fillId="0" borderId="1" xfId="0" applyNumberFormat="1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16" fontId="43" fillId="2" borderId="1" xfId="0" applyNumberFormat="1" applyFont="1" applyFill="1" applyBorder="1" applyAlignment="1">
      <alignment horizontal="center" vertical="center" wrapText="1"/>
    </xf>
    <xf numFmtId="1" fontId="43" fillId="0" borderId="1" xfId="0" applyNumberFormat="1" applyFont="1" applyBorder="1" applyAlignment="1">
      <alignment horizontal="center"/>
    </xf>
    <xf numFmtId="164" fontId="43" fillId="0" borderId="1" xfId="1" applyNumberFormat="1" applyFont="1" applyBorder="1" applyAlignment="1"/>
    <xf numFmtId="0" fontId="0" fillId="0" borderId="1" xfId="0" applyFont="1" applyBorder="1"/>
    <xf numFmtId="164" fontId="43" fillId="0" borderId="1" xfId="1" applyNumberFormat="1" applyFont="1" applyFill="1" applyBorder="1"/>
    <xf numFmtId="164" fontId="0" fillId="0" borderId="1" xfId="0" applyNumberFormat="1" applyFont="1" applyBorder="1"/>
    <xf numFmtId="164" fontId="0" fillId="0" borderId="1" xfId="1" applyNumberFormat="1" applyFont="1" applyBorder="1" applyAlignment="1"/>
    <xf numFmtId="0" fontId="0" fillId="0" borderId="1" xfId="0" applyBorder="1"/>
    <xf numFmtId="164" fontId="0" fillId="0" borderId="1" xfId="1" applyNumberFormat="1" applyFont="1" applyBorder="1"/>
    <xf numFmtId="164" fontId="0" fillId="0" borderId="0" xfId="1" applyNumberFormat="1" applyFont="1" applyAlignment="1"/>
    <xf numFmtId="0" fontId="46" fillId="0" borderId="0" xfId="0" applyFont="1" applyAlignment="1">
      <alignment horizontal="center"/>
    </xf>
    <xf numFmtId="0" fontId="27" fillId="2" borderId="13" xfId="0" applyFont="1" applyFill="1" applyBorder="1" applyAlignment="1">
      <alignment vertical="top" wrapText="1"/>
    </xf>
    <xf numFmtId="0" fontId="27" fillId="2" borderId="53" xfId="0" applyFont="1" applyFill="1" applyBorder="1" applyAlignment="1">
      <alignment horizontal="center" vertical="center" wrapText="1"/>
    </xf>
    <xf numFmtId="0" fontId="74" fillId="0" borderId="5" xfId="0" applyFont="1" applyBorder="1" applyAlignment="1">
      <alignment wrapText="1"/>
    </xf>
    <xf numFmtId="166" fontId="74" fillId="0" borderId="1" xfId="0" applyNumberFormat="1" applyFont="1" applyBorder="1" applyAlignment="1">
      <alignment horizontal="center"/>
    </xf>
    <xf numFmtId="0" fontId="74" fillId="0" borderId="1" xfId="0" applyFont="1" applyBorder="1"/>
    <xf numFmtId="0" fontId="72" fillId="0" borderId="1" xfId="0" applyFont="1" applyBorder="1" applyAlignment="1">
      <alignment vertical="center" wrapText="1"/>
    </xf>
    <xf numFmtId="0" fontId="74" fillId="0" borderId="1" xfId="0" applyFont="1" applyBorder="1" applyAlignment="1"/>
    <xf numFmtId="0" fontId="72" fillId="0" borderId="1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/>
    </xf>
    <xf numFmtId="165" fontId="74" fillId="0" borderId="1" xfId="1" applyNumberFormat="1" applyFont="1" applyBorder="1" applyAlignment="1">
      <alignment horizontal="center"/>
    </xf>
    <xf numFmtId="165" fontId="74" fillId="0" borderId="1" xfId="1" applyNumberFormat="1" applyFont="1" applyBorder="1" applyAlignment="1">
      <alignment horizontal="right"/>
    </xf>
    <xf numFmtId="9" fontId="74" fillId="0" borderId="1" xfId="0" applyNumberFormat="1" applyFont="1" applyBorder="1" applyAlignment="1">
      <alignment horizontal="center"/>
    </xf>
    <xf numFmtId="164" fontId="72" fillId="0" borderId="1" xfId="1" applyNumberFormat="1" applyFont="1" applyBorder="1" applyAlignment="1">
      <alignment horizontal="center" vertical="center" wrapText="1"/>
    </xf>
    <xf numFmtId="0" fontId="72" fillId="0" borderId="4" xfId="0" applyFont="1" applyBorder="1" applyAlignment="1">
      <alignment horizontal="center" vertical="center" wrapText="1"/>
    </xf>
    <xf numFmtId="0" fontId="47" fillId="0" borderId="0" xfId="0" applyFont="1"/>
    <xf numFmtId="0" fontId="74" fillId="0" borderId="1" xfId="0" applyFont="1" applyBorder="1" applyAlignment="1">
      <alignment horizontal="left" wrapText="1"/>
    </xf>
    <xf numFmtId="164" fontId="74" fillId="0" borderId="1" xfId="1" applyNumberFormat="1" applyFont="1" applyBorder="1"/>
    <xf numFmtId="165" fontId="74" fillId="0" borderId="1" xfId="0" applyNumberFormat="1" applyFont="1" applyBorder="1"/>
    <xf numFmtId="0" fontId="74" fillId="2" borderId="1" xfId="0" applyFont="1" applyFill="1" applyBorder="1" applyAlignment="1">
      <alignment horizontal="left" wrapText="1"/>
    </xf>
    <xf numFmtId="0" fontId="74" fillId="0" borderId="1" xfId="0" applyFont="1" applyBorder="1" applyAlignment="1">
      <alignment wrapText="1"/>
    </xf>
    <xf numFmtId="9" fontId="74" fillId="0" borderId="1" xfId="0" applyNumberFormat="1" applyFont="1" applyFill="1" applyBorder="1" applyAlignment="1">
      <alignment horizontal="center"/>
    </xf>
    <xf numFmtId="0" fontId="74" fillId="0" borderId="1" xfId="0" applyFont="1" applyFill="1" applyBorder="1" applyAlignment="1">
      <alignment horizontal="center"/>
    </xf>
    <xf numFmtId="165" fontId="74" fillId="0" borderId="1" xfId="1" applyNumberFormat="1" applyFont="1" applyFill="1" applyBorder="1" applyAlignment="1">
      <alignment horizontal="center"/>
    </xf>
    <xf numFmtId="165" fontId="74" fillId="0" borderId="1" xfId="1" applyNumberFormat="1" applyFont="1" applyFill="1" applyBorder="1" applyAlignment="1">
      <alignment horizontal="right"/>
    </xf>
    <xf numFmtId="0" fontId="47" fillId="0" borderId="1" xfId="0" applyFont="1" applyBorder="1"/>
    <xf numFmtId="0" fontId="74" fillId="0" borderId="3" xfId="0" applyFont="1" applyBorder="1"/>
    <xf numFmtId="164" fontId="47" fillId="0" borderId="1" xfId="1" applyNumberFormat="1" applyFont="1" applyBorder="1"/>
    <xf numFmtId="166" fontId="74" fillId="0" borderId="1" xfId="0" applyNumberFormat="1" applyFont="1" applyBorder="1"/>
    <xf numFmtId="166" fontId="74" fillId="0" borderId="4" xfId="0" applyNumberFormat="1" applyFont="1" applyBorder="1"/>
    <xf numFmtId="0" fontId="74" fillId="0" borderId="5" xfId="0" applyFont="1" applyBorder="1"/>
    <xf numFmtId="0" fontId="11" fillId="0" borderId="99" xfId="0" applyFont="1" applyBorder="1" applyAlignment="1">
      <alignment horizontal="center" wrapText="1"/>
    </xf>
    <xf numFmtId="0" fontId="11" fillId="0" borderId="56" xfId="0" applyFont="1" applyBorder="1" applyAlignment="1">
      <alignment wrapText="1"/>
    </xf>
    <xf numFmtId="41" fontId="13" fillId="0" borderId="0" xfId="0" applyNumberFormat="1" applyFont="1"/>
    <xf numFmtId="0" fontId="75" fillId="0" borderId="0" xfId="0" applyFont="1" applyAlignment="1">
      <alignment vertical="center"/>
    </xf>
    <xf numFmtId="0" fontId="76" fillId="0" borderId="0" xfId="0" applyFont="1" applyAlignment="1">
      <alignment vertical="center"/>
    </xf>
    <xf numFmtId="0" fontId="77" fillId="0" borderId="0" xfId="0" applyFont="1"/>
    <xf numFmtId="0" fontId="79" fillId="0" borderId="0" xfId="0" applyFont="1"/>
    <xf numFmtId="0" fontId="79" fillId="0" borderId="0" xfId="0" applyFont="1" applyBorder="1" applyAlignment="1">
      <alignment horizontal="center"/>
    </xf>
    <xf numFmtId="0" fontId="75" fillId="0" borderId="23" xfId="0" applyFont="1" applyBorder="1" applyAlignment="1">
      <alignment horizontal="center" vertical="center"/>
    </xf>
    <xf numFmtId="0" fontId="75" fillId="0" borderId="24" xfId="0" applyFont="1" applyBorder="1" applyAlignment="1">
      <alignment horizontal="center" vertical="center"/>
    </xf>
    <xf numFmtId="0" fontId="75" fillId="0" borderId="24" xfId="0" applyFont="1" applyBorder="1" applyAlignment="1">
      <alignment horizontal="center" vertical="center" wrapText="1"/>
    </xf>
    <xf numFmtId="0" fontId="75" fillId="0" borderId="32" xfId="0" applyFont="1" applyBorder="1" applyAlignment="1">
      <alignment horizontal="center" vertical="center" wrapText="1"/>
    </xf>
    <xf numFmtId="0" fontId="75" fillId="0" borderId="42" xfId="0" applyFont="1" applyBorder="1" applyAlignment="1">
      <alignment horizontal="center" vertical="center" wrapText="1"/>
    </xf>
    <xf numFmtId="0" fontId="75" fillId="0" borderId="57" xfId="0" applyFont="1" applyBorder="1" applyAlignment="1">
      <alignment horizontal="center" vertical="center"/>
    </xf>
    <xf numFmtId="0" fontId="77" fillId="0" borderId="0" xfId="0" applyFont="1" applyAlignment="1"/>
    <xf numFmtId="41" fontId="77" fillId="0" borderId="0" xfId="0" applyNumberFormat="1" applyFont="1"/>
    <xf numFmtId="1" fontId="53" fillId="2" borderId="12" xfId="0" applyNumberFormat="1" applyFont="1" applyFill="1" applyBorder="1" applyAlignment="1">
      <alignment wrapText="1"/>
    </xf>
    <xf numFmtId="0" fontId="43" fillId="0" borderId="2" xfId="0" applyFont="1" applyBorder="1" applyAlignment="1">
      <alignment horizontal="center"/>
    </xf>
    <xf numFmtId="0" fontId="43" fillId="0" borderId="2" xfId="0" applyFont="1" applyBorder="1"/>
    <xf numFmtId="164" fontId="43" fillId="0" borderId="2" xfId="1" applyNumberFormat="1" applyFont="1" applyBorder="1"/>
    <xf numFmtId="0" fontId="2" fillId="0" borderId="1" xfId="0" applyFont="1" applyBorder="1"/>
    <xf numFmtId="41" fontId="13" fillId="0" borderId="1" xfId="0" applyNumberFormat="1" applyFont="1" applyBorder="1"/>
    <xf numFmtId="164" fontId="42" fillId="0" borderId="1" xfId="0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164" fontId="23" fillId="0" borderId="1" xfId="1" applyNumberFormat="1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/>
    </xf>
    <xf numFmtId="41" fontId="32" fillId="0" borderId="0" xfId="0" applyNumberFormat="1" applyFont="1" applyBorder="1" applyAlignment="1">
      <alignment horizontal="center" wrapText="1"/>
    </xf>
    <xf numFmtId="164" fontId="51" fillId="2" borderId="1" xfId="1" applyNumberFormat="1" applyFont="1" applyFill="1" applyBorder="1" applyAlignment="1">
      <alignment horizontal="center" vertical="center" wrapText="1"/>
    </xf>
    <xf numFmtId="0" fontId="51" fillId="2" borderId="1" xfId="0" applyNumberFormat="1" applyFont="1" applyFill="1" applyBorder="1" applyAlignment="1">
      <alignment horizontal="center" vertical="center"/>
    </xf>
    <xf numFmtId="0" fontId="51" fillId="2" borderId="1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/>
    </xf>
    <xf numFmtId="1" fontId="51" fillId="2" borderId="1" xfId="0" applyNumberFormat="1" applyFont="1" applyFill="1" applyBorder="1" applyAlignment="1">
      <alignment horizontal="center"/>
    </xf>
    <xf numFmtId="164" fontId="13" fillId="0" borderId="4" xfId="1" applyNumberFormat="1" applyFont="1" applyBorder="1" applyAlignment="1">
      <alignment horizontal="center"/>
    </xf>
    <xf numFmtId="164" fontId="13" fillId="0" borderId="4" xfId="1" applyNumberFormat="1" applyFont="1" applyBorder="1" applyAlignment="1">
      <alignment horizontal="right"/>
    </xf>
    <xf numFmtId="164" fontId="13" fillId="0" borderId="1" xfId="1" applyNumberFormat="1" applyFont="1" applyBorder="1"/>
    <xf numFmtId="16" fontId="62" fillId="2" borderId="14" xfId="0" quotePrefix="1" applyNumberFormat="1" applyFont="1" applyFill="1" applyBorder="1" applyAlignment="1">
      <alignment horizontal="center"/>
    </xf>
    <xf numFmtId="0" fontId="62" fillId="2" borderId="15" xfId="0" applyFont="1" applyFill="1" applyBorder="1" applyAlignment="1">
      <alignment wrapText="1"/>
    </xf>
    <xf numFmtId="164" fontId="64" fillId="2" borderId="15" xfId="1" applyNumberFormat="1" applyFont="1" applyFill="1" applyBorder="1" applyAlignment="1">
      <alignment wrapText="1"/>
    </xf>
    <xf numFmtId="164" fontId="65" fillId="2" borderId="15" xfId="1" applyNumberFormat="1" applyFont="1" applyFill="1" applyBorder="1" applyAlignment="1">
      <alignment wrapText="1"/>
    </xf>
    <xf numFmtId="164" fontId="18" fillId="2" borderId="15" xfId="1" applyNumberFormat="1" applyFont="1" applyFill="1" applyBorder="1" applyAlignment="1">
      <alignment wrapText="1"/>
    </xf>
    <xf numFmtId="164" fontId="18" fillId="2" borderId="15" xfId="1" applyNumberFormat="1" applyFont="1" applyFill="1" applyBorder="1"/>
    <xf numFmtId="165" fontId="62" fillId="2" borderId="16" xfId="1" applyNumberFormat="1" applyFont="1" applyFill="1" applyBorder="1" applyAlignment="1">
      <alignment wrapText="1"/>
    </xf>
    <xf numFmtId="0" fontId="62" fillId="2" borderId="95" xfId="0" applyFont="1" applyFill="1" applyBorder="1" applyAlignment="1">
      <alignment wrapText="1"/>
    </xf>
    <xf numFmtId="164" fontId="64" fillId="2" borderId="95" xfId="1" applyNumberFormat="1" applyFont="1" applyFill="1" applyBorder="1" applyAlignment="1">
      <alignment wrapText="1"/>
    </xf>
    <xf numFmtId="164" fontId="65" fillId="2" borderId="95" xfId="1" applyNumberFormat="1" applyFont="1" applyFill="1" applyBorder="1" applyAlignment="1">
      <alignment wrapText="1"/>
    </xf>
    <xf numFmtId="164" fontId="18" fillId="2" borderId="95" xfId="1" applyNumberFormat="1" applyFont="1" applyFill="1" applyBorder="1" applyAlignment="1">
      <alignment wrapText="1"/>
    </xf>
    <xf numFmtId="164" fontId="18" fillId="2" borderId="95" xfId="1" applyNumberFormat="1" applyFont="1" applyFill="1" applyBorder="1"/>
    <xf numFmtId="165" fontId="62" fillId="2" borderId="96" xfId="1" applyNumberFormat="1" applyFont="1" applyFill="1" applyBorder="1" applyAlignment="1">
      <alignment wrapText="1"/>
    </xf>
    <xf numFmtId="0" fontId="62" fillId="2" borderId="0" xfId="0" applyFont="1" applyFill="1" applyBorder="1"/>
    <xf numFmtId="16" fontId="62" fillId="2" borderId="94" xfId="0" applyNumberFormat="1" applyFont="1" applyFill="1" applyBorder="1" applyAlignment="1">
      <alignment horizontal="center"/>
    </xf>
    <xf numFmtId="166" fontId="62" fillId="2" borderId="11" xfId="0" quotePrefix="1" applyNumberFormat="1" applyFont="1" applyFill="1" applyBorder="1" applyAlignment="1">
      <alignment horizontal="center" vertical="center" wrapText="1"/>
    </xf>
    <xf numFmtId="164" fontId="19" fillId="0" borderId="100" xfId="0" applyNumberFormat="1" applyFont="1" applyBorder="1" applyAlignment="1"/>
    <xf numFmtId="164" fontId="20" fillId="0" borderId="67" xfId="0" applyNumberFormat="1" applyFont="1" applyBorder="1" applyAlignment="1"/>
    <xf numFmtId="0" fontId="16" fillId="0" borderId="35" xfId="0" applyFont="1" applyBorder="1"/>
    <xf numFmtId="0" fontId="16" fillId="0" borderId="36" xfId="0" applyFont="1" applyBorder="1"/>
    <xf numFmtId="0" fontId="16" fillId="0" borderId="50" xfId="0" applyFont="1" applyBorder="1"/>
    <xf numFmtId="166" fontId="16" fillId="0" borderId="11" xfId="0" applyNumberFormat="1" applyFont="1" applyBorder="1" applyAlignment="1">
      <alignment horizontal="center"/>
    </xf>
    <xf numFmtId="0" fontId="16" fillId="0" borderId="12" xfId="0" applyFont="1" applyBorder="1"/>
    <xf numFmtId="164" fontId="16" fillId="0" borderId="12" xfId="1" applyNumberFormat="1" applyFont="1" applyBorder="1"/>
    <xf numFmtId="0" fontId="16" fillId="0" borderId="13" xfId="0" applyFont="1" applyBorder="1"/>
    <xf numFmtId="166" fontId="16" fillId="0" borderId="94" xfId="0" applyNumberFormat="1" applyFont="1" applyBorder="1" applyAlignment="1">
      <alignment horizontal="center"/>
    </xf>
    <xf numFmtId="0" fontId="16" fillId="0" borderId="95" xfId="0" applyFont="1" applyBorder="1"/>
    <xf numFmtId="164" fontId="16" fillId="0" borderId="95" xfId="1" applyNumberFormat="1" applyFont="1" applyBorder="1"/>
    <xf numFmtId="0" fontId="16" fillId="0" borderId="96" xfId="0" applyFont="1" applyBorder="1"/>
    <xf numFmtId="0" fontId="12" fillId="0" borderId="0" xfId="0" applyFont="1" applyBorder="1" applyAlignment="1"/>
    <xf numFmtId="0" fontId="82" fillId="0" borderId="1" xfId="0" applyFont="1" applyBorder="1" applyAlignment="1">
      <alignment horizontal="center" vertical="center" wrapText="1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 wrapText="1"/>
    </xf>
    <xf numFmtId="0" fontId="83" fillId="0" borderId="0" xfId="0" applyFont="1" applyAlignment="1">
      <alignment vertical="center"/>
    </xf>
    <xf numFmtId="0" fontId="83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 wrapText="1"/>
    </xf>
    <xf numFmtId="0" fontId="28" fillId="0" borderId="101" xfId="0" applyFont="1" applyBorder="1" applyAlignment="1">
      <alignment horizontal="center" vertical="center"/>
    </xf>
    <xf numFmtId="0" fontId="28" fillId="0" borderId="102" xfId="0" applyFont="1" applyBorder="1" applyAlignment="1">
      <alignment horizontal="center" vertical="center"/>
    </xf>
    <xf numFmtId="0" fontId="28" fillId="0" borderId="102" xfId="0" applyFont="1" applyBorder="1" applyAlignment="1">
      <alignment horizontal="center" vertical="center" wrapText="1"/>
    </xf>
    <xf numFmtId="0" fontId="28" fillId="0" borderId="103" xfId="0" applyFont="1" applyBorder="1" applyAlignment="1">
      <alignment horizontal="center" vertical="center"/>
    </xf>
    <xf numFmtId="16" fontId="25" fillId="0" borderId="10" xfId="0" quotePrefix="1" applyNumberFormat="1" applyFont="1" applyBorder="1" applyAlignment="1">
      <alignment horizontal="center" wrapText="1"/>
    </xf>
    <xf numFmtId="0" fontId="28" fillId="0" borderId="85" xfId="0" applyFont="1" applyBorder="1" applyAlignment="1">
      <alignment horizontal="center" wrapText="1"/>
    </xf>
    <xf numFmtId="0" fontId="25" fillId="0" borderId="85" xfId="0" applyFont="1" applyBorder="1" applyAlignment="1">
      <alignment horizontal="center" wrapText="1"/>
    </xf>
    <xf numFmtId="164" fontId="25" fillId="0" borderId="85" xfId="0" applyNumberFormat="1" applyFont="1" applyBorder="1" applyAlignment="1">
      <alignment horizontal="center" wrapText="1"/>
    </xf>
    <xf numFmtId="164" fontId="85" fillId="2" borderId="85" xfId="0" applyNumberFormat="1" applyFont="1" applyFill="1" applyBorder="1" applyAlignment="1">
      <alignment horizontal="center"/>
    </xf>
    <xf numFmtId="0" fontId="25" fillId="0" borderId="86" xfId="0" applyFont="1" applyBorder="1" applyAlignment="1">
      <alignment horizontal="center"/>
    </xf>
    <xf numFmtId="0" fontId="25" fillId="0" borderId="11" xfId="0" applyFont="1" applyBorder="1" applyAlignment="1">
      <alignment horizontal="center" wrapText="1"/>
    </xf>
    <xf numFmtId="0" fontId="28" fillId="0" borderId="12" xfId="0" applyFont="1" applyBorder="1" applyAlignment="1">
      <alignment horizontal="center" wrapText="1"/>
    </xf>
    <xf numFmtId="0" fontId="25" fillId="0" borderId="12" xfId="0" applyFont="1" applyBorder="1" applyAlignment="1">
      <alignment horizontal="center" wrapText="1"/>
    </xf>
    <xf numFmtId="164" fontId="25" fillId="0" borderId="12" xfId="0" applyNumberFormat="1" applyFont="1" applyBorder="1" applyAlignment="1">
      <alignment horizontal="center"/>
    </xf>
    <xf numFmtId="164" fontId="85" fillId="2" borderId="12" xfId="1" applyNumberFormat="1" applyFont="1" applyFill="1" applyBorder="1" applyAlignment="1">
      <alignment horizontal="center"/>
    </xf>
    <xf numFmtId="0" fontId="25" fillId="0" borderId="13" xfId="0" applyFont="1" applyBorder="1" applyAlignment="1">
      <alignment horizontal="center"/>
    </xf>
    <xf numFmtId="164" fontId="85" fillId="2" borderId="12" xfId="0" applyNumberFormat="1" applyFont="1" applyFill="1" applyBorder="1" applyAlignment="1">
      <alignment horizontal="center"/>
    </xf>
    <xf numFmtId="164" fontId="25" fillId="2" borderId="12" xfId="0" applyNumberFormat="1" applyFont="1" applyFill="1" applyBorder="1" applyAlignment="1">
      <alignment horizontal="center"/>
    </xf>
    <xf numFmtId="0" fontId="25" fillId="0" borderId="13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8" fillId="0" borderId="15" xfId="0" applyFont="1" applyBorder="1" applyAlignment="1">
      <alignment horizontal="center" wrapText="1"/>
    </xf>
    <xf numFmtId="0" fontId="25" fillId="0" borderId="15" xfId="0" applyFont="1" applyBorder="1" applyAlignment="1">
      <alignment horizontal="center" wrapText="1"/>
    </xf>
    <xf numFmtId="164" fontId="25" fillId="0" borderId="15" xfId="0" applyNumberFormat="1" applyFont="1" applyBorder="1" applyAlignment="1">
      <alignment horizontal="center"/>
    </xf>
    <xf numFmtId="164" fontId="25" fillId="2" borderId="15" xfId="0" applyNumberFormat="1" applyFont="1" applyFill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26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86" fillId="0" borderId="1" xfId="0" applyFont="1" applyBorder="1" applyAlignment="1">
      <alignment horizontal="center" wrapText="1"/>
    </xf>
    <xf numFmtId="164" fontId="25" fillId="0" borderId="1" xfId="0" applyNumberFormat="1" applyFont="1" applyBorder="1" applyAlignment="1">
      <alignment horizontal="center"/>
    </xf>
    <xf numFmtId="164" fontId="28" fillId="2" borderId="1" xfId="0" applyNumberFormat="1" applyFont="1" applyFill="1" applyBorder="1" applyAlignment="1">
      <alignment horizontal="center"/>
    </xf>
    <xf numFmtId="0" fontId="25" fillId="0" borderId="27" xfId="0" applyFont="1" applyBorder="1" applyAlignment="1">
      <alignment horizontal="center" wrapText="1"/>
    </xf>
    <xf numFmtId="0" fontId="25" fillId="0" borderId="20" xfId="0" quotePrefix="1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5" fillId="0" borderId="21" xfId="0" applyFont="1" applyBorder="1" applyAlignment="1">
      <alignment horizontal="center" wrapText="1"/>
    </xf>
    <xf numFmtId="164" fontId="25" fillId="0" borderId="21" xfId="0" applyNumberFormat="1" applyFont="1" applyBorder="1" applyAlignment="1">
      <alignment horizontal="center"/>
    </xf>
    <xf numFmtId="164" fontId="85" fillId="2" borderId="21" xfId="0" applyNumberFormat="1" applyFont="1" applyFill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11" xfId="0" quotePrefix="1" applyFont="1" applyBorder="1" applyAlignment="1">
      <alignment horizontal="center" wrapText="1"/>
    </xf>
    <xf numFmtId="0" fontId="25" fillId="2" borderId="11" xfId="0" applyFont="1" applyFill="1" applyBorder="1" applyAlignment="1">
      <alignment horizontal="center" wrapText="1"/>
    </xf>
    <xf numFmtId="0" fontId="25" fillId="2" borderId="12" xfId="0" applyFont="1" applyFill="1" applyBorder="1" applyAlignment="1">
      <alignment horizontal="center" wrapText="1"/>
    </xf>
    <xf numFmtId="0" fontId="86" fillId="2" borderId="12" xfId="0" applyFont="1" applyFill="1" applyBorder="1" applyAlignment="1">
      <alignment horizontal="center" wrapText="1"/>
    </xf>
    <xf numFmtId="164" fontId="28" fillId="2" borderId="12" xfId="0" applyNumberFormat="1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 wrapText="1"/>
    </xf>
    <xf numFmtId="164" fontId="87" fillId="2" borderId="12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66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164" fontId="85" fillId="2" borderId="15" xfId="0" applyNumberFormat="1" applyFont="1" applyFill="1" applyBorder="1" applyAlignment="1">
      <alignment horizontal="center"/>
    </xf>
    <xf numFmtId="0" fontId="25" fillId="2" borderId="20" xfId="0" quotePrefix="1" applyFont="1" applyFill="1" applyBorder="1" applyAlignment="1">
      <alignment horizontal="center" wrapText="1"/>
    </xf>
    <xf numFmtId="0" fontId="28" fillId="2" borderId="21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 wrapText="1"/>
    </xf>
    <xf numFmtId="0" fontId="25" fillId="2" borderId="21" xfId="0" applyFont="1" applyFill="1" applyBorder="1" applyAlignment="1">
      <alignment horizontal="center"/>
    </xf>
    <xf numFmtId="164" fontId="87" fillId="0" borderId="21" xfId="0" applyNumberFormat="1" applyFont="1" applyBorder="1" applyAlignment="1">
      <alignment horizontal="center"/>
    </xf>
    <xf numFmtId="0" fontId="25" fillId="2" borderId="11" xfId="0" quotePrefix="1" applyFont="1" applyFill="1" applyBorder="1" applyAlignment="1">
      <alignment horizontal="center" wrapText="1"/>
    </xf>
    <xf numFmtId="0" fontId="28" fillId="2" borderId="12" xfId="0" applyFont="1" applyFill="1" applyBorder="1" applyAlignment="1">
      <alignment horizontal="center" wrapText="1"/>
    </xf>
    <xf numFmtId="164" fontId="87" fillId="0" borderId="12" xfId="0" applyNumberFormat="1" applyFont="1" applyBorder="1" applyAlignment="1">
      <alignment horizontal="center"/>
    </xf>
    <xf numFmtId="0" fontId="25" fillId="2" borderId="14" xfId="0" quotePrefix="1" applyFont="1" applyFill="1" applyBorder="1" applyAlignment="1">
      <alignment horizontal="center" wrapText="1"/>
    </xf>
    <xf numFmtId="0" fontId="28" fillId="2" borderId="15" xfId="0" applyFont="1" applyFill="1" applyBorder="1" applyAlignment="1">
      <alignment horizontal="center" wrapText="1"/>
    </xf>
    <xf numFmtId="0" fontId="25" fillId="2" borderId="15" xfId="0" applyFont="1" applyFill="1" applyBorder="1" applyAlignment="1">
      <alignment horizontal="center" wrapText="1"/>
    </xf>
    <xf numFmtId="0" fontId="66" fillId="2" borderId="1" xfId="0" applyFont="1" applyFill="1" applyBorder="1" applyAlignment="1">
      <alignment horizontal="center" wrapText="1"/>
    </xf>
    <xf numFmtId="0" fontId="86" fillId="2" borderId="1" xfId="0" applyFont="1" applyFill="1" applyBorder="1" applyAlignment="1">
      <alignment horizontal="center" wrapText="1"/>
    </xf>
    <xf numFmtId="0" fontId="25" fillId="2" borderId="1" xfId="0" applyFont="1" applyFill="1" applyBorder="1" applyAlignment="1">
      <alignment horizontal="center"/>
    </xf>
    <xf numFmtId="164" fontId="28" fillId="0" borderId="1" xfId="0" applyNumberFormat="1" applyFont="1" applyBorder="1" applyAlignment="1">
      <alignment horizontal="center"/>
    </xf>
    <xf numFmtId="0" fontId="25" fillId="2" borderId="48" xfId="0" quotePrefix="1" applyFont="1" applyFill="1" applyBorder="1" applyAlignment="1">
      <alignment horizontal="center" wrapText="1"/>
    </xf>
    <xf numFmtId="0" fontId="28" fillId="2" borderId="37" xfId="0" applyFont="1" applyFill="1" applyBorder="1" applyAlignment="1">
      <alignment horizontal="center" wrapText="1"/>
    </xf>
    <xf numFmtId="0" fontId="25" fillId="2" borderId="37" xfId="0" applyFont="1" applyFill="1" applyBorder="1" applyAlignment="1">
      <alignment horizontal="center" wrapText="1"/>
    </xf>
    <xf numFmtId="0" fontId="33" fillId="2" borderId="37" xfId="0" applyFont="1" applyFill="1" applyBorder="1" applyAlignment="1">
      <alignment horizontal="center" wrapText="1"/>
    </xf>
    <xf numFmtId="0" fontId="25" fillId="2" borderId="37" xfId="0" applyFont="1" applyFill="1" applyBorder="1" applyAlignment="1">
      <alignment horizontal="center"/>
    </xf>
    <xf numFmtId="164" fontId="87" fillId="0" borderId="37" xfId="0" applyNumberFormat="1" applyFont="1" applyBorder="1" applyAlignment="1">
      <alignment horizontal="center"/>
    </xf>
    <xf numFmtId="0" fontId="25" fillId="0" borderId="60" xfId="0" applyFont="1" applyBorder="1" applyAlignment="1">
      <alignment horizontal="center"/>
    </xf>
    <xf numFmtId="0" fontId="25" fillId="2" borderId="1" xfId="0" applyFont="1" applyFill="1" applyBorder="1" applyAlignment="1">
      <alignment horizontal="center" wrapText="1"/>
    </xf>
    <xf numFmtId="164" fontId="85" fillId="0" borderId="12" xfId="0" applyNumberFormat="1" applyFont="1" applyBorder="1" applyAlignment="1">
      <alignment horizontal="center"/>
    </xf>
    <xf numFmtId="164" fontId="28" fillId="0" borderId="12" xfId="0" applyNumberFormat="1" applyFont="1" applyBorder="1" applyAlignment="1">
      <alignment horizontal="center"/>
    </xf>
    <xf numFmtId="0" fontId="25" fillId="2" borderId="14" xfId="0" applyFont="1" applyFill="1" applyBorder="1" applyAlignment="1">
      <alignment horizontal="center" wrapText="1"/>
    </xf>
    <xf numFmtId="164" fontId="28" fillId="0" borderId="15" xfId="0" applyNumberFormat="1" applyFont="1" applyBorder="1" applyAlignment="1">
      <alignment horizontal="center"/>
    </xf>
    <xf numFmtId="0" fontId="25" fillId="2" borderId="20" xfId="0" applyFont="1" applyFill="1" applyBorder="1" applyAlignment="1">
      <alignment horizontal="center" wrapText="1"/>
    </xf>
    <xf numFmtId="0" fontId="66" fillId="2" borderId="21" xfId="0" applyFont="1" applyFill="1" applyBorder="1" applyAlignment="1">
      <alignment horizontal="center" wrapText="1"/>
    </xf>
    <xf numFmtId="0" fontId="33" fillId="2" borderId="21" xfId="0" applyFont="1" applyFill="1" applyBorder="1" applyAlignment="1">
      <alignment horizontal="center" wrapText="1"/>
    </xf>
    <xf numFmtId="164" fontId="33" fillId="0" borderId="21" xfId="0" applyNumberFormat="1" applyFont="1" applyBorder="1" applyAlignment="1">
      <alignment horizontal="center"/>
    </xf>
    <xf numFmtId="0" fontId="33" fillId="2" borderId="12" xfId="0" applyFont="1" applyFill="1" applyBorder="1" applyAlignment="1">
      <alignment horizontal="center" wrapText="1"/>
    </xf>
    <xf numFmtId="164" fontId="33" fillId="0" borderId="12" xfId="0" applyNumberFormat="1" applyFont="1" applyBorder="1" applyAlignment="1">
      <alignment horizontal="center"/>
    </xf>
    <xf numFmtId="0" fontId="33" fillId="2" borderId="15" xfId="0" applyFont="1" applyFill="1" applyBorder="1" applyAlignment="1">
      <alignment horizontal="center" wrapText="1"/>
    </xf>
    <xf numFmtId="164" fontId="33" fillId="0" borderId="15" xfId="0" applyNumberFormat="1" applyFont="1" applyBorder="1" applyAlignment="1">
      <alignment horizontal="center"/>
    </xf>
    <xf numFmtId="164" fontId="86" fillId="0" borderId="1" xfId="0" applyNumberFormat="1" applyFont="1" applyBorder="1" applyAlignment="1">
      <alignment horizontal="center"/>
    </xf>
    <xf numFmtId="0" fontId="25" fillId="2" borderId="52" xfId="0" applyFont="1" applyFill="1" applyBorder="1" applyAlignment="1">
      <alignment horizontal="center" wrapText="1"/>
    </xf>
    <xf numFmtId="0" fontId="33" fillId="2" borderId="52" xfId="0" applyFont="1" applyFill="1" applyBorder="1" applyAlignment="1">
      <alignment horizontal="center" wrapText="1"/>
    </xf>
    <xf numFmtId="0" fontId="25" fillId="2" borderId="52" xfId="0" applyFont="1" applyFill="1" applyBorder="1" applyAlignment="1">
      <alignment horizontal="center"/>
    </xf>
    <xf numFmtId="164" fontId="33" fillId="0" borderId="52" xfId="0" applyNumberFormat="1" applyFont="1" applyBorder="1" applyAlignment="1">
      <alignment horizontal="center"/>
    </xf>
    <xf numFmtId="0" fontId="25" fillId="0" borderId="5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5" fillId="0" borderId="19" xfId="0" applyFont="1" applyBorder="1" applyAlignment="1">
      <alignment horizontal="center" wrapText="1"/>
    </xf>
    <xf numFmtId="0" fontId="19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/>
    </xf>
    <xf numFmtId="166" fontId="50" fillId="0" borderId="1" xfId="0" applyNumberFormat="1" applyFont="1" applyBorder="1"/>
    <xf numFmtId="0" fontId="66" fillId="0" borderId="0" xfId="0" applyFont="1"/>
    <xf numFmtId="0" fontId="86" fillId="0" borderId="0" xfId="0" applyFont="1" applyAlignment="1">
      <alignment horizontal="center"/>
    </xf>
    <xf numFmtId="0" fontId="86" fillId="0" borderId="0" xfId="0" applyFont="1"/>
    <xf numFmtId="0" fontId="11" fillId="2" borderId="37" xfId="0" applyFont="1" applyFill="1" applyBorder="1" applyAlignment="1">
      <alignment wrapText="1"/>
    </xf>
    <xf numFmtId="0" fontId="13" fillId="0" borderId="18" xfId="0" applyFont="1" applyBorder="1" applyAlignment="1">
      <alignment horizontal="center"/>
    </xf>
    <xf numFmtId="41" fontId="13" fillId="0" borderId="18" xfId="2" applyFont="1" applyBorder="1" applyAlignment="1">
      <alignment horizontal="center"/>
    </xf>
    <xf numFmtId="0" fontId="77" fillId="0" borderId="20" xfId="0" applyFont="1" applyBorder="1" applyAlignment="1">
      <alignment horizontal="center" wrapText="1"/>
    </xf>
    <xf numFmtId="0" fontId="77" fillId="0" borderId="21" xfId="0" applyFont="1" applyBorder="1" applyAlignment="1">
      <alignment wrapText="1"/>
    </xf>
    <xf numFmtId="0" fontId="77" fillId="0" borderId="21" xfId="0" applyFont="1" applyBorder="1" applyAlignment="1">
      <alignment horizontal="center" wrapText="1"/>
    </xf>
    <xf numFmtId="41" fontId="77" fillId="0" borderId="21" xfId="2" applyFont="1" applyBorder="1" applyAlignment="1">
      <alignment wrapText="1"/>
    </xf>
    <xf numFmtId="41" fontId="77" fillId="0" borderId="33" xfId="2" applyFont="1" applyBorder="1" applyAlignment="1">
      <alignment wrapText="1"/>
    </xf>
    <xf numFmtId="0" fontId="77" fillId="0" borderId="22" xfId="0" applyFont="1" applyBorder="1"/>
    <xf numFmtId="0" fontId="77" fillId="0" borderId="11" xfId="0" applyFont="1" applyBorder="1" applyAlignment="1">
      <alignment horizontal="center" wrapText="1"/>
    </xf>
    <xf numFmtId="0" fontId="77" fillId="0" borderId="12" xfId="0" applyFont="1" applyBorder="1" applyAlignment="1">
      <alignment horizontal="center" wrapText="1"/>
    </xf>
    <xf numFmtId="41" fontId="77" fillId="0" borderId="12" xfId="2" applyFont="1" applyBorder="1" applyAlignment="1">
      <alignment wrapText="1"/>
    </xf>
    <xf numFmtId="0" fontId="77" fillId="0" borderId="13" xfId="0" applyFont="1" applyBorder="1"/>
    <xf numFmtId="41" fontId="77" fillId="0" borderId="34" xfId="2" applyFont="1" applyBorder="1" applyAlignment="1">
      <alignment wrapText="1"/>
    </xf>
    <xf numFmtId="0" fontId="77" fillId="0" borderId="48" xfId="0" applyFont="1" applyBorder="1" applyAlignment="1">
      <alignment horizontal="center" wrapText="1"/>
    </xf>
    <xf numFmtId="0" fontId="77" fillId="0" borderId="37" xfId="0" applyFont="1" applyBorder="1" applyAlignment="1">
      <alignment wrapText="1"/>
    </xf>
    <xf numFmtId="0" fontId="77" fillId="0" borderId="37" xfId="0" applyFont="1" applyBorder="1" applyAlignment="1">
      <alignment horizontal="center" wrapText="1"/>
    </xf>
    <xf numFmtId="41" fontId="77" fillId="0" borderId="37" xfId="2" applyFont="1" applyBorder="1" applyAlignment="1">
      <alignment wrapText="1"/>
    </xf>
    <xf numFmtId="41" fontId="77" fillId="0" borderId="49" xfId="2" applyFont="1" applyBorder="1" applyAlignment="1">
      <alignment wrapText="1"/>
    </xf>
    <xf numFmtId="0" fontId="77" fillId="0" borderId="60" xfId="0" applyFont="1" applyBorder="1"/>
    <xf numFmtId="0" fontId="89" fillId="0" borderId="18" xfId="0" applyFont="1" applyBorder="1" applyAlignment="1">
      <alignment horizontal="center"/>
    </xf>
    <xf numFmtId="164" fontId="89" fillId="0" borderId="18" xfId="1" applyNumberFormat="1" applyFont="1" applyBorder="1" applyAlignment="1">
      <alignment horizontal="center"/>
    </xf>
    <xf numFmtId="0" fontId="77" fillId="0" borderId="19" xfId="0" applyFont="1" applyBorder="1"/>
    <xf numFmtId="0" fontId="7" fillId="0" borderId="0" xfId="0" applyFont="1" applyAlignment="1">
      <alignment horizontal="center"/>
    </xf>
    <xf numFmtId="0" fontId="8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" fontId="20" fillId="2" borderId="20" xfId="0" quotePrefix="1" applyNumberFormat="1" applyFont="1" applyFill="1" applyBorder="1"/>
    <xf numFmtId="0" fontId="20" fillId="2" borderId="21" xfId="0" applyFont="1" applyFill="1" applyBorder="1" applyAlignment="1">
      <alignment wrapText="1"/>
    </xf>
    <xf numFmtId="0" fontId="19" fillId="2" borderId="12" xfId="0" quotePrefix="1" applyFont="1" applyFill="1" applyBorder="1" applyAlignment="1">
      <alignment horizontal="left"/>
    </xf>
    <xf numFmtId="0" fontId="20" fillId="2" borderId="12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vertical="center" wrapText="1"/>
    </xf>
    <xf numFmtId="0" fontId="20" fillId="2" borderId="12" xfId="0" quotePrefix="1" applyFont="1" applyFill="1" applyBorder="1"/>
    <xf numFmtId="3" fontId="20" fillId="2" borderId="12" xfId="0" applyNumberFormat="1" applyFont="1" applyFill="1" applyBorder="1"/>
    <xf numFmtId="0" fontId="20" fillId="2" borderId="15" xfId="0" applyFont="1" applyFill="1" applyBorder="1" applyAlignment="1">
      <alignment wrapText="1"/>
    </xf>
    <xf numFmtId="0" fontId="20" fillId="2" borderId="0" xfId="0" applyFont="1" applyFill="1" applyBorder="1"/>
    <xf numFmtId="0" fontId="19" fillId="2" borderId="37" xfId="0" applyFont="1" applyFill="1" applyBorder="1" applyAlignment="1">
      <alignment horizontal="center" vertical="center" wrapText="1"/>
    </xf>
    <xf numFmtId="0" fontId="26" fillId="2" borderId="21" xfId="0" applyFont="1" applyFill="1" applyBorder="1" applyAlignment="1">
      <alignment horizontal="center" vertical="center" wrapText="1"/>
    </xf>
    <xf numFmtId="0" fontId="19" fillId="2" borderId="21" xfId="0" applyFont="1" applyFill="1" applyBorder="1" applyAlignment="1">
      <alignment horizontal="center" vertical="center" wrapText="1"/>
    </xf>
    <xf numFmtId="164" fontId="27" fillId="2" borderId="12" xfId="0" applyNumberFormat="1" applyFont="1" applyFill="1" applyBorder="1"/>
    <xf numFmtId="164" fontId="20" fillId="2" borderId="52" xfId="0" applyNumberFormat="1" applyFont="1" applyFill="1" applyBorder="1"/>
    <xf numFmtId="164" fontId="20" fillId="2" borderId="0" xfId="0" applyNumberFormat="1" applyFont="1" applyFill="1"/>
    <xf numFmtId="0" fontId="21" fillId="2" borderId="0" xfId="0" applyFont="1" applyFill="1"/>
    <xf numFmtId="0" fontId="19" fillId="2" borderId="12" xfId="0" applyFont="1" applyFill="1" applyBorder="1" applyAlignment="1"/>
    <xf numFmtId="164" fontId="19" fillId="2" borderId="12" xfId="0" applyNumberFormat="1" applyFont="1" applyFill="1" applyBorder="1" applyAlignment="1"/>
    <xf numFmtId="164" fontId="19" fillId="2" borderId="12" xfId="1" applyNumberFormat="1" applyFont="1" applyFill="1" applyBorder="1" applyAlignment="1"/>
    <xf numFmtId="164" fontId="19" fillId="2" borderId="12" xfId="1" applyNumberFormat="1" applyFont="1" applyFill="1" applyBorder="1" applyAlignment="1">
      <alignment horizontal="center"/>
    </xf>
    <xf numFmtId="164" fontId="44" fillId="2" borderId="12" xfId="1" applyNumberFormat="1" applyFont="1" applyFill="1" applyBorder="1"/>
    <xf numFmtId="0" fontId="20" fillId="2" borderId="61" xfId="0" applyFont="1" applyFill="1" applyBorder="1"/>
    <xf numFmtId="164" fontId="20" fillId="2" borderId="37" xfId="1" applyNumberFormat="1" applyFont="1" applyFill="1" applyBorder="1" applyAlignment="1">
      <alignment wrapText="1"/>
    </xf>
    <xf numFmtId="0" fontId="21" fillId="2" borderId="0" xfId="0" applyFont="1" applyFill="1" applyBorder="1"/>
    <xf numFmtId="164" fontId="20" fillId="2" borderId="1" xfId="1" applyNumberFormat="1" applyFont="1" applyFill="1" applyBorder="1" applyAlignment="1">
      <alignment wrapText="1"/>
    </xf>
    <xf numFmtId="164" fontId="42" fillId="2" borderId="1" xfId="1" applyNumberFormat="1" applyFont="1" applyFill="1" applyBorder="1" applyAlignment="1">
      <alignment wrapText="1"/>
    </xf>
    <xf numFmtId="164" fontId="20" fillId="2" borderId="0" xfId="1" applyNumberFormat="1" applyFont="1" applyFill="1" applyBorder="1" applyAlignment="1">
      <alignment wrapText="1"/>
    </xf>
    <xf numFmtId="164" fontId="20" fillId="2" borderId="0" xfId="0" applyNumberFormat="1" applyFont="1" applyFill="1" applyBorder="1"/>
    <xf numFmtId="165" fontId="19" fillId="2" borderId="36" xfId="1" applyNumberFormat="1" applyFont="1" applyFill="1" applyBorder="1" applyAlignment="1">
      <alignment horizontal="center" vertical="center" wrapText="1"/>
    </xf>
    <xf numFmtId="165" fontId="19" fillId="2" borderId="12" xfId="1" applyNumberFormat="1" applyFont="1" applyFill="1" applyBorder="1" applyAlignment="1">
      <alignment horizontal="center" vertical="center" wrapText="1"/>
    </xf>
    <xf numFmtId="165" fontId="20" fillId="2" borderId="12" xfId="1" applyNumberFormat="1" applyFont="1" applyFill="1" applyBorder="1" applyAlignment="1">
      <alignment horizontal="center" vertical="center" wrapText="1"/>
    </xf>
    <xf numFmtId="165" fontId="19" fillId="2" borderId="37" xfId="1" applyNumberFormat="1" applyFont="1" applyFill="1" applyBorder="1" applyAlignment="1">
      <alignment horizontal="center" vertical="center" wrapText="1"/>
    </xf>
    <xf numFmtId="165" fontId="20" fillId="2" borderId="12" xfId="1" applyNumberFormat="1" applyFont="1" applyFill="1" applyBorder="1" applyAlignment="1"/>
    <xf numFmtId="165" fontId="20" fillId="2" borderId="2" xfId="1" applyNumberFormat="1" applyFont="1" applyFill="1" applyBorder="1" applyAlignment="1">
      <alignment wrapText="1"/>
    </xf>
    <xf numFmtId="165" fontId="20" fillId="2" borderId="37" xfId="1" applyNumberFormat="1" applyFont="1" applyFill="1" applyBorder="1" applyAlignment="1">
      <alignment wrapText="1"/>
    </xf>
    <xf numFmtId="165" fontId="21" fillId="2" borderId="37" xfId="1" applyNumberFormat="1" applyFont="1" applyFill="1" applyBorder="1" applyAlignment="1">
      <alignment wrapText="1"/>
    </xf>
    <xf numFmtId="0" fontId="26" fillId="2" borderId="12" xfId="0" applyFont="1" applyFill="1" applyBorder="1" applyAlignment="1">
      <alignment horizontal="center" vertical="center" wrapText="1"/>
    </xf>
    <xf numFmtId="166" fontId="27" fillId="2" borderId="12" xfId="0" quotePrefix="1" applyNumberFormat="1" applyFont="1" applyFill="1" applyBorder="1" applyAlignment="1">
      <alignment horizontal="left"/>
    </xf>
    <xf numFmtId="16" fontId="27" fillId="2" borderId="12" xfId="0" applyNumberFormat="1" applyFont="1" applyFill="1" applyBorder="1" applyAlignment="1">
      <alignment horizontal="left"/>
    </xf>
    <xf numFmtId="166" fontId="27" fillId="2" borderId="12" xfId="0" applyNumberFormat="1" applyFont="1" applyFill="1" applyBorder="1" applyAlignment="1">
      <alignment horizontal="left"/>
    </xf>
    <xf numFmtId="166" fontId="21" fillId="2" borderId="12" xfId="0" quotePrefix="1" applyNumberFormat="1" applyFont="1" applyFill="1" applyBorder="1" applyAlignment="1">
      <alignment horizontal="left"/>
    </xf>
    <xf numFmtId="166" fontId="21" fillId="2" borderId="12" xfId="0" applyNumberFormat="1" applyFont="1" applyFill="1" applyBorder="1" applyAlignment="1">
      <alignment wrapText="1"/>
    </xf>
    <xf numFmtId="164" fontId="21" fillId="2" borderId="12" xfId="1" applyNumberFormat="1" applyFont="1" applyFill="1" applyBorder="1" applyAlignment="1">
      <alignment wrapText="1"/>
    </xf>
    <xf numFmtId="166" fontId="27" fillId="2" borderId="12" xfId="0" applyNumberFormat="1" applyFont="1" applyFill="1" applyBorder="1" applyAlignment="1">
      <alignment wrapText="1"/>
    </xf>
    <xf numFmtId="166" fontId="27" fillId="2" borderId="12" xfId="0" applyNumberFormat="1" applyFont="1" applyFill="1" applyBorder="1" applyAlignment="1">
      <alignment horizontal="center" vertical="center" wrapText="1"/>
    </xf>
    <xf numFmtId="0" fontId="42" fillId="0" borderId="0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41" fontId="90" fillId="0" borderId="1" xfId="2" applyFont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center"/>
    </xf>
    <xf numFmtId="9" fontId="16" fillId="2" borderId="21" xfId="3" applyNumberFormat="1" applyFont="1" applyFill="1" applyBorder="1" applyAlignment="1">
      <alignment horizontal="center"/>
    </xf>
    <xf numFmtId="164" fontId="16" fillId="2" borderId="21" xfId="0" applyNumberFormat="1" applyFont="1" applyFill="1" applyBorder="1" applyAlignment="1">
      <alignment horizontal="center"/>
    </xf>
    <xf numFmtId="9" fontId="16" fillId="2" borderId="33" xfId="3" applyFont="1" applyFill="1" applyBorder="1" applyAlignment="1">
      <alignment horizontal="center"/>
    </xf>
    <xf numFmtId="164" fontId="16" fillId="2" borderId="33" xfId="0" applyNumberFormat="1" applyFont="1" applyFill="1" applyBorder="1" applyAlignment="1">
      <alignment horizontal="center"/>
    </xf>
    <xf numFmtId="164" fontId="16" fillId="2" borderId="21" xfId="0" applyNumberFormat="1" applyFont="1" applyFill="1" applyBorder="1" applyAlignment="1">
      <alignment horizontal="center" wrapText="1"/>
    </xf>
    <xf numFmtId="164" fontId="16" fillId="0" borderId="36" xfId="0" applyNumberFormat="1" applyFont="1" applyBorder="1" applyAlignment="1">
      <alignment horizontal="center"/>
    </xf>
    <xf numFmtId="164" fontId="17" fillId="0" borderId="36" xfId="0" applyNumberFormat="1" applyFont="1" applyBorder="1" applyAlignment="1">
      <alignment horizontal="center"/>
    </xf>
    <xf numFmtId="164" fontId="29" fillId="2" borderId="36" xfId="0" applyNumberFormat="1" applyFont="1" applyFill="1" applyBorder="1" applyAlignment="1">
      <alignment horizontal="center"/>
    </xf>
    <xf numFmtId="41" fontId="29" fillId="2" borderId="36" xfId="2" applyFont="1" applyFill="1" applyBorder="1"/>
    <xf numFmtId="41" fontId="29" fillId="2" borderId="91" xfId="2" applyFont="1" applyFill="1" applyBorder="1"/>
    <xf numFmtId="164" fontId="16" fillId="0" borderId="36" xfId="0" applyNumberFormat="1" applyFont="1" applyBorder="1"/>
    <xf numFmtId="0" fontId="16" fillId="0" borderId="11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9" fontId="16" fillId="2" borderId="12" xfId="3" applyNumberFormat="1" applyFont="1" applyFill="1" applyBorder="1" applyAlignment="1">
      <alignment horizontal="center"/>
    </xf>
    <xf numFmtId="164" fontId="16" fillId="0" borderId="12" xfId="0" applyNumberFormat="1" applyFont="1" applyBorder="1" applyAlignment="1">
      <alignment horizontal="center"/>
    </xf>
    <xf numFmtId="164" fontId="29" fillId="2" borderId="12" xfId="0" applyNumberFormat="1" applyFont="1" applyFill="1" applyBorder="1" applyAlignment="1">
      <alignment horizontal="center"/>
    </xf>
    <xf numFmtId="41" fontId="29" fillId="2" borderId="12" xfId="2" applyFont="1" applyFill="1" applyBorder="1"/>
    <xf numFmtId="41" fontId="29" fillId="2" borderId="34" xfId="2" applyFont="1" applyFill="1" applyBorder="1"/>
    <xf numFmtId="164" fontId="16" fillId="0" borderId="12" xfId="0" applyNumberFormat="1" applyFont="1" applyBorder="1"/>
    <xf numFmtId="0" fontId="16" fillId="0" borderId="12" xfId="0" applyFont="1" applyBorder="1" applyAlignment="1">
      <alignment horizontal="center"/>
    </xf>
    <xf numFmtId="9" fontId="16" fillId="0" borderId="12" xfId="3" applyNumberFormat="1" applyFont="1" applyBorder="1" applyAlignment="1">
      <alignment horizontal="center"/>
    </xf>
    <xf numFmtId="9" fontId="16" fillId="0" borderId="33" xfId="3" applyFont="1" applyBorder="1" applyAlignment="1">
      <alignment horizontal="center"/>
    </xf>
    <xf numFmtId="164" fontId="16" fillId="0" borderId="33" xfId="0" applyNumberFormat="1" applyFont="1" applyBorder="1" applyAlignment="1">
      <alignment horizontal="center"/>
    </xf>
    <xf numFmtId="164" fontId="16" fillId="0" borderId="21" xfId="0" applyNumberFormat="1" applyFont="1" applyBorder="1" applyAlignment="1">
      <alignment horizontal="center" wrapText="1"/>
    </xf>
    <xf numFmtId="164" fontId="29" fillId="0" borderId="12" xfId="0" applyNumberFormat="1" applyFont="1" applyBorder="1" applyAlignment="1">
      <alignment horizontal="center"/>
    </xf>
    <xf numFmtId="41" fontId="29" fillId="0" borderId="12" xfId="2" applyFont="1" applyBorder="1"/>
    <xf numFmtId="41" fontId="29" fillId="0" borderId="34" xfId="2" applyFont="1" applyBorder="1"/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9" fontId="16" fillId="0" borderId="15" xfId="3" applyNumberFormat="1" applyFont="1" applyBorder="1" applyAlignment="1">
      <alignment horizontal="center"/>
    </xf>
    <xf numFmtId="9" fontId="16" fillId="0" borderId="49" xfId="3" applyFont="1" applyBorder="1" applyAlignment="1">
      <alignment horizontal="center"/>
    </xf>
    <xf numFmtId="164" fontId="16" fillId="0" borderId="49" xfId="0" applyNumberFormat="1" applyFont="1" applyBorder="1" applyAlignment="1">
      <alignment horizontal="center"/>
    </xf>
    <xf numFmtId="164" fontId="16" fillId="0" borderId="52" xfId="0" applyNumberFormat="1" applyFont="1" applyBorder="1" applyAlignment="1">
      <alignment horizontal="center"/>
    </xf>
    <xf numFmtId="164" fontId="29" fillId="0" borderId="52" xfId="0" applyNumberFormat="1" applyFont="1" applyBorder="1" applyAlignment="1">
      <alignment horizontal="center"/>
    </xf>
    <xf numFmtId="164" fontId="29" fillId="2" borderId="52" xfId="0" applyNumberFormat="1" applyFont="1" applyFill="1" applyBorder="1" applyAlignment="1">
      <alignment horizontal="center"/>
    </xf>
    <xf numFmtId="41" fontId="29" fillId="0" borderId="52" xfId="2" applyFont="1" applyBorder="1"/>
    <xf numFmtId="41" fontId="29" fillId="0" borderId="59" xfId="2" applyFont="1" applyBorder="1"/>
    <xf numFmtId="164" fontId="16" fillId="0" borderId="52" xfId="0" applyNumberFormat="1" applyFont="1" applyBorder="1"/>
    <xf numFmtId="164" fontId="16" fillId="0" borderId="2" xfId="0" applyNumberFormat="1" applyFont="1" applyBorder="1"/>
    <xf numFmtId="9" fontId="90" fillId="0" borderId="18" xfId="3" applyNumberFormat="1" applyFont="1" applyBorder="1" applyAlignment="1">
      <alignment horizontal="center"/>
    </xf>
    <xf numFmtId="164" fontId="90" fillId="0" borderId="18" xfId="0" applyNumberFormat="1" applyFont="1" applyBorder="1" applyAlignment="1">
      <alignment horizontal="center"/>
    </xf>
    <xf numFmtId="164" fontId="90" fillId="0" borderId="18" xfId="0" applyNumberFormat="1" applyFont="1" applyBorder="1" applyAlignment="1">
      <alignment horizontal="center" wrapText="1"/>
    </xf>
    <xf numFmtId="164" fontId="58" fillId="0" borderId="88" xfId="0" applyNumberFormat="1" applyFont="1" applyBorder="1" applyAlignment="1">
      <alignment horizontal="center"/>
    </xf>
    <xf numFmtId="164" fontId="58" fillId="0" borderId="92" xfId="0" applyNumberFormat="1" applyFont="1" applyBorder="1" applyAlignment="1">
      <alignment horizontal="center"/>
    </xf>
    <xf numFmtId="164" fontId="90" fillId="0" borderId="18" xfId="1" applyNumberFormat="1" applyFont="1" applyBorder="1"/>
    <xf numFmtId="164" fontId="90" fillId="0" borderId="88" xfId="1" applyNumberFormat="1" applyFont="1" applyBorder="1"/>
    <xf numFmtId="0" fontId="43" fillId="2" borderId="0" xfId="0" applyFont="1" applyFill="1"/>
    <xf numFmtId="0" fontId="43" fillId="2" borderId="12" xfId="0" applyFont="1" applyFill="1" applyBorder="1" applyAlignment="1">
      <alignment wrapText="1"/>
    </xf>
    <xf numFmtId="164" fontId="43" fillId="0" borderId="12" xfId="1" applyNumberFormat="1" applyFont="1" applyBorder="1" applyAlignment="1">
      <alignment wrapText="1"/>
    </xf>
    <xf numFmtId="0" fontId="43" fillId="0" borderId="12" xfId="0" applyFont="1" applyBorder="1" applyAlignment="1">
      <alignment horizontal="center" vertical="center" wrapText="1"/>
    </xf>
    <xf numFmtId="166" fontId="42" fillId="0" borderId="11" xfId="0" applyNumberFormat="1" applyFont="1" applyBorder="1" applyAlignment="1">
      <alignment horizontal="center" vertical="center" wrapText="1"/>
    </xf>
    <xf numFmtId="164" fontId="28" fillId="0" borderId="18" xfId="1" applyNumberFormat="1" applyFont="1" applyBorder="1" applyAlignment="1">
      <alignment horizontal="center"/>
    </xf>
    <xf numFmtId="0" fontId="26" fillId="2" borderId="18" xfId="0" applyFont="1" applyFill="1" applyBorder="1" applyAlignment="1">
      <alignment horizontal="center" vertical="center" wrapText="1"/>
    </xf>
    <xf numFmtId="166" fontId="43" fillId="2" borderId="3" xfId="0" applyNumberFormat="1" applyFont="1" applyFill="1" applyBorder="1" applyAlignment="1">
      <alignment horizontal="center" vertical="center" wrapText="1"/>
    </xf>
    <xf numFmtId="0" fontId="43" fillId="2" borderId="3" xfId="0" applyFont="1" applyFill="1" applyBorder="1"/>
    <xf numFmtId="164" fontId="43" fillId="2" borderId="3" xfId="1" applyNumberFormat="1" applyFont="1" applyFill="1" applyBorder="1" applyAlignment="1">
      <alignment horizontal="center" vertical="center" wrapText="1"/>
    </xf>
    <xf numFmtId="164" fontId="43" fillId="2" borderId="3" xfId="1" applyNumberFormat="1" applyFont="1" applyFill="1" applyBorder="1"/>
    <xf numFmtId="166" fontId="41" fillId="2" borderId="1" xfId="0" applyNumberFormat="1" applyFont="1" applyFill="1" applyBorder="1" applyAlignment="1">
      <alignment horizontal="center" vertical="center" wrapText="1"/>
    </xf>
    <xf numFmtId="0" fontId="43" fillId="2" borderId="1" xfId="0" applyFont="1" applyFill="1" applyBorder="1"/>
    <xf numFmtId="164" fontId="43" fillId="2" borderId="1" xfId="1" applyNumberFormat="1" applyFont="1" applyFill="1" applyBorder="1" applyAlignment="1">
      <alignment horizontal="center" vertical="center" wrapText="1"/>
    </xf>
    <xf numFmtId="164" fontId="43" fillId="2" borderId="1" xfId="1" applyNumberFormat="1" applyFont="1" applyFill="1" applyBorder="1"/>
    <xf numFmtId="166" fontId="41" fillId="2" borderId="26" xfId="0" applyNumberFormat="1" applyFont="1" applyFill="1" applyBorder="1" applyAlignment="1">
      <alignment horizontal="center" vertical="center" wrapText="1"/>
    </xf>
    <xf numFmtId="166" fontId="43" fillId="2" borderId="1" xfId="0" applyNumberFormat="1" applyFont="1" applyFill="1" applyBorder="1" applyAlignment="1">
      <alignment horizontal="center"/>
    </xf>
    <xf numFmtId="0" fontId="41" fillId="2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horizontal="center" vertical="center" wrapText="1"/>
    </xf>
    <xf numFmtId="164" fontId="41" fillId="2" borderId="1" xfId="1" applyNumberFormat="1" applyFont="1" applyFill="1" applyBorder="1" applyAlignment="1">
      <alignment horizontal="center" vertical="center" wrapText="1"/>
    </xf>
    <xf numFmtId="9" fontId="41" fillId="2" borderId="1" xfId="3" applyFont="1" applyFill="1" applyBorder="1" applyAlignment="1">
      <alignment horizontal="center" vertical="center" wrapText="1"/>
    </xf>
    <xf numFmtId="164" fontId="41" fillId="2" borderId="1" xfId="0" applyNumberFormat="1" applyFont="1" applyFill="1" applyBorder="1" applyAlignment="1">
      <alignment horizontal="center" vertical="center" wrapText="1"/>
    </xf>
    <xf numFmtId="0" fontId="41" fillId="2" borderId="27" xfId="0" applyFont="1" applyFill="1" applyBorder="1" applyAlignment="1">
      <alignment horizontal="center" vertical="center" wrapText="1"/>
    </xf>
    <xf numFmtId="0" fontId="41" fillId="2" borderId="26" xfId="0" applyFont="1" applyFill="1" applyBorder="1" applyAlignment="1">
      <alignment horizontal="center" vertical="center" wrapText="1"/>
    </xf>
    <xf numFmtId="0" fontId="43" fillId="2" borderId="26" xfId="0" applyFont="1" applyFill="1" applyBorder="1" applyAlignment="1">
      <alignment horizontal="center"/>
    </xf>
    <xf numFmtId="0" fontId="43" fillId="2" borderId="1" xfId="0" applyFont="1" applyFill="1" applyBorder="1" applyAlignment="1">
      <alignment horizontal="left" wrapText="1"/>
    </xf>
    <xf numFmtId="0" fontId="43" fillId="2" borderId="1" xfId="0" applyFont="1" applyFill="1" applyBorder="1" applyAlignment="1">
      <alignment horizontal="center"/>
    </xf>
    <xf numFmtId="9" fontId="43" fillId="2" borderId="1" xfId="0" applyNumberFormat="1" applyFont="1" applyFill="1" applyBorder="1" applyAlignment="1">
      <alignment horizontal="center"/>
    </xf>
    <xf numFmtId="0" fontId="11" fillId="2" borderId="1" xfId="0" applyFont="1" applyFill="1" applyBorder="1"/>
    <xf numFmtId="164" fontId="43" fillId="2" borderId="1" xfId="0" applyNumberFormat="1" applyFont="1" applyFill="1" applyBorder="1"/>
    <xf numFmtId="0" fontId="11" fillId="2" borderId="27" xfId="0" applyFont="1" applyFill="1" applyBorder="1"/>
    <xf numFmtId="0" fontId="0" fillId="2" borderId="0" xfId="0" applyFill="1"/>
    <xf numFmtId="0" fontId="43" fillId="2" borderId="1" xfId="0" applyFont="1" applyFill="1" applyBorder="1" applyAlignment="1">
      <alignment horizontal="left" vertical="center"/>
    </xf>
    <xf numFmtId="1" fontId="42" fillId="2" borderId="1" xfId="0" applyNumberFormat="1" applyFont="1" applyFill="1" applyBorder="1"/>
    <xf numFmtId="164" fontId="42" fillId="2" borderId="1" xfId="0" applyNumberFormat="1" applyFont="1" applyFill="1" applyBorder="1"/>
    <xf numFmtId="0" fontId="80" fillId="0" borderId="0" xfId="0" applyFont="1" applyBorder="1" applyAlignment="1">
      <alignment horizontal="center"/>
    </xf>
    <xf numFmtId="0" fontId="82" fillId="0" borderId="2" xfId="0" applyFont="1" applyBorder="1" applyAlignment="1">
      <alignment horizontal="center" vertical="center" wrapText="1"/>
    </xf>
    <xf numFmtId="0" fontId="86" fillId="2" borderId="2" xfId="0" applyFont="1" applyFill="1" applyBorder="1" applyAlignment="1">
      <alignment horizontal="center" wrapText="1"/>
    </xf>
    <xf numFmtId="0" fontId="25" fillId="2" borderId="2" xfId="0" applyFont="1" applyFill="1" applyBorder="1" applyAlignment="1">
      <alignment horizontal="center"/>
    </xf>
    <xf numFmtId="164" fontId="86" fillId="0" borderId="2" xfId="0" applyNumberFormat="1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166" fontId="25" fillId="2" borderId="20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164" fontId="14" fillId="0" borderId="0" xfId="1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1" applyNumberFormat="1" applyFont="1" applyAlignment="1">
      <alignment horizontal="center" vertical="center" wrapText="1"/>
    </xf>
    <xf numFmtId="164" fontId="42" fillId="7" borderId="18" xfId="1" applyNumberFormat="1" applyFont="1" applyFill="1" applyBorder="1" applyAlignment="1">
      <alignment vertical="center" wrapText="1"/>
    </xf>
    <xf numFmtId="164" fontId="40" fillId="4" borderId="18" xfId="1" applyNumberFormat="1" applyFont="1" applyFill="1" applyBorder="1" applyAlignment="1">
      <alignment horizontal="center" vertical="center" wrapText="1"/>
    </xf>
    <xf numFmtId="166" fontId="43" fillId="2" borderId="20" xfId="0" applyNumberFormat="1" applyFont="1" applyFill="1" applyBorder="1" applyAlignment="1">
      <alignment horizontal="center" vertical="center" wrapText="1"/>
    </xf>
    <xf numFmtId="0" fontId="43" fillId="2" borderId="21" xfId="0" applyFont="1" applyFill="1" applyBorder="1" applyAlignment="1">
      <alignment horizontal="center" vertical="center" wrapText="1"/>
    </xf>
    <xf numFmtId="164" fontId="43" fillId="2" borderId="21" xfId="1" applyNumberFormat="1" applyFont="1" applyFill="1" applyBorder="1" applyAlignment="1">
      <alignment vertical="center" wrapText="1"/>
    </xf>
    <xf numFmtId="164" fontId="43" fillId="2" borderId="21" xfId="1" applyNumberFormat="1" applyFont="1" applyFill="1" applyBorder="1" applyAlignment="1">
      <alignment horizontal="center" vertical="center" wrapText="1"/>
    </xf>
    <xf numFmtId="165" fontId="42" fillId="2" borderId="22" xfId="1" applyNumberFormat="1" applyFont="1" applyFill="1" applyBorder="1" applyAlignment="1">
      <alignment horizontal="center" vertical="center" wrapText="1"/>
    </xf>
    <xf numFmtId="166" fontId="43" fillId="2" borderId="11" xfId="0" quotePrefix="1" applyNumberFormat="1" applyFont="1" applyFill="1" applyBorder="1" applyAlignment="1">
      <alignment horizontal="center"/>
    </xf>
    <xf numFmtId="164" fontId="11" fillId="0" borderId="12" xfId="1" applyNumberFormat="1" applyFont="1" applyBorder="1"/>
    <xf numFmtId="0" fontId="11" fillId="0" borderId="12" xfId="0" applyFont="1" applyBorder="1"/>
    <xf numFmtId="43" fontId="11" fillId="0" borderId="12" xfId="1" applyFont="1" applyBorder="1"/>
    <xf numFmtId="0" fontId="11" fillId="2" borderId="0" xfId="0" applyFont="1" applyFill="1"/>
    <xf numFmtId="164" fontId="11" fillId="2" borderId="12" xfId="1" applyNumberFormat="1" applyFont="1" applyFill="1" applyBorder="1"/>
    <xf numFmtId="0" fontId="11" fillId="2" borderId="12" xfId="0" applyFont="1" applyFill="1" applyBorder="1"/>
    <xf numFmtId="164" fontId="43" fillId="2" borderId="12" xfId="1" applyNumberFormat="1" applyFont="1" applyFill="1" applyBorder="1" applyAlignment="1">
      <alignment wrapText="1"/>
    </xf>
    <xf numFmtId="43" fontId="11" fillId="2" borderId="12" xfId="1" applyFont="1" applyFill="1" applyBorder="1"/>
    <xf numFmtId="0" fontId="11" fillId="2" borderId="13" xfId="0" applyFont="1" applyFill="1" applyBorder="1"/>
    <xf numFmtId="164" fontId="11" fillId="0" borderId="12" xfId="0" applyNumberFormat="1" applyFont="1" applyBorder="1"/>
    <xf numFmtId="166" fontId="43" fillId="2" borderId="14" xfId="0" applyNumberFormat="1" applyFont="1" applyFill="1" applyBorder="1" applyAlignment="1">
      <alignment horizontal="center"/>
    </xf>
    <xf numFmtId="0" fontId="43" fillId="2" borderId="15" xfId="0" applyFont="1" applyFill="1" applyBorder="1" applyAlignment="1">
      <alignment wrapText="1"/>
    </xf>
    <xf numFmtId="0" fontId="43" fillId="0" borderId="15" xfId="0" applyFont="1" applyBorder="1"/>
    <xf numFmtId="164" fontId="43" fillId="0" borderId="15" xfId="1" applyNumberFormat="1" applyFont="1" applyBorder="1" applyAlignment="1">
      <alignment wrapText="1"/>
    </xf>
    <xf numFmtId="164" fontId="43" fillId="2" borderId="15" xfId="1" applyNumberFormat="1" applyFont="1" applyFill="1" applyBorder="1"/>
    <xf numFmtId="0" fontId="43" fillId="0" borderId="16" xfId="0" applyFont="1" applyBorder="1"/>
    <xf numFmtId="164" fontId="69" fillId="0" borderId="1" xfId="1" applyNumberFormat="1" applyFont="1" applyBorder="1" applyAlignment="1">
      <alignment wrapText="1"/>
    </xf>
    <xf numFmtId="0" fontId="71" fillId="0" borderId="27" xfId="0" applyFont="1" applyBorder="1"/>
    <xf numFmtId="0" fontId="91" fillId="0" borderId="27" xfId="0" applyFont="1" applyBorder="1" applyAlignment="1">
      <alignment horizontal="center"/>
    </xf>
    <xf numFmtId="0" fontId="42" fillId="0" borderId="20" xfId="0" applyFont="1" applyBorder="1" applyAlignment="1">
      <alignment horizontal="center" vertical="center" wrapText="1"/>
    </xf>
    <xf numFmtId="0" fontId="43" fillId="0" borderId="21" xfId="0" applyFont="1" applyBorder="1" applyAlignment="1">
      <alignment horizontal="center" vertical="center" wrapText="1"/>
    </xf>
    <xf numFmtId="0" fontId="43" fillId="0" borderId="21" xfId="0" applyFont="1" applyBorder="1"/>
    <xf numFmtId="164" fontId="43" fillId="0" borderId="21" xfId="1" applyNumberFormat="1" applyFont="1" applyBorder="1"/>
    <xf numFmtId="0" fontId="43" fillId="0" borderId="22" xfId="0" applyFont="1" applyBorder="1"/>
    <xf numFmtId="0" fontId="43" fillId="0" borderId="12" xfId="0" applyFont="1" applyBorder="1" applyAlignment="1">
      <alignment wrapText="1"/>
    </xf>
    <xf numFmtId="164" fontId="71" fillId="0" borderId="27" xfId="1" applyNumberFormat="1" applyFont="1" applyBorder="1"/>
    <xf numFmtId="0" fontId="69" fillId="0" borderId="27" xfId="0" applyFont="1" applyBorder="1" applyAlignment="1">
      <alignment horizontal="center"/>
    </xf>
    <xf numFmtId="164" fontId="42" fillId="0" borderId="21" xfId="0" applyNumberFormat="1" applyFont="1" applyBorder="1"/>
    <xf numFmtId="167" fontId="43" fillId="2" borderId="11" xfId="0" applyNumberFormat="1" applyFont="1" applyFill="1" applyBorder="1" applyAlignment="1">
      <alignment horizontal="center" vertical="center"/>
    </xf>
    <xf numFmtId="0" fontId="43" fillId="2" borderId="12" xfId="0" applyFont="1" applyFill="1" applyBorder="1" applyAlignment="1">
      <alignment horizontal="left" vertical="center"/>
    </xf>
    <xf numFmtId="164" fontId="43" fillId="2" borderId="12" xfId="1" applyNumberFormat="1" applyFont="1" applyFill="1" applyBorder="1" applyAlignment="1">
      <alignment horizontal="center" vertical="center"/>
    </xf>
    <xf numFmtId="164" fontId="43" fillId="2" borderId="12" xfId="1" applyNumberFormat="1" applyFont="1" applyFill="1" applyBorder="1" applyAlignment="1">
      <alignment vertical="center"/>
    </xf>
    <xf numFmtId="1" fontId="43" fillId="2" borderId="12" xfId="0" applyNumberFormat="1" applyFont="1" applyFill="1" applyBorder="1" applyAlignment="1">
      <alignment horizontal="left" vertical="center" wrapText="1"/>
    </xf>
    <xf numFmtId="0" fontId="43" fillId="2" borderId="12" xfId="0" applyFont="1" applyFill="1" applyBorder="1" applyAlignment="1">
      <alignment horizontal="left" vertical="center" wrapText="1"/>
    </xf>
    <xf numFmtId="167" fontId="43" fillId="2" borderId="14" xfId="0" applyNumberFormat="1" applyFont="1" applyFill="1" applyBorder="1" applyAlignment="1">
      <alignment horizontal="center" vertical="center"/>
    </xf>
    <xf numFmtId="0" fontId="43" fillId="2" borderId="15" xfId="0" applyFont="1" applyFill="1" applyBorder="1" applyAlignment="1">
      <alignment horizontal="left" vertical="center" wrapText="1"/>
    </xf>
    <xf numFmtId="164" fontId="43" fillId="2" borderId="15" xfId="1" applyNumberFormat="1" applyFont="1" applyFill="1" applyBorder="1" applyAlignment="1">
      <alignment horizontal="center" vertical="center"/>
    </xf>
    <xf numFmtId="164" fontId="43" fillId="2" borderId="15" xfId="1" applyNumberFormat="1" applyFont="1" applyFill="1" applyBorder="1" applyAlignment="1">
      <alignment vertical="center"/>
    </xf>
    <xf numFmtId="0" fontId="71" fillId="0" borderId="18" xfId="0" applyFont="1" applyBorder="1"/>
    <xf numFmtId="164" fontId="93" fillId="0" borderId="18" xfId="0" applyNumberFormat="1" applyFont="1" applyBorder="1"/>
    <xf numFmtId="0" fontId="71" fillId="0" borderId="19" xfId="0" applyFont="1" applyBorder="1"/>
    <xf numFmtId="0" fontId="69" fillId="2" borderId="0" xfId="0" applyFont="1" applyFill="1" applyBorder="1" applyAlignment="1">
      <alignment horizontal="center" wrapText="1"/>
    </xf>
    <xf numFmtId="0" fontId="69" fillId="0" borderId="0" xfId="0" applyFont="1" applyBorder="1" applyAlignment="1">
      <alignment horizontal="center"/>
    </xf>
    <xf numFmtId="0" fontId="69" fillId="0" borderId="0" xfId="0" applyFont="1" applyAlignment="1">
      <alignment horizontal="center"/>
    </xf>
    <xf numFmtId="1" fontId="11" fillId="2" borderId="37" xfId="0" applyNumberFormat="1" applyFont="1" applyFill="1" applyBorder="1" applyAlignment="1">
      <alignment wrapText="1"/>
    </xf>
    <xf numFmtId="0" fontId="30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horizontal="center" vertical="center" wrapText="1"/>
    </xf>
    <xf numFmtId="0" fontId="31" fillId="2" borderId="0" xfId="0" applyFont="1" applyFill="1" applyAlignment="1">
      <alignment horizontal="center"/>
    </xf>
    <xf numFmtId="9" fontId="31" fillId="2" borderId="0" xfId="3" applyFont="1" applyFill="1" applyAlignment="1">
      <alignment horizontal="center"/>
    </xf>
    <xf numFmtId="0" fontId="36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 wrapText="1"/>
    </xf>
    <xf numFmtId="0" fontId="31" fillId="2" borderId="0" xfId="0" applyFont="1" applyFill="1" applyAlignment="1">
      <alignment horizontal="center" vertical="center"/>
    </xf>
    <xf numFmtId="9" fontId="31" fillId="2" borderId="0" xfId="3" applyFont="1" applyFill="1" applyAlignment="1">
      <alignment horizontal="center" vertical="center"/>
    </xf>
    <xf numFmtId="0" fontId="26" fillId="2" borderId="18" xfId="0" applyFont="1" applyFill="1" applyBorder="1" applyAlignment="1">
      <alignment vertical="center" wrapText="1"/>
    </xf>
    <xf numFmtId="0" fontId="19" fillId="2" borderId="18" xfId="0" applyFont="1" applyFill="1" applyBorder="1" applyAlignment="1">
      <alignment horizontal="center" vertical="center" wrapText="1"/>
    </xf>
    <xf numFmtId="9" fontId="26" fillId="2" borderId="18" xfId="3" applyFont="1" applyFill="1" applyBorder="1" applyAlignment="1">
      <alignment horizontal="center" vertical="center" wrapText="1"/>
    </xf>
    <xf numFmtId="166" fontId="41" fillId="2" borderId="55" xfId="0" applyNumberFormat="1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left" vertical="center" wrapText="1"/>
    </xf>
    <xf numFmtId="0" fontId="41" fillId="2" borderId="3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vertical="center" wrapText="1"/>
    </xf>
    <xf numFmtId="9" fontId="41" fillId="2" borderId="3" xfId="3" applyFont="1" applyFill="1" applyBorder="1" applyAlignment="1">
      <alignment horizontal="center" vertical="center" wrapText="1"/>
    </xf>
    <xf numFmtId="0" fontId="40" fillId="2" borderId="3" xfId="0" applyFont="1" applyFill="1" applyBorder="1" applyAlignment="1">
      <alignment horizontal="center" vertical="center" wrapText="1"/>
    </xf>
    <xf numFmtId="164" fontId="41" fillId="2" borderId="3" xfId="0" applyNumberFormat="1" applyFont="1" applyFill="1" applyBorder="1" applyAlignment="1">
      <alignment horizontal="center" vertical="center" wrapText="1"/>
    </xf>
    <xf numFmtId="0" fontId="40" fillId="2" borderId="29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0" fillId="2" borderId="27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9" fillId="0" borderId="2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34" fillId="0" borderId="44" xfId="0" applyFont="1" applyBorder="1" applyAlignment="1">
      <alignment horizontal="left"/>
    </xf>
    <xf numFmtId="0" fontId="34" fillId="0" borderId="7" xfId="0" applyFont="1" applyBorder="1" applyAlignment="1">
      <alignment horizontal="left"/>
    </xf>
    <xf numFmtId="0" fontId="34" fillId="0" borderId="5" xfId="0" applyFont="1" applyBorder="1" applyAlignment="1">
      <alignment horizontal="left"/>
    </xf>
    <xf numFmtId="0" fontId="34" fillId="0" borderId="43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4" fillId="0" borderId="44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5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34" fillId="0" borderId="26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4" fillId="0" borderId="26" xfId="0" applyFont="1" applyBorder="1" applyAlignment="1">
      <alignment horizontal="left"/>
    </xf>
    <xf numFmtId="0" fontId="34" fillId="0" borderId="1" xfId="0" applyFont="1" applyBorder="1" applyAlignment="1">
      <alignment horizontal="left"/>
    </xf>
    <xf numFmtId="0" fontId="35" fillId="0" borderId="26" xfId="0" applyFont="1" applyBorder="1" applyAlignment="1">
      <alignment horizontal="left"/>
    </xf>
    <xf numFmtId="0" fontId="35" fillId="0" borderId="1" xfId="0" applyFont="1" applyBorder="1" applyAlignment="1">
      <alignment horizontal="left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9" fontId="38" fillId="0" borderId="0" xfId="3" applyFont="1" applyAlignment="1">
      <alignment horizontal="center"/>
    </xf>
    <xf numFmtId="0" fontId="27" fillId="2" borderId="9" xfId="0" applyFont="1" applyFill="1" applyBorder="1" applyAlignment="1">
      <alignment horizontal="center" vertical="center" wrapText="1"/>
    </xf>
    <xf numFmtId="0" fontId="27" fillId="2" borderId="60" xfId="0" applyFont="1" applyFill="1" applyBorder="1" applyAlignment="1">
      <alignment horizontal="center" vertical="center" wrapText="1"/>
    </xf>
    <xf numFmtId="0" fontId="27" fillId="2" borderId="2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29" xfId="0" applyFont="1" applyBorder="1" applyAlignment="1">
      <alignment horizontal="center" vertical="center" wrapText="1"/>
    </xf>
    <xf numFmtId="0" fontId="27" fillId="2" borderId="16" xfId="0" applyFont="1" applyFill="1" applyBorder="1" applyAlignment="1">
      <alignment horizontal="center" wrapText="1"/>
    </xf>
    <xf numFmtId="0" fontId="27" fillId="2" borderId="29" xfId="0" applyFont="1" applyFill="1" applyBorder="1" applyAlignment="1">
      <alignment horizontal="center" wrapText="1"/>
    </xf>
    <xf numFmtId="0" fontId="25" fillId="0" borderId="0" xfId="0" applyFont="1" applyAlignment="1">
      <alignment horizontal="center"/>
    </xf>
    <xf numFmtId="9" fontId="25" fillId="0" borderId="0" xfId="3" applyFont="1" applyAlignment="1">
      <alignment horizontal="center"/>
    </xf>
    <xf numFmtId="0" fontId="26" fillId="0" borderId="23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/>
    </xf>
    <xf numFmtId="0" fontId="0" fillId="0" borderId="41" xfId="0" applyBorder="1"/>
    <xf numFmtId="0" fontId="0" fillId="0" borderId="42" xfId="0" applyBorder="1"/>
    <xf numFmtId="0" fontId="26" fillId="0" borderId="41" xfId="0" applyFont="1" applyBorder="1" applyAlignment="1">
      <alignment horizontal="center" vertical="center"/>
    </xf>
    <xf numFmtId="9" fontId="26" fillId="0" borderId="42" xfId="3" applyFont="1" applyBorder="1" applyAlignment="1">
      <alignment horizontal="center" vertical="center"/>
    </xf>
    <xf numFmtId="0" fontId="27" fillId="0" borderId="9" xfId="0" applyFont="1" applyBorder="1" applyAlignment="1">
      <alignment horizontal="center" wrapText="1"/>
    </xf>
    <xf numFmtId="0" fontId="27" fillId="0" borderId="60" xfId="0" applyFont="1" applyBorder="1" applyAlignment="1">
      <alignment horizontal="center" wrapText="1"/>
    </xf>
    <xf numFmtId="0" fontId="27" fillId="0" borderId="29" xfId="0" applyFont="1" applyBorder="1" applyAlignment="1">
      <alignment horizontal="center" wrapText="1"/>
    </xf>
    <xf numFmtId="0" fontId="28" fillId="0" borderId="0" xfId="0" applyFont="1" applyAlignment="1">
      <alignment horizontal="center"/>
    </xf>
    <xf numFmtId="9" fontId="28" fillId="0" borderId="0" xfId="3" applyFont="1" applyAlignment="1">
      <alignment horizontal="center"/>
    </xf>
    <xf numFmtId="0" fontId="26" fillId="2" borderId="24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6" fillId="0" borderId="24" xfId="0" applyFont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center" vertical="center"/>
    </xf>
    <xf numFmtId="9" fontId="26" fillId="0" borderId="24" xfId="3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27" fillId="0" borderId="6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34" fillId="2" borderId="26" xfId="0" applyFont="1" applyFill="1" applyBorder="1" applyAlignment="1">
      <alignment horizontal="left" vertical="center"/>
    </xf>
    <xf numFmtId="0" fontId="34" fillId="2" borderId="1" xfId="0" applyFont="1" applyFill="1" applyBorder="1" applyAlignment="1">
      <alignment horizontal="left" vertical="center"/>
    </xf>
    <xf numFmtId="0" fontId="34" fillId="2" borderId="26" xfId="0" applyFont="1" applyFill="1" applyBorder="1" applyAlignment="1">
      <alignment horizontal="left"/>
    </xf>
    <xf numFmtId="0" fontId="34" fillId="2" borderId="1" xfId="0" applyFont="1" applyFill="1" applyBorder="1" applyAlignment="1">
      <alignment horizontal="left"/>
    </xf>
    <xf numFmtId="0" fontId="0" fillId="0" borderId="6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6" fillId="0" borderId="44" xfId="0" applyFont="1" applyBorder="1" applyAlignment="1">
      <alignment horizontal="left" vertical="center"/>
    </xf>
    <xf numFmtId="0" fontId="26" fillId="0" borderId="7" xfId="0" applyFont="1" applyBorder="1" applyAlignment="1">
      <alignment horizontal="left" vertical="center"/>
    </xf>
    <xf numFmtId="0" fontId="26" fillId="0" borderId="5" xfId="0" applyFont="1" applyBorder="1" applyAlignment="1">
      <alignment horizontal="left" vertical="center"/>
    </xf>
    <xf numFmtId="0" fontId="26" fillId="0" borderId="26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6" fillId="0" borderId="26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43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2" borderId="9" xfId="0" applyFont="1" applyFill="1" applyBorder="1" applyAlignment="1">
      <alignment horizontal="center" wrapText="1"/>
    </xf>
    <xf numFmtId="0" fontId="27" fillId="2" borderId="29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vertical="center" wrapText="1"/>
    </xf>
    <xf numFmtId="0" fontId="0" fillId="0" borderId="60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32" fillId="0" borderId="26" xfId="0" applyFont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center" vertical="center" wrapText="1"/>
    </xf>
    <xf numFmtId="0" fontId="74" fillId="0" borderId="37" xfId="0" applyFont="1" applyBorder="1" applyAlignment="1">
      <alignment horizontal="center" vertical="center" wrapText="1"/>
    </xf>
    <xf numFmtId="0" fontId="74" fillId="0" borderId="3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86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 wrapText="1"/>
    </xf>
    <xf numFmtId="0" fontId="43" fillId="0" borderId="37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/>
    </xf>
    <xf numFmtId="0" fontId="49" fillId="0" borderId="2" xfId="0" applyFont="1" applyBorder="1" applyAlignment="1">
      <alignment horizontal="center" vertical="center" wrapText="1"/>
    </xf>
    <xf numFmtId="0" fontId="49" fillId="0" borderId="37" xfId="0" applyFont="1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0" fontId="42" fillId="0" borderId="7" xfId="0" applyFont="1" applyFill="1" applyBorder="1" applyAlignment="1">
      <alignment horizontal="center"/>
    </xf>
    <xf numFmtId="0" fontId="38" fillId="2" borderId="0" xfId="0" applyFont="1" applyFill="1" applyAlignment="1">
      <alignment horizontal="center"/>
    </xf>
    <xf numFmtId="9" fontId="38" fillId="2" borderId="0" xfId="3" applyFont="1" applyFill="1" applyAlignment="1">
      <alignment horizontal="center"/>
    </xf>
    <xf numFmtId="0" fontId="28" fillId="2" borderId="0" xfId="0" applyFont="1" applyFill="1" applyAlignment="1">
      <alignment horizontal="center"/>
    </xf>
    <xf numFmtId="9" fontId="28" fillId="2" borderId="0" xfId="3" applyFont="1" applyFill="1" applyAlignment="1">
      <alignment horizontal="center"/>
    </xf>
    <xf numFmtId="0" fontId="26" fillId="2" borderId="23" xfId="0" applyFont="1" applyFill="1" applyBorder="1" applyAlignment="1">
      <alignment horizontal="center" vertical="center" wrapText="1"/>
    </xf>
    <xf numFmtId="0" fontId="26" fillId="2" borderId="17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 wrapText="1"/>
    </xf>
    <xf numFmtId="0" fontId="26" fillId="2" borderId="24" xfId="0" applyFont="1" applyFill="1" applyBorder="1" applyAlignment="1">
      <alignment horizontal="center" vertical="center"/>
    </xf>
    <xf numFmtId="9" fontId="26" fillId="2" borderId="24" xfId="3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 wrapText="1"/>
    </xf>
    <xf numFmtId="0" fontId="26" fillId="2" borderId="25" xfId="0" applyFont="1" applyFill="1" applyBorder="1" applyAlignment="1">
      <alignment horizontal="center" vertical="center" wrapText="1"/>
    </xf>
    <xf numFmtId="0" fontId="26" fillId="2" borderId="19" xfId="0" applyFont="1" applyFill="1" applyBorder="1" applyAlignment="1">
      <alignment horizontal="center" vertical="center" wrapText="1"/>
    </xf>
    <xf numFmtId="0" fontId="42" fillId="2" borderId="26" xfId="0" applyFont="1" applyFill="1" applyBorder="1" applyAlignment="1">
      <alignment horizontal="center"/>
    </xf>
    <xf numFmtId="0" fontId="42" fillId="2" borderId="1" xfId="0" applyFont="1" applyFill="1" applyBorder="1" applyAlignment="1">
      <alignment horizontal="center"/>
    </xf>
    <xf numFmtId="0" fontId="13" fillId="0" borderId="45" xfId="0" applyFont="1" applyBorder="1" applyAlignment="1">
      <alignment horizontal="center" wrapText="1"/>
    </xf>
    <xf numFmtId="0" fontId="13" fillId="0" borderId="47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76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89" fillId="0" borderId="17" xfId="0" applyFont="1" applyBorder="1" applyAlignment="1">
      <alignment horizontal="center" wrapText="1"/>
    </xf>
    <xf numFmtId="0" fontId="89" fillId="0" borderId="18" xfId="0" applyFont="1" applyBorder="1" applyAlignment="1">
      <alignment horizontal="center" wrapText="1"/>
    </xf>
    <xf numFmtId="0" fontId="80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164" fontId="19" fillId="0" borderId="0" xfId="1" applyNumberFormat="1" applyFont="1" applyBorder="1" applyAlignment="1">
      <alignment horizontal="center" wrapText="1"/>
    </xf>
    <xf numFmtId="0" fontId="4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22" fillId="0" borderId="0" xfId="1" applyNumberFormat="1" applyFont="1" applyBorder="1" applyAlignment="1">
      <alignment horizontal="center" wrapText="1"/>
    </xf>
    <xf numFmtId="0" fontId="45" fillId="2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6" fillId="2" borderId="1" xfId="0" applyFont="1" applyFill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9" fillId="2" borderId="4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165" fontId="20" fillId="2" borderId="15" xfId="1" applyNumberFormat="1" applyFont="1" applyFill="1" applyBorder="1" applyAlignment="1">
      <alignment horizontal="center" wrapText="1"/>
    </xf>
    <xf numFmtId="165" fontId="20" fillId="2" borderId="37" xfId="1" applyNumberFormat="1" applyFont="1" applyFill="1" applyBorder="1" applyAlignment="1">
      <alignment horizontal="center" wrapText="1"/>
    </xf>
    <xf numFmtId="165" fontId="20" fillId="2" borderId="3" xfId="1" applyNumberFormat="1" applyFont="1" applyFill="1" applyBorder="1" applyAlignment="1">
      <alignment horizontal="center" wrapText="1"/>
    </xf>
    <xf numFmtId="0" fontId="3" fillId="0" borderId="31" xfId="0" applyFont="1" applyBorder="1" applyAlignment="1">
      <alignment horizont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51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64" fontId="19" fillId="7" borderId="32" xfId="1" applyNumberFormat="1" applyFont="1" applyFill="1" applyBorder="1" applyAlignment="1">
      <alignment horizontal="center" vertical="center"/>
    </xf>
    <xf numFmtId="164" fontId="19" fillId="7" borderId="41" xfId="1" applyNumberFormat="1" applyFont="1" applyFill="1" applyBorder="1" applyAlignment="1">
      <alignment horizontal="center" vertical="center"/>
    </xf>
    <xf numFmtId="164" fontId="19" fillId="4" borderId="32" xfId="1" applyNumberFormat="1" applyFont="1" applyFill="1" applyBorder="1" applyAlignment="1">
      <alignment horizontal="center" vertical="center"/>
    </xf>
    <xf numFmtId="164" fontId="19" fillId="4" borderId="41" xfId="1" applyNumberFormat="1" applyFont="1" applyFill="1" applyBorder="1" applyAlignment="1">
      <alignment horizontal="center" vertical="center"/>
    </xf>
    <xf numFmtId="164" fontId="19" fillId="4" borderId="42" xfId="1" applyNumberFormat="1" applyFont="1" applyFill="1" applyBorder="1" applyAlignment="1">
      <alignment horizontal="center" vertical="center"/>
    </xf>
    <xf numFmtId="165" fontId="19" fillId="3" borderId="25" xfId="1" applyNumberFormat="1" applyFont="1" applyFill="1" applyBorder="1" applyAlignment="1">
      <alignment horizontal="center" vertical="center" wrapText="1"/>
    </xf>
    <xf numFmtId="165" fontId="19" fillId="3" borderId="27" xfId="1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69" fillId="2" borderId="26" xfId="0" applyFont="1" applyFill="1" applyBorder="1" applyAlignment="1">
      <alignment horizontal="center" vertical="center"/>
    </xf>
    <xf numFmtId="0" fontId="69" fillId="2" borderId="1" xfId="0" applyFont="1" applyFill="1" applyBorder="1" applyAlignment="1">
      <alignment horizontal="center" vertical="center"/>
    </xf>
    <xf numFmtId="0" fontId="92" fillId="2" borderId="26" xfId="0" applyFont="1" applyFill="1" applyBorder="1" applyAlignment="1">
      <alignment horizontal="center" vertical="center"/>
    </xf>
    <xf numFmtId="0" fontId="92" fillId="2" borderId="1" xfId="0" applyFont="1" applyFill="1" applyBorder="1" applyAlignment="1">
      <alignment horizontal="center" vertical="center"/>
    </xf>
    <xf numFmtId="0" fontId="69" fillId="0" borderId="45" xfId="0" applyFont="1" applyBorder="1" applyAlignment="1">
      <alignment horizontal="center"/>
    </xf>
    <xf numFmtId="0" fontId="69" fillId="0" borderId="47" xfId="0" applyFont="1" applyBorder="1" applyAlignment="1">
      <alignment horizontal="center"/>
    </xf>
    <xf numFmtId="0" fontId="69" fillId="0" borderId="26" xfId="0" applyFont="1" applyBorder="1" applyAlignment="1">
      <alignment horizontal="center"/>
    </xf>
    <xf numFmtId="0" fontId="69" fillId="0" borderId="1" xfId="0" applyFont="1" applyBorder="1" applyAlignment="1">
      <alignment horizontal="center"/>
    </xf>
    <xf numFmtId="164" fontId="69" fillId="0" borderId="26" xfId="1" applyNumberFormat="1" applyFont="1" applyBorder="1" applyAlignment="1">
      <alignment horizontal="center"/>
    </xf>
    <xf numFmtId="164" fontId="69" fillId="0" borderId="1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center" vertical="center" wrapText="1"/>
    </xf>
    <xf numFmtId="0" fontId="13" fillId="0" borderId="31" xfId="0" applyFont="1" applyBorder="1" applyAlignment="1">
      <alignment horizontal="center"/>
    </xf>
    <xf numFmtId="0" fontId="42" fillId="6" borderId="24" xfId="0" applyFont="1" applyFill="1" applyBorder="1" applyAlignment="1">
      <alignment horizontal="center" vertical="center" wrapText="1"/>
    </xf>
    <xf numFmtId="0" fontId="42" fillId="6" borderId="18" xfId="0" applyFont="1" applyFill="1" applyBorder="1" applyAlignment="1">
      <alignment horizontal="center" vertical="center" wrapText="1"/>
    </xf>
    <xf numFmtId="164" fontId="42" fillId="7" borderId="24" xfId="1" applyNumberFormat="1" applyFont="1" applyFill="1" applyBorder="1" applyAlignment="1">
      <alignment horizontal="center" vertical="center"/>
    </xf>
    <xf numFmtId="164" fontId="42" fillId="4" borderId="24" xfId="1" applyNumberFormat="1" applyFont="1" applyFill="1" applyBorder="1" applyAlignment="1">
      <alignment horizontal="center" vertical="center"/>
    </xf>
    <xf numFmtId="165" fontId="42" fillId="3" borderId="25" xfId="1" applyNumberFormat="1" applyFont="1" applyFill="1" applyBorder="1" applyAlignment="1">
      <alignment horizontal="center" vertical="center" wrapText="1"/>
    </xf>
    <xf numFmtId="165" fontId="42" fillId="3" borderId="19" xfId="1" applyNumberFormat="1" applyFont="1" applyFill="1" applyBorder="1" applyAlignment="1">
      <alignment horizontal="center" vertical="center" wrapText="1"/>
    </xf>
    <xf numFmtId="0" fontId="42" fillId="5" borderId="23" xfId="0" applyFont="1" applyFill="1" applyBorder="1" applyAlignment="1">
      <alignment horizontal="center" vertical="center" wrapText="1"/>
    </xf>
    <xf numFmtId="0" fontId="42" fillId="5" borderId="17" xfId="0" applyFont="1" applyFill="1" applyBorder="1" applyAlignment="1">
      <alignment horizontal="center" vertical="center" wrapText="1"/>
    </xf>
    <xf numFmtId="164" fontId="14" fillId="0" borderId="0" xfId="1" applyNumberFormat="1" applyFont="1" applyAlignment="1">
      <alignment horizontal="center" vertical="center" wrapText="1"/>
    </xf>
    <xf numFmtId="164" fontId="92" fillId="0" borderId="26" xfId="1" applyNumberFormat="1" applyFont="1" applyBorder="1" applyAlignment="1">
      <alignment horizontal="center"/>
    </xf>
    <xf numFmtId="164" fontId="92" fillId="0" borderId="1" xfId="1" applyNumberFormat="1" applyFont="1" applyBorder="1" applyAlignment="1">
      <alignment horizontal="center"/>
    </xf>
    <xf numFmtId="0" fontId="92" fillId="0" borderId="26" xfId="0" applyFont="1" applyBorder="1" applyAlignment="1">
      <alignment horizontal="center"/>
    </xf>
    <xf numFmtId="0" fontId="92" fillId="0" borderId="1" xfId="0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6" fillId="0" borderId="4" xfId="0" applyFont="1" applyBorder="1" applyAlignment="1">
      <alignment horizontal="center"/>
    </xf>
    <xf numFmtId="0" fontId="46" fillId="0" borderId="7" xfId="0" applyFont="1" applyBorder="1" applyAlignment="1">
      <alignment horizontal="center"/>
    </xf>
    <xf numFmtId="0" fontId="46" fillId="0" borderId="5" xfId="0" applyFont="1" applyBorder="1" applyAlignment="1">
      <alignment horizontal="center"/>
    </xf>
    <xf numFmtId="0" fontId="11" fillId="0" borderId="33" xfId="0" applyFont="1" applyBorder="1" applyAlignment="1">
      <alignment horizontal="left" vertical="center" wrapText="1"/>
    </xf>
    <xf numFmtId="0" fontId="11" fillId="0" borderId="80" xfId="0" applyFont="1" applyBorder="1" applyAlignment="1">
      <alignment horizontal="left" vertical="center" wrapText="1"/>
    </xf>
    <xf numFmtId="0" fontId="11" fillId="0" borderId="62" xfId="0" applyFont="1" applyBorder="1" applyAlignment="1">
      <alignment horizontal="left" vertical="center" wrapText="1"/>
    </xf>
    <xf numFmtId="0" fontId="11" fillId="0" borderId="34" xfId="0" applyFont="1" applyBorder="1" applyAlignment="1">
      <alignment horizontal="left" vertical="center" wrapText="1"/>
    </xf>
    <xf numFmtId="0" fontId="11" fillId="0" borderId="68" xfId="0" applyFont="1" applyBorder="1" applyAlignment="1">
      <alignment horizontal="left" vertical="center" wrapText="1"/>
    </xf>
    <xf numFmtId="0" fontId="11" fillId="0" borderId="5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1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6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65" xfId="0" applyFont="1" applyBorder="1" applyAlignment="1">
      <alignment horizontal="center" vertical="center" wrapText="1"/>
    </xf>
    <xf numFmtId="0" fontId="66" fillId="0" borderId="0" xfId="0" applyFont="1" applyBorder="1" applyAlignment="1">
      <alignment horizontal="center"/>
    </xf>
    <xf numFmtId="0" fontId="5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90" fillId="0" borderId="36" xfId="0" applyFont="1" applyBorder="1" applyAlignment="1">
      <alignment horizontal="center" vertical="center" wrapText="1"/>
    </xf>
    <xf numFmtId="0" fontId="90" fillId="0" borderId="15" xfId="0" applyFont="1" applyBorder="1" applyAlignment="1">
      <alignment horizontal="center" vertical="center" wrapText="1"/>
    </xf>
    <xf numFmtId="41" fontId="90" fillId="0" borderId="1" xfId="2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0" fillId="0" borderId="90" xfId="0" applyFont="1" applyBorder="1" applyAlignment="1">
      <alignment horizontal="center" vertical="center"/>
    </xf>
    <xf numFmtId="0" fontId="90" fillId="0" borderId="48" xfId="0" applyFont="1" applyBorder="1" applyAlignment="1">
      <alignment horizontal="center" vertical="center"/>
    </xf>
    <xf numFmtId="0" fontId="90" fillId="0" borderId="55" xfId="0" applyFont="1" applyBorder="1" applyAlignment="1">
      <alignment horizontal="center" vertical="center"/>
    </xf>
    <xf numFmtId="0" fontId="90" fillId="0" borderId="30" xfId="0" applyFont="1" applyBorder="1" applyAlignment="1">
      <alignment horizontal="center" vertical="center" wrapText="1"/>
    </xf>
    <xf numFmtId="0" fontId="90" fillId="0" borderId="37" xfId="0" applyFont="1" applyBorder="1" applyAlignment="1">
      <alignment horizontal="center" vertical="center" wrapText="1"/>
    </xf>
    <xf numFmtId="0" fontId="90" fillId="0" borderId="3" xfId="0" applyFont="1" applyBorder="1" applyAlignment="1">
      <alignment horizontal="center" vertical="center" wrapText="1"/>
    </xf>
    <xf numFmtId="9" fontId="90" fillId="0" borderId="30" xfId="3" applyNumberFormat="1" applyFont="1" applyBorder="1" applyAlignment="1">
      <alignment horizontal="center" vertical="center" wrapText="1"/>
    </xf>
    <xf numFmtId="9" fontId="90" fillId="0" borderId="37" xfId="3" applyNumberFormat="1" applyFont="1" applyBorder="1" applyAlignment="1">
      <alignment horizontal="center" vertical="center" wrapText="1"/>
    </xf>
    <xf numFmtId="9" fontId="90" fillId="0" borderId="3" xfId="3" applyNumberFormat="1" applyFont="1" applyBorder="1" applyAlignment="1">
      <alignment horizontal="center" vertical="center" wrapText="1"/>
    </xf>
    <xf numFmtId="0" fontId="90" fillId="0" borderId="39" xfId="0" applyFont="1" applyBorder="1" applyAlignment="1">
      <alignment horizontal="center" vertical="center" wrapText="1"/>
    </xf>
    <xf numFmtId="0" fontId="90" fillId="0" borderId="54" xfId="0" applyFont="1" applyBorder="1" applyAlignment="1">
      <alignment horizontal="center" vertical="center" wrapText="1"/>
    </xf>
    <xf numFmtId="0" fontId="90" fillId="0" borderId="40" xfId="0" applyFont="1" applyBorder="1" applyAlignment="1">
      <alignment horizontal="center" vertical="center" wrapText="1"/>
    </xf>
    <xf numFmtId="0" fontId="90" fillId="0" borderId="49" xfId="0" applyFont="1" applyBorder="1" applyAlignment="1">
      <alignment horizontal="center" vertical="center" wrapText="1"/>
    </xf>
    <xf numFmtId="0" fontId="90" fillId="0" borderId="0" xfId="0" applyFont="1" applyBorder="1" applyAlignment="1">
      <alignment horizontal="center" vertical="center" wrapText="1"/>
    </xf>
    <xf numFmtId="0" fontId="90" fillId="0" borderId="56" xfId="0" applyFont="1" applyBorder="1" applyAlignment="1">
      <alignment horizontal="center" vertical="center" wrapText="1"/>
    </xf>
    <xf numFmtId="0" fontId="90" fillId="0" borderId="17" xfId="0" applyFont="1" applyBorder="1" applyAlignment="1">
      <alignment horizontal="center"/>
    </xf>
    <xf numFmtId="0" fontId="90" fillId="0" borderId="18" xfId="0" applyFont="1" applyBorder="1" applyAlignment="1">
      <alignment horizontal="center"/>
    </xf>
    <xf numFmtId="0" fontId="58" fillId="0" borderId="0" xfId="0" applyFont="1" applyBorder="1" applyAlignment="1">
      <alignment horizontal="center"/>
    </xf>
    <xf numFmtId="0" fontId="58" fillId="0" borderId="93" xfId="0" applyFont="1" applyBorder="1" applyAlignment="1">
      <alignment horizontal="center" wrapText="1"/>
    </xf>
    <xf numFmtId="0" fontId="58" fillId="0" borderId="41" xfId="0" applyFont="1" applyBorder="1" applyAlignment="1">
      <alignment horizontal="center" wrapText="1"/>
    </xf>
    <xf numFmtId="0" fontId="58" fillId="0" borderId="57" xfId="0" applyFont="1" applyBorder="1" applyAlignment="1">
      <alignment horizontal="center" wrapText="1"/>
    </xf>
    <xf numFmtId="0" fontId="58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 wrapText="1"/>
    </xf>
    <xf numFmtId="164" fontId="29" fillId="0" borderId="0" xfId="0" applyNumberFormat="1" applyFont="1" applyBorder="1" applyAlignment="1">
      <alignment horizontal="center"/>
    </xf>
    <xf numFmtId="41" fontId="29" fillId="0" borderId="0" xfId="0" applyNumberFormat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41" fontId="32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41" fontId="29" fillId="0" borderId="0" xfId="0" applyNumberFormat="1" applyFont="1" applyBorder="1" applyAlignment="1">
      <alignment horizontal="center" wrapText="1"/>
    </xf>
    <xf numFmtId="0" fontId="20" fillId="0" borderId="4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41" fontId="32" fillId="0" borderId="0" xfId="0" applyNumberFormat="1" applyFont="1" applyBorder="1" applyAlignment="1">
      <alignment horizontal="center" wrapText="1"/>
    </xf>
    <xf numFmtId="41" fontId="29" fillId="0" borderId="0" xfId="2" applyFont="1" applyBorder="1" applyAlignment="1">
      <alignment horizontal="center" wrapText="1"/>
    </xf>
    <xf numFmtId="164" fontId="58" fillId="0" borderId="0" xfId="0" applyNumberFormat="1" applyFont="1" applyBorder="1" applyAlignment="1">
      <alignment horizontal="center" wrapText="1"/>
    </xf>
    <xf numFmtId="0" fontId="32" fillId="0" borderId="0" xfId="0" applyFont="1" applyBorder="1" applyAlignment="1">
      <alignment horizontal="center" wrapText="1"/>
    </xf>
    <xf numFmtId="41" fontId="32" fillId="0" borderId="0" xfId="2" applyFont="1" applyBorder="1" applyAlignment="1">
      <alignment horizontal="center" wrapText="1"/>
    </xf>
    <xf numFmtId="0" fontId="16" fillId="0" borderId="0" xfId="0" quotePrefix="1" applyFont="1" applyBorder="1" applyAlignment="1">
      <alignment horizontal="center"/>
    </xf>
    <xf numFmtId="0" fontId="29" fillId="0" borderId="0" xfId="0" applyFont="1" applyBorder="1" applyAlignment="1">
      <alignment horizontal="center" wrapText="1"/>
    </xf>
    <xf numFmtId="0" fontId="90" fillId="0" borderId="32" xfId="0" applyFont="1" applyBorder="1" applyAlignment="1">
      <alignment horizontal="center" vertical="center"/>
    </xf>
    <xf numFmtId="0" fontId="90" fillId="0" borderId="41" xfId="0" applyFont="1" applyBorder="1" applyAlignment="1">
      <alignment horizontal="center" vertical="center"/>
    </xf>
    <xf numFmtId="41" fontId="90" fillId="0" borderId="32" xfId="2" applyFont="1" applyBorder="1" applyAlignment="1">
      <alignment horizontal="center" vertical="center"/>
    </xf>
    <xf numFmtId="41" fontId="90" fillId="0" borderId="41" xfId="2" applyFont="1" applyBorder="1" applyAlignment="1">
      <alignment horizontal="center" vertical="center"/>
    </xf>
    <xf numFmtId="0" fontId="29" fillId="2" borderId="0" xfId="0" applyFont="1" applyFill="1" applyBorder="1" applyAlignment="1">
      <alignment horizontal="left" wrapText="1"/>
    </xf>
    <xf numFmtId="41" fontId="32" fillId="2" borderId="0" xfId="0" applyNumberFormat="1" applyFont="1" applyFill="1" applyBorder="1" applyAlignment="1">
      <alignment horizontal="center" wrapText="1"/>
    </xf>
    <xf numFmtId="0" fontId="35" fillId="2" borderId="87" xfId="0" applyFont="1" applyFill="1" applyBorder="1" applyAlignment="1">
      <alignment horizontal="center"/>
    </xf>
    <xf numFmtId="0" fontId="35" fillId="2" borderId="88" xfId="0" applyFont="1" applyFill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164" fontId="66" fillId="0" borderId="0" xfId="1" applyNumberFormat="1" applyFont="1" applyAlignment="1">
      <alignment horizontal="center"/>
    </xf>
    <xf numFmtId="0" fontId="3" fillId="0" borderId="31" xfId="0" applyFont="1" applyBorder="1" applyAlignment="1">
      <alignment horizontal="center" wrapText="1"/>
    </xf>
    <xf numFmtId="0" fontId="61" fillId="2" borderId="10" xfId="0" applyFont="1" applyFill="1" applyBorder="1" applyAlignment="1">
      <alignment horizontal="center" vertical="center" wrapText="1"/>
    </xf>
    <xf numFmtId="0" fontId="61" fillId="2" borderId="51" xfId="0" applyFont="1" applyFill="1" applyBorder="1" applyAlignment="1">
      <alignment horizontal="center" vertical="center" wrapText="1"/>
    </xf>
    <xf numFmtId="0" fontId="61" fillId="2" borderId="85" xfId="0" applyFont="1" applyFill="1" applyBorder="1" applyAlignment="1">
      <alignment horizontal="center" vertical="center" wrapText="1"/>
    </xf>
    <xf numFmtId="0" fontId="61" fillId="2" borderId="52" xfId="0" applyFont="1" applyFill="1" applyBorder="1" applyAlignment="1">
      <alignment horizontal="center" vertical="center" wrapText="1"/>
    </xf>
    <xf numFmtId="164" fontId="61" fillId="2" borderId="24" xfId="1" applyNumberFormat="1" applyFont="1" applyFill="1" applyBorder="1" applyAlignment="1">
      <alignment horizontal="center" vertical="center"/>
    </xf>
    <xf numFmtId="165" fontId="61" fillId="2" borderId="86" xfId="1" applyNumberFormat="1" applyFont="1" applyFill="1" applyBorder="1" applyAlignment="1">
      <alignment horizontal="center" vertical="center" wrapText="1"/>
    </xf>
    <xf numFmtId="165" fontId="61" fillId="2" borderId="53" xfId="1" applyNumberFormat="1" applyFont="1" applyFill="1" applyBorder="1" applyAlignment="1">
      <alignment horizontal="center" vertical="center" wrapText="1"/>
    </xf>
    <xf numFmtId="0" fontId="84" fillId="0" borderId="0" xfId="5" applyFont="1" applyFill="1" applyAlignment="1">
      <alignment horizontal="center" vertical="center"/>
    </xf>
    <xf numFmtId="0" fontId="83" fillId="0" borderId="0" xfId="5" applyFont="1" applyFill="1" applyAlignment="1">
      <alignment horizontal="center" vertical="center"/>
    </xf>
    <xf numFmtId="0" fontId="86" fillId="2" borderId="26" xfId="0" applyFont="1" applyFill="1" applyBorder="1" applyAlignment="1">
      <alignment horizontal="center" wrapText="1"/>
    </xf>
    <xf numFmtId="0" fontId="86" fillId="2" borderId="1" xfId="0" applyFont="1" applyFill="1" applyBorder="1" applyAlignment="1">
      <alignment horizontal="center" wrapText="1"/>
    </xf>
    <xf numFmtId="0" fontId="66" fillId="0" borderId="17" xfId="0" applyFont="1" applyBorder="1" applyAlignment="1">
      <alignment horizontal="center" wrapText="1"/>
    </xf>
    <xf numFmtId="0" fontId="66" fillId="0" borderId="18" xfId="0" applyFont="1" applyBorder="1" applyAlignment="1">
      <alignment horizontal="center" wrapText="1"/>
    </xf>
    <xf numFmtId="0" fontId="88" fillId="2" borderId="26" xfId="0" applyFont="1" applyFill="1" applyBorder="1" applyAlignment="1">
      <alignment horizontal="center" vertical="center" wrapText="1"/>
    </xf>
    <xf numFmtId="0" fontId="88" fillId="2" borderId="1" xfId="0" applyFont="1" applyFill="1" applyBorder="1" applyAlignment="1">
      <alignment horizontal="center" vertical="center" wrapText="1"/>
    </xf>
    <xf numFmtId="0" fontId="56" fillId="0" borderId="0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/>
    </xf>
    <xf numFmtId="0" fontId="86" fillId="0" borderId="1" xfId="0" applyFont="1" applyBorder="1" applyAlignment="1">
      <alignment horizontal="center" wrapText="1"/>
    </xf>
    <xf numFmtId="0" fontId="86" fillId="2" borderId="12" xfId="0" applyFont="1" applyFill="1" applyBorder="1" applyAlignment="1">
      <alignment horizontal="center" wrapText="1"/>
    </xf>
    <xf numFmtId="0" fontId="31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81" fillId="0" borderId="0" xfId="0" applyFont="1" applyAlignment="1">
      <alignment horizontal="center"/>
    </xf>
    <xf numFmtId="0" fontId="66" fillId="2" borderId="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0" fontId="55" fillId="2" borderId="1" xfId="0" applyFont="1" applyFill="1" applyBorder="1" applyAlignment="1">
      <alignment horizontal="center" wrapText="1"/>
    </xf>
    <xf numFmtId="0" fontId="42" fillId="0" borderId="4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5" xfId="0" applyFont="1" applyBorder="1" applyAlignment="1">
      <alignment horizontal="center"/>
    </xf>
    <xf numFmtId="9" fontId="7" fillId="0" borderId="0" xfId="3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Alignment="1">
      <alignment horizontal="center"/>
    </xf>
    <xf numFmtId="0" fontId="19" fillId="0" borderId="24" xfId="0" applyFont="1" applyBorder="1" applyAlignment="1">
      <alignment horizontal="center" vertical="center"/>
    </xf>
    <xf numFmtId="9" fontId="19" fillId="0" borderId="42" xfId="3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164" fontId="42" fillId="2" borderId="1" xfId="1" applyNumberFormat="1" applyFont="1" applyFill="1" applyBorder="1"/>
    <xf numFmtId="1" fontId="77" fillId="0" borderId="37" xfId="0" applyNumberFormat="1" applyFont="1" applyBorder="1" applyAlignment="1">
      <alignment horizontal="center" wrapText="1"/>
    </xf>
    <xf numFmtId="164" fontId="33" fillId="0" borderId="2" xfId="0" applyNumberFormat="1" applyFont="1" applyBorder="1" applyAlignment="1">
      <alignment horizontal="center"/>
    </xf>
  </cellXfs>
  <cellStyles count="7">
    <cellStyle name="Comma" xfId="1" builtinId="3"/>
    <cellStyle name="Comma [0]" xfId="2" builtinId="6"/>
    <cellStyle name="Excel Built-in Normal" xfId="6"/>
    <cellStyle name="Normal" xfId="0" builtinId="0"/>
    <cellStyle name="Normal 2" xfId="5"/>
    <cellStyle name="Normal 5" xfId="4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I%20BO%20NANOMILK/NanoMilk_29.11_Ba&#777;ng%20to&#770;&#777;ng%20ho&#795;&#803;p%20doanh%20thu,%20chi%20phi&#76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OI%20BO%20NANOMILK/B&#7843;ng%20t&#7893;ng%20h&#7907;p%20Doanh%20Thu,%20Chi%20Ph&#237;%20Nanomilk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SCBNV"/>
      <sheetName val="Số TK"/>
      <sheetName val="NCC"/>
      <sheetName val="Mã SP"/>
      <sheetName val="Vốn L1-20.11"/>
      <sheetName val="DS ĐLý"/>
      <sheetName val="DTT7"/>
      <sheetName val="DTT8"/>
      <sheetName val="DTT9"/>
      <sheetName val="DTT10"/>
      <sheetName val="DTT11"/>
      <sheetName val="DTT12"/>
      <sheetName val="Tổng hợp DTBH"/>
      <sheetName val="Công nợ 29.2.2020"/>
      <sheetName val="Giá vốn"/>
      <sheetName val="Thu khác"/>
      <sheetName val="CP nhập hàng"/>
      <sheetName val="CP lương"/>
      <sheetName val="Chi phí khác "/>
      <sheetName val="Các khoản Thu chi T12"/>
      <sheetName val="TH Kết quả Kinh doanh 29.02.20"/>
      <sheetName val="Thu chi thực te từ T5-&gt; 31.1220"/>
      <sheetName val="Tổng thu chi T5-&gt; 29.11"/>
      <sheetName val="Tổng thu chi 20.8-&gt;29.11"/>
      <sheetName val="Hợp thức hóa CP"/>
      <sheetName val="TH nhập hàng"/>
      <sheetName val="Nhập"/>
      <sheetName val="Xuất"/>
      <sheetName val="Tồn"/>
      <sheetName val="Hàng trả lại"/>
      <sheetName val="Tiền hàng Lan T9,10"/>
      <sheetName val="Tiền hàng Tâm T9,10"/>
      <sheetName val="Tiền hàng Sơn T9,10"/>
      <sheetName val="Tiền hàng A Sơn, Tâm, Long T11"/>
      <sheetName val="Tiền hàng Sơn, Tâm T12"/>
      <sheetName val="CP n.viên ứng T10"/>
      <sheetName val="CP n.viên ứng T9"/>
      <sheetName val="Tiền hàng Long chưa TT"/>
      <sheetName val="Long đóng CP"/>
      <sheetName val="Long chi tạm ứng từ 20.8"/>
      <sheetName val="Tiền thực phẩm Tâm T11"/>
      <sheetName val="A Lâm Chi tạm ứng từ 20.8 "/>
      <sheetName val="Quà 2-9"/>
      <sheetName val="Công T8"/>
      <sheetName val="Lương T12"/>
      <sheetName val="Tất toán lương T9+T10"/>
      <sheetName val="Lương T11"/>
      <sheetName val="Lương T10"/>
      <sheetName val="Lương T9"/>
      <sheetName val="Lương t.lĩnh T8"/>
      <sheetName val="Lương VVNH T8"/>
      <sheetName val="Hùng ứng chi cty T8, T9"/>
      <sheetName val="Hùng đóng CP"/>
      <sheetName val="T.toán công nợ Nam"/>
      <sheetName val="T.toán công nợ Hà"/>
      <sheetName val="T.toán Công nợ a Son T8"/>
      <sheetName val="Chi phí trang bị cho ĐL"/>
      <sheetName val="Cấp phát VPP"/>
      <sheetName val="Tạm ứng lương"/>
    </sheetNames>
    <sheetDataSet>
      <sheetData sheetId="0"/>
      <sheetData sheetId="1"/>
      <sheetData sheetId="2"/>
      <sheetData sheetId="3"/>
      <sheetData sheetId="4"/>
      <sheetData sheetId="5"/>
      <sheetData sheetId="6">
        <row r="63">
          <cell r="H63">
            <v>213</v>
          </cell>
        </row>
        <row r="64">
          <cell r="L64">
            <v>35944200</v>
          </cell>
        </row>
        <row r="65">
          <cell r="L65">
            <v>13346750.000000002</v>
          </cell>
        </row>
        <row r="66">
          <cell r="L66">
            <v>5061200</v>
          </cell>
        </row>
      </sheetData>
      <sheetData sheetId="7">
        <row r="119">
          <cell r="H119">
            <v>714</v>
          </cell>
          <cell r="N119">
            <v>25316750</v>
          </cell>
          <cell r="P119">
            <v>56911900</v>
          </cell>
          <cell r="R119">
            <v>87508050</v>
          </cell>
        </row>
      </sheetData>
      <sheetData sheetId="8">
        <row r="117">
          <cell r="H117">
            <v>1234</v>
          </cell>
        </row>
        <row r="118">
          <cell r="L118">
            <v>13070600</v>
          </cell>
        </row>
        <row r="119">
          <cell r="L119">
            <v>24742200</v>
          </cell>
        </row>
        <row r="120">
          <cell r="L120">
            <v>238316100</v>
          </cell>
        </row>
      </sheetData>
      <sheetData sheetId="9">
        <row r="181">
          <cell r="H181">
            <v>1401</v>
          </cell>
          <cell r="N181">
            <v>6974300</v>
          </cell>
          <cell r="P181">
            <v>26192050</v>
          </cell>
          <cell r="R181">
            <v>302936100</v>
          </cell>
        </row>
      </sheetData>
      <sheetData sheetId="10">
        <row r="157">
          <cell r="H157">
            <v>1319</v>
          </cell>
          <cell r="N157">
            <v>3960600</v>
          </cell>
          <cell r="P157">
            <v>1357500</v>
          </cell>
          <cell r="R157">
            <v>349931000</v>
          </cell>
        </row>
      </sheetData>
      <sheetData sheetId="11">
        <row r="101">
          <cell r="H101">
            <v>754</v>
          </cell>
          <cell r="L101">
            <v>187358750</v>
          </cell>
          <cell r="N101">
            <v>13427300</v>
          </cell>
          <cell r="P101">
            <v>17207800</v>
          </cell>
          <cell r="R101">
            <v>156723650.00000003</v>
          </cell>
        </row>
      </sheetData>
      <sheetData sheetId="12">
        <row r="14">
          <cell r="C14">
            <v>1627</v>
          </cell>
          <cell r="D14">
            <v>3413150.0000000005</v>
          </cell>
          <cell r="E14">
            <v>0</v>
          </cell>
          <cell r="F14">
            <v>446136850</v>
          </cell>
        </row>
      </sheetData>
      <sheetData sheetId="13"/>
      <sheetData sheetId="14"/>
      <sheetData sheetId="15"/>
      <sheetData sheetId="16"/>
      <sheetData sheetId="17"/>
      <sheetData sheetId="18"/>
      <sheetData sheetId="19">
        <row r="101">
          <cell r="G101">
            <v>10160000</v>
          </cell>
        </row>
      </sheetData>
      <sheetData sheetId="20"/>
      <sheetData sheetId="21">
        <row r="275">
          <cell r="F275">
            <v>200000000</v>
          </cell>
        </row>
        <row r="276">
          <cell r="F276">
            <v>140000000</v>
          </cell>
        </row>
        <row r="277">
          <cell r="F277">
            <v>80000000</v>
          </cell>
        </row>
        <row r="278">
          <cell r="F278">
            <v>100000000</v>
          </cell>
        </row>
        <row r="279">
          <cell r="F279">
            <v>30000000</v>
          </cell>
        </row>
        <row r="280">
          <cell r="F280">
            <v>232000000</v>
          </cell>
        </row>
        <row r="281">
          <cell r="F281">
            <v>35000000</v>
          </cell>
        </row>
        <row r="282">
          <cell r="F282">
            <v>50000000</v>
          </cell>
        </row>
      </sheetData>
      <sheetData sheetId="22"/>
      <sheetData sheetId="23"/>
      <sheetData sheetId="24"/>
      <sheetData sheetId="25"/>
      <sheetData sheetId="26"/>
      <sheetData sheetId="27">
        <row r="9">
          <cell r="S9">
            <v>391</v>
          </cell>
        </row>
        <row r="10">
          <cell r="S10">
            <v>1193</v>
          </cell>
        </row>
        <row r="11">
          <cell r="S11">
            <v>263</v>
          </cell>
        </row>
        <row r="12">
          <cell r="S12">
            <v>1113</v>
          </cell>
        </row>
        <row r="13">
          <cell r="S13">
            <v>81</v>
          </cell>
        </row>
        <row r="14">
          <cell r="S14">
            <v>815</v>
          </cell>
        </row>
        <row r="15">
          <cell r="S15">
            <v>76</v>
          </cell>
        </row>
        <row r="16">
          <cell r="S16">
            <v>402</v>
          </cell>
        </row>
        <row r="17">
          <cell r="S17">
            <v>1185</v>
          </cell>
        </row>
        <row r="18">
          <cell r="S18">
            <v>108</v>
          </cell>
        </row>
        <row r="19">
          <cell r="S19">
            <v>1259</v>
          </cell>
        </row>
        <row r="20">
          <cell r="S20">
            <v>803</v>
          </cell>
        </row>
        <row r="21">
          <cell r="S21">
            <v>584</v>
          </cell>
        </row>
        <row r="22">
          <cell r="S22">
            <v>656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0">
          <cell r="H10">
            <v>2130000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TT1"/>
      <sheetName val="DTT2"/>
      <sheetName val="DTT3"/>
      <sheetName val="Khách trả lại hàng T1"/>
      <sheetName val="Khách trả lại hàng T2"/>
      <sheetName val="Khách hàng trả lại hàng tháng 3"/>
      <sheetName val="Nhập hàng"/>
      <sheetName val="Thu Chi T1"/>
      <sheetName val="Lương T1"/>
      <sheetName val="Tiền hàng Tâm T1"/>
      <sheetName val="Lương T2"/>
      <sheetName val="Tiền hàng Tâm T2"/>
      <sheetName val="Tiền hàng Sơn CTV T2"/>
      <sheetName val="Tổng hợp tiền góp vốn cổ phần"/>
      <sheetName val="Tổng hợp Thu Chi"/>
      <sheetName val="Thu Chi Năm 2020"/>
      <sheetName val="Theo dõi áo cốc Nanomilk"/>
      <sheetName val="Sheet3"/>
      <sheetName val="Sheet4"/>
    </sheetNames>
    <sheetDataSet>
      <sheetData sheetId="0">
        <row r="107">
          <cell r="H107">
            <v>1627</v>
          </cell>
          <cell r="L107">
            <v>449550000</v>
          </cell>
          <cell r="N107">
            <v>3413150.0000000005</v>
          </cell>
          <cell r="R107">
            <v>446136850</v>
          </cell>
        </row>
      </sheetData>
      <sheetData sheetId="1">
        <row r="93">
          <cell r="H93">
            <v>1290</v>
          </cell>
          <cell r="L93">
            <v>356053050</v>
          </cell>
          <cell r="N93">
            <v>12841450.000000002</v>
          </cell>
          <cell r="P93">
            <v>9261250</v>
          </cell>
          <cell r="R93">
            <v>333950350</v>
          </cell>
        </row>
      </sheetData>
      <sheetData sheetId="2">
        <row r="55">
          <cell r="N55">
            <v>0</v>
          </cell>
          <cell r="P55">
            <v>0</v>
          </cell>
          <cell r="R55">
            <v>101905150</v>
          </cell>
        </row>
        <row r="56">
          <cell r="H56">
            <v>377</v>
          </cell>
          <cell r="L56">
            <v>101905150</v>
          </cell>
        </row>
      </sheetData>
      <sheetData sheetId="3"/>
      <sheetData sheetId="4"/>
      <sheetData sheetId="5"/>
      <sheetData sheetId="6">
        <row r="8">
          <cell r="G8">
            <v>49500000</v>
          </cell>
        </row>
        <row r="9">
          <cell r="G9">
            <v>49500000</v>
          </cell>
        </row>
        <row r="10">
          <cell r="G10">
            <v>18150000</v>
          </cell>
        </row>
        <row r="11">
          <cell r="G11">
            <v>16500000</v>
          </cell>
        </row>
        <row r="12">
          <cell r="E12">
            <v>240</v>
          </cell>
          <cell r="G12">
            <v>33000000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1"/>
  <sheetViews>
    <sheetView topLeftCell="A49" zoomScaleNormal="100" workbookViewId="0">
      <selection activeCell="N62" sqref="N62:R62"/>
    </sheetView>
  </sheetViews>
  <sheetFormatPr defaultRowHeight="15"/>
  <cols>
    <col min="1" max="1" width="5.140625" customWidth="1"/>
    <col min="2" max="2" width="6.28515625" customWidth="1"/>
    <col min="4" max="4" width="13" customWidth="1"/>
    <col min="5" max="5" width="10.85546875" customWidth="1"/>
    <col min="7" max="7" width="6.85546875" customWidth="1"/>
    <col min="8" max="8" width="4.85546875" customWidth="1"/>
    <col min="9" max="9" width="9.28515625" bestFit="1" customWidth="1"/>
    <col min="10" max="10" width="14.42578125" bestFit="1" customWidth="1"/>
    <col min="11" max="11" width="5.7109375" customWidth="1"/>
    <col min="12" max="12" width="14.85546875" bestFit="1" customWidth="1"/>
    <col min="13" max="13" width="9.28515625" bestFit="1" customWidth="1"/>
    <col min="14" max="14" width="14.85546875" bestFit="1" customWidth="1"/>
    <col min="16" max="16" width="14.7109375" bestFit="1" customWidth="1"/>
    <col min="17" max="17" width="9.28515625" bestFit="1" customWidth="1"/>
  </cols>
  <sheetData>
    <row r="1" spans="1:19" ht="16.5">
      <c r="A1" s="4" t="s">
        <v>0</v>
      </c>
      <c r="B1" s="4"/>
      <c r="C1" s="6"/>
      <c r="D1" s="8"/>
      <c r="E1" s="6"/>
      <c r="F1" s="6"/>
      <c r="G1" s="1"/>
      <c r="H1" s="1"/>
      <c r="I1" s="1623" t="s">
        <v>1</v>
      </c>
      <c r="J1" s="1623"/>
      <c r="K1" s="1623"/>
      <c r="L1" s="1623"/>
      <c r="M1" s="1623"/>
      <c r="N1" s="1623"/>
      <c r="O1" s="1623"/>
      <c r="P1" s="1623"/>
      <c r="Q1" s="1623"/>
      <c r="R1" s="1623"/>
      <c r="S1" s="1623"/>
    </row>
    <row r="2" spans="1:19" ht="15.75">
      <c r="A2" s="5" t="s">
        <v>2</v>
      </c>
      <c r="B2" s="5"/>
      <c r="C2" s="7"/>
      <c r="D2" s="9"/>
      <c r="E2" s="7"/>
      <c r="F2" s="7"/>
      <c r="G2" s="1"/>
      <c r="H2" s="1"/>
      <c r="I2" s="1624" t="s">
        <v>3</v>
      </c>
      <c r="J2" s="1624"/>
      <c r="K2" s="1624"/>
      <c r="L2" s="1624"/>
      <c r="M2" s="1624"/>
      <c r="N2" s="1624"/>
      <c r="O2" s="1624"/>
      <c r="P2" s="1624"/>
      <c r="Q2" s="1624"/>
      <c r="R2" s="1624"/>
      <c r="S2" s="1624"/>
    </row>
    <row r="3" spans="1:19" ht="15.75">
      <c r="A3" s="5"/>
      <c r="B3" s="5"/>
      <c r="C3" s="7"/>
      <c r="D3" s="9"/>
      <c r="E3" s="7"/>
      <c r="F3" s="7"/>
      <c r="G3" s="1"/>
      <c r="H3" s="1"/>
      <c r="I3" s="1"/>
      <c r="J3" s="1"/>
      <c r="K3" s="11"/>
      <c r="L3" s="11"/>
      <c r="M3" s="11"/>
      <c r="N3" s="11"/>
      <c r="O3" s="11"/>
      <c r="P3" s="11"/>
      <c r="Q3" s="11"/>
      <c r="R3" s="18"/>
      <c r="S3" s="12"/>
    </row>
    <row r="4" spans="1:19" ht="20.25">
      <c r="A4" s="1625" t="s">
        <v>4</v>
      </c>
      <c r="B4" s="1625"/>
      <c r="C4" s="1625"/>
      <c r="D4" s="1625"/>
      <c r="E4" s="1625"/>
      <c r="F4" s="1625"/>
      <c r="G4" s="1625"/>
      <c r="H4" s="1625"/>
      <c r="I4" s="1625"/>
      <c r="J4" s="1625"/>
      <c r="K4" s="1625"/>
      <c r="L4" s="1625"/>
      <c r="M4" s="1625"/>
      <c r="N4" s="1625"/>
      <c r="O4" s="1625"/>
      <c r="P4" s="1625"/>
      <c r="Q4" s="1625"/>
      <c r="R4" s="1625"/>
      <c r="S4" s="1625"/>
    </row>
    <row r="5" spans="1:19">
      <c r="A5" s="1626" t="s">
        <v>5</v>
      </c>
      <c r="B5" s="1626"/>
      <c r="C5" s="1626"/>
      <c r="D5" s="1626"/>
      <c r="E5" s="1626"/>
      <c r="F5" s="1626"/>
      <c r="G5" s="1626"/>
      <c r="H5" s="1626"/>
      <c r="I5" s="1626"/>
      <c r="J5" s="1626"/>
      <c r="K5" s="1626"/>
      <c r="L5" s="1626"/>
      <c r="M5" s="1626"/>
      <c r="N5" s="1626"/>
      <c r="O5" s="1626"/>
      <c r="P5" s="1626"/>
      <c r="Q5" s="1626"/>
      <c r="R5" s="1626"/>
      <c r="S5" s="1626"/>
    </row>
    <row r="6" spans="1:19" ht="15.75" thickBo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15.75" thickTop="1">
      <c r="A7" s="1627" t="s">
        <v>6</v>
      </c>
      <c r="B7" s="1629" t="s">
        <v>7</v>
      </c>
      <c r="C7" s="1629" t="s">
        <v>8</v>
      </c>
      <c r="D7" s="1629" t="s">
        <v>9</v>
      </c>
      <c r="E7" s="1629"/>
      <c r="F7" s="1629"/>
      <c r="G7" s="1631" t="s">
        <v>10</v>
      </c>
      <c r="H7" s="1632"/>
      <c r="I7" s="1632"/>
      <c r="J7" s="1632"/>
      <c r="K7" s="1633"/>
      <c r="L7" s="1634" t="s">
        <v>11</v>
      </c>
      <c r="M7" s="1636" t="s">
        <v>12</v>
      </c>
      <c r="N7" s="1637"/>
      <c r="O7" s="1637"/>
      <c r="P7" s="1637"/>
      <c r="Q7" s="1637"/>
      <c r="R7" s="1638"/>
      <c r="S7" s="1640" t="s">
        <v>13</v>
      </c>
    </row>
    <row r="8" spans="1:19" ht="45">
      <c r="A8" s="1628"/>
      <c r="B8" s="1630"/>
      <c r="C8" s="1630"/>
      <c r="D8" s="13" t="s">
        <v>14</v>
      </c>
      <c r="E8" s="13" t="s">
        <v>15</v>
      </c>
      <c r="F8" s="13" t="s">
        <v>16</v>
      </c>
      <c r="G8" s="13" t="s">
        <v>17</v>
      </c>
      <c r="H8" s="13" t="s">
        <v>18</v>
      </c>
      <c r="I8" s="13" t="s">
        <v>19</v>
      </c>
      <c r="J8" s="13" t="s">
        <v>20</v>
      </c>
      <c r="K8" s="13" t="s">
        <v>21</v>
      </c>
      <c r="L8" s="1635"/>
      <c r="M8" s="13" t="s">
        <v>22</v>
      </c>
      <c r="N8" s="13" t="s">
        <v>23</v>
      </c>
      <c r="O8" s="13" t="s">
        <v>24</v>
      </c>
      <c r="P8" s="13" t="s">
        <v>23</v>
      </c>
      <c r="Q8" s="13" t="s">
        <v>25</v>
      </c>
      <c r="R8" s="15" t="s">
        <v>23</v>
      </c>
      <c r="S8" s="1641"/>
    </row>
    <row r="9" spans="1:19" ht="28.5">
      <c r="A9" s="29">
        <v>1</v>
      </c>
      <c r="B9" s="46" t="s">
        <v>26</v>
      </c>
      <c r="C9" s="93" t="s">
        <v>27</v>
      </c>
      <c r="D9" s="31" t="s">
        <v>28</v>
      </c>
      <c r="E9" s="31"/>
      <c r="F9" s="94" t="s">
        <v>29</v>
      </c>
      <c r="G9" s="32" t="s">
        <v>30</v>
      </c>
      <c r="H9" s="112">
        <v>3</v>
      </c>
      <c r="I9" s="19">
        <v>465000</v>
      </c>
      <c r="J9" s="25">
        <v>1395000</v>
      </c>
      <c r="K9" s="33">
        <v>0.2</v>
      </c>
      <c r="L9" s="19">
        <v>1116000</v>
      </c>
      <c r="M9" s="19">
        <v>111</v>
      </c>
      <c r="N9" s="19">
        <v>9268000</v>
      </c>
      <c r="O9" s="19"/>
      <c r="P9" s="19"/>
      <c r="Q9" s="19"/>
      <c r="R9" s="19"/>
      <c r="S9" s="79" t="s">
        <v>31</v>
      </c>
    </row>
    <row r="10" spans="1:19">
      <c r="A10" s="34"/>
      <c r="B10" s="46" t="s">
        <v>26</v>
      </c>
      <c r="C10" s="93" t="s">
        <v>27</v>
      </c>
      <c r="D10" s="31" t="s">
        <v>28</v>
      </c>
      <c r="E10" s="38"/>
      <c r="F10" s="87"/>
      <c r="G10" s="28" t="s">
        <v>32</v>
      </c>
      <c r="H10" s="90">
        <v>0</v>
      </c>
      <c r="I10" s="16">
        <v>275000</v>
      </c>
      <c r="J10" s="16">
        <v>0</v>
      </c>
      <c r="K10" s="35">
        <v>0.2</v>
      </c>
      <c r="L10" s="16">
        <v>0</v>
      </c>
      <c r="M10" s="16"/>
      <c r="N10" s="16"/>
      <c r="O10" s="16"/>
      <c r="P10" s="16"/>
      <c r="Q10" s="16"/>
      <c r="R10" s="16"/>
      <c r="S10" s="79"/>
    </row>
    <row r="11" spans="1:19">
      <c r="A11" s="34"/>
      <c r="B11" s="46" t="s">
        <v>26</v>
      </c>
      <c r="C11" s="93" t="s">
        <v>27</v>
      </c>
      <c r="D11" s="31" t="s">
        <v>28</v>
      </c>
      <c r="E11" s="38"/>
      <c r="F11" s="87"/>
      <c r="G11" s="28" t="s">
        <v>33</v>
      </c>
      <c r="H11" s="90">
        <v>4</v>
      </c>
      <c r="I11" s="16">
        <v>285000</v>
      </c>
      <c r="J11" s="16">
        <v>1140000</v>
      </c>
      <c r="K11" s="35">
        <v>0.2</v>
      </c>
      <c r="L11" s="16">
        <v>912000</v>
      </c>
      <c r="M11" s="16"/>
      <c r="N11" s="16"/>
      <c r="O11" s="16"/>
      <c r="P11" s="16"/>
      <c r="Q11" s="16"/>
      <c r="R11" s="16"/>
      <c r="S11" s="37"/>
    </row>
    <row r="12" spans="1:19">
      <c r="A12" s="34"/>
      <c r="B12" s="46" t="s">
        <v>26</v>
      </c>
      <c r="C12" s="93" t="s">
        <v>27</v>
      </c>
      <c r="D12" s="31" t="s">
        <v>28</v>
      </c>
      <c r="E12" s="38"/>
      <c r="F12" s="87"/>
      <c r="G12" s="28" t="s">
        <v>34</v>
      </c>
      <c r="H12" s="90">
        <v>10</v>
      </c>
      <c r="I12" s="16">
        <v>455000</v>
      </c>
      <c r="J12" s="16">
        <v>4550000</v>
      </c>
      <c r="K12" s="35">
        <v>0.2</v>
      </c>
      <c r="L12" s="16">
        <v>3640000</v>
      </c>
      <c r="M12" s="16"/>
      <c r="N12" s="16"/>
      <c r="O12" s="16"/>
      <c r="P12" s="16"/>
      <c r="Q12" s="16"/>
      <c r="R12" s="16"/>
      <c r="S12" s="37"/>
    </row>
    <row r="13" spans="1:19">
      <c r="A13" s="34"/>
      <c r="B13" s="46" t="s">
        <v>26</v>
      </c>
      <c r="C13" s="93" t="s">
        <v>27</v>
      </c>
      <c r="D13" s="31" t="s">
        <v>28</v>
      </c>
      <c r="E13" s="38"/>
      <c r="F13" s="87"/>
      <c r="G13" s="28" t="s">
        <v>34</v>
      </c>
      <c r="H13" s="90">
        <v>2</v>
      </c>
      <c r="I13" s="16">
        <v>455000</v>
      </c>
      <c r="J13" s="16">
        <v>910000</v>
      </c>
      <c r="K13" s="35">
        <v>1</v>
      </c>
      <c r="L13" s="16">
        <v>0</v>
      </c>
      <c r="M13" s="16"/>
      <c r="N13" s="16"/>
      <c r="O13" s="16"/>
      <c r="P13" s="16"/>
      <c r="Q13" s="16"/>
      <c r="R13" s="16"/>
      <c r="S13" s="37" t="s">
        <v>35</v>
      </c>
    </row>
    <row r="14" spans="1:19">
      <c r="A14" s="34"/>
      <c r="B14" s="46" t="s">
        <v>26</v>
      </c>
      <c r="C14" s="88" t="s">
        <v>27</v>
      </c>
      <c r="D14" s="38" t="s">
        <v>28</v>
      </c>
      <c r="E14" s="38"/>
      <c r="F14" s="87"/>
      <c r="G14" s="28" t="s">
        <v>36</v>
      </c>
      <c r="H14" s="90">
        <v>10</v>
      </c>
      <c r="I14" s="16">
        <v>450000</v>
      </c>
      <c r="J14" s="16">
        <v>4500000</v>
      </c>
      <c r="K14" s="35">
        <v>0.2</v>
      </c>
      <c r="L14" s="16">
        <v>3600000</v>
      </c>
      <c r="M14" s="16"/>
      <c r="N14" s="16"/>
      <c r="O14" s="16"/>
      <c r="P14" s="16"/>
      <c r="Q14" s="16"/>
      <c r="R14" s="16"/>
      <c r="S14" s="37"/>
    </row>
    <row r="15" spans="1:19">
      <c r="A15" s="40"/>
      <c r="B15" s="46" t="s">
        <v>26</v>
      </c>
      <c r="C15" s="75" t="s">
        <v>27</v>
      </c>
      <c r="D15" s="48" t="s">
        <v>28</v>
      </c>
      <c r="E15" s="42"/>
      <c r="F15" s="95"/>
      <c r="G15" s="43" t="s">
        <v>36</v>
      </c>
      <c r="H15" s="78">
        <v>1</v>
      </c>
      <c r="I15" s="20">
        <v>450000</v>
      </c>
      <c r="J15" s="17">
        <v>450000</v>
      </c>
      <c r="K15" s="44">
        <v>1</v>
      </c>
      <c r="L15" s="20">
        <v>0</v>
      </c>
      <c r="M15" s="20"/>
      <c r="N15" s="20"/>
      <c r="O15" s="20"/>
      <c r="P15" s="20"/>
      <c r="Q15" s="20"/>
      <c r="R15" s="20"/>
      <c r="S15" s="50" t="s">
        <v>35</v>
      </c>
    </row>
    <row r="16" spans="1:19">
      <c r="A16" s="51">
        <v>2</v>
      </c>
      <c r="B16" s="54" t="s">
        <v>26</v>
      </c>
      <c r="C16" s="52" t="s">
        <v>27</v>
      </c>
      <c r="D16" s="53" t="s">
        <v>37</v>
      </c>
      <c r="E16" s="53"/>
      <c r="F16" s="86" t="s">
        <v>38</v>
      </c>
      <c r="G16" s="55" t="s">
        <v>33</v>
      </c>
      <c r="H16" s="76">
        <v>1</v>
      </c>
      <c r="I16" s="24">
        <v>285000</v>
      </c>
      <c r="J16" s="24">
        <v>285000</v>
      </c>
      <c r="K16" s="56">
        <v>0.2</v>
      </c>
      <c r="L16" s="24">
        <v>228000</v>
      </c>
      <c r="M16" s="24">
        <v>111</v>
      </c>
      <c r="N16" s="24">
        <v>228000</v>
      </c>
      <c r="O16" s="24"/>
      <c r="P16" s="24"/>
      <c r="Q16" s="24"/>
      <c r="R16" s="24"/>
      <c r="S16" s="64"/>
    </row>
    <row r="17" spans="1:19">
      <c r="A17" s="51">
        <v>3</v>
      </c>
      <c r="B17" s="54" t="s">
        <v>26</v>
      </c>
      <c r="C17" s="52" t="s">
        <v>27</v>
      </c>
      <c r="D17" s="53" t="s">
        <v>39</v>
      </c>
      <c r="E17" s="53" t="s">
        <v>40</v>
      </c>
      <c r="F17" s="86" t="s">
        <v>41</v>
      </c>
      <c r="G17" s="55" t="s">
        <v>42</v>
      </c>
      <c r="H17" s="76">
        <v>2</v>
      </c>
      <c r="I17" s="24">
        <v>265000</v>
      </c>
      <c r="J17" s="24">
        <v>530000</v>
      </c>
      <c r="K17" s="56">
        <v>0.2</v>
      </c>
      <c r="L17" s="24">
        <v>424000</v>
      </c>
      <c r="M17" s="24">
        <v>111</v>
      </c>
      <c r="N17" s="24">
        <v>424000</v>
      </c>
      <c r="O17" s="24"/>
      <c r="P17" s="24"/>
      <c r="Q17" s="24"/>
      <c r="R17" s="24"/>
      <c r="S17" s="64"/>
    </row>
    <row r="18" spans="1:19">
      <c r="A18" s="29">
        <v>4</v>
      </c>
      <c r="B18" s="46" t="s">
        <v>26</v>
      </c>
      <c r="C18" s="30" t="s">
        <v>27</v>
      </c>
      <c r="D18" s="31" t="s">
        <v>43</v>
      </c>
      <c r="E18" s="31"/>
      <c r="F18" s="94" t="s">
        <v>44</v>
      </c>
      <c r="G18" s="32" t="s">
        <v>45</v>
      </c>
      <c r="H18" s="112">
        <v>1</v>
      </c>
      <c r="I18" s="19">
        <v>485000</v>
      </c>
      <c r="J18" s="24">
        <v>485000</v>
      </c>
      <c r="K18" s="33">
        <v>0.2</v>
      </c>
      <c r="L18" s="19">
        <v>388000</v>
      </c>
      <c r="M18" s="19">
        <v>111</v>
      </c>
      <c r="N18" s="19">
        <v>752000</v>
      </c>
      <c r="O18" s="19"/>
      <c r="P18" s="19"/>
      <c r="Q18" s="19"/>
      <c r="R18" s="19"/>
      <c r="S18" s="79"/>
    </row>
    <row r="19" spans="1:19">
      <c r="A19" s="40"/>
      <c r="B19" s="49"/>
      <c r="C19" s="30" t="s">
        <v>27</v>
      </c>
      <c r="D19" s="31" t="s">
        <v>43</v>
      </c>
      <c r="E19" s="42"/>
      <c r="F19" s="95"/>
      <c r="G19" s="43" t="s">
        <v>46</v>
      </c>
      <c r="H19" s="78">
        <v>1</v>
      </c>
      <c r="I19" s="20">
        <v>455000</v>
      </c>
      <c r="J19" s="24">
        <v>455000</v>
      </c>
      <c r="K19" s="44">
        <v>0.2</v>
      </c>
      <c r="L19" s="20">
        <v>364000</v>
      </c>
      <c r="M19" s="20"/>
      <c r="N19" s="20"/>
      <c r="O19" s="20"/>
      <c r="P19" s="20"/>
      <c r="Q19" s="20"/>
      <c r="R19" s="20"/>
      <c r="S19" s="50"/>
    </row>
    <row r="20" spans="1:19">
      <c r="A20" s="51">
        <v>5</v>
      </c>
      <c r="B20" s="54" t="s">
        <v>26</v>
      </c>
      <c r="C20" s="52" t="s">
        <v>27</v>
      </c>
      <c r="D20" s="53" t="s">
        <v>47</v>
      </c>
      <c r="E20" s="53" t="s">
        <v>48</v>
      </c>
      <c r="F20" s="86" t="s">
        <v>49</v>
      </c>
      <c r="G20" s="55" t="s">
        <v>50</v>
      </c>
      <c r="H20" s="76">
        <v>1</v>
      </c>
      <c r="I20" s="24">
        <v>475000</v>
      </c>
      <c r="J20" s="24">
        <v>475000</v>
      </c>
      <c r="K20" s="56">
        <v>0.2</v>
      </c>
      <c r="L20" s="24">
        <v>380000</v>
      </c>
      <c r="M20" s="24">
        <v>111</v>
      </c>
      <c r="N20" s="24">
        <v>380000</v>
      </c>
      <c r="O20" s="24"/>
      <c r="P20" s="24"/>
      <c r="Q20" s="24"/>
      <c r="R20" s="24"/>
      <c r="S20" s="64"/>
    </row>
    <row r="21" spans="1:19">
      <c r="A21" s="57">
        <v>6</v>
      </c>
      <c r="B21" s="59" t="s">
        <v>26</v>
      </c>
      <c r="C21" s="96" t="s">
        <v>27</v>
      </c>
      <c r="D21" s="58" t="s">
        <v>39</v>
      </c>
      <c r="E21" s="58" t="s">
        <v>40</v>
      </c>
      <c r="F21" s="89" t="s">
        <v>41</v>
      </c>
      <c r="G21" s="60" t="s">
        <v>45</v>
      </c>
      <c r="H21" s="92">
        <v>1</v>
      </c>
      <c r="I21" s="25">
        <v>485000</v>
      </c>
      <c r="J21" s="24">
        <v>485000</v>
      </c>
      <c r="K21" s="61">
        <v>0.2</v>
      </c>
      <c r="L21" s="25">
        <v>388000</v>
      </c>
      <c r="M21" s="25">
        <v>111</v>
      </c>
      <c r="N21" s="25">
        <v>752000</v>
      </c>
      <c r="O21" s="25"/>
      <c r="P21" s="25"/>
      <c r="Q21" s="25"/>
      <c r="R21" s="25"/>
      <c r="S21" s="82"/>
    </row>
    <row r="22" spans="1:19">
      <c r="A22" s="40"/>
      <c r="B22" s="49"/>
      <c r="C22" s="96" t="s">
        <v>27</v>
      </c>
      <c r="D22" s="58" t="s">
        <v>39</v>
      </c>
      <c r="E22" s="42"/>
      <c r="F22" s="95"/>
      <c r="G22" s="43" t="s">
        <v>46</v>
      </c>
      <c r="H22" s="78">
        <v>1</v>
      </c>
      <c r="I22" s="20">
        <v>455000</v>
      </c>
      <c r="J22" s="24">
        <v>455000</v>
      </c>
      <c r="K22" s="44">
        <v>0.2</v>
      </c>
      <c r="L22" s="20">
        <v>364000</v>
      </c>
      <c r="M22" s="20"/>
      <c r="N22" s="20"/>
      <c r="O22" s="20"/>
      <c r="P22" s="20"/>
      <c r="Q22" s="20"/>
      <c r="R22" s="20"/>
      <c r="S22" s="50"/>
    </row>
    <row r="23" spans="1:19">
      <c r="A23" s="51">
        <v>7</v>
      </c>
      <c r="B23" s="54" t="s">
        <v>51</v>
      </c>
      <c r="C23" s="52" t="s">
        <v>27</v>
      </c>
      <c r="D23" s="53" t="s">
        <v>52</v>
      </c>
      <c r="E23" s="53" t="s">
        <v>53</v>
      </c>
      <c r="F23" s="86" t="s">
        <v>54</v>
      </c>
      <c r="G23" s="55" t="s">
        <v>36</v>
      </c>
      <c r="H23" s="76">
        <v>1</v>
      </c>
      <c r="I23" s="24">
        <v>450000</v>
      </c>
      <c r="J23" s="24">
        <v>450000</v>
      </c>
      <c r="K23" s="56">
        <v>0.2</v>
      </c>
      <c r="L23" s="24">
        <v>360000</v>
      </c>
      <c r="M23" s="24">
        <v>111</v>
      </c>
      <c r="N23" s="24">
        <v>360000</v>
      </c>
      <c r="O23" s="24"/>
      <c r="P23" s="24"/>
      <c r="Q23" s="24"/>
      <c r="R23" s="24"/>
      <c r="S23" s="64"/>
    </row>
    <row r="24" spans="1:19">
      <c r="A24" s="51">
        <v>8</v>
      </c>
      <c r="B24" s="54" t="s">
        <v>51</v>
      </c>
      <c r="C24" s="52" t="s">
        <v>27</v>
      </c>
      <c r="D24" s="53" t="s">
        <v>55</v>
      </c>
      <c r="E24" s="53"/>
      <c r="F24" s="86" t="s">
        <v>56</v>
      </c>
      <c r="G24" s="55" t="s">
        <v>36</v>
      </c>
      <c r="H24" s="76">
        <v>1</v>
      </c>
      <c r="I24" s="24">
        <v>450000</v>
      </c>
      <c r="J24" s="24">
        <v>450000</v>
      </c>
      <c r="K24" s="56">
        <v>0.2</v>
      </c>
      <c r="L24" s="24">
        <v>360000</v>
      </c>
      <c r="M24" s="24">
        <v>111</v>
      </c>
      <c r="N24" s="24">
        <v>360000</v>
      </c>
      <c r="O24" s="24"/>
      <c r="P24" s="24"/>
      <c r="Q24" s="24"/>
      <c r="R24" s="24"/>
      <c r="S24" s="64"/>
    </row>
    <row r="25" spans="1:19" ht="28.5">
      <c r="A25" s="29">
        <v>9</v>
      </c>
      <c r="B25" s="46" t="s">
        <v>51</v>
      </c>
      <c r="C25" s="30" t="s">
        <v>27</v>
      </c>
      <c r="D25" s="31" t="s">
        <v>57</v>
      </c>
      <c r="E25" s="31" t="s">
        <v>58</v>
      </c>
      <c r="F25" s="94" t="s">
        <v>59</v>
      </c>
      <c r="G25" s="32" t="s">
        <v>60</v>
      </c>
      <c r="H25" s="112">
        <v>1</v>
      </c>
      <c r="I25" s="19">
        <v>455000</v>
      </c>
      <c r="J25" s="25">
        <v>455000</v>
      </c>
      <c r="K25" s="33">
        <v>0.2</v>
      </c>
      <c r="L25" s="19">
        <v>364000</v>
      </c>
      <c r="M25" s="19">
        <v>111</v>
      </c>
      <c r="N25" s="19">
        <v>1140000</v>
      </c>
      <c r="O25" s="19"/>
      <c r="P25" s="19"/>
      <c r="Q25" s="19"/>
      <c r="R25" s="19"/>
      <c r="S25" s="79"/>
    </row>
    <row r="26" spans="1:19" ht="28.5">
      <c r="A26" s="80"/>
      <c r="B26" s="83"/>
      <c r="C26" s="97" t="s">
        <v>27</v>
      </c>
      <c r="D26" s="69" t="s">
        <v>57</v>
      </c>
      <c r="E26" s="69" t="s">
        <v>58</v>
      </c>
      <c r="F26" s="98"/>
      <c r="G26" s="43" t="s">
        <v>45</v>
      </c>
      <c r="H26" s="78">
        <v>2</v>
      </c>
      <c r="I26" s="20">
        <v>485000</v>
      </c>
      <c r="J26" s="17">
        <v>970000</v>
      </c>
      <c r="K26" s="44">
        <v>0.2</v>
      </c>
      <c r="L26" s="20">
        <v>776000</v>
      </c>
      <c r="M26" s="20"/>
      <c r="N26" s="20"/>
      <c r="O26" s="20"/>
      <c r="P26" s="20"/>
      <c r="Q26" s="20"/>
      <c r="R26" s="20"/>
      <c r="S26" s="50"/>
    </row>
    <row r="27" spans="1:19">
      <c r="A27" s="51">
        <v>10</v>
      </c>
      <c r="B27" s="54" t="s">
        <v>51</v>
      </c>
      <c r="C27" s="52" t="s">
        <v>27</v>
      </c>
      <c r="D27" s="53" t="s">
        <v>61</v>
      </c>
      <c r="E27" s="53"/>
      <c r="F27" s="54"/>
      <c r="G27" s="73" t="s">
        <v>45</v>
      </c>
      <c r="H27" s="91">
        <v>1</v>
      </c>
      <c r="I27" s="45">
        <v>485000</v>
      </c>
      <c r="J27" s="24">
        <v>485000</v>
      </c>
      <c r="K27" s="74">
        <v>0.2</v>
      </c>
      <c r="L27" s="45">
        <v>388000</v>
      </c>
      <c r="M27" s="45">
        <v>111</v>
      </c>
      <c r="N27" s="45">
        <v>388000</v>
      </c>
      <c r="O27" s="45"/>
      <c r="P27" s="45"/>
      <c r="Q27" s="45"/>
      <c r="R27" s="45"/>
      <c r="S27" s="99"/>
    </row>
    <row r="28" spans="1:19">
      <c r="A28" s="29">
        <v>11</v>
      </c>
      <c r="B28" s="46" t="s">
        <v>62</v>
      </c>
      <c r="C28" s="30" t="s">
        <v>27</v>
      </c>
      <c r="D28" s="31" t="s">
        <v>63</v>
      </c>
      <c r="E28" s="31" t="s">
        <v>64</v>
      </c>
      <c r="F28" s="62"/>
      <c r="G28" s="32" t="s">
        <v>30</v>
      </c>
      <c r="H28" s="112">
        <v>1</v>
      </c>
      <c r="I28" s="19">
        <v>465000</v>
      </c>
      <c r="J28" s="19">
        <v>465000</v>
      </c>
      <c r="K28" s="33">
        <v>0.1</v>
      </c>
      <c r="L28" s="19">
        <v>418500</v>
      </c>
      <c r="M28" s="19">
        <v>111</v>
      </c>
      <c r="N28" s="19">
        <v>2092500</v>
      </c>
      <c r="O28" s="19"/>
      <c r="P28" s="19"/>
      <c r="Q28" s="19"/>
      <c r="R28" s="19"/>
      <c r="S28" s="79"/>
    </row>
    <row r="29" spans="1:19">
      <c r="A29" s="34"/>
      <c r="B29" s="36"/>
      <c r="C29" s="30" t="s">
        <v>27</v>
      </c>
      <c r="D29" s="31" t="s">
        <v>63</v>
      </c>
      <c r="E29" s="38"/>
      <c r="F29" s="39"/>
      <c r="G29" s="28" t="s">
        <v>50</v>
      </c>
      <c r="H29" s="90">
        <v>2</v>
      </c>
      <c r="I29" s="16">
        <v>475000</v>
      </c>
      <c r="J29" s="16">
        <v>950000</v>
      </c>
      <c r="K29" s="35">
        <v>0.1</v>
      </c>
      <c r="L29" s="16">
        <v>855000</v>
      </c>
      <c r="M29" s="16">
        <v>111</v>
      </c>
      <c r="N29" s="16"/>
      <c r="O29" s="16"/>
      <c r="P29" s="16"/>
      <c r="Q29" s="16"/>
      <c r="R29" s="16"/>
      <c r="S29" s="37"/>
    </row>
    <row r="30" spans="1:19">
      <c r="A30" s="40"/>
      <c r="B30" s="49"/>
      <c r="C30" s="41" t="s">
        <v>27</v>
      </c>
      <c r="D30" s="42" t="s">
        <v>63</v>
      </c>
      <c r="E30" s="42"/>
      <c r="F30" s="65"/>
      <c r="G30" s="43" t="s">
        <v>46</v>
      </c>
      <c r="H30" s="78">
        <v>2</v>
      </c>
      <c r="I30" s="20">
        <v>455000</v>
      </c>
      <c r="J30" s="17">
        <v>910000</v>
      </c>
      <c r="K30" s="44">
        <v>0.1</v>
      </c>
      <c r="L30" s="20">
        <v>819000</v>
      </c>
      <c r="M30" s="20">
        <v>111</v>
      </c>
      <c r="N30" s="20"/>
      <c r="O30" s="20"/>
      <c r="P30" s="20"/>
      <c r="Q30" s="20"/>
      <c r="R30" s="20"/>
      <c r="S30" s="50"/>
    </row>
    <row r="31" spans="1:19" ht="19.5">
      <c r="A31" s="29">
        <v>12</v>
      </c>
      <c r="B31" s="46" t="s">
        <v>62</v>
      </c>
      <c r="C31" s="30"/>
      <c r="D31" s="31" t="s">
        <v>65</v>
      </c>
      <c r="E31" s="31" t="s">
        <v>66</v>
      </c>
      <c r="F31" s="46" t="s">
        <v>67</v>
      </c>
      <c r="G31" s="32" t="s">
        <v>50</v>
      </c>
      <c r="H31" s="112">
        <v>5</v>
      </c>
      <c r="I31" s="19">
        <v>475000</v>
      </c>
      <c r="J31" s="25">
        <v>2375000</v>
      </c>
      <c r="K31" s="33">
        <v>1</v>
      </c>
      <c r="L31" s="19">
        <v>0</v>
      </c>
      <c r="M31" s="19"/>
      <c r="N31" s="19"/>
      <c r="O31" s="19"/>
      <c r="P31" s="19"/>
      <c r="Q31" s="19"/>
      <c r="R31" s="19"/>
      <c r="S31" s="79"/>
    </row>
    <row r="32" spans="1:19" ht="19.5">
      <c r="A32" s="40"/>
      <c r="B32" s="49"/>
      <c r="C32" s="41"/>
      <c r="D32" s="42" t="s">
        <v>65</v>
      </c>
      <c r="E32" s="42" t="s">
        <v>66</v>
      </c>
      <c r="F32" s="49"/>
      <c r="G32" s="43" t="s">
        <v>45</v>
      </c>
      <c r="H32" s="78">
        <v>10</v>
      </c>
      <c r="I32" s="20">
        <v>485000</v>
      </c>
      <c r="J32" s="17">
        <v>4850000</v>
      </c>
      <c r="K32" s="44">
        <v>1</v>
      </c>
      <c r="L32" s="20">
        <v>0</v>
      </c>
      <c r="M32" s="20"/>
      <c r="N32" s="20"/>
      <c r="O32" s="20"/>
      <c r="P32" s="20"/>
      <c r="Q32" s="20"/>
      <c r="R32" s="20"/>
      <c r="S32" s="50"/>
    </row>
    <row r="33" spans="1:19" ht="28.5">
      <c r="A33" s="68">
        <v>13</v>
      </c>
      <c r="B33" s="70" t="s">
        <v>62</v>
      </c>
      <c r="C33" s="97" t="s">
        <v>27</v>
      </c>
      <c r="D33" s="69" t="s">
        <v>68</v>
      </c>
      <c r="E33" s="69" t="s">
        <v>69</v>
      </c>
      <c r="F33" s="85" t="s">
        <v>70</v>
      </c>
      <c r="G33" s="71" t="s">
        <v>42</v>
      </c>
      <c r="H33" s="77">
        <v>10</v>
      </c>
      <c r="I33" s="26">
        <v>265000</v>
      </c>
      <c r="J33" s="25">
        <v>2650000</v>
      </c>
      <c r="K33" s="67">
        <v>0.41</v>
      </c>
      <c r="L33" s="26">
        <v>1563500.0000000002</v>
      </c>
      <c r="M33" s="26"/>
      <c r="N33" s="26"/>
      <c r="O33" s="100">
        <v>112</v>
      </c>
      <c r="P33" s="21">
        <v>13346750.000000002</v>
      </c>
      <c r="Q33" s="100">
        <v>131</v>
      </c>
      <c r="R33" s="21">
        <v>297000</v>
      </c>
      <c r="S33" s="84" t="s">
        <v>71</v>
      </c>
    </row>
    <row r="34" spans="1:19" ht="19.5">
      <c r="A34" s="34"/>
      <c r="B34" s="70" t="s">
        <v>62</v>
      </c>
      <c r="C34" s="97" t="s">
        <v>27</v>
      </c>
      <c r="D34" s="69" t="s">
        <v>68</v>
      </c>
      <c r="E34" s="38"/>
      <c r="F34" s="87"/>
      <c r="G34" s="28" t="s">
        <v>30</v>
      </c>
      <c r="H34" s="90">
        <v>10</v>
      </c>
      <c r="I34" s="16">
        <v>465000</v>
      </c>
      <c r="J34" s="16">
        <v>4650000</v>
      </c>
      <c r="K34" s="35">
        <v>0.41</v>
      </c>
      <c r="L34" s="16">
        <v>2743500.0000000005</v>
      </c>
      <c r="M34" s="16"/>
      <c r="N34" s="16"/>
      <c r="O34" s="101"/>
      <c r="P34" s="22"/>
      <c r="Q34" s="101"/>
      <c r="R34" s="22"/>
      <c r="S34" s="37"/>
    </row>
    <row r="35" spans="1:19" ht="19.5">
      <c r="A35" s="34"/>
      <c r="B35" s="36"/>
      <c r="C35" s="97" t="s">
        <v>27</v>
      </c>
      <c r="D35" s="69" t="s">
        <v>68</v>
      </c>
      <c r="E35" s="38"/>
      <c r="F35" s="87"/>
      <c r="G35" s="28" t="s">
        <v>32</v>
      </c>
      <c r="H35" s="90">
        <v>5</v>
      </c>
      <c r="I35" s="16">
        <v>275000</v>
      </c>
      <c r="J35" s="16">
        <v>1375000</v>
      </c>
      <c r="K35" s="35">
        <v>0.41</v>
      </c>
      <c r="L35" s="16">
        <v>811250.00000000012</v>
      </c>
      <c r="M35" s="16"/>
      <c r="N35" s="16"/>
      <c r="O35" s="101"/>
      <c r="P35" s="22"/>
      <c r="Q35" s="101"/>
      <c r="R35" s="22"/>
      <c r="S35" s="37"/>
    </row>
    <row r="36" spans="1:19" ht="19.5">
      <c r="A36" s="34"/>
      <c r="B36" s="36"/>
      <c r="C36" s="97" t="s">
        <v>27</v>
      </c>
      <c r="D36" s="69" t="s">
        <v>68</v>
      </c>
      <c r="E36" s="38"/>
      <c r="F36" s="87"/>
      <c r="G36" s="28" t="s">
        <v>50</v>
      </c>
      <c r="H36" s="90">
        <v>5</v>
      </c>
      <c r="I36" s="16">
        <v>475000</v>
      </c>
      <c r="J36" s="16">
        <v>2375000</v>
      </c>
      <c r="K36" s="35">
        <v>0.41</v>
      </c>
      <c r="L36" s="16">
        <v>1401250.0000000002</v>
      </c>
      <c r="M36" s="16"/>
      <c r="N36" s="16"/>
      <c r="O36" s="101"/>
      <c r="P36" s="22"/>
      <c r="Q36" s="101"/>
      <c r="R36" s="22"/>
      <c r="S36" s="37"/>
    </row>
    <row r="37" spans="1:19" ht="19.5">
      <c r="A37" s="34"/>
      <c r="B37" s="36"/>
      <c r="C37" s="97" t="s">
        <v>27</v>
      </c>
      <c r="D37" s="69" t="s">
        <v>68</v>
      </c>
      <c r="E37" s="38"/>
      <c r="F37" s="87"/>
      <c r="G37" s="28" t="s">
        <v>72</v>
      </c>
      <c r="H37" s="90">
        <v>5</v>
      </c>
      <c r="I37" s="16">
        <v>285000</v>
      </c>
      <c r="J37" s="16">
        <v>1425000</v>
      </c>
      <c r="K37" s="35">
        <v>0.41</v>
      </c>
      <c r="L37" s="16">
        <v>840750.00000000012</v>
      </c>
      <c r="M37" s="16"/>
      <c r="N37" s="16"/>
      <c r="O37" s="101"/>
      <c r="P37" s="22"/>
      <c r="Q37" s="101"/>
      <c r="R37" s="22"/>
      <c r="S37" s="37"/>
    </row>
    <row r="38" spans="1:19" ht="19.5">
      <c r="A38" s="34"/>
      <c r="B38" s="36"/>
      <c r="C38" s="97" t="s">
        <v>27</v>
      </c>
      <c r="D38" s="69" t="s">
        <v>68</v>
      </c>
      <c r="E38" s="38"/>
      <c r="F38" s="87"/>
      <c r="G38" s="28" t="s">
        <v>73</v>
      </c>
      <c r="H38" s="90">
        <v>0</v>
      </c>
      <c r="I38" s="16">
        <v>485000</v>
      </c>
      <c r="J38" s="16">
        <v>0</v>
      </c>
      <c r="K38" s="35">
        <v>0.41</v>
      </c>
      <c r="L38" s="16">
        <v>0</v>
      </c>
      <c r="M38" s="16"/>
      <c r="N38" s="16"/>
      <c r="O38" s="101"/>
      <c r="P38" s="22"/>
      <c r="Q38" s="101"/>
      <c r="R38" s="22"/>
      <c r="S38" s="37"/>
    </row>
    <row r="39" spans="1:19" ht="19.5">
      <c r="A39" s="34"/>
      <c r="B39" s="36"/>
      <c r="C39" s="97" t="s">
        <v>27</v>
      </c>
      <c r="D39" s="69" t="s">
        <v>68</v>
      </c>
      <c r="E39" s="38"/>
      <c r="F39" s="87"/>
      <c r="G39" s="28" t="s">
        <v>33</v>
      </c>
      <c r="H39" s="90">
        <v>5</v>
      </c>
      <c r="I39" s="16">
        <v>285000</v>
      </c>
      <c r="J39" s="16">
        <v>1425000</v>
      </c>
      <c r="K39" s="35">
        <v>0.41</v>
      </c>
      <c r="L39" s="16">
        <v>840750.00000000012</v>
      </c>
      <c r="M39" s="16"/>
      <c r="N39" s="16"/>
      <c r="O39" s="101"/>
      <c r="P39" s="22"/>
      <c r="Q39" s="101"/>
      <c r="R39" s="22"/>
      <c r="S39" s="37"/>
    </row>
    <row r="40" spans="1:19" ht="19.5">
      <c r="A40" s="34"/>
      <c r="B40" s="36"/>
      <c r="C40" s="97" t="s">
        <v>27</v>
      </c>
      <c r="D40" s="69" t="s">
        <v>68</v>
      </c>
      <c r="E40" s="38"/>
      <c r="F40" s="87"/>
      <c r="G40" s="28" t="s">
        <v>45</v>
      </c>
      <c r="H40" s="90">
        <v>5</v>
      </c>
      <c r="I40" s="16">
        <v>485000</v>
      </c>
      <c r="J40" s="16">
        <v>2425000</v>
      </c>
      <c r="K40" s="35">
        <v>0.41</v>
      </c>
      <c r="L40" s="16">
        <v>1430750.0000000002</v>
      </c>
      <c r="M40" s="16"/>
      <c r="N40" s="16"/>
      <c r="O40" s="101"/>
      <c r="P40" s="22"/>
      <c r="Q40" s="101"/>
      <c r="R40" s="22"/>
      <c r="S40" s="37"/>
    </row>
    <row r="41" spans="1:19" ht="19.5">
      <c r="A41" s="34"/>
      <c r="B41" s="36"/>
      <c r="C41" s="97" t="s">
        <v>27</v>
      </c>
      <c r="D41" s="69" t="s">
        <v>68</v>
      </c>
      <c r="E41" s="38"/>
      <c r="F41" s="87"/>
      <c r="G41" s="28" t="s">
        <v>46</v>
      </c>
      <c r="H41" s="90">
        <v>5</v>
      </c>
      <c r="I41" s="16">
        <v>455000</v>
      </c>
      <c r="J41" s="16">
        <v>2275000</v>
      </c>
      <c r="K41" s="35">
        <v>0.41</v>
      </c>
      <c r="L41" s="16">
        <v>1342250.0000000002</v>
      </c>
      <c r="M41" s="16"/>
      <c r="N41" s="16"/>
      <c r="O41" s="101"/>
      <c r="P41" s="22"/>
      <c r="Q41" s="101"/>
      <c r="R41" s="22"/>
      <c r="S41" s="37"/>
    </row>
    <row r="42" spans="1:19" ht="19.5">
      <c r="A42" s="34"/>
      <c r="B42" s="36"/>
      <c r="C42" s="97" t="s">
        <v>27</v>
      </c>
      <c r="D42" s="69" t="s">
        <v>68</v>
      </c>
      <c r="E42" s="38"/>
      <c r="F42" s="87"/>
      <c r="G42" s="28" t="s">
        <v>34</v>
      </c>
      <c r="H42" s="90">
        <v>5</v>
      </c>
      <c r="I42" s="16">
        <v>455000</v>
      </c>
      <c r="J42" s="16">
        <v>2275000</v>
      </c>
      <c r="K42" s="35">
        <v>0.41</v>
      </c>
      <c r="L42" s="16">
        <v>1342250.0000000002</v>
      </c>
      <c r="M42" s="16"/>
      <c r="N42" s="16"/>
      <c r="O42" s="101"/>
      <c r="P42" s="22"/>
      <c r="Q42" s="101"/>
      <c r="R42" s="22"/>
      <c r="S42" s="37"/>
    </row>
    <row r="43" spans="1:19" ht="19.5">
      <c r="A43" s="34"/>
      <c r="B43" s="36"/>
      <c r="C43" s="97" t="s">
        <v>27</v>
      </c>
      <c r="D43" s="69" t="s">
        <v>68</v>
      </c>
      <c r="E43" s="38"/>
      <c r="F43" s="87"/>
      <c r="G43" s="28" t="s">
        <v>74</v>
      </c>
      <c r="H43" s="90">
        <v>0</v>
      </c>
      <c r="I43" s="16">
        <v>550000</v>
      </c>
      <c r="J43" s="16">
        <v>0</v>
      </c>
      <c r="K43" s="35">
        <v>0.41</v>
      </c>
      <c r="L43" s="16">
        <v>0</v>
      </c>
      <c r="M43" s="16"/>
      <c r="N43" s="16"/>
      <c r="O43" s="101"/>
      <c r="P43" s="22"/>
      <c r="Q43" s="101"/>
      <c r="R43" s="22"/>
      <c r="S43" s="37"/>
    </row>
    <row r="44" spans="1:19" ht="19.5">
      <c r="A44" s="40"/>
      <c r="B44" s="49"/>
      <c r="C44" s="47" t="s">
        <v>27</v>
      </c>
      <c r="D44" s="48" t="s">
        <v>68</v>
      </c>
      <c r="E44" s="42"/>
      <c r="F44" s="95"/>
      <c r="G44" s="43" t="s">
        <v>36</v>
      </c>
      <c r="H44" s="78">
        <v>5</v>
      </c>
      <c r="I44" s="20">
        <v>450000</v>
      </c>
      <c r="J44" s="20">
        <v>2250000</v>
      </c>
      <c r="K44" s="44">
        <v>0.41</v>
      </c>
      <c r="L44" s="20">
        <v>1327500.0000000002</v>
      </c>
      <c r="M44" s="20"/>
      <c r="N44" s="20"/>
      <c r="O44" s="102"/>
      <c r="P44" s="23"/>
      <c r="Q44" s="102"/>
      <c r="R44" s="23"/>
      <c r="S44" s="50"/>
    </row>
    <row r="45" spans="1:19" ht="46.5">
      <c r="A45" s="29">
        <v>14</v>
      </c>
      <c r="B45" s="46" t="s">
        <v>75</v>
      </c>
      <c r="C45" s="30" t="s">
        <v>27</v>
      </c>
      <c r="D45" s="31" t="s">
        <v>28</v>
      </c>
      <c r="E45" s="31" t="s">
        <v>76</v>
      </c>
      <c r="F45" s="94" t="s">
        <v>29</v>
      </c>
      <c r="G45" s="32" t="s">
        <v>46</v>
      </c>
      <c r="H45" s="112">
        <v>4</v>
      </c>
      <c r="I45" s="19">
        <v>455000</v>
      </c>
      <c r="J45" s="25">
        <v>1820000</v>
      </c>
      <c r="K45" s="33">
        <v>0.41</v>
      </c>
      <c r="L45" s="19">
        <v>1073800.0000000002</v>
      </c>
      <c r="M45" s="19">
        <v>111</v>
      </c>
      <c r="N45" s="19">
        <v>3758300.0000000009</v>
      </c>
      <c r="O45" s="19"/>
      <c r="P45" s="19"/>
      <c r="Q45" s="19"/>
      <c r="R45" s="19"/>
      <c r="S45" s="79" t="s">
        <v>77</v>
      </c>
    </row>
    <row r="46" spans="1:19">
      <c r="A46" s="40"/>
      <c r="B46" s="49"/>
      <c r="C46" s="41" t="s">
        <v>27</v>
      </c>
      <c r="D46" s="42" t="s">
        <v>28</v>
      </c>
      <c r="E46" s="42"/>
      <c r="F46" s="95"/>
      <c r="G46" s="43" t="s">
        <v>34</v>
      </c>
      <c r="H46" s="78">
        <v>10</v>
      </c>
      <c r="I46" s="20">
        <v>455000</v>
      </c>
      <c r="J46" s="17">
        <v>4550000</v>
      </c>
      <c r="K46" s="44">
        <v>0.41</v>
      </c>
      <c r="L46" s="20">
        <v>2684500.0000000005</v>
      </c>
      <c r="M46" s="20"/>
      <c r="N46" s="20"/>
      <c r="O46" s="20"/>
      <c r="P46" s="20"/>
      <c r="Q46" s="20"/>
      <c r="R46" s="20"/>
      <c r="S46" s="50"/>
    </row>
    <row r="47" spans="1:19" ht="28.5">
      <c r="A47" s="29">
        <v>15</v>
      </c>
      <c r="B47" s="46" t="s">
        <v>78</v>
      </c>
      <c r="C47" s="30" t="s">
        <v>27</v>
      </c>
      <c r="D47" s="31" t="s">
        <v>79</v>
      </c>
      <c r="E47" s="31" t="s">
        <v>80</v>
      </c>
      <c r="F47" s="94" t="s">
        <v>81</v>
      </c>
      <c r="G47" s="32" t="s">
        <v>45</v>
      </c>
      <c r="H47" s="112">
        <v>1</v>
      </c>
      <c r="I47" s="19">
        <v>485000</v>
      </c>
      <c r="J47" s="25">
        <v>485000</v>
      </c>
      <c r="K47" s="33">
        <v>0.1</v>
      </c>
      <c r="L47" s="19">
        <v>436500</v>
      </c>
      <c r="M47" s="103">
        <v>111</v>
      </c>
      <c r="N47" s="103">
        <v>846000</v>
      </c>
      <c r="O47" s="19"/>
      <c r="P47" s="19"/>
      <c r="Q47" s="19"/>
      <c r="R47" s="19"/>
      <c r="S47" s="79" t="s">
        <v>82</v>
      </c>
    </row>
    <row r="48" spans="1:19">
      <c r="A48" s="40"/>
      <c r="B48" s="49"/>
      <c r="C48" s="41" t="s">
        <v>27</v>
      </c>
      <c r="D48" s="42" t="s">
        <v>79</v>
      </c>
      <c r="E48" s="42"/>
      <c r="F48" s="95"/>
      <c r="G48" s="43" t="s">
        <v>46</v>
      </c>
      <c r="H48" s="78">
        <v>1</v>
      </c>
      <c r="I48" s="20">
        <v>455000</v>
      </c>
      <c r="J48" s="17">
        <v>455000</v>
      </c>
      <c r="K48" s="44">
        <v>0.1</v>
      </c>
      <c r="L48" s="20">
        <v>409500</v>
      </c>
      <c r="M48" s="104"/>
      <c r="N48" s="104"/>
      <c r="O48" s="20"/>
      <c r="P48" s="20"/>
      <c r="Q48" s="20"/>
      <c r="R48" s="20"/>
      <c r="S48" s="50"/>
    </row>
    <row r="49" spans="1:20" ht="19.5">
      <c r="A49" s="131">
        <v>16</v>
      </c>
      <c r="B49" s="132" t="s">
        <v>78</v>
      </c>
      <c r="C49" s="133" t="s">
        <v>27</v>
      </c>
      <c r="D49" s="134" t="s">
        <v>83</v>
      </c>
      <c r="E49" s="134" t="s">
        <v>84</v>
      </c>
      <c r="F49" s="135"/>
      <c r="G49" s="136" t="s">
        <v>30</v>
      </c>
      <c r="H49" s="130">
        <v>12</v>
      </c>
      <c r="I49" s="137">
        <v>465000</v>
      </c>
      <c r="J49" s="137">
        <v>5580000</v>
      </c>
      <c r="K49" s="138">
        <v>0.41</v>
      </c>
      <c r="L49" s="137">
        <v>3292200.0000000005</v>
      </c>
      <c r="M49" s="137"/>
      <c r="N49" s="137"/>
      <c r="O49" s="137"/>
      <c r="P49" s="137"/>
      <c r="Q49" s="137">
        <v>131</v>
      </c>
      <c r="R49" s="137">
        <v>3292200.0000000005</v>
      </c>
      <c r="S49" s="139"/>
      <c r="T49" s="129"/>
    </row>
    <row r="50" spans="1:20" ht="64.5">
      <c r="A50" s="51">
        <v>17</v>
      </c>
      <c r="B50" s="54" t="s">
        <v>78</v>
      </c>
      <c r="C50" s="52" t="s">
        <v>85</v>
      </c>
      <c r="D50" s="53" t="s">
        <v>86</v>
      </c>
      <c r="E50" s="53" t="s">
        <v>87</v>
      </c>
      <c r="F50" s="63"/>
      <c r="G50" s="55" t="s">
        <v>45</v>
      </c>
      <c r="H50" s="76">
        <v>1</v>
      </c>
      <c r="I50" s="24">
        <v>485000</v>
      </c>
      <c r="J50" s="24">
        <v>485000</v>
      </c>
      <c r="K50" s="56">
        <v>0.21</v>
      </c>
      <c r="L50" s="24">
        <v>383150</v>
      </c>
      <c r="M50" s="24">
        <v>111</v>
      </c>
      <c r="N50" s="24">
        <v>383150</v>
      </c>
      <c r="O50" s="24"/>
      <c r="P50" s="24"/>
      <c r="Q50" s="24"/>
      <c r="R50" s="24"/>
      <c r="S50" s="64" t="s">
        <v>88</v>
      </c>
      <c r="T50" s="66"/>
    </row>
    <row r="51" spans="1:20" ht="37.5">
      <c r="A51" s="29">
        <v>18</v>
      </c>
      <c r="B51" s="105" t="s">
        <v>89</v>
      </c>
      <c r="C51" s="30" t="s">
        <v>27</v>
      </c>
      <c r="D51" s="31" t="s">
        <v>90</v>
      </c>
      <c r="E51" s="31" t="s">
        <v>91</v>
      </c>
      <c r="F51" s="62"/>
      <c r="G51" s="32" t="s">
        <v>45</v>
      </c>
      <c r="H51" s="112">
        <v>24</v>
      </c>
      <c r="I51" s="19">
        <v>485000</v>
      </c>
      <c r="J51" s="25">
        <v>11640000</v>
      </c>
      <c r="K51" s="33">
        <v>0.41</v>
      </c>
      <c r="L51" s="19">
        <v>6867600.0000000009</v>
      </c>
      <c r="M51" s="19">
        <v>111</v>
      </c>
      <c r="N51" s="19">
        <v>13100000</v>
      </c>
      <c r="O51" s="19"/>
      <c r="P51" s="19"/>
      <c r="Q51" s="19"/>
      <c r="R51" s="19"/>
      <c r="S51" s="79" t="s">
        <v>92</v>
      </c>
      <c r="T51" s="66"/>
    </row>
    <row r="52" spans="1:20" ht="19.5">
      <c r="A52" s="34"/>
      <c r="B52" s="106"/>
      <c r="C52" s="30" t="s">
        <v>27</v>
      </c>
      <c r="D52" s="31" t="s">
        <v>90</v>
      </c>
      <c r="E52" s="38"/>
      <c r="F52" s="39"/>
      <c r="G52" s="28" t="s">
        <v>46</v>
      </c>
      <c r="H52" s="90">
        <v>12</v>
      </c>
      <c r="I52" s="16">
        <v>455000</v>
      </c>
      <c r="J52" s="16">
        <v>5460000</v>
      </c>
      <c r="K52" s="35">
        <v>0.41</v>
      </c>
      <c r="L52" s="16">
        <v>3221400.0000000005</v>
      </c>
      <c r="M52" s="16"/>
      <c r="N52" s="16"/>
      <c r="O52" s="16"/>
      <c r="P52" s="16"/>
      <c r="Q52" s="16"/>
      <c r="R52" s="16"/>
      <c r="S52" s="37"/>
      <c r="T52" s="66"/>
    </row>
    <row r="53" spans="1:20" ht="19.5">
      <c r="A53" s="40"/>
      <c r="B53" s="107"/>
      <c r="C53" s="30" t="s">
        <v>27</v>
      </c>
      <c r="D53" s="31" t="s">
        <v>90</v>
      </c>
      <c r="E53" s="42"/>
      <c r="F53" s="65"/>
      <c r="G53" s="43" t="s">
        <v>34</v>
      </c>
      <c r="H53" s="78">
        <v>12</v>
      </c>
      <c r="I53" s="20">
        <v>455000</v>
      </c>
      <c r="J53" s="17">
        <v>5460000</v>
      </c>
      <c r="K53" s="44">
        <v>0.41</v>
      </c>
      <c r="L53" s="20">
        <v>3221400.0000000005</v>
      </c>
      <c r="M53" s="20"/>
      <c r="N53" s="20"/>
      <c r="O53" s="20"/>
      <c r="P53" s="20"/>
      <c r="Q53" s="20"/>
      <c r="R53" s="20"/>
      <c r="S53" s="50"/>
      <c r="T53" s="66"/>
    </row>
    <row r="54" spans="1:20">
      <c r="A54" s="51">
        <v>19</v>
      </c>
      <c r="B54" s="108" t="s">
        <v>89</v>
      </c>
      <c r="C54" s="52" t="s">
        <v>85</v>
      </c>
      <c r="D54" s="53" t="s">
        <v>93</v>
      </c>
      <c r="E54" s="53" t="s">
        <v>94</v>
      </c>
      <c r="F54" s="63"/>
      <c r="G54" s="55" t="s">
        <v>34</v>
      </c>
      <c r="H54" s="76">
        <v>1</v>
      </c>
      <c r="I54" s="24">
        <v>455000</v>
      </c>
      <c r="J54" s="45">
        <v>455000</v>
      </c>
      <c r="K54" s="56">
        <v>0.41</v>
      </c>
      <c r="L54" s="24">
        <v>268450.00000000006</v>
      </c>
      <c r="M54" s="24">
        <v>111</v>
      </c>
      <c r="N54" s="24">
        <v>268450.00000000006</v>
      </c>
      <c r="O54" s="24"/>
      <c r="P54" s="24"/>
      <c r="Q54" s="24"/>
      <c r="R54" s="24"/>
      <c r="S54" s="64"/>
      <c r="T54" s="66"/>
    </row>
    <row r="55" spans="1:20" ht="19.5">
      <c r="A55" s="51">
        <v>20</v>
      </c>
      <c r="B55" s="54" t="s">
        <v>95</v>
      </c>
      <c r="C55" s="53" t="s">
        <v>96</v>
      </c>
      <c r="D55" s="53" t="s">
        <v>86</v>
      </c>
      <c r="E55" s="53" t="s">
        <v>87</v>
      </c>
      <c r="F55" s="63"/>
      <c r="G55" s="55" t="s">
        <v>34</v>
      </c>
      <c r="H55" s="76">
        <v>1</v>
      </c>
      <c r="I55" s="24">
        <v>455000</v>
      </c>
      <c r="J55" s="24">
        <v>455000</v>
      </c>
      <c r="K55" s="56">
        <v>0.41</v>
      </c>
      <c r="L55" s="24">
        <v>268450.00000000006</v>
      </c>
      <c r="M55" s="24">
        <v>111</v>
      </c>
      <c r="N55" s="24">
        <v>268450</v>
      </c>
      <c r="O55" s="24"/>
      <c r="P55" s="24"/>
      <c r="Q55" s="24"/>
      <c r="R55" s="24"/>
      <c r="S55" s="64"/>
      <c r="T55" s="66"/>
    </row>
    <row r="56" spans="1:20" ht="19.5">
      <c r="A56" s="29">
        <v>21</v>
      </c>
      <c r="B56" s="46" t="s">
        <v>97</v>
      </c>
      <c r="C56" s="81" t="s">
        <v>96</v>
      </c>
      <c r="D56" s="31" t="s">
        <v>86</v>
      </c>
      <c r="E56" s="31" t="s">
        <v>87</v>
      </c>
      <c r="F56" s="46" t="s">
        <v>98</v>
      </c>
      <c r="G56" s="32" t="s">
        <v>42</v>
      </c>
      <c r="H56" s="112">
        <v>1</v>
      </c>
      <c r="I56" s="19">
        <v>265000</v>
      </c>
      <c r="J56" s="19">
        <v>265000</v>
      </c>
      <c r="K56" s="33">
        <v>0.41</v>
      </c>
      <c r="L56" s="19">
        <v>156350.00000000003</v>
      </c>
      <c r="M56" s="109">
        <v>111</v>
      </c>
      <c r="N56" s="109">
        <v>805350.00000000012</v>
      </c>
      <c r="O56" s="19"/>
      <c r="P56" s="19"/>
      <c r="Q56" s="19"/>
      <c r="R56" s="19"/>
      <c r="S56" s="79"/>
      <c r="T56" s="66"/>
    </row>
    <row r="57" spans="1:20">
      <c r="A57" s="40"/>
      <c r="B57" s="72"/>
      <c r="C57" s="110" t="s">
        <v>96</v>
      </c>
      <c r="D57" s="42" t="s">
        <v>86</v>
      </c>
      <c r="E57" s="42"/>
      <c r="F57" s="49"/>
      <c r="G57" s="43" t="s">
        <v>32</v>
      </c>
      <c r="H57" s="78">
        <v>4</v>
      </c>
      <c r="I57" s="20">
        <v>275000</v>
      </c>
      <c r="J57" s="17">
        <v>1100000</v>
      </c>
      <c r="K57" s="44">
        <v>0.41</v>
      </c>
      <c r="L57" s="20">
        <v>649000.00000000012</v>
      </c>
      <c r="M57" s="111"/>
      <c r="N57" s="111"/>
      <c r="O57" s="20"/>
      <c r="P57" s="20"/>
      <c r="Q57" s="20"/>
      <c r="R57" s="20"/>
      <c r="S57" s="50"/>
      <c r="T57" s="66"/>
    </row>
    <row r="58" spans="1:20">
      <c r="A58" s="51">
        <v>22</v>
      </c>
      <c r="B58" s="54" t="s">
        <v>99</v>
      </c>
      <c r="C58" s="52" t="s">
        <v>27</v>
      </c>
      <c r="D58" s="53" t="s">
        <v>100</v>
      </c>
      <c r="E58" s="53"/>
      <c r="F58" s="86" t="s">
        <v>101</v>
      </c>
      <c r="G58" s="55" t="s">
        <v>30</v>
      </c>
      <c r="H58" s="76">
        <v>1</v>
      </c>
      <c r="I58" s="24">
        <v>465000</v>
      </c>
      <c r="J58" s="24">
        <v>465000</v>
      </c>
      <c r="K58" s="56">
        <v>0.2</v>
      </c>
      <c r="L58" s="24">
        <v>372000</v>
      </c>
      <c r="M58" s="24">
        <v>111</v>
      </c>
      <c r="N58" s="24">
        <v>370000</v>
      </c>
      <c r="O58" s="24"/>
      <c r="P58" s="24"/>
      <c r="Q58" s="24"/>
      <c r="R58" s="24"/>
      <c r="S58" s="64"/>
      <c r="T58" s="66"/>
    </row>
    <row r="59" spans="1:20" ht="19.5">
      <c r="A59" s="29">
        <v>23</v>
      </c>
      <c r="B59" s="46" t="s">
        <v>102</v>
      </c>
      <c r="C59" s="30" t="s">
        <v>27</v>
      </c>
      <c r="D59" s="31" t="s">
        <v>103</v>
      </c>
      <c r="E59" s="31"/>
      <c r="F59" s="94" t="s">
        <v>104</v>
      </c>
      <c r="G59" s="32" t="s">
        <v>30</v>
      </c>
      <c r="H59" s="112">
        <v>2</v>
      </c>
      <c r="I59" s="19">
        <v>465000</v>
      </c>
      <c r="J59" s="25">
        <v>930000</v>
      </c>
      <c r="K59" s="33">
        <v>0.2</v>
      </c>
      <c r="L59" s="19">
        <v>744000</v>
      </c>
      <c r="M59" s="19"/>
      <c r="N59" s="19"/>
      <c r="O59" s="19"/>
      <c r="P59" s="19"/>
      <c r="Q59" s="19">
        <v>131</v>
      </c>
      <c r="R59" s="19">
        <v>1472000</v>
      </c>
      <c r="S59" s="79"/>
      <c r="T59" s="66"/>
    </row>
    <row r="60" spans="1:20" ht="19.5">
      <c r="A60" s="34"/>
      <c r="B60" s="36"/>
      <c r="C60" s="30" t="s">
        <v>27</v>
      </c>
      <c r="D60" s="31" t="s">
        <v>103</v>
      </c>
      <c r="E60" s="38"/>
      <c r="F60" s="87" t="s">
        <v>104</v>
      </c>
      <c r="G60" s="28" t="s">
        <v>34</v>
      </c>
      <c r="H60" s="90">
        <v>1</v>
      </c>
      <c r="I60" s="16">
        <v>455000</v>
      </c>
      <c r="J60" s="16">
        <v>455000</v>
      </c>
      <c r="K60" s="35">
        <v>0.2</v>
      </c>
      <c r="L60" s="16">
        <v>364000</v>
      </c>
      <c r="M60" s="16"/>
      <c r="N60" s="16"/>
      <c r="O60" s="16"/>
      <c r="P60" s="16"/>
      <c r="Q60" s="16"/>
      <c r="R60" s="16"/>
      <c r="S60" s="37"/>
      <c r="T60" s="66"/>
    </row>
    <row r="61" spans="1:20" ht="19.5">
      <c r="A61" s="40"/>
      <c r="B61" s="49"/>
      <c r="C61" s="41" t="s">
        <v>27</v>
      </c>
      <c r="D61" s="42" t="s">
        <v>103</v>
      </c>
      <c r="E61" s="42"/>
      <c r="F61" s="95" t="s">
        <v>104</v>
      </c>
      <c r="G61" s="43" t="s">
        <v>46</v>
      </c>
      <c r="H61" s="43">
        <v>1</v>
      </c>
      <c r="I61" s="20">
        <v>455000</v>
      </c>
      <c r="J61" s="17">
        <v>455000</v>
      </c>
      <c r="K61" s="44">
        <v>0.2</v>
      </c>
      <c r="L61" s="20">
        <v>364000</v>
      </c>
      <c r="M61" s="20"/>
      <c r="N61" s="20"/>
      <c r="O61" s="20"/>
      <c r="P61" s="20"/>
      <c r="Q61" s="20"/>
      <c r="R61" s="20"/>
      <c r="S61" s="50"/>
      <c r="T61" s="66"/>
    </row>
    <row r="62" spans="1:20">
      <c r="A62" s="1645" t="s">
        <v>105</v>
      </c>
      <c r="B62" s="1646"/>
      <c r="C62" s="1646"/>
      <c r="D62" s="1646"/>
      <c r="E62" s="1646"/>
      <c r="F62" s="1646"/>
      <c r="G62" s="1646"/>
      <c r="H62" s="113">
        <v>213</v>
      </c>
      <c r="I62" s="114"/>
      <c r="J62" s="113">
        <v>92115000</v>
      </c>
      <c r="K62" s="114"/>
      <c r="L62" s="113">
        <v>54564550</v>
      </c>
      <c r="M62" s="113"/>
      <c r="N62" s="113">
        <v>35944200</v>
      </c>
      <c r="O62" s="113"/>
      <c r="P62" s="113">
        <v>13346750.000000002</v>
      </c>
      <c r="Q62" s="113"/>
      <c r="R62" s="113">
        <v>5061200</v>
      </c>
      <c r="S62" s="115"/>
      <c r="T62" s="116"/>
    </row>
    <row r="63" spans="1:20">
      <c r="A63" s="1647" t="s">
        <v>106</v>
      </c>
      <c r="B63" s="1648"/>
      <c r="C63" s="1648"/>
      <c r="D63" s="1648"/>
      <c r="E63" s="1648"/>
      <c r="F63" s="1648"/>
      <c r="G63" s="1649"/>
      <c r="H63" s="113">
        <v>213</v>
      </c>
      <c r="I63" s="114"/>
      <c r="J63" s="114"/>
      <c r="K63" s="114"/>
      <c r="L63" s="113">
        <v>54564550</v>
      </c>
      <c r="M63" s="113"/>
      <c r="N63" s="113"/>
      <c r="O63" s="113"/>
      <c r="P63" s="113"/>
      <c r="Q63" s="113"/>
      <c r="R63" s="113"/>
      <c r="S63" s="115"/>
      <c r="T63" s="116"/>
    </row>
    <row r="64" spans="1:20">
      <c r="A64" s="1647" t="s">
        <v>107</v>
      </c>
      <c r="B64" s="1648"/>
      <c r="C64" s="1648"/>
      <c r="D64" s="1648"/>
      <c r="E64" s="1648"/>
      <c r="F64" s="1648"/>
      <c r="G64" s="1649"/>
      <c r="H64" s="113"/>
      <c r="I64" s="114"/>
      <c r="J64" s="114"/>
      <c r="K64" s="114"/>
      <c r="L64" s="113">
        <v>35944200</v>
      </c>
      <c r="M64" s="113"/>
      <c r="N64" s="113"/>
      <c r="O64" s="113"/>
      <c r="P64" s="113"/>
      <c r="Q64" s="113"/>
      <c r="R64" s="113"/>
      <c r="S64" s="115"/>
      <c r="T64" s="116"/>
    </row>
    <row r="65" spans="1:19">
      <c r="A65" s="1647" t="s">
        <v>108</v>
      </c>
      <c r="B65" s="1648"/>
      <c r="C65" s="1648"/>
      <c r="D65" s="1648"/>
      <c r="E65" s="1648"/>
      <c r="F65" s="1648"/>
      <c r="G65" s="1649"/>
      <c r="H65" s="113"/>
      <c r="I65" s="114"/>
      <c r="J65" s="114"/>
      <c r="K65" s="114"/>
      <c r="L65" s="113">
        <v>13346750.000000002</v>
      </c>
      <c r="M65" s="113"/>
      <c r="N65" s="113"/>
      <c r="O65" s="113"/>
      <c r="P65" s="113"/>
      <c r="Q65" s="113"/>
      <c r="R65" s="113"/>
      <c r="S65" s="115"/>
    </row>
    <row r="66" spans="1:19">
      <c r="A66" s="1647" t="s">
        <v>109</v>
      </c>
      <c r="B66" s="1648"/>
      <c r="C66" s="1648"/>
      <c r="D66" s="1648"/>
      <c r="E66" s="1648"/>
      <c r="F66" s="1648"/>
      <c r="G66" s="1649"/>
      <c r="H66" s="113"/>
      <c r="I66" s="114"/>
      <c r="J66" s="114"/>
      <c r="K66" s="114"/>
      <c r="L66" s="113">
        <v>5061200</v>
      </c>
      <c r="M66" s="113"/>
      <c r="N66" s="113"/>
      <c r="O66" s="113"/>
      <c r="P66" s="113"/>
      <c r="Q66" s="113"/>
      <c r="R66" s="113"/>
      <c r="S66" s="115"/>
    </row>
    <row r="67" spans="1:19">
      <c r="A67" s="117" t="s">
        <v>110</v>
      </c>
      <c r="B67" s="118"/>
      <c r="C67" s="118"/>
      <c r="D67" s="118"/>
      <c r="E67" s="118"/>
      <c r="F67" s="118"/>
      <c r="G67" s="119"/>
      <c r="H67" s="113"/>
      <c r="I67" s="114"/>
      <c r="J67" s="114"/>
      <c r="K67" s="114"/>
      <c r="L67" s="113">
        <v>200000</v>
      </c>
      <c r="M67" s="113"/>
      <c r="N67" s="113"/>
      <c r="O67" s="113"/>
      <c r="P67" s="113"/>
      <c r="Q67" s="113"/>
      <c r="R67" s="113"/>
      <c r="S67" s="115"/>
    </row>
    <row r="68" spans="1:19">
      <c r="A68" s="1647" t="s">
        <v>111</v>
      </c>
      <c r="B68" s="1648"/>
      <c r="C68" s="1648"/>
      <c r="D68" s="1648"/>
      <c r="E68" s="1648"/>
      <c r="F68" s="1648"/>
      <c r="G68" s="1649"/>
      <c r="H68" s="113"/>
      <c r="I68" s="114"/>
      <c r="J68" s="114"/>
      <c r="K68" s="114"/>
      <c r="L68" s="113">
        <v>52839150</v>
      </c>
      <c r="M68" s="113"/>
      <c r="N68" s="113"/>
      <c r="O68" s="113"/>
      <c r="P68" s="113"/>
      <c r="Q68" s="113"/>
      <c r="R68" s="113"/>
      <c r="S68" s="115"/>
    </row>
    <row r="69" spans="1:19">
      <c r="A69" s="1642" t="s">
        <v>112</v>
      </c>
      <c r="B69" s="1643"/>
      <c r="C69" s="1643"/>
      <c r="D69" s="1643"/>
      <c r="E69" s="1643"/>
      <c r="F69" s="1643"/>
      <c r="G69" s="1644"/>
      <c r="H69" s="120"/>
      <c r="I69" s="120"/>
      <c r="J69" s="120"/>
      <c r="K69" s="120"/>
      <c r="L69" s="121">
        <v>651600</v>
      </c>
      <c r="M69" s="120"/>
      <c r="N69" s="120"/>
      <c r="O69" s="120"/>
      <c r="P69" s="120"/>
      <c r="Q69" s="120"/>
      <c r="R69" s="120"/>
      <c r="S69" s="122"/>
    </row>
    <row r="70" spans="1:19" ht="15.75" thickBot="1">
      <c r="A70" s="123" t="s">
        <v>113</v>
      </c>
      <c r="B70" s="124"/>
      <c r="C70" s="124"/>
      <c r="D70" s="124"/>
      <c r="E70" s="124"/>
      <c r="F70" s="124"/>
      <c r="G70" s="125"/>
      <c r="H70" s="126"/>
      <c r="I70" s="126"/>
      <c r="J70" s="126"/>
      <c r="K70" s="126"/>
      <c r="L70" s="127">
        <v>1073800</v>
      </c>
      <c r="M70" s="126"/>
      <c r="N70" s="126"/>
      <c r="O70" s="126"/>
      <c r="P70" s="126"/>
      <c r="Q70" s="126"/>
      <c r="R70" s="126"/>
      <c r="S70" s="128"/>
    </row>
    <row r="71" spans="1:19" ht="15.75" thickTop="1">
      <c r="A71" s="1"/>
      <c r="B71" s="1"/>
      <c r="C71" s="1"/>
      <c r="D71" s="1639" t="s">
        <v>114</v>
      </c>
      <c r="E71" s="1639"/>
      <c r="F71" s="1639"/>
      <c r="G71" s="14"/>
      <c r="H71" s="3"/>
      <c r="I71" s="3"/>
      <c r="J71" s="3"/>
      <c r="K71" s="1"/>
      <c r="L71" s="3"/>
      <c r="M71" s="14" t="s">
        <v>115</v>
      </c>
      <c r="N71" s="3"/>
      <c r="O71" s="3"/>
      <c r="P71" s="3"/>
      <c r="Q71" s="3"/>
      <c r="R71" s="27"/>
      <c r="S71" s="1"/>
    </row>
    <row r="72" spans="1:19">
      <c r="A72" s="3"/>
      <c r="B72" s="3"/>
      <c r="C72" s="3"/>
      <c r="D72" s="10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27"/>
      <c r="S72" s="1"/>
    </row>
    <row r="73" spans="1: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</row>
    <row r="81" spans="4:19"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</row>
    <row r="82" spans="4:19"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</row>
    <row r="83" spans="4:19"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</row>
    <row r="84" spans="4:19"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</row>
    <row r="85" spans="4:19"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</row>
    <row r="86" spans="4:19"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</row>
    <row r="87" spans="4:19"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</row>
    <row r="88" spans="4:19"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</row>
    <row r="89" spans="4:19"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</row>
    <row r="90" spans="4:19"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</row>
    <row r="91" spans="4:19"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</row>
    <row r="92" spans="4:19"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</row>
    <row r="93" spans="4:19"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</row>
    <row r="94" spans="4:19"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</row>
    <row r="95" spans="4:19"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</row>
    <row r="96" spans="4:19"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</row>
    <row r="97" spans="4:19"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</row>
    <row r="98" spans="4:19"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</row>
    <row r="99" spans="4:19"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</row>
    <row r="100" spans="4:19"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</row>
    <row r="101" spans="4:19"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</row>
    <row r="102" spans="4:19"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</row>
    <row r="103" spans="4:19"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</row>
    <row r="104" spans="4:19"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</row>
    <row r="105" spans="4:19"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</row>
    <row r="106" spans="4:19"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</row>
    <row r="107" spans="4:19"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</row>
    <row r="108" spans="4:19"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</row>
    <row r="109" spans="4:19"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</row>
    <row r="110" spans="4:19"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</row>
    <row r="111" spans="4:19"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</row>
    <row r="112" spans="4:19"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</row>
    <row r="113" spans="4:19"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</row>
    <row r="114" spans="4:19"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</row>
    <row r="115" spans="4:19"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</row>
    <row r="116" spans="4:19"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</row>
    <row r="117" spans="4:19"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</row>
    <row r="118" spans="4:19"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</row>
    <row r="119" spans="4:19"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</row>
    <row r="120" spans="4:19"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</row>
    <row r="121" spans="4:19"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</row>
  </sheetData>
  <mergeCells count="20">
    <mergeCell ref="D71:F71"/>
    <mergeCell ref="S7:S8"/>
    <mergeCell ref="A69:G69"/>
    <mergeCell ref="A62:G62"/>
    <mergeCell ref="A63:G63"/>
    <mergeCell ref="A64:G64"/>
    <mergeCell ref="A65:G65"/>
    <mergeCell ref="A66:G66"/>
    <mergeCell ref="A68:G68"/>
    <mergeCell ref="I1:S1"/>
    <mergeCell ref="I2:S2"/>
    <mergeCell ref="A4:S4"/>
    <mergeCell ref="A5:S5"/>
    <mergeCell ref="A7:A8"/>
    <mergeCell ref="B7:B8"/>
    <mergeCell ref="C7:C8"/>
    <mergeCell ref="D7:F7"/>
    <mergeCell ref="G7:K7"/>
    <mergeCell ref="L7:L8"/>
    <mergeCell ref="M7:R7"/>
  </mergeCells>
  <pageMargins left="0.7" right="0.7" top="0.75" bottom="0.75" header="0.3" footer="0.3"/>
  <pageSetup paperSize="9" scale="67" orientation="landscape" verticalDpi="0" r:id="rId1"/>
  <rowBreaks count="1" manualBreakCount="1">
    <brk id="37" max="18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1"/>
  <sheetViews>
    <sheetView tabSelected="1" topLeftCell="A16" zoomScaleNormal="100" workbookViewId="0">
      <selection activeCell="B30" sqref="B30"/>
    </sheetView>
  </sheetViews>
  <sheetFormatPr defaultColWidth="9" defaultRowHeight="15"/>
  <cols>
    <col min="1" max="1" width="5.140625" style="706" customWidth="1"/>
    <col min="2" max="2" width="28.85546875" style="706" customWidth="1"/>
    <col min="3" max="3" width="10" style="706" customWidth="1"/>
    <col min="4" max="4" width="15.140625" style="706" customWidth="1"/>
    <col min="5" max="5" width="15.5703125" style="706" customWidth="1"/>
    <col min="6" max="6" width="17.28515625" style="706" customWidth="1"/>
    <col min="7" max="7" width="16.28515625" style="706" customWidth="1"/>
    <col min="8" max="8" width="17.28515625" style="706" customWidth="1"/>
    <col min="9" max="9" width="9.28515625" style="706" customWidth="1"/>
    <col min="10" max="10" width="11.42578125" style="706" bestFit="1" customWidth="1"/>
    <col min="11" max="16384" width="9" style="706"/>
  </cols>
  <sheetData>
    <row r="1" spans="1:12">
      <c r="A1" s="699" t="s">
        <v>0</v>
      </c>
      <c r="B1" s="699"/>
      <c r="C1" s="699"/>
      <c r="D1" s="699"/>
      <c r="E1" s="1626" t="s">
        <v>1</v>
      </c>
      <c r="F1" s="1626"/>
      <c r="G1" s="1626"/>
      <c r="H1" s="1626"/>
      <c r="I1" s="1626"/>
      <c r="L1" s="703"/>
    </row>
    <row r="2" spans="1:12">
      <c r="A2" s="676" t="s">
        <v>2</v>
      </c>
      <c r="B2" s="676"/>
      <c r="C2" s="676"/>
      <c r="D2" s="676"/>
      <c r="E2" s="1752" t="s">
        <v>3</v>
      </c>
      <c r="F2" s="1752"/>
      <c r="G2" s="1752"/>
      <c r="H2" s="1752"/>
      <c r="I2" s="1752"/>
      <c r="L2" s="703"/>
    </row>
    <row r="4" spans="1:12" ht="16.5">
      <c r="A4" s="1753" t="s">
        <v>1805</v>
      </c>
      <c r="B4" s="1753"/>
      <c r="C4" s="1753"/>
      <c r="D4" s="1753"/>
      <c r="E4" s="1753"/>
      <c r="F4" s="1753"/>
      <c r="G4" s="1753"/>
      <c r="H4" s="1753"/>
      <c r="I4" s="1753"/>
    </row>
    <row r="5" spans="1:12">
      <c r="F5" s="1754" t="s">
        <v>1806</v>
      </c>
      <c r="G5" s="1754"/>
      <c r="H5" s="1754"/>
      <c r="I5" s="1754"/>
    </row>
    <row r="6" spans="1:12" ht="15.75" thickBot="1">
      <c r="F6" s="697"/>
      <c r="G6" s="697"/>
      <c r="H6" s="697"/>
      <c r="I6" s="697"/>
    </row>
    <row r="7" spans="1:12" ht="55.5" customHeight="1" thickTop="1">
      <c r="A7" s="682" t="s">
        <v>6</v>
      </c>
      <c r="B7" s="683" t="s">
        <v>616</v>
      </c>
      <c r="C7" s="684" t="s">
        <v>18</v>
      </c>
      <c r="D7" s="684" t="s">
        <v>617</v>
      </c>
      <c r="E7" s="684" t="s">
        <v>618</v>
      </c>
      <c r="F7" s="700" t="s">
        <v>619</v>
      </c>
      <c r="G7" s="701" t="s">
        <v>620</v>
      </c>
      <c r="H7" s="701" t="s">
        <v>621</v>
      </c>
      <c r="I7" s="702" t="s">
        <v>13</v>
      </c>
    </row>
    <row r="8" spans="1:12">
      <c r="A8" s="694">
        <v>1</v>
      </c>
      <c r="B8" s="680" t="s">
        <v>622</v>
      </c>
      <c r="C8" s="680">
        <f>[1]DTT7!H63</f>
        <v>213</v>
      </c>
      <c r="D8" s="685">
        <f>[1]DTT7!L64</f>
        <v>35944200</v>
      </c>
      <c r="E8" s="685">
        <f>[1]DTT7!L65</f>
        <v>13346750.000000002</v>
      </c>
      <c r="F8" s="685">
        <f>[1]DTT7!L66</f>
        <v>5061200</v>
      </c>
      <c r="G8" s="687">
        <v>867000000</v>
      </c>
      <c r="H8" s="687">
        <f>SUM(D8:F8)</f>
        <v>54352150</v>
      </c>
      <c r="I8" s="681"/>
      <c r="J8" s="689"/>
    </row>
    <row r="9" spans="1:12">
      <c r="A9" s="695">
        <v>2</v>
      </c>
      <c r="B9" s="680" t="s">
        <v>623</v>
      </c>
      <c r="C9" s="677">
        <f>[1]DTT8!H119</f>
        <v>714</v>
      </c>
      <c r="D9" s="686">
        <f>[1]DTT8!N119</f>
        <v>25316750</v>
      </c>
      <c r="E9" s="686">
        <f>[1]DTT8!P119</f>
        <v>56911900</v>
      </c>
      <c r="F9" s="686">
        <f>[1]DTT8!R119</f>
        <v>87508050</v>
      </c>
      <c r="G9" s="687"/>
      <c r="H9" s="687">
        <f>SUM(D9:F9)</f>
        <v>169736700</v>
      </c>
      <c r="I9" s="678"/>
    </row>
    <row r="10" spans="1:12">
      <c r="A10" s="695">
        <v>3</v>
      </c>
      <c r="B10" s="680" t="s">
        <v>624</v>
      </c>
      <c r="C10" s="677">
        <f>[1]DTT9!H117</f>
        <v>1234</v>
      </c>
      <c r="D10" s="686">
        <f>[1]DTT9!L118</f>
        <v>13070600</v>
      </c>
      <c r="E10" s="686">
        <f>[1]DTT9!L119</f>
        <v>24742200</v>
      </c>
      <c r="F10" s="686">
        <f>[1]DTT9!L120</f>
        <v>238316100</v>
      </c>
      <c r="G10" s="687"/>
      <c r="H10" s="687">
        <f t="shared" ref="H10:H12" si="0">SUM(D10:F10)</f>
        <v>276128900</v>
      </c>
      <c r="I10" s="678"/>
    </row>
    <row r="11" spans="1:12">
      <c r="A11" s="695">
        <v>4</v>
      </c>
      <c r="B11" s="680" t="s">
        <v>625</v>
      </c>
      <c r="C11" s="677">
        <f>[1]DTT10!H181</f>
        <v>1401</v>
      </c>
      <c r="D11" s="686">
        <f>[1]DTT10!N181</f>
        <v>6974300</v>
      </c>
      <c r="E11" s="686">
        <f>[1]DTT10!P181</f>
        <v>26192050</v>
      </c>
      <c r="F11" s="686">
        <f>[1]DTT10!R181</f>
        <v>302936100</v>
      </c>
      <c r="G11" s="687"/>
      <c r="H11" s="687">
        <f t="shared" si="0"/>
        <v>336102450</v>
      </c>
      <c r="I11" s="678"/>
    </row>
    <row r="12" spans="1:12" ht="30">
      <c r="A12" s="695">
        <v>5</v>
      </c>
      <c r="B12" s="680" t="s">
        <v>626</v>
      </c>
      <c r="C12" s="698">
        <f>[1]DTT11!H157</f>
        <v>1319</v>
      </c>
      <c r="D12" s="686">
        <f>[1]DTT11!N157</f>
        <v>3960600</v>
      </c>
      <c r="E12" s="686">
        <f>[1]DTT11!P157</f>
        <v>1357500</v>
      </c>
      <c r="F12" s="686">
        <f>[1]DTT11!R157</f>
        <v>349931000</v>
      </c>
      <c r="G12" s="687"/>
      <c r="H12" s="687">
        <f t="shared" si="0"/>
        <v>355249100</v>
      </c>
      <c r="I12" s="678"/>
    </row>
    <row r="13" spans="1:12">
      <c r="A13" s="696">
        <v>6</v>
      </c>
      <c r="B13" s="690" t="s">
        <v>627</v>
      </c>
      <c r="C13" s="690">
        <f>[1]DTT12!H101</f>
        <v>754</v>
      </c>
      <c r="D13" s="691">
        <f>[1]DTT12!N101</f>
        <v>13427300</v>
      </c>
      <c r="E13" s="691">
        <f>[1]DTT12!P101</f>
        <v>17207800</v>
      </c>
      <c r="F13" s="691">
        <f>[1]DTT12!R101</f>
        <v>156723650.00000003</v>
      </c>
      <c r="G13" s="692">
        <v>79510200</v>
      </c>
      <c r="H13" s="687">
        <f>[1]DTT12!L101</f>
        <v>187358750</v>
      </c>
      <c r="I13" s="693"/>
    </row>
    <row r="14" spans="1:12">
      <c r="A14" s="696">
        <v>7</v>
      </c>
      <c r="B14" s="690" t="s">
        <v>628</v>
      </c>
      <c r="C14" s="1374">
        <f>[2]DTT1!$H$107</f>
        <v>1627</v>
      </c>
      <c r="D14" s="691">
        <f>[2]DTT1!$N$107</f>
        <v>3413150.0000000005</v>
      </c>
      <c r="E14" s="691">
        <f>[2]DTT1!$P$107</f>
        <v>0</v>
      </c>
      <c r="F14" s="691">
        <f>[2]DTT1!$R$107</f>
        <v>446136850</v>
      </c>
      <c r="G14" s="692">
        <v>154904000</v>
      </c>
      <c r="H14" s="692">
        <f>[2]DTT1!$L$107</f>
        <v>449550000</v>
      </c>
      <c r="I14" s="693"/>
    </row>
    <row r="15" spans="1:12">
      <c r="A15" s="1198">
        <v>8</v>
      </c>
      <c r="B15" s="1199" t="s">
        <v>1694</v>
      </c>
      <c r="C15" s="1374">
        <f>[2]DTT2!$H$93</f>
        <v>1290</v>
      </c>
      <c r="D15" s="691">
        <f>[2]DTT2!$N$93</f>
        <v>12841450.000000002</v>
      </c>
      <c r="E15" s="691">
        <f>[2]DTT2!$P$93</f>
        <v>9261250</v>
      </c>
      <c r="F15" s="691">
        <f>[2]DTT2!$R$93</f>
        <v>333950350</v>
      </c>
      <c r="G15" s="692">
        <v>426600000</v>
      </c>
      <c r="H15" s="692">
        <f>[2]DTT2!$L$93</f>
        <v>356053050</v>
      </c>
      <c r="I15" s="693"/>
    </row>
    <row r="16" spans="1:12">
      <c r="A16" s="1198">
        <v>9</v>
      </c>
      <c r="B16" s="1199" t="s">
        <v>1807</v>
      </c>
      <c r="C16" s="1600">
        <f>[2]DTT3!$H$56</f>
        <v>377</v>
      </c>
      <c r="D16" s="691">
        <f>[2]DTT3!$N$55</f>
        <v>0</v>
      </c>
      <c r="E16" s="691">
        <f>[2]DTT3!$P$55</f>
        <v>0</v>
      </c>
      <c r="F16" s="691">
        <f>[2]DTT3!$R$55</f>
        <v>101905150</v>
      </c>
      <c r="G16" s="692">
        <v>33904000</v>
      </c>
      <c r="H16" s="692">
        <f>[2]DTT3!$L$56</f>
        <v>101905150</v>
      </c>
      <c r="I16" s="693"/>
    </row>
    <row r="17" spans="1:9" ht="15.75" thickBot="1">
      <c r="A17" s="1749" t="s">
        <v>1808</v>
      </c>
      <c r="B17" s="1750"/>
      <c r="C17" s="1375">
        <f t="shared" ref="C17:H17" si="1">SUM(C8:C16)</f>
        <v>8929</v>
      </c>
      <c r="D17" s="1376">
        <f t="shared" si="1"/>
        <v>114948350</v>
      </c>
      <c r="E17" s="1376">
        <f t="shared" si="1"/>
        <v>149019450</v>
      </c>
      <c r="F17" s="1376">
        <f t="shared" si="1"/>
        <v>2022468450</v>
      </c>
      <c r="G17" s="1376">
        <f t="shared" si="1"/>
        <v>1561918200</v>
      </c>
      <c r="H17" s="1376">
        <f t="shared" si="1"/>
        <v>2286436250</v>
      </c>
      <c r="I17" s="679"/>
    </row>
    <row r="18" spans="1:9" ht="15.75" thickTop="1">
      <c r="A18" s="688"/>
      <c r="H18" s="689"/>
    </row>
    <row r="19" spans="1:9">
      <c r="A19" s="688"/>
      <c r="B19" s="723" t="s">
        <v>1809</v>
      </c>
      <c r="C19" s="706" t="s">
        <v>1695</v>
      </c>
      <c r="G19" s="1200">
        <f>H17</f>
        <v>2286436250</v>
      </c>
      <c r="H19" s="689"/>
    </row>
    <row r="20" spans="1:9">
      <c r="A20" s="688"/>
      <c r="C20" s="706" t="s">
        <v>1696</v>
      </c>
      <c r="G20" s="689">
        <f>D17+E17</f>
        <v>263967800</v>
      </c>
      <c r="H20" s="689"/>
    </row>
    <row r="21" spans="1:9">
      <c r="C21" s="706" t="s">
        <v>1697</v>
      </c>
      <c r="G21" s="689">
        <f>G17</f>
        <v>1561918200</v>
      </c>
    </row>
    <row r="22" spans="1:9">
      <c r="C22" s="706" t="s">
        <v>1810</v>
      </c>
      <c r="G22" s="1200">
        <f>G19-G20-G21</f>
        <v>460550250</v>
      </c>
      <c r="H22" s="689"/>
    </row>
    <row r="23" spans="1:9">
      <c r="G23" s="1200"/>
    </row>
    <row r="24" spans="1:9">
      <c r="B24" s="1626" t="s">
        <v>629</v>
      </c>
      <c r="C24" s="1626"/>
      <c r="E24" s="1626" t="s">
        <v>630</v>
      </c>
      <c r="F24" s="1626"/>
      <c r="G24" s="1626"/>
      <c r="H24" s="1626"/>
      <c r="I24" s="1626"/>
    </row>
    <row r="25" spans="1:9">
      <c r="B25" s="1751" t="s">
        <v>631</v>
      </c>
      <c r="C25" s="1751"/>
      <c r="E25" s="1751" t="s">
        <v>632</v>
      </c>
      <c r="F25" s="1751"/>
      <c r="G25" s="1751"/>
      <c r="H25" s="1751"/>
      <c r="I25" s="1751"/>
    </row>
    <row r="27" spans="1:9">
      <c r="F27" s="689"/>
    </row>
    <row r="28" spans="1:9">
      <c r="F28" s="689"/>
      <c r="G28" s="689"/>
    </row>
    <row r="29" spans="1:9">
      <c r="G29" s="689"/>
    </row>
    <row r="31" spans="1:9">
      <c r="B31" s="1626"/>
      <c r="C31" s="1626"/>
      <c r="E31" s="1626"/>
      <c r="F31" s="1626"/>
      <c r="G31" s="1626"/>
      <c r="H31" s="1626"/>
      <c r="I31" s="1626"/>
    </row>
  </sheetData>
  <mergeCells count="11">
    <mergeCell ref="E1:I1"/>
    <mergeCell ref="E2:I2"/>
    <mergeCell ref="A4:I4"/>
    <mergeCell ref="F5:I5"/>
    <mergeCell ref="A17:B17"/>
    <mergeCell ref="B25:C25"/>
    <mergeCell ref="E25:I25"/>
    <mergeCell ref="B31:C31"/>
    <mergeCell ref="E31:I31"/>
    <mergeCell ref="B24:C24"/>
    <mergeCell ref="E24:I24"/>
  </mergeCells>
  <pageMargins left="0.7" right="0.7" top="0.75" bottom="0.75" header="0.3" footer="0.3"/>
  <pageSetup paperSize="9" scale="92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21"/>
  <sheetViews>
    <sheetView topLeftCell="A10" zoomScale="75" zoomScaleNormal="75" workbookViewId="0">
      <selection activeCell="E22" sqref="E22"/>
    </sheetView>
  </sheetViews>
  <sheetFormatPr defaultColWidth="9" defaultRowHeight="15"/>
  <cols>
    <col min="1" max="1" width="5.140625" style="706" customWidth="1"/>
    <col min="2" max="2" width="28.85546875" style="706" customWidth="1"/>
    <col min="3" max="3" width="11" style="706" customWidth="1"/>
    <col min="4" max="4" width="19.42578125" style="706" customWidth="1"/>
    <col min="5" max="5" width="19.5703125" style="706" customWidth="1"/>
    <col min="6" max="6" width="20.85546875" style="706" customWidth="1"/>
    <col min="7" max="7" width="23.85546875" style="706" customWidth="1"/>
    <col min="8" max="8" width="21" style="706" customWidth="1"/>
    <col min="9" max="9" width="21.42578125" style="706" customWidth="1"/>
    <col min="10" max="10" width="11.42578125" style="706" bestFit="1" customWidth="1"/>
    <col min="11" max="16384" width="9" style="706"/>
  </cols>
  <sheetData>
    <row r="1" spans="1:12" ht="20.25">
      <c r="A1" s="1201" t="s">
        <v>0</v>
      </c>
      <c r="B1" s="1201"/>
      <c r="C1" s="1201"/>
      <c r="D1" s="1201"/>
      <c r="E1" s="1756" t="s">
        <v>1</v>
      </c>
      <c r="F1" s="1756"/>
      <c r="G1" s="1756"/>
      <c r="H1" s="1756"/>
      <c r="I1" s="1756"/>
      <c r="L1" s="703"/>
    </row>
    <row r="2" spans="1:12" ht="20.25">
      <c r="A2" s="1202" t="s">
        <v>2</v>
      </c>
      <c r="B2" s="1202"/>
      <c r="C2" s="1202"/>
      <c r="D2" s="1202"/>
      <c r="E2" s="1757" t="s">
        <v>3</v>
      </c>
      <c r="F2" s="1757"/>
      <c r="G2" s="1757"/>
      <c r="H2" s="1757"/>
      <c r="I2" s="1757"/>
      <c r="L2" s="703"/>
    </row>
    <row r="3" spans="1:12" ht="20.25">
      <c r="A3" s="1203"/>
      <c r="B3" s="1203"/>
      <c r="C3" s="1203"/>
      <c r="D3" s="1203"/>
      <c r="E3" s="1203"/>
      <c r="F3" s="1203"/>
      <c r="G3" s="1203"/>
      <c r="H3" s="1203"/>
      <c r="I3" s="1203"/>
    </row>
    <row r="4" spans="1:12" ht="22.5">
      <c r="A4" s="1758" t="s">
        <v>1811</v>
      </c>
      <c r="B4" s="1758"/>
      <c r="C4" s="1758"/>
      <c r="D4" s="1758"/>
      <c r="E4" s="1758"/>
      <c r="F4" s="1758"/>
      <c r="G4" s="1758"/>
      <c r="H4" s="1758"/>
      <c r="I4" s="1758"/>
    </row>
    <row r="5" spans="1:12" ht="23.25">
      <c r="A5" s="1761" t="s">
        <v>1813</v>
      </c>
      <c r="B5" s="1761"/>
      <c r="C5" s="1761"/>
      <c r="D5" s="1761"/>
      <c r="E5" s="1761"/>
      <c r="F5" s="1761"/>
      <c r="G5" s="1761"/>
      <c r="H5" s="1761"/>
      <c r="I5" s="1761"/>
    </row>
    <row r="6" spans="1:12" ht="24" thickBot="1">
      <c r="A6" s="1204"/>
      <c r="B6" s="1204"/>
      <c r="C6" s="1204"/>
      <c r="D6" s="1204"/>
      <c r="E6" s="1204"/>
      <c r="F6" s="1534"/>
      <c r="G6" s="1205"/>
      <c r="H6" s="1534"/>
      <c r="I6" s="1534"/>
    </row>
    <row r="7" spans="1:12" ht="55.5" customHeight="1" thickTop="1">
      <c r="A7" s="1206" t="s">
        <v>6</v>
      </c>
      <c r="B7" s="1207" t="s">
        <v>616</v>
      </c>
      <c r="C7" s="1208" t="s">
        <v>18</v>
      </c>
      <c r="D7" s="1208" t="s">
        <v>617</v>
      </c>
      <c r="E7" s="1209" t="s">
        <v>618</v>
      </c>
      <c r="F7" s="1210" t="s">
        <v>619</v>
      </c>
      <c r="G7" s="1209" t="s">
        <v>633</v>
      </c>
      <c r="H7" s="1208" t="s">
        <v>634</v>
      </c>
      <c r="I7" s="1211" t="s">
        <v>13</v>
      </c>
    </row>
    <row r="8" spans="1:12" ht="40.5">
      <c r="A8" s="1377">
        <v>1</v>
      </c>
      <c r="B8" s="1378" t="s">
        <v>622</v>
      </c>
      <c r="C8" s="1379">
        <f>[1]DTT7!H63</f>
        <v>213</v>
      </c>
      <c r="D8" s="1380">
        <f>[1]DTT7!L64</f>
        <v>35944200</v>
      </c>
      <c r="E8" s="1380">
        <f>[1]DTT7!L65</f>
        <v>13346750.000000002</v>
      </c>
      <c r="F8" s="1380">
        <f>[1]DTT7!L66</f>
        <v>5061200</v>
      </c>
      <c r="G8" s="1381">
        <f>SUM('[1]Thu chi thực te từ T5-&gt; 31.1220'!F275:F282)</f>
        <v>867000000</v>
      </c>
      <c r="H8" s="1381">
        <f>F17-G17</f>
        <v>460550250</v>
      </c>
      <c r="I8" s="1382"/>
      <c r="J8" s="689"/>
    </row>
    <row r="9" spans="1:12" ht="40.5">
      <c r="A9" s="1383">
        <v>2</v>
      </c>
      <c r="B9" s="1378" t="s">
        <v>623</v>
      </c>
      <c r="C9" s="1384">
        <f>[1]DTT8!H119</f>
        <v>714</v>
      </c>
      <c r="D9" s="1385">
        <f>[1]DTT8!N119</f>
        <v>25316750</v>
      </c>
      <c r="E9" s="1385">
        <f>[1]DTT8!P119</f>
        <v>56911900</v>
      </c>
      <c r="F9" s="1385">
        <f>[1]DTT8!R119</f>
        <v>87508050</v>
      </c>
      <c r="G9" s="1381"/>
      <c r="H9" s="1381"/>
      <c r="I9" s="1386"/>
    </row>
    <row r="10" spans="1:12" ht="40.5">
      <c r="A10" s="1383">
        <v>3</v>
      </c>
      <c r="B10" s="1378" t="s">
        <v>624</v>
      </c>
      <c r="C10" s="1384">
        <f>[1]DTT9!H117</f>
        <v>1234</v>
      </c>
      <c r="D10" s="1385">
        <f>[1]DTT9!L118</f>
        <v>13070600</v>
      </c>
      <c r="E10" s="1385">
        <f>[1]DTT9!L119</f>
        <v>24742200</v>
      </c>
      <c r="F10" s="1385">
        <f>[1]DTT9!L120</f>
        <v>238316100</v>
      </c>
      <c r="G10" s="1381"/>
      <c r="H10" s="1381"/>
      <c r="I10" s="1386"/>
    </row>
    <row r="11" spans="1:12" ht="40.5">
      <c r="A11" s="1383">
        <v>4</v>
      </c>
      <c r="B11" s="1378" t="s">
        <v>625</v>
      </c>
      <c r="C11" s="1384">
        <f>[1]DTT10!H181</f>
        <v>1401</v>
      </c>
      <c r="D11" s="1385">
        <f>[1]DTT10!N181</f>
        <v>6974300</v>
      </c>
      <c r="E11" s="1385">
        <f>[1]DTT10!P181</f>
        <v>26192050</v>
      </c>
      <c r="F11" s="1385">
        <f>[1]DTT10!R181</f>
        <v>302936100</v>
      </c>
      <c r="G11" s="1387"/>
      <c r="H11" s="1387"/>
      <c r="I11" s="1386"/>
    </row>
    <row r="12" spans="1:12" ht="40.5">
      <c r="A12" s="1383">
        <v>5</v>
      </c>
      <c r="B12" s="1378" t="s">
        <v>626</v>
      </c>
      <c r="C12" s="1384">
        <f>[1]DTT11!H157</f>
        <v>1319</v>
      </c>
      <c r="D12" s="1385">
        <f>[1]DTT11!N157</f>
        <v>3960600</v>
      </c>
      <c r="E12" s="1385">
        <f>[1]DTT11!P157</f>
        <v>1357500</v>
      </c>
      <c r="F12" s="1385">
        <f>[1]DTT11!R157</f>
        <v>349931000</v>
      </c>
      <c r="G12" s="1387"/>
      <c r="H12" s="1387"/>
      <c r="I12" s="1386"/>
    </row>
    <row r="13" spans="1:12" ht="20.25">
      <c r="A13" s="1388">
        <v>6</v>
      </c>
      <c r="B13" s="1389" t="s">
        <v>627</v>
      </c>
      <c r="C13" s="1390">
        <f>[1]DTT12!H101</f>
        <v>754</v>
      </c>
      <c r="D13" s="1391">
        <f>[1]DTT12!N101</f>
        <v>13427300</v>
      </c>
      <c r="E13" s="1391">
        <f>[1]DTT12!P101</f>
        <v>17207800</v>
      </c>
      <c r="F13" s="1391">
        <f>[1]DTT12!R101</f>
        <v>156723650.00000003</v>
      </c>
      <c r="G13" s="1392">
        <f>96718000-17207800</f>
        <v>79510200</v>
      </c>
      <c r="H13" s="1392"/>
      <c r="I13" s="1393"/>
    </row>
    <row r="14" spans="1:12" ht="40.5">
      <c r="A14" s="1388">
        <v>7</v>
      </c>
      <c r="B14" s="1389" t="s">
        <v>635</v>
      </c>
      <c r="C14" s="1390">
        <f>'[1]Tổng hợp DTBH'!C14</f>
        <v>1627</v>
      </c>
      <c r="D14" s="1391">
        <f>'[1]Tổng hợp DTBH'!D14</f>
        <v>3413150.0000000005</v>
      </c>
      <c r="E14" s="1391">
        <f>'[1]Tổng hợp DTBH'!E14</f>
        <v>0</v>
      </c>
      <c r="F14" s="1391">
        <f>'[1]Tổng hợp DTBH'!F14</f>
        <v>446136850</v>
      </c>
      <c r="G14" s="1392">
        <v>154904000</v>
      </c>
      <c r="H14" s="1392"/>
      <c r="I14" s="1393"/>
    </row>
    <row r="15" spans="1:12" ht="40.5">
      <c r="A15" s="1388">
        <v>8</v>
      </c>
      <c r="B15" s="1389" t="s">
        <v>1699</v>
      </c>
      <c r="C15" s="1390">
        <f>[2]DTT2!$H$93</f>
        <v>1290</v>
      </c>
      <c r="D15" s="1391">
        <f>[2]DTT2!$N$93</f>
        <v>12841450.000000002</v>
      </c>
      <c r="E15" s="1391">
        <f>[2]DTT2!$P$93</f>
        <v>9261250</v>
      </c>
      <c r="F15" s="1391">
        <f>[2]DTT2!$R$93</f>
        <v>333950350</v>
      </c>
      <c r="G15" s="1392">
        <v>426600000</v>
      </c>
      <c r="H15" s="1392"/>
      <c r="I15" s="1393"/>
    </row>
    <row r="16" spans="1:12" ht="40.5">
      <c r="A16" s="1388">
        <v>9</v>
      </c>
      <c r="B16" s="1389" t="s">
        <v>1812</v>
      </c>
      <c r="C16" s="1932">
        <f>[2]DTT3!$H$56</f>
        <v>377</v>
      </c>
      <c r="D16" s="1391">
        <f>[2]DTT3!$N$56</f>
        <v>0</v>
      </c>
      <c r="E16" s="1391">
        <f>[2]DTT3!$P$55</f>
        <v>0</v>
      </c>
      <c r="F16" s="1391">
        <f>[2]DTT3!$R$55</f>
        <v>101905150</v>
      </c>
      <c r="G16" s="1392">
        <v>33904000</v>
      </c>
      <c r="H16" s="1392"/>
      <c r="I16" s="1393"/>
    </row>
    <row r="17" spans="1:9" ht="21" thickBot="1">
      <c r="A17" s="1759" t="s">
        <v>1720</v>
      </c>
      <c r="B17" s="1760"/>
      <c r="C17" s="1394">
        <f>SUM(C8:C16)</f>
        <v>8929</v>
      </c>
      <c r="D17" s="1395">
        <f t="shared" ref="D17:H17" si="0">SUM(D8:D16)</f>
        <v>114948350</v>
      </c>
      <c r="E17" s="1395">
        <f t="shared" si="0"/>
        <v>149019450</v>
      </c>
      <c r="F17" s="1395">
        <f t="shared" si="0"/>
        <v>2022468450</v>
      </c>
      <c r="G17" s="1395">
        <f t="shared" si="0"/>
        <v>1561918200</v>
      </c>
      <c r="H17" s="1395">
        <f t="shared" si="0"/>
        <v>460550250</v>
      </c>
      <c r="I17" s="1396"/>
    </row>
    <row r="18" spans="1:9" ht="21" thickTop="1">
      <c r="A18" s="1212"/>
      <c r="B18" s="1203"/>
      <c r="C18" s="1203"/>
      <c r="D18" s="1203"/>
      <c r="E18" s="1203"/>
      <c r="F18" s="1203"/>
      <c r="G18" s="1203"/>
      <c r="H18" s="1213"/>
      <c r="I18" s="1203"/>
    </row>
    <row r="19" spans="1:9" ht="20.25">
      <c r="A19" s="1203"/>
      <c r="B19" s="1203"/>
      <c r="C19" s="1203"/>
      <c r="D19" s="1203"/>
      <c r="E19" s="1203"/>
      <c r="F19" s="1203"/>
      <c r="G19" s="1203"/>
      <c r="H19" s="1213"/>
      <c r="I19" s="1203"/>
    </row>
    <row r="20" spans="1:9" ht="20.25">
      <c r="A20" s="1203"/>
      <c r="B20" s="1756" t="s">
        <v>629</v>
      </c>
      <c r="C20" s="1756"/>
      <c r="D20" s="1203"/>
      <c r="E20" s="1756" t="s">
        <v>630</v>
      </c>
      <c r="F20" s="1756"/>
      <c r="G20" s="1756"/>
      <c r="H20" s="1756"/>
      <c r="I20" s="1756"/>
    </row>
    <row r="21" spans="1:9" ht="20.25">
      <c r="A21" s="1203"/>
      <c r="B21" s="1755" t="s">
        <v>631</v>
      </c>
      <c r="C21" s="1755"/>
      <c r="D21" s="1203"/>
      <c r="E21" s="1755" t="s">
        <v>632</v>
      </c>
      <c r="F21" s="1755"/>
      <c r="G21" s="1755"/>
      <c r="H21" s="1755"/>
      <c r="I21" s="1755"/>
    </row>
  </sheetData>
  <mergeCells count="9">
    <mergeCell ref="B21:C21"/>
    <mergeCell ref="E21:I21"/>
    <mergeCell ref="B20:C20"/>
    <mergeCell ref="E20:I20"/>
    <mergeCell ref="E1:I1"/>
    <mergeCell ref="E2:I2"/>
    <mergeCell ref="A4:I4"/>
    <mergeCell ref="A5:I5"/>
    <mergeCell ref="A17:B17"/>
  </mergeCells>
  <pageMargins left="0.7" right="0.7" top="0.75" bottom="0.75" header="0.3" footer="0.3"/>
  <pageSetup paperSize="9" scale="74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860"/>
  <sheetViews>
    <sheetView view="pageBreakPreview" topLeftCell="A685" zoomScaleNormal="100" zoomScaleSheetLayoutView="100" workbookViewId="0">
      <selection activeCell="D711" sqref="D711"/>
    </sheetView>
  </sheetViews>
  <sheetFormatPr defaultColWidth="12.28515625" defaultRowHeight="15"/>
  <cols>
    <col min="1" max="1" width="12.28515625" style="732"/>
    <col min="2" max="2" width="12.28515625" style="878"/>
    <col min="3" max="6" width="12.28515625" style="1011"/>
    <col min="7" max="14" width="12.28515625" style="1008"/>
    <col min="15" max="15" width="12.28515625" style="878"/>
    <col min="16" max="16384" width="12.28515625" style="732"/>
  </cols>
  <sheetData>
    <row r="1" spans="1:15" ht="16.5">
      <c r="A1" s="813" t="s">
        <v>0</v>
      </c>
      <c r="B1" s="733"/>
      <c r="C1" s="735"/>
      <c r="D1" s="735"/>
      <c r="E1" s="735"/>
      <c r="F1" s="795"/>
      <c r="G1" s="732"/>
      <c r="H1" s="732"/>
      <c r="I1" s="732"/>
      <c r="J1" s="732"/>
      <c r="K1" s="732"/>
      <c r="L1" s="732"/>
      <c r="M1" s="732"/>
      <c r="N1" s="732"/>
    </row>
    <row r="2" spans="1:15">
      <c r="A2" s="814" t="s">
        <v>2</v>
      </c>
      <c r="B2" s="734"/>
      <c r="C2" s="736"/>
      <c r="D2" s="736"/>
      <c r="E2" s="736"/>
      <c r="F2" s="736"/>
      <c r="G2" s="732"/>
      <c r="H2" s="732"/>
      <c r="I2" s="732"/>
      <c r="J2" s="732"/>
      <c r="K2" s="732"/>
      <c r="L2" s="732"/>
      <c r="M2" s="732"/>
      <c r="N2" s="732"/>
    </row>
    <row r="3" spans="1:15" ht="20.25">
      <c r="A3" s="1625" t="s">
        <v>1721</v>
      </c>
      <c r="B3" s="1625"/>
      <c r="C3" s="1625"/>
      <c r="D3" s="1625"/>
      <c r="E3" s="1625"/>
      <c r="F3" s="1625"/>
      <c r="G3" s="1625"/>
      <c r="H3" s="1625"/>
      <c r="I3" s="1625"/>
      <c r="J3" s="1625"/>
      <c r="K3" s="1625"/>
      <c r="L3" s="1625"/>
      <c r="M3" s="1625"/>
      <c r="N3" s="1625"/>
      <c r="O3" s="1625"/>
    </row>
    <row r="4" spans="1:15" ht="15.75" thickBot="1">
      <c r="A4" s="1777" t="s">
        <v>647</v>
      </c>
      <c r="B4" s="1777"/>
      <c r="C4" s="1777"/>
      <c r="D4" s="1777"/>
      <c r="E4" s="1777"/>
      <c r="F4" s="1777"/>
      <c r="G4" s="1777"/>
      <c r="H4" s="1777"/>
      <c r="I4" s="1777"/>
      <c r="J4" s="1777"/>
      <c r="K4" s="1777"/>
      <c r="L4" s="1777"/>
      <c r="M4" s="1777"/>
      <c r="N4" s="1777"/>
      <c r="O4" s="1777"/>
    </row>
    <row r="5" spans="1:15" s="737" customFormat="1" ht="15.75" customHeight="1" thickTop="1">
      <c r="A5" s="1778" t="s">
        <v>118</v>
      </c>
      <c r="B5" s="1780" t="s">
        <v>616</v>
      </c>
      <c r="C5" s="1782" t="s">
        <v>648</v>
      </c>
      <c r="D5" s="1783"/>
      <c r="E5" s="1783"/>
      <c r="F5" s="1783"/>
      <c r="G5" s="1784" t="s">
        <v>649</v>
      </c>
      <c r="H5" s="1785"/>
      <c r="I5" s="1785"/>
      <c r="J5" s="1785"/>
      <c r="K5" s="1785"/>
      <c r="L5" s="1786"/>
      <c r="M5" s="1081"/>
      <c r="N5" s="1081"/>
      <c r="O5" s="1787" t="s">
        <v>13</v>
      </c>
    </row>
    <row r="6" spans="1:15" s="737" customFormat="1" ht="18">
      <c r="A6" s="1779"/>
      <c r="B6" s="1781"/>
      <c r="C6" s="743" t="s">
        <v>650</v>
      </c>
      <c r="D6" s="743" t="s">
        <v>651</v>
      </c>
      <c r="E6" s="743" t="s">
        <v>652</v>
      </c>
      <c r="F6" s="743" t="s">
        <v>653</v>
      </c>
      <c r="G6" s="744" t="s">
        <v>650</v>
      </c>
      <c r="H6" s="744" t="s">
        <v>651</v>
      </c>
      <c r="I6" s="744" t="s">
        <v>652</v>
      </c>
      <c r="J6" s="744" t="s">
        <v>654</v>
      </c>
      <c r="K6" s="745" t="s">
        <v>655</v>
      </c>
      <c r="L6" s="745" t="s">
        <v>656</v>
      </c>
      <c r="M6" s="745" t="s">
        <v>657</v>
      </c>
      <c r="N6" s="745" t="s">
        <v>658</v>
      </c>
      <c r="O6" s="1788"/>
    </row>
    <row r="7" spans="1:15" s="1096" customFormat="1" ht="18">
      <c r="A7" s="1403" t="s">
        <v>659</v>
      </c>
      <c r="B7" s="1404" t="s">
        <v>660</v>
      </c>
      <c r="C7" s="748">
        <v>40000000</v>
      </c>
      <c r="D7" s="746"/>
      <c r="E7" s="747"/>
      <c r="F7" s="748"/>
      <c r="G7" s="748"/>
      <c r="H7" s="802"/>
      <c r="I7" s="802"/>
      <c r="J7" s="748"/>
      <c r="K7" s="748"/>
      <c r="L7" s="748"/>
      <c r="M7" s="748"/>
      <c r="N7" s="748"/>
      <c r="O7" s="1431"/>
    </row>
    <row r="8" spans="1:15" s="1096" customFormat="1" ht="18">
      <c r="A8" s="749"/>
      <c r="B8" s="751" t="s">
        <v>661</v>
      </c>
      <c r="C8" s="816">
        <v>60000000</v>
      </c>
      <c r="D8" s="817"/>
      <c r="E8" s="817"/>
      <c r="F8" s="816"/>
      <c r="G8" s="816"/>
      <c r="H8" s="821"/>
      <c r="I8" s="821"/>
      <c r="J8" s="816"/>
      <c r="K8" s="816"/>
      <c r="L8" s="816"/>
      <c r="M8" s="816"/>
      <c r="N8" s="816"/>
      <c r="O8" s="1432"/>
    </row>
    <row r="9" spans="1:15" s="1096" customFormat="1" ht="18">
      <c r="A9" s="749"/>
      <c r="B9" s="751" t="s">
        <v>662</v>
      </c>
      <c r="C9" s="816">
        <v>36000000</v>
      </c>
      <c r="D9" s="817"/>
      <c r="E9" s="817"/>
      <c r="F9" s="816"/>
      <c r="G9" s="816"/>
      <c r="H9" s="821"/>
      <c r="I9" s="821"/>
      <c r="J9" s="816"/>
      <c r="K9" s="816"/>
      <c r="L9" s="816"/>
      <c r="M9" s="816"/>
      <c r="N9" s="816"/>
      <c r="O9" s="1432"/>
    </row>
    <row r="10" spans="1:15" s="1096" customFormat="1" ht="18">
      <c r="A10" s="749"/>
      <c r="B10" s="751" t="s">
        <v>663</v>
      </c>
      <c r="C10" s="816">
        <v>42000000</v>
      </c>
      <c r="D10" s="817"/>
      <c r="E10" s="817"/>
      <c r="F10" s="816"/>
      <c r="G10" s="816"/>
      <c r="H10" s="821"/>
      <c r="I10" s="821"/>
      <c r="J10" s="816"/>
      <c r="K10" s="816"/>
      <c r="L10" s="816"/>
      <c r="M10" s="816"/>
      <c r="N10" s="816"/>
      <c r="O10" s="1432"/>
    </row>
    <row r="11" spans="1:15" s="1096" customFormat="1" ht="36">
      <c r="A11" s="1405"/>
      <c r="B11" s="751" t="s">
        <v>664</v>
      </c>
      <c r="C11" s="816">
        <v>13346750</v>
      </c>
      <c r="D11" s="817"/>
      <c r="E11" s="817"/>
      <c r="F11" s="818"/>
      <c r="G11" s="818"/>
      <c r="H11" s="821"/>
      <c r="I11" s="821"/>
      <c r="J11" s="818"/>
      <c r="K11" s="818"/>
      <c r="L11" s="818"/>
      <c r="M11" s="818"/>
      <c r="N11" s="818"/>
      <c r="O11" s="1432"/>
    </row>
    <row r="12" spans="1:15" s="1096" customFormat="1" ht="18">
      <c r="A12" s="749"/>
      <c r="B12" s="751" t="s">
        <v>665</v>
      </c>
      <c r="C12" s="816">
        <v>80000000</v>
      </c>
      <c r="D12" s="817"/>
      <c r="E12" s="817"/>
      <c r="F12" s="816"/>
      <c r="G12" s="816"/>
      <c r="H12" s="821"/>
      <c r="I12" s="821"/>
      <c r="J12" s="816"/>
      <c r="K12" s="816"/>
      <c r="L12" s="816"/>
      <c r="M12" s="816"/>
      <c r="N12" s="816"/>
      <c r="O12" s="1432"/>
    </row>
    <row r="13" spans="1:15" s="1096" customFormat="1" ht="18">
      <c r="A13" s="749"/>
      <c r="B13" s="751" t="s">
        <v>666</v>
      </c>
      <c r="C13" s="816">
        <v>10000000</v>
      </c>
      <c r="D13" s="817"/>
      <c r="E13" s="817"/>
      <c r="F13" s="816"/>
      <c r="G13" s="816"/>
      <c r="H13" s="821"/>
      <c r="I13" s="821"/>
      <c r="J13" s="816"/>
      <c r="K13" s="816"/>
      <c r="L13" s="816"/>
      <c r="M13" s="816"/>
      <c r="N13" s="816"/>
      <c r="O13" s="1432"/>
    </row>
    <row r="14" spans="1:15" s="1096" customFormat="1" ht="45">
      <c r="A14" s="749"/>
      <c r="B14" s="819" t="s">
        <v>667</v>
      </c>
      <c r="C14" s="820"/>
      <c r="D14" s="817"/>
      <c r="E14" s="817"/>
      <c r="F14" s="816"/>
      <c r="G14" s="816">
        <v>30000000</v>
      </c>
      <c r="H14" s="821"/>
      <c r="I14" s="821"/>
      <c r="J14" s="816"/>
      <c r="K14" s="816"/>
      <c r="L14" s="816"/>
      <c r="M14" s="816"/>
      <c r="N14" s="816"/>
      <c r="O14" s="1432"/>
    </row>
    <row r="15" spans="1:15" s="1096" customFormat="1" ht="36">
      <c r="A15" s="749"/>
      <c r="B15" s="819" t="s">
        <v>668</v>
      </c>
      <c r="C15" s="820"/>
      <c r="D15" s="817"/>
      <c r="E15" s="817"/>
      <c r="F15" s="816"/>
      <c r="G15" s="816">
        <v>8400000</v>
      </c>
      <c r="H15" s="821"/>
      <c r="I15" s="821"/>
      <c r="J15" s="816"/>
      <c r="K15" s="816"/>
      <c r="L15" s="816"/>
      <c r="M15" s="816"/>
      <c r="N15" s="816"/>
      <c r="O15" s="1432"/>
    </row>
    <row r="16" spans="1:15" s="1096" customFormat="1" ht="45">
      <c r="A16" s="749"/>
      <c r="B16" s="819" t="s">
        <v>669</v>
      </c>
      <c r="C16" s="820"/>
      <c r="D16" s="817"/>
      <c r="E16" s="817"/>
      <c r="F16" s="816"/>
      <c r="G16" s="816">
        <v>10000000</v>
      </c>
      <c r="H16" s="821"/>
      <c r="I16" s="821"/>
      <c r="J16" s="816"/>
      <c r="K16" s="816"/>
      <c r="L16" s="816"/>
      <c r="M16" s="816"/>
      <c r="N16" s="816"/>
      <c r="O16" s="1432"/>
    </row>
    <row r="17" spans="1:15" s="1096" customFormat="1" ht="36">
      <c r="A17" s="749"/>
      <c r="B17" s="819" t="s">
        <v>670</v>
      </c>
      <c r="C17" s="816"/>
      <c r="D17" s="817"/>
      <c r="E17" s="817"/>
      <c r="F17" s="816"/>
      <c r="G17" s="816">
        <v>60000000</v>
      </c>
      <c r="H17" s="821"/>
      <c r="I17" s="821"/>
      <c r="J17" s="816"/>
      <c r="K17" s="816"/>
      <c r="L17" s="816"/>
      <c r="M17" s="816"/>
      <c r="N17" s="816"/>
      <c r="O17" s="1432"/>
    </row>
    <row r="18" spans="1:15" s="1096" customFormat="1" ht="9">
      <c r="A18" s="749"/>
      <c r="B18" s="755" t="s">
        <v>671</v>
      </c>
      <c r="C18" s="816"/>
      <c r="D18" s="817"/>
      <c r="E18" s="817"/>
      <c r="F18" s="816"/>
      <c r="G18" s="816">
        <v>10000000</v>
      </c>
      <c r="H18" s="821"/>
      <c r="I18" s="821"/>
      <c r="J18" s="816"/>
      <c r="K18" s="816"/>
      <c r="L18" s="816"/>
      <c r="M18" s="816"/>
      <c r="N18" s="816"/>
      <c r="O18" s="1432"/>
    </row>
    <row r="19" spans="1:15" s="1096" customFormat="1" ht="18">
      <c r="A19" s="749"/>
      <c r="B19" s="751" t="s">
        <v>672</v>
      </c>
      <c r="C19" s="820"/>
      <c r="D19" s="817"/>
      <c r="E19" s="817"/>
      <c r="F19" s="816"/>
      <c r="G19" s="816">
        <v>20000000</v>
      </c>
      <c r="H19" s="821"/>
      <c r="I19" s="821"/>
      <c r="J19" s="816"/>
      <c r="K19" s="816"/>
      <c r="L19" s="816"/>
      <c r="M19" s="816"/>
      <c r="N19" s="816"/>
      <c r="O19" s="1432"/>
    </row>
    <row r="20" spans="1:15" s="1096" customFormat="1" ht="18">
      <c r="A20" s="749"/>
      <c r="B20" s="751" t="s">
        <v>673</v>
      </c>
      <c r="C20" s="816"/>
      <c r="D20" s="817"/>
      <c r="E20" s="817"/>
      <c r="F20" s="816"/>
      <c r="G20" s="816">
        <v>21000000</v>
      </c>
      <c r="H20" s="821"/>
      <c r="I20" s="821"/>
      <c r="J20" s="816"/>
      <c r="K20" s="816"/>
      <c r="L20" s="816"/>
      <c r="M20" s="816"/>
      <c r="N20" s="816"/>
      <c r="O20" s="1432"/>
    </row>
    <row r="21" spans="1:15" s="1096" customFormat="1" ht="18">
      <c r="A21" s="750" t="s">
        <v>674</v>
      </c>
      <c r="B21" s="751" t="s">
        <v>675</v>
      </c>
      <c r="C21" s="816"/>
      <c r="D21" s="817"/>
      <c r="E21" s="817"/>
      <c r="F21" s="816"/>
      <c r="G21" s="816">
        <v>14550000</v>
      </c>
      <c r="H21" s="821"/>
      <c r="I21" s="821"/>
      <c r="J21" s="816"/>
      <c r="K21" s="816"/>
      <c r="L21" s="816"/>
      <c r="M21" s="816"/>
      <c r="N21" s="816"/>
      <c r="O21" s="1432"/>
    </row>
    <row r="22" spans="1:15" s="1096" customFormat="1" ht="36">
      <c r="A22" s="750"/>
      <c r="B22" s="1406" t="s">
        <v>676</v>
      </c>
      <c r="C22" s="816"/>
      <c r="D22" s="817"/>
      <c r="E22" s="817"/>
      <c r="F22" s="816"/>
      <c r="G22" s="816">
        <v>16600000</v>
      </c>
      <c r="H22" s="821"/>
      <c r="I22" s="821"/>
      <c r="J22" s="816"/>
      <c r="K22" s="816"/>
      <c r="L22" s="816"/>
      <c r="M22" s="816"/>
      <c r="N22" s="816"/>
      <c r="O22" s="1432"/>
    </row>
    <row r="23" spans="1:15" s="1096" customFormat="1" ht="9">
      <c r="A23" s="749" t="s">
        <v>677</v>
      </c>
      <c r="B23" s="751" t="s">
        <v>678</v>
      </c>
      <c r="C23" s="816"/>
      <c r="D23" s="817"/>
      <c r="E23" s="817"/>
      <c r="F23" s="816"/>
      <c r="G23" s="816">
        <v>1935000</v>
      </c>
      <c r="H23" s="821"/>
      <c r="I23" s="821"/>
      <c r="J23" s="816"/>
      <c r="K23" s="816"/>
      <c r="L23" s="816"/>
      <c r="M23" s="816"/>
      <c r="N23" s="816"/>
      <c r="O23" s="1432"/>
    </row>
    <row r="24" spans="1:15" s="1096" customFormat="1" ht="9">
      <c r="A24" s="749"/>
      <c r="B24" s="751" t="s">
        <v>679</v>
      </c>
      <c r="C24" s="816"/>
      <c r="D24" s="817"/>
      <c r="E24" s="817"/>
      <c r="F24" s="816"/>
      <c r="G24" s="816">
        <v>1950000</v>
      </c>
      <c r="H24" s="821"/>
      <c r="I24" s="821"/>
      <c r="J24" s="816"/>
      <c r="K24" s="816"/>
      <c r="L24" s="816"/>
      <c r="M24" s="816"/>
      <c r="N24" s="816"/>
      <c r="O24" s="1432"/>
    </row>
    <row r="25" spans="1:15" s="1096" customFormat="1" ht="18">
      <c r="A25" s="749"/>
      <c r="B25" s="751" t="s">
        <v>680</v>
      </c>
      <c r="C25" s="816"/>
      <c r="D25" s="817"/>
      <c r="E25" s="817"/>
      <c r="F25" s="816"/>
      <c r="G25" s="816">
        <v>3750000</v>
      </c>
      <c r="H25" s="821"/>
      <c r="I25" s="821"/>
      <c r="J25" s="816"/>
      <c r="K25" s="816"/>
      <c r="L25" s="816"/>
      <c r="M25" s="816"/>
      <c r="N25" s="816"/>
      <c r="O25" s="1432"/>
    </row>
    <row r="26" spans="1:15" s="1096" customFormat="1" ht="9">
      <c r="A26" s="749"/>
      <c r="B26" s="751" t="s">
        <v>681</v>
      </c>
      <c r="C26" s="816"/>
      <c r="D26" s="817"/>
      <c r="E26" s="817"/>
      <c r="F26" s="816"/>
      <c r="G26" s="816">
        <v>1600000</v>
      </c>
      <c r="H26" s="821"/>
      <c r="I26" s="821"/>
      <c r="J26" s="816"/>
      <c r="K26" s="816"/>
      <c r="L26" s="816"/>
      <c r="M26" s="816"/>
      <c r="N26" s="816"/>
      <c r="O26" s="1432"/>
    </row>
    <row r="27" spans="1:15" s="1096" customFormat="1" ht="9">
      <c r="A27" s="749"/>
      <c r="B27" s="751" t="s">
        <v>682</v>
      </c>
      <c r="C27" s="816"/>
      <c r="D27" s="817"/>
      <c r="E27" s="817"/>
      <c r="F27" s="816"/>
      <c r="G27" s="816">
        <v>2760000</v>
      </c>
      <c r="H27" s="821"/>
      <c r="I27" s="821"/>
      <c r="J27" s="816"/>
      <c r="K27" s="816"/>
      <c r="L27" s="816"/>
      <c r="M27" s="816"/>
      <c r="N27" s="816"/>
      <c r="O27" s="1432"/>
    </row>
    <row r="28" spans="1:15" s="1096" customFormat="1" ht="18">
      <c r="A28" s="749" t="s">
        <v>683</v>
      </c>
      <c r="B28" s="751" t="s">
        <v>684</v>
      </c>
      <c r="C28" s="816"/>
      <c r="D28" s="817"/>
      <c r="E28" s="817"/>
      <c r="F28" s="816"/>
      <c r="G28" s="816">
        <v>6000000</v>
      </c>
      <c r="H28" s="821"/>
      <c r="I28" s="821"/>
      <c r="J28" s="816"/>
      <c r="K28" s="816"/>
      <c r="L28" s="816"/>
      <c r="M28" s="816"/>
      <c r="N28" s="816"/>
      <c r="O28" s="1432"/>
    </row>
    <row r="29" spans="1:15" s="1096" customFormat="1" ht="9">
      <c r="A29" s="749"/>
      <c r="B29" s="751" t="s">
        <v>685</v>
      </c>
      <c r="C29" s="816"/>
      <c r="D29" s="817"/>
      <c r="E29" s="817"/>
      <c r="F29" s="816"/>
      <c r="G29" s="816">
        <v>1850000</v>
      </c>
      <c r="H29" s="821"/>
      <c r="I29" s="821"/>
      <c r="J29" s="816"/>
      <c r="K29" s="816"/>
      <c r="L29" s="816"/>
      <c r="M29" s="816"/>
      <c r="N29" s="816"/>
      <c r="O29" s="1432"/>
    </row>
    <row r="30" spans="1:15" s="1096" customFormat="1" ht="9">
      <c r="A30" s="749"/>
      <c r="B30" s="751" t="s">
        <v>686</v>
      </c>
      <c r="C30" s="816"/>
      <c r="D30" s="817"/>
      <c r="E30" s="817"/>
      <c r="F30" s="816"/>
      <c r="G30" s="816">
        <v>1570000</v>
      </c>
      <c r="H30" s="821"/>
      <c r="I30" s="821"/>
      <c r="J30" s="816"/>
      <c r="K30" s="816"/>
      <c r="L30" s="816"/>
      <c r="M30" s="816"/>
      <c r="N30" s="816"/>
      <c r="O30" s="1432"/>
    </row>
    <row r="31" spans="1:15" s="1096" customFormat="1" ht="18">
      <c r="A31" s="750"/>
      <c r="B31" s="751" t="s">
        <v>687</v>
      </c>
      <c r="C31" s="816"/>
      <c r="D31" s="817"/>
      <c r="E31" s="817"/>
      <c r="F31" s="816"/>
      <c r="G31" s="816">
        <v>5240000</v>
      </c>
      <c r="H31" s="821"/>
      <c r="I31" s="821"/>
      <c r="J31" s="816"/>
      <c r="K31" s="816"/>
      <c r="L31" s="816"/>
      <c r="M31" s="816"/>
      <c r="N31" s="816"/>
      <c r="O31" s="1432"/>
    </row>
    <row r="32" spans="1:15" s="1096" customFormat="1" ht="9">
      <c r="A32" s="750"/>
      <c r="B32" s="751" t="s">
        <v>688</v>
      </c>
      <c r="C32" s="816"/>
      <c r="D32" s="817"/>
      <c r="E32" s="817"/>
      <c r="F32" s="816"/>
      <c r="G32" s="816">
        <v>5448000</v>
      </c>
      <c r="H32" s="821"/>
      <c r="I32" s="821"/>
      <c r="J32" s="816"/>
      <c r="K32" s="816"/>
      <c r="L32" s="816"/>
      <c r="M32" s="816"/>
      <c r="N32" s="816"/>
      <c r="O32" s="1432"/>
    </row>
    <row r="33" spans="1:15" s="1096" customFormat="1" ht="9">
      <c r="A33" s="749"/>
      <c r="B33" s="751" t="s">
        <v>689</v>
      </c>
      <c r="C33" s="816"/>
      <c r="D33" s="817"/>
      <c r="E33" s="817"/>
      <c r="F33" s="816"/>
      <c r="G33" s="816">
        <v>720000</v>
      </c>
      <c r="H33" s="821"/>
      <c r="I33" s="821"/>
      <c r="J33" s="816"/>
      <c r="K33" s="816"/>
      <c r="L33" s="816"/>
      <c r="M33" s="816"/>
      <c r="N33" s="816"/>
      <c r="O33" s="1432"/>
    </row>
    <row r="34" spans="1:15" s="1096" customFormat="1" ht="9">
      <c r="A34" s="749"/>
      <c r="B34" s="751" t="s">
        <v>690</v>
      </c>
      <c r="C34" s="816"/>
      <c r="D34" s="817"/>
      <c r="E34" s="817"/>
      <c r="F34" s="816"/>
      <c r="G34" s="816">
        <v>135000</v>
      </c>
      <c r="H34" s="821"/>
      <c r="I34" s="821"/>
      <c r="J34" s="816"/>
      <c r="K34" s="816"/>
      <c r="L34" s="816"/>
      <c r="M34" s="816"/>
      <c r="N34" s="816"/>
      <c r="O34" s="1432"/>
    </row>
    <row r="35" spans="1:15" s="1096" customFormat="1" ht="9">
      <c r="A35" s="749"/>
      <c r="B35" s="751" t="s">
        <v>691</v>
      </c>
      <c r="C35" s="816"/>
      <c r="D35" s="817"/>
      <c r="E35" s="817"/>
      <c r="F35" s="816"/>
      <c r="G35" s="816">
        <v>50000</v>
      </c>
      <c r="H35" s="821"/>
      <c r="I35" s="821"/>
      <c r="J35" s="816"/>
      <c r="K35" s="816"/>
      <c r="L35" s="816"/>
      <c r="M35" s="816"/>
      <c r="N35" s="816"/>
      <c r="O35" s="1432"/>
    </row>
    <row r="36" spans="1:15" s="1096" customFormat="1" ht="27">
      <c r="A36" s="749"/>
      <c r="B36" s="751" t="s">
        <v>692</v>
      </c>
      <c r="C36" s="816"/>
      <c r="D36" s="817"/>
      <c r="E36" s="817"/>
      <c r="F36" s="816"/>
      <c r="G36" s="816">
        <v>790000</v>
      </c>
      <c r="H36" s="821"/>
      <c r="I36" s="821"/>
      <c r="J36" s="816"/>
      <c r="K36" s="816"/>
      <c r="L36" s="816"/>
      <c r="M36" s="816"/>
      <c r="N36" s="816"/>
      <c r="O36" s="1432"/>
    </row>
    <row r="37" spans="1:15" s="1096" customFormat="1" ht="9">
      <c r="A37" s="750"/>
      <c r="B37" s="751" t="s">
        <v>693</v>
      </c>
      <c r="C37" s="816"/>
      <c r="D37" s="817"/>
      <c r="E37" s="817"/>
      <c r="F37" s="816"/>
      <c r="G37" s="816">
        <v>1800000</v>
      </c>
      <c r="H37" s="821"/>
      <c r="I37" s="821"/>
      <c r="J37" s="816"/>
      <c r="K37" s="816"/>
      <c r="L37" s="816"/>
      <c r="M37" s="816"/>
      <c r="N37" s="816"/>
      <c r="O37" s="1432"/>
    </row>
    <row r="38" spans="1:15" s="1096" customFormat="1" ht="9">
      <c r="A38" s="750"/>
      <c r="B38" s="751" t="s">
        <v>694</v>
      </c>
      <c r="C38" s="816"/>
      <c r="D38" s="817"/>
      <c r="E38" s="817"/>
      <c r="F38" s="816"/>
      <c r="G38" s="816">
        <v>80000</v>
      </c>
      <c r="H38" s="821"/>
      <c r="I38" s="821"/>
      <c r="J38" s="816"/>
      <c r="K38" s="816"/>
      <c r="L38" s="816"/>
      <c r="M38" s="816"/>
      <c r="N38" s="816"/>
      <c r="O38" s="1432"/>
    </row>
    <row r="39" spans="1:15" s="1096" customFormat="1" ht="9">
      <c r="A39" s="749"/>
      <c r="B39" s="751" t="s">
        <v>695</v>
      </c>
      <c r="C39" s="816"/>
      <c r="D39" s="817"/>
      <c r="E39" s="817"/>
      <c r="F39" s="816"/>
      <c r="G39" s="816">
        <v>850000</v>
      </c>
      <c r="H39" s="821"/>
      <c r="I39" s="821"/>
      <c r="J39" s="816"/>
      <c r="K39" s="816"/>
      <c r="L39" s="816"/>
      <c r="M39" s="816"/>
      <c r="N39" s="816"/>
      <c r="O39" s="1432"/>
    </row>
    <row r="40" spans="1:15" s="1096" customFormat="1" ht="18">
      <c r="A40" s="749"/>
      <c r="B40" s="751" t="s">
        <v>696</v>
      </c>
      <c r="C40" s="816"/>
      <c r="D40" s="817"/>
      <c r="E40" s="817"/>
      <c r="F40" s="816"/>
      <c r="G40" s="816">
        <v>1200000</v>
      </c>
      <c r="H40" s="821"/>
      <c r="I40" s="821"/>
      <c r="J40" s="816"/>
      <c r="K40" s="816"/>
      <c r="L40" s="816"/>
      <c r="M40" s="816"/>
      <c r="N40" s="816"/>
      <c r="O40" s="1432"/>
    </row>
    <row r="41" spans="1:15" s="1096" customFormat="1" ht="18">
      <c r="A41" s="750"/>
      <c r="B41" s="751" t="s">
        <v>697</v>
      </c>
      <c r="C41" s="816"/>
      <c r="D41" s="817"/>
      <c r="E41" s="817"/>
      <c r="F41" s="816"/>
      <c r="G41" s="816">
        <v>1700000</v>
      </c>
      <c r="H41" s="821"/>
      <c r="I41" s="821"/>
      <c r="J41" s="816"/>
      <c r="K41" s="816"/>
      <c r="L41" s="816"/>
      <c r="M41" s="816"/>
      <c r="N41" s="816"/>
      <c r="O41" s="1432"/>
    </row>
    <row r="42" spans="1:15" s="1096" customFormat="1" ht="18">
      <c r="A42" s="750"/>
      <c r="B42" s="751" t="s">
        <v>698</v>
      </c>
      <c r="C42" s="816"/>
      <c r="D42" s="817"/>
      <c r="E42" s="817"/>
      <c r="F42" s="816"/>
      <c r="G42" s="816">
        <v>115000</v>
      </c>
      <c r="H42" s="821"/>
      <c r="I42" s="821"/>
      <c r="J42" s="816"/>
      <c r="K42" s="816"/>
      <c r="L42" s="816"/>
      <c r="M42" s="816"/>
      <c r="N42" s="816"/>
      <c r="O42" s="1432"/>
    </row>
    <row r="43" spans="1:15" s="1096" customFormat="1" ht="9">
      <c r="A43" s="749"/>
      <c r="B43" s="751" t="s">
        <v>699</v>
      </c>
      <c r="C43" s="816"/>
      <c r="D43" s="817"/>
      <c r="E43" s="817"/>
      <c r="F43" s="816"/>
      <c r="G43" s="816">
        <v>160000</v>
      </c>
      <c r="H43" s="821"/>
      <c r="I43" s="821"/>
      <c r="J43" s="816"/>
      <c r="K43" s="816"/>
      <c r="L43" s="816"/>
      <c r="M43" s="816"/>
      <c r="N43" s="816"/>
      <c r="O43" s="1432"/>
    </row>
    <row r="44" spans="1:15" s="1096" customFormat="1" ht="18">
      <c r="A44" s="749"/>
      <c r="B44" s="751" t="s">
        <v>700</v>
      </c>
      <c r="C44" s="816"/>
      <c r="D44" s="817"/>
      <c r="E44" s="817"/>
      <c r="F44" s="816"/>
      <c r="G44" s="816">
        <v>30000</v>
      </c>
      <c r="H44" s="821"/>
      <c r="I44" s="821"/>
      <c r="J44" s="816"/>
      <c r="K44" s="816"/>
      <c r="L44" s="816"/>
      <c r="M44" s="816"/>
      <c r="N44" s="816"/>
      <c r="O44" s="1432"/>
    </row>
    <row r="45" spans="1:15" s="1096" customFormat="1" ht="9">
      <c r="A45" s="749" t="s">
        <v>701</v>
      </c>
      <c r="B45" s="751" t="s">
        <v>702</v>
      </c>
      <c r="C45" s="816"/>
      <c r="D45" s="817"/>
      <c r="E45" s="817"/>
      <c r="F45" s="816"/>
      <c r="G45" s="816">
        <v>32000</v>
      </c>
      <c r="H45" s="821"/>
      <c r="I45" s="821"/>
      <c r="J45" s="816"/>
      <c r="K45" s="816"/>
      <c r="L45" s="816"/>
      <c r="M45" s="816"/>
      <c r="N45" s="816"/>
      <c r="O45" s="1432"/>
    </row>
    <row r="46" spans="1:15" s="1096" customFormat="1" ht="18">
      <c r="A46" s="749"/>
      <c r="B46" s="751" t="s">
        <v>703</v>
      </c>
      <c r="C46" s="816"/>
      <c r="D46" s="817"/>
      <c r="E46" s="817"/>
      <c r="F46" s="816"/>
      <c r="G46" s="816">
        <v>789000</v>
      </c>
      <c r="H46" s="821"/>
      <c r="I46" s="821"/>
      <c r="J46" s="816"/>
      <c r="K46" s="816"/>
      <c r="L46" s="816"/>
      <c r="M46" s="816"/>
      <c r="N46" s="816"/>
      <c r="O46" s="1432"/>
    </row>
    <row r="47" spans="1:15" s="1096" customFormat="1" ht="9">
      <c r="A47" s="750" t="s">
        <v>704</v>
      </c>
      <c r="B47" s="751" t="s">
        <v>705</v>
      </c>
      <c r="C47" s="816"/>
      <c r="D47" s="817"/>
      <c r="E47" s="817"/>
      <c r="F47" s="816"/>
      <c r="G47" s="816">
        <v>442000</v>
      </c>
      <c r="H47" s="821"/>
      <c r="I47" s="821"/>
      <c r="J47" s="816"/>
      <c r="K47" s="816"/>
      <c r="L47" s="816"/>
      <c r="M47" s="816"/>
      <c r="N47" s="816"/>
      <c r="O47" s="1432"/>
    </row>
    <row r="48" spans="1:15" s="1096" customFormat="1" ht="18">
      <c r="A48" s="750"/>
      <c r="B48" s="751" t="s">
        <v>706</v>
      </c>
      <c r="C48" s="816"/>
      <c r="D48" s="817"/>
      <c r="E48" s="817"/>
      <c r="F48" s="816"/>
      <c r="G48" s="816">
        <f>660000-G47</f>
        <v>218000</v>
      </c>
      <c r="H48" s="821"/>
      <c r="I48" s="821"/>
      <c r="J48" s="816"/>
      <c r="K48" s="816"/>
      <c r="L48" s="816"/>
      <c r="M48" s="816"/>
      <c r="N48" s="816"/>
      <c r="O48" s="1432"/>
    </row>
    <row r="49" spans="1:15" s="1096" customFormat="1" ht="9">
      <c r="A49" s="750"/>
      <c r="B49" s="751" t="s">
        <v>707</v>
      </c>
      <c r="C49" s="816"/>
      <c r="D49" s="817"/>
      <c r="E49" s="817"/>
      <c r="F49" s="816"/>
      <c r="G49" s="816">
        <v>93000</v>
      </c>
      <c r="H49" s="821"/>
      <c r="I49" s="821"/>
      <c r="J49" s="816"/>
      <c r="K49" s="816"/>
      <c r="L49" s="816"/>
      <c r="M49" s="816"/>
      <c r="N49" s="816"/>
      <c r="O49" s="1432"/>
    </row>
    <row r="50" spans="1:15" s="1096" customFormat="1" ht="36">
      <c r="A50" s="750"/>
      <c r="B50" s="751" t="s">
        <v>708</v>
      </c>
      <c r="C50" s="816"/>
      <c r="D50" s="817"/>
      <c r="E50" s="817"/>
      <c r="F50" s="816"/>
      <c r="G50" s="816">
        <v>181000</v>
      </c>
      <c r="H50" s="821"/>
      <c r="I50" s="821"/>
      <c r="J50" s="816"/>
      <c r="K50" s="816"/>
      <c r="L50" s="816"/>
      <c r="M50" s="816"/>
      <c r="N50" s="816"/>
      <c r="O50" s="1432"/>
    </row>
    <row r="51" spans="1:15" s="1096" customFormat="1" ht="27">
      <c r="A51" s="749" t="s">
        <v>709</v>
      </c>
      <c r="B51" s="751" t="s">
        <v>710</v>
      </c>
      <c r="C51" s="816"/>
      <c r="D51" s="817"/>
      <c r="E51" s="817"/>
      <c r="F51" s="816"/>
      <c r="G51" s="816">
        <v>283000</v>
      </c>
      <c r="H51" s="821"/>
      <c r="I51" s="821"/>
      <c r="J51" s="816"/>
      <c r="K51" s="816"/>
      <c r="L51" s="816"/>
      <c r="M51" s="816"/>
      <c r="N51" s="816"/>
      <c r="O51" s="1432"/>
    </row>
    <row r="52" spans="1:15" s="1096" customFormat="1" ht="27">
      <c r="A52" s="749" t="s">
        <v>711</v>
      </c>
      <c r="B52" s="751" t="s">
        <v>712</v>
      </c>
      <c r="C52" s="816"/>
      <c r="D52" s="817"/>
      <c r="E52" s="817"/>
      <c r="F52" s="816"/>
      <c r="G52" s="816">
        <v>517000</v>
      </c>
      <c r="H52" s="821"/>
      <c r="I52" s="821"/>
      <c r="J52" s="816"/>
      <c r="K52" s="816"/>
      <c r="L52" s="816"/>
      <c r="M52" s="816"/>
      <c r="N52" s="816"/>
      <c r="O52" s="1432"/>
    </row>
    <row r="53" spans="1:15" s="1096" customFormat="1" ht="9">
      <c r="A53" s="749"/>
      <c r="B53" s="751" t="s">
        <v>713</v>
      </c>
      <c r="C53" s="816"/>
      <c r="D53" s="817"/>
      <c r="E53" s="817"/>
      <c r="F53" s="816"/>
      <c r="G53" s="816">
        <v>50000</v>
      </c>
      <c r="H53" s="821"/>
      <c r="I53" s="821"/>
      <c r="J53" s="816"/>
      <c r="K53" s="816"/>
      <c r="L53" s="816"/>
      <c r="M53" s="816"/>
      <c r="N53" s="816"/>
      <c r="O53" s="1432"/>
    </row>
    <row r="54" spans="1:15" s="1096" customFormat="1" ht="18">
      <c r="A54" s="750"/>
      <c r="B54" s="751" t="s">
        <v>714</v>
      </c>
      <c r="C54" s="816"/>
      <c r="D54" s="817"/>
      <c r="E54" s="817"/>
      <c r="F54" s="816"/>
      <c r="G54" s="816">
        <v>500000</v>
      </c>
      <c r="H54" s="821"/>
      <c r="I54" s="821"/>
      <c r="J54" s="816"/>
      <c r="K54" s="816"/>
      <c r="L54" s="816"/>
      <c r="M54" s="816"/>
      <c r="N54" s="816"/>
      <c r="O54" s="1432"/>
    </row>
    <row r="55" spans="1:15" s="1096" customFormat="1" ht="27">
      <c r="A55" s="750"/>
      <c r="B55" s="751" t="s">
        <v>715</v>
      </c>
      <c r="C55" s="816"/>
      <c r="D55" s="817"/>
      <c r="E55" s="817"/>
      <c r="F55" s="816"/>
      <c r="G55" s="816">
        <v>115000</v>
      </c>
      <c r="H55" s="821"/>
      <c r="I55" s="821"/>
      <c r="J55" s="816"/>
      <c r="K55" s="816"/>
      <c r="L55" s="816"/>
      <c r="M55" s="816"/>
      <c r="N55" s="816"/>
      <c r="O55" s="1432"/>
    </row>
    <row r="56" spans="1:15" s="1096" customFormat="1" ht="9">
      <c r="A56" s="749"/>
      <c r="B56" s="751" t="s">
        <v>716</v>
      </c>
      <c r="C56" s="816"/>
      <c r="D56" s="817"/>
      <c r="E56" s="817"/>
      <c r="F56" s="816"/>
      <c r="G56" s="816">
        <v>2300000</v>
      </c>
      <c r="H56" s="821"/>
      <c r="I56" s="821"/>
      <c r="J56" s="816"/>
      <c r="K56" s="816"/>
      <c r="L56" s="816"/>
      <c r="M56" s="816"/>
      <c r="N56" s="816"/>
      <c r="O56" s="1432"/>
    </row>
    <row r="57" spans="1:15" s="1096" customFormat="1" ht="27">
      <c r="A57" s="749"/>
      <c r="B57" s="751" t="s">
        <v>717</v>
      </c>
      <c r="C57" s="816"/>
      <c r="D57" s="817"/>
      <c r="E57" s="817"/>
      <c r="F57" s="816"/>
      <c r="G57" s="816">
        <v>500000</v>
      </c>
      <c r="H57" s="821"/>
      <c r="I57" s="821"/>
      <c r="J57" s="816"/>
      <c r="K57" s="816"/>
      <c r="L57" s="816"/>
      <c r="M57" s="816"/>
      <c r="N57" s="816"/>
      <c r="O57" s="1432"/>
    </row>
    <row r="58" spans="1:15" s="1096" customFormat="1" ht="27">
      <c r="A58" s="749"/>
      <c r="B58" s="751" t="s">
        <v>718</v>
      </c>
      <c r="C58" s="816"/>
      <c r="D58" s="817"/>
      <c r="E58" s="817"/>
      <c r="F58" s="816"/>
      <c r="G58" s="816">
        <v>350000</v>
      </c>
      <c r="H58" s="821"/>
      <c r="I58" s="821"/>
      <c r="J58" s="816"/>
      <c r="K58" s="816"/>
      <c r="L58" s="816"/>
      <c r="M58" s="816"/>
      <c r="N58" s="816"/>
      <c r="O58" s="1432"/>
    </row>
    <row r="59" spans="1:15" s="1096" customFormat="1" ht="18">
      <c r="A59" s="749"/>
      <c r="B59" s="751" t="s">
        <v>719</v>
      </c>
      <c r="C59" s="816"/>
      <c r="D59" s="817"/>
      <c r="E59" s="817"/>
      <c r="F59" s="816"/>
      <c r="G59" s="816">
        <v>130000</v>
      </c>
      <c r="H59" s="821"/>
      <c r="I59" s="821"/>
      <c r="J59" s="816"/>
      <c r="K59" s="816"/>
      <c r="L59" s="816"/>
      <c r="M59" s="816"/>
      <c r="N59" s="816"/>
      <c r="O59" s="1432"/>
    </row>
    <row r="60" spans="1:15" s="1096" customFormat="1" ht="36">
      <c r="A60" s="750"/>
      <c r="B60" s="751" t="s">
        <v>720</v>
      </c>
      <c r="C60" s="816"/>
      <c r="D60" s="817"/>
      <c r="E60" s="817"/>
      <c r="F60" s="816"/>
      <c r="G60" s="816">
        <v>110000</v>
      </c>
      <c r="H60" s="821"/>
      <c r="I60" s="821"/>
      <c r="J60" s="816"/>
      <c r="K60" s="816"/>
      <c r="L60" s="816"/>
      <c r="M60" s="816"/>
      <c r="N60" s="816"/>
      <c r="O60" s="1432"/>
    </row>
    <row r="61" spans="1:15" s="1096" customFormat="1" ht="18">
      <c r="A61" s="750" t="s">
        <v>721</v>
      </c>
      <c r="B61" s="751" t="s">
        <v>722</v>
      </c>
      <c r="C61" s="816"/>
      <c r="D61" s="817"/>
      <c r="E61" s="817"/>
      <c r="F61" s="816"/>
      <c r="G61" s="816">
        <v>30000</v>
      </c>
      <c r="H61" s="821"/>
      <c r="I61" s="821"/>
      <c r="J61" s="816"/>
      <c r="K61" s="816"/>
      <c r="L61" s="816"/>
      <c r="M61" s="816"/>
      <c r="N61" s="816"/>
      <c r="O61" s="1432"/>
    </row>
    <row r="62" spans="1:15" s="1096" customFormat="1" ht="36">
      <c r="A62" s="750"/>
      <c r="B62" s="751" t="s">
        <v>723</v>
      </c>
      <c r="C62" s="816"/>
      <c r="D62" s="817"/>
      <c r="E62" s="817"/>
      <c r="F62" s="816"/>
      <c r="G62" s="816">
        <v>500000</v>
      </c>
      <c r="H62" s="821"/>
      <c r="I62" s="821"/>
      <c r="J62" s="816"/>
      <c r="K62" s="816"/>
      <c r="L62" s="816"/>
      <c r="M62" s="816"/>
      <c r="N62" s="816"/>
      <c r="O62" s="1432"/>
    </row>
    <row r="63" spans="1:15" s="1096" customFormat="1" ht="9">
      <c r="A63" s="750"/>
      <c r="B63" s="751" t="s">
        <v>724</v>
      </c>
      <c r="C63" s="816"/>
      <c r="D63" s="817"/>
      <c r="E63" s="817"/>
      <c r="F63" s="816"/>
      <c r="G63" s="816">
        <v>442000</v>
      </c>
      <c r="H63" s="821"/>
      <c r="I63" s="821"/>
      <c r="J63" s="816"/>
      <c r="K63" s="816"/>
      <c r="L63" s="816"/>
      <c r="M63" s="816"/>
      <c r="N63" s="816"/>
      <c r="O63" s="1432"/>
    </row>
    <row r="64" spans="1:15" s="1096" customFormat="1" ht="18">
      <c r="A64" s="749"/>
      <c r="B64" s="819" t="s">
        <v>725</v>
      </c>
      <c r="C64" s="816"/>
      <c r="D64" s="817"/>
      <c r="E64" s="817"/>
      <c r="F64" s="816"/>
      <c r="G64" s="816">
        <v>14000000</v>
      </c>
      <c r="H64" s="821"/>
      <c r="I64" s="821"/>
      <c r="J64" s="816"/>
      <c r="K64" s="816"/>
      <c r="L64" s="816"/>
      <c r="M64" s="816"/>
      <c r="N64" s="816"/>
      <c r="O64" s="1432"/>
    </row>
    <row r="65" spans="1:15" s="1096" customFormat="1" ht="45">
      <c r="A65" s="749"/>
      <c r="B65" s="751" t="s">
        <v>726</v>
      </c>
      <c r="C65" s="816"/>
      <c r="D65" s="817"/>
      <c r="E65" s="817"/>
      <c r="F65" s="816"/>
      <c r="G65" s="816">
        <v>14500000</v>
      </c>
      <c r="H65" s="821"/>
      <c r="I65" s="821"/>
      <c r="J65" s="816"/>
      <c r="K65" s="816"/>
      <c r="L65" s="816"/>
      <c r="M65" s="816"/>
      <c r="N65" s="816"/>
      <c r="O65" s="1432"/>
    </row>
    <row r="66" spans="1:15" s="1096" customFormat="1" ht="45">
      <c r="A66" s="749"/>
      <c r="B66" s="751" t="s">
        <v>727</v>
      </c>
      <c r="C66" s="816"/>
      <c r="D66" s="817"/>
      <c r="E66" s="817"/>
      <c r="F66" s="816"/>
      <c r="G66" s="816">
        <v>16000000</v>
      </c>
      <c r="H66" s="821"/>
      <c r="I66" s="821"/>
      <c r="J66" s="816"/>
      <c r="K66" s="816"/>
      <c r="L66" s="816"/>
      <c r="M66" s="816"/>
      <c r="N66" s="816"/>
      <c r="O66" s="1432"/>
    </row>
    <row r="67" spans="1:15" s="1096" customFormat="1" ht="9">
      <c r="A67" s="749"/>
      <c r="B67" s="751" t="s">
        <v>728</v>
      </c>
      <c r="C67" s="816"/>
      <c r="D67" s="817"/>
      <c r="E67" s="817"/>
      <c r="F67" s="816"/>
      <c r="G67" s="752"/>
      <c r="H67" s="821"/>
      <c r="I67" s="821"/>
      <c r="J67" s="816">
        <v>500000</v>
      </c>
      <c r="K67" s="816"/>
      <c r="L67" s="816"/>
      <c r="M67" s="816"/>
      <c r="N67" s="816"/>
      <c r="O67" s="1432"/>
    </row>
    <row r="68" spans="1:15" s="1096" customFormat="1" ht="9">
      <c r="A68" s="750"/>
      <c r="B68" s="751" t="s">
        <v>729</v>
      </c>
      <c r="C68" s="816"/>
      <c r="D68" s="817"/>
      <c r="E68" s="817"/>
      <c r="F68" s="816"/>
      <c r="G68" s="752"/>
      <c r="H68" s="821"/>
      <c r="I68" s="821"/>
      <c r="J68" s="816">
        <v>300000</v>
      </c>
      <c r="K68" s="816"/>
      <c r="L68" s="816"/>
      <c r="M68" s="816"/>
      <c r="N68" s="816"/>
      <c r="O68" s="1432"/>
    </row>
    <row r="69" spans="1:15" s="1096" customFormat="1" ht="9">
      <c r="A69" s="750"/>
      <c r="B69" s="751" t="s">
        <v>730</v>
      </c>
      <c r="C69" s="816"/>
      <c r="D69" s="817"/>
      <c r="E69" s="817"/>
      <c r="F69" s="816"/>
      <c r="G69" s="752"/>
      <c r="H69" s="821"/>
      <c r="I69" s="821"/>
      <c r="J69" s="816">
        <v>4000000</v>
      </c>
      <c r="K69" s="816"/>
      <c r="L69" s="816"/>
      <c r="M69" s="816"/>
      <c r="N69" s="816"/>
      <c r="O69" s="1432"/>
    </row>
    <row r="70" spans="1:15" s="1096" customFormat="1" ht="9">
      <c r="A70" s="750"/>
      <c r="B70" s="751" t="s">
        <v>731</v>
      </c>
      <c r="C70" s="816"/>
      <c r="D70" s="817"/>
      <c r="E70" s="817"/>
      <c r="F70" s="816"/>
      <c r="G70" s="752"/>
      <c r="H70" s="821"/>
      <c r="I70" s="821"/>
      <c r="J70" s="816">
        <v>800000</v>
      </c>
      <c r="K70" s="816"/>
      <c r="L70" s="816"/>
      <c r="M70" s="816"/>
      <c r="N70" s="816"/>
      <c r="O70" s="1432"/>
    </row>
    <row r="71" spans="1:15" s="1096" customFormat="1" ht="9">
      <c r="A71" s="753" t="s">
        <v>732</v>
      </c>
      <c r="B71" s="751" t="s">
        <v>733</v>
      </c>
      <c r="C71" s="816"/>
      <c r="D71" s="817"/>
      <c r="E71" s="817"/>
      <c r="F71" s="816"/>
      <c r="G71" s="752"/>
      <c r="H71" s="821"/>
      <c r="I71" s="821"/>
      <c r="J71" s="816">
        <v>1237135</v>
      </c>
      <c r="K71" s="816"/>
      <c r="L71" s="816"/>
      <c r="M71" s="816"/>
      <c r="N71" s="816"/>
      <c r="O71" s="1432"/>
    </row>
    <row r="72" spans="1:15" s="1096" customFormat="1" ht="9">
      <c r="A72" s="753"/>
      <c r="B72" s="754" t="s">
        <v>734</v>
      </c>
      <c r="C72" s="816"/>
      <c r="D72" s="817"/>
      <c r="E72" s="817"/>
      <c r="F72" s="816"/>
      <c r="G72" s="752"/>
      <c r="H72" s="821"/>
      <c r="I72" s="821"/>
      <c r="J72" s="816">
        <v>123715</v>
      </c>
      <c r="K72" s="816"/>
      <c r="L72" s="816"/>
      <c r="M72" s="816"/>
      <c r="N72" s="816"/>
      <c r="O72" s="1432"/>
    </row>
    <row r="73" spans="1:15" s="1096" customFormat="1" ht="9">
      <c r="A73" s="753"/>
      <c r="B73" s="751" t="s">
        <v>733</v>
      </c>
      <c r="C73" s="816"/>
      <c r="D73" s="817"/>
      <c r="E73" s="817"/>
      <c r="F73" s="816"/>
      <c r="G73" s="752"/>
      <c r="H73" s="821"/>
      <c r="I73" s="821"/>
      <c r="J73" s="816">
        <v>34095</v>
      </c>
      <c r="K73" s="816"/>
      <c r="L73" s="816"/>
      <c r="M73" s="816"/>
      <c r="N73" s="816"/>
      <c r="O73" s="1432"/>
    </row>
    <row r="74" spans="1:15" s="1096" customFormat="1" ht="9">
      <c r="A74" s="753"/>
      <c r="B74" s="820" t="s">
        <v>735</v>
      </c>
      <c r="C74" s="816"/>
      <c r="D74" s="817"/>
      <c r="E74" s="817"/>
      <c r="F74" s="816"/>
      <c r="G74" s="752"/>
      <c r="H74" s="821"/>
      <c r="I74" s="821"/>
      <c r="J74" s="816">
        <v>1705</v>
      </c>
      <c r="K74" s="816"/>
      <c r="L74" s="816"/>
      <c r="M74" s="816"/>
      <c r="N74" s="816"/>
      <c r="O74" s="1432"/>
    </row>
    <row r="75" spans="1:15" s="1096" customFormat="1" ht="18">
      <c r="A75" s="749"/>
      <c r="B75" s="751" t="s">
        <v>736</v>
      </c>
      <c r="C75" s="816"/>
      <c r="D75" s="817"/>
      <c r="E75" s="817"/>
      <c r="F75" s="816"/>
      <c r="G75" s="816"/>
      <c r="H75" s="821"/>
      <c r="I75" s="821"/>
      <c r="J75" s="816">
        <f>78000000-38400000</f>
        <v>39600000</v>
      </c>
      <c r="K75" s="816"/>
      <c r="L75" s="816"/>
      <c r="M75" s="816"/>
      <c r="N75" s="816"/>
      <c r="O75" s="1432"/>
    </row>
    <row r="76" spans="1:15" s="1096" customFormat="1" ht="18">
      <c r="A76" s="749"/>
      <c r="B76" s="751" t="s">
        <v>737</v>
      </c>
      <c r="C76" s="816"/>
      <c r="D76" s="817"/>
      <c r="E76" s="817"/>
      <c r="F76" s="816"/>
      <c r="G76" s="816"/>
      <c r="H76" s="821"/>
      <c r="I76" s="821"/>
      <c r="J76" s="816">
        <v>67500000</v>
      </c>
      <c r="K76" s="816"/>
      <c r="L76" s="816"/>
      <c r="M76" s="816"/>
      <c r="N76" s="816"/>
      <c r="O76" s="1432"/>
    </row>
    <row r="77" spans="1:15" s="1096" customFormat="1" ht="18">
      <c r="A77" s="749"/>
      <c r="B77" s="751" t="s">
        <v>738</v>
      </c>
      <c r="C77" s="816"/>
      <c r="D77" s="817"/>
      <c r="E77" s="817"/>
      <c r="F77" s="816"/>
      <c r="G77" s="816"/>
      <c r="H77" s="821"/>
      <c r="I77" s="821"/>
      <c r="J77" s="816">
        <v>50550000</v>
      </c>
      <c r="K77" s="816"/>
      <c r="L77" s="816"/>
      <c r="M77" s="816"/>
      <c r="N77" s="816"/>
      <c r="O77" s="1432"/>
    </row>
    <row r="78" spans="1:15" s="1096" customFormat="1" ht="9">
      <c r="A78" s="749" t="s">
        <v>739</v>
      </c>
      <c r="B78" s="751" t="s">
        <v>740</v>
      </c>
      <c r="C78" s="816"/>
      <c r="D78" s="817"/>
      <c r="E78" s="817"/>
      <c r="F78" s="816"/>
      <c r="G78" s="816"/>
      <c r="H78" s="821"/>
      <c r="I78" s="821"/>
      <c r="J78" s="816"/>
      <c r="K78" s="816">
        <v>367000</v>
      </c>
      <c r="L78" s="816"/>
      <c r="M78" s="816"/>
      <c r="N78" s="816"/>
      <c r="O78" s="1432"/>
    </row>
    <row r="79" spans="1:15" s="1096" customFormat="1" ht="9">
      <c r="A79" s="750"/>
      <c r="B79" s="751" t="s">
        <v>741</v>
      </c>
      <c r="C79" s="816"/>
      <c r="D79" s="817"/>
      <c r="E79" s="817"/>
      <c r="F79" s="816"/>
      <c r="G79" s="816"/>
      <c r="H79" s="821"/>
      <c r="I79" s="821"/>
      <c r="J79" s="816"/>
      <c r="K79" s="816">
        <v>574000</v>
      </c>
      <c r="L79" s="816"/>
      <c r="M79" s="816"/>
      <c r="N79" s="816"/>
      <c r="O79" s="1432"/>
    </row>
    <row r="80" spans="1:15" s="1096" customFormat="1" ht="9">
      <c r="A80" s="750" t="s">
        <v>739</v>
      </c>
      <c r="B80" s="751" t="s">
        <v>742</v>
      </c>
      <c r="C80" s="816"/>
      <c r="D80" s="817"/>
      <c r="E80" s="817"/>
      <c r="F80" s="816"/>
      <c r="G80" s="816"/>
      <c r="H80" s="821"/>
      <c r="I80" s="821"/>
      <c r="J80" s="816"/>
      <c r="K80" s="816">
        <v>500000</v>
      </c>
      <c r="L80" s="816"/>
      <c r="M80" s="816"/>
      <c r="N80" s="816"/>
      <c r="O80" s="1432"/>
    </row>
    <row r="81" spans="1:15" s="1096" customFormat="1" ht="9">
      <c r="A81" s="750"/>
      <c r="B81" s="751" t="s">
        <v>743</v>
      </c>
      <c r="C81" s="816"/>
      <c r="D81" s="817"/>
      <c r="E81" s="817"/>
      <c r="F81" s="816"/>
      <c r="G81" s="816"/>
      <c r="H81" s="821"/>
      <c r="I81" s="821"/>
      <c r="J81" s="816"/>
      <c r="K81" s="816">
        <v>200000</v>
      </c>
      <c r="L81" s="816"/>
      <c r="M81" s="816"/>
      <c r="N81" s="816"/>
      <c r="O81" s="1432"/>
    </row>
    <row r="82" spans="1:15" s="1096" customFormat="1" ht="9">
      <c r="A82" s="750"/>
      <c r="B82" s="751" t="s">
        <v>744</v>
      </c>
      <c r="C82" s="816"/>
      <c r="D82" s="817"/>
      <c r="E82" s="817"/>
      <c r="F82" s="816"/>
      <c r="G82" s="816"/>
      <c r="H82" s="821"/>
      <c r="I82" s="821"/>
      <c r="J82" s="816"/>
      <c r="K82" s="816">
        <v>250000</v>
      </c>
      <c r="L82" s="816"/>
      <c r="M82" s="816"/>
      <c r="N82" s="816"/>
      <c r="O82" s="1432"/>
    </row>
    <row r="83" spans="1:15" s="1096" customFormat="1" ht="18">
      <c r="A83" s="749"/>
      <c r="B83" s="751" t="s">
        <v>745</v>
      </c>
      <c r="C83" s="816"/>
      <c r="D83" s="817"/>
      <c r="E83" s="817"/>
      <c r="F83" s="816"/>
      <c r="G83" s="816"/>
      <c r="H83" s="821"/>
      <c r="I83" s="821"/>
      <c r="J83" s="816"/>
      <c r="K83" s="816">
        <v>240000</v>
      </c>
      <c r="L83" s="816"/>
      <c r="M83" s="816"/>
      <c r="N83" s="816"/>
      <c r="O83" s="1432"/>
    </row>
    <row r="84" spans="1:15" s="1096" customFormat="1" ht="9">
      <c r="A84" s="749"/>
      <c r="B84" s="751" t="s">
        <v>746</v>
      </c>
      <c r="C84" s="816"/>
      <c r="D84" s="817"/>
      <c r="E84" s="817"/>
      <c r="F84" s="816"/>
      <c r="G84" s="816"/>
      <c r="H84" s="821"/>
      <c r="I84" s="821"/>
      <c r="J84" s="816"/>
      <c r="K84" s="816">
        <v>500000</v>
      </c>
      <c r="L84" s="816"/>
      <c r="M84" s="816"/>
      <c r="N84" s="816"/>
      <c r="O84" s="1432"/>
    </row>
    <row r="85" spans="1:15" s="1096" customFormat="1" ht="18">
      <c r="A85" s="749"/>
      <c r="B85" s="751" t="s">
        <v>747</v>
      </c>
      <c r="C85" s="816"/>
      <c r="D85" s="817"/>
      <c r="E85" s="817"/>
      <c r="F85" s="816"/>
      <c r="G85" s="816"/>
      <c r="H85" s="821"/>
      <c r="I85" s="821"/>
      <c r="J85" s="816">
        <v>20000000</v>
      </c>
      <c r="K85" s="816"/>
      <c r="L85" s="816"/>
      <c r="M85" s="816"/>
      <c r="N85" s="816"/>
      <c r="O85" s="1432"/>
    </row>
    <row r="86" spans="1:15" s="1096" customFormat="1" ht="27">
      <c r="A86" s="749" t="s">
        <v>748</v>
      </c>
      <c r="B86" s="1407" t="s">
        <v>749</v>
      </c>
      <c r="C86" s="816"/>
      <c r="D86" s="817"/>
      <c r="E86" s="817"/>
      <c r="F86" s="816"/>
      <c r="G86" s="816"/>
      <c r="H86" s="821"/>
      <c r="I86" s="821"/>
      <c r="J86" s="816">
        <v>14000000</v>
      </c>
      <c r="K86" s="816"/>
      <c r="L86" s="816"/>
      <c r="M86" s="816"/>
      <c r="N86" s="816"/>
      <c r="O86" s="1432"/>
    </row>
    <row r="87" spans="1:15" s="1096" customFormat="1" ht="18">
      <c r="A87" s="749"/>
      <c r="B87" s="751" t="s">
        <v>750</v>
      </c>
      <c r="C87" s="816"/>
      <c r="D87" s="817"/>
      <c r="E87" s="817"/>
      <c r="F87" s="816"/>
      <c r="G87" s="816"/>
      <c r="H87" s="821"/>
      <c r="I87" s="821"/>
      <c r="J87" s="816"/>
      <c r="K87" s="816">
        <v>30000000</v>
      </c>
      <c r="L87" s="816"/>
      <c r="M87" s="816"/>
      <c r="N87" s="816"/>
      <c r="O87" s="1432"/>
    </row>
    <row r="88" spans="1:15" s="1096" customFormat="1" ht="27">
      <c r="A88" s="749" t="s">
        <v>751</v>
      </c>
      <c r="B88" s="751" t="s">
        <v>752</v>
      </c>
      <c r="C88" s="816">
        <v>4000000</v>
      </c>
      <c r="D88" s="817"/>
      <c r="E88" s="817"/>
      <c r="F88" s="816"/>
      <c r="G88" s="816"/>
      <c r="H88" s="821"/>
      <c r="I88" s="821"/>
      <c r="J88" s="816"/>
      <c r="K88" s="816"/>
      <c r="L88" s="816"/>
      <c r="M88" s="816"/>
      <c r="N88" s="816"/>
      <c r="O88" s="1432"/>
    </row>
    <row r="89" spans="1:15" s="1096" customFormat="1" ht="27">
      <c r="A89" s="749"/>
      <c r="B89" s="751" t="s">
        <v>752</v>
      </c>
      <c r="C89" s="816">
        <v>1500000</v>
      </c>
      <c r="D89" s="817"/>
      <c r="E89" s="817"/>
      <c r="F89" s="816"/>
      <c r="G89" s="816"/>
      <c r="H89" s="821"/>
      <c r="I89" s="821"/>
      <c r="J89" s="816"/>
      <c r="K89" s="816"/>
      <c r="L89" s="816"/>
      <c r="M89" s="816"/>
      <c r="N89" s="816"/>
      <c r="O89" s="1432"/>
    </row>
    <row r="90" spans="1:15" s="1096" customFormat="1" ht="27">
      <c r="A90" s="749"/>
      <c r="B90" s="751" t="s">
        <v>752</v>
      </c>
      <c r="C90" s="816">
        <v>1500000</v>
      </c>
      <c r="D90" s="817"/>
      <c r="E90" s="817"/>
      <c r="F90" s="816"/>
      <c r="G90" s="816"/>
      <c r="H90" s="821"/>
      <c r="I90" s="821"/>
      <c r="J90" s="816"/>
      <c r="K90" s="816"/>
      <c r="L90" s="816"/>
      <c r="M90" s="816"/>
      <c r="N90" s="816"/>
      <c r="O90" s="1432"/>
    </row>
    <row r="91" spans="1:15" s="1096" customFormat="1" ht="27">
      <c r="A91" s="749"/>
      <c r="B91" s="751" t="s">
        <v>752</v>
      </c>
      <c r="C91" s="816">
        <v>1500000</v>
      </c>
      <c r="D91" s="817"/>
      <c r="E91" s="817"/>
      <c r="F91" s="816"/>
      <c r="G91" s="816"/>
      <c r="H91" s="821"/>
      <c r="I91" s="821"/>
      <c r="J91" s="816"/>
      <c r="K91" s="816"/>
      <c r="L91" s="816"/>
      <c r="M91" s="816"/>
      <c r="N91" s="816"/>
      <c r="O91" s="1432"/>
    </row>
    <row r="92" spans="1:15" s="1096" customFormat="1" ht="27">
      <c r="A92" s="749"/>
      <c r="B92" s="751" t="s">
        <v>752</v>
      </c>
      <c r="C92" s="816">
        <v>500000</v>
      </c>
      <c r="D92" s="817"/>
      <c r="E92" s="817"/>
      <c r="F92" s="816"/>
      <c r="G92" s="816"/>
      <c r="H92" s="821"/>
      <c r="I92" s="821"/>
      <c r="J92" s="816"/>
      <c r="K92" s="816"/>
      <c r="L92" s="816"/>
      <c r="M92" s="816"/>
      <c r="N92" s="816"/>
      <c r="O92" s="1432"/>
    </row>
    <row r="93" spans="1:15" s="1096" customFormat="1" ht="18">
      <c r="A93" s="749"/>
      <c r="B93" s="755" t="s">
        <v>753</v>
      </c>
      <c r="C93" s="816">
        <v>250000</v>
      </c>
      <c r="D93" s="817"/>
      <c r="E93" s="817"/>
      <c r="F93" s="816"/>
      <c r="G93" s="816"/>
      <c r="H93" s="821"/>
      <c r="I93" s="821"/>
      <c r="J93" s="816"/>
      <c r="K93" s="816"/>
      <c r="L93" s="816"/>
      <c r="M93" s="816"/>
      <c r="N93" s="816"/>
      <c r="O93" s="1432"/>
    </row>
    <row r="94" spans="1:15" s="1096" customFormat="1" ht="9">
      <c r="A94" s="749"/>
      <c r="B94" s="751" t="s">
        <v>754</v>
      </c>
      <c r="C94" s="816">
        <v>100000</v>
      </c>
      <c r="D94" s="817"/>
      <c r="E94" s="817"/>
      <c r="F94" s="816"/>
      <c r="G94" s="816"/>
      <c r="H94" s="821"/>
      <c r="I94" s="821"/>
      <c r="J94" s="816"/>
      <c r="K94" s="816"/>
      <c r="L94" s="816"/>
      <c r="M94" s="816"/>
      <c r="N94" s="816"/>
      <c r="O94" s="1432"/>
    </row>
    <row r="95" spans="1:15" s="1096" customFormat="1" ht="9">
      <c r="A95" s="749"/>
      <c r="B95" s="751" t="s">
        <v>754</v>
      </c>
      <c r="C95" s="816">
        <v>150000</v>
      </c>
      <c r="D95" s="817"/>
      <c r="E95" s="817"/>
      <c r="F95" s="816"/>
      <c r="G95" s="816"/>
      <c r="H95" s="821"/>
      <c r="I95" s="821"/>
      <c r="J95" s="816"/>
      <c r="K95" s="816"/>
      <c r="L95" s="816"/>
      <c r="M95" s="816"/>
      <c r="N95" s="816"/>
      <c r="O95" s="1432"/>
    </row>
    <row r="96" spans="1:15" s="1096" customFormat="1" ht="27">
      <c r="A96" s="749"/>
      <c r="B96" s="751" t="s">
        <v>755</v>
      </c>
      <c r="C96" s="816">
        <v>400000</v>
      </c>
      <c r="D96" s="817"/>
      <c r="E96" s="817"/>
      <c r="F96" s="816"/>
      <c r="G96" s="816"/>
      <c r="H96" s="821"/>
      <c r="I96" s="821"/>
      <c r="J96" s="816"/>
      <c r="K96" s="816"/>
      <c r="L96" s="816"/>
      <c r="M96" s="816"/>
      <c r="N96" s="816"/>
      <c r="O96" s="1432"/>
    </row>
    <row r="97" spans="1:15" s="1096" customFormat="1" ht="36">
      <c r="A97" s="749"/>
      <c r="B97" s="751" t="s">
        <v>756</v>
      </c>
      <c r="C97" s="816">
        <v>840000</v>
      </c>
      <c r="D97" s="817"/>
      <c r="E97" s="817"/>
      <c r="F97" s="816"/>
      <c r="G97" s="816"/>
      <c r="H97" s="821"/>
      <c r="I97" s="821"/>
      <c r="J97" s="816"/>
      <c r="K97" s="816"/>
      <c r="L97" s="816"/>
      <c r="M97" s="816"/>
      <c r="N97" s="816"/>
      <c r="O97" s="1432"/>
    </row>
    <row r="98" spans="1:15" s="1096" customFormat="1" ht="27">
      <c r="A98" s="749" t="s">
        <v>757</v>
      </c>
      <c r="B98" s="751" t="s">
        <v>758</v>
      </c>
      <c r="C98" s="816"/>
      <c r="D98" s="817"/>
      <c r="E98" s="817"/>
      <c r="F98" s="816"/>
      <c r="G98" s="816">
        <v>912000</v>
      </c>
      <c r="H98" s="821"/>
      <c r="I98" s="821"/>
      <c r="J98" s="816"/>
      <c r="K98" s="816"/>
      <c r="L98" s="816"/>
      <c r="M98" s="816"/>
      <c r="N98" s="816"/>
      <c r="O98" s="1432"/>
    </row>
    <row r="99" spans="1:15" s="1096" customFormat="1" ht="18">
      <c r="A99" s="749" t="s">
        <v>759</v>
      </c>
      <c r="B99" s="1406" t="s">
        <v>760</v>
      </c>
      <c r="C99" s="816"/>
      <c r="D99" s="817"/>
      <c r="E99" s="817"/>
      <c r="F99" s="816"/>
      <c r="G99" s="816">
        <v>550000</v>
      </c>
      <c r="H99" s="821"/>
      <c r="I99" s="821"/>
      <c r="J99" s="816"/>
      <c r="K99" s="816"/>
      <c r="L99" s="816"/>
      <c r="M99" s="816"/>
      <c r="N99" s="816"/>
      <c r="O99" s="1432"/>
    </row>
    <row r="100" spans="1:15" s="1096" customFormat="1" ht="9">
      <c r="A100" s="749" t="s">
        <v>759</v>
      </c>
      <c r="B100" s="1406" t="s">
        <v>761</v>
      </c>
      <c r="C100" s="816"/>
      <c r="D100" s="817"/>
      <c r="E100" s="817"/>
      <c r="F100" s="816"/>
      <c r="G100" s="816">
        <v>290000</v>
      </c>
      <c r="H100" s="821"/>
      <c r="I100" s="821"/>
      <c r="J100" s="816"/>
      <c r="K100" s="816"/>
      <c r="L100" s="816"/>
      <c r="M100" s="816"/>
      <c r="N100" s="816"/>
      <c r="O100" s="1432"/>
    </row>
    <row r="101" spans="1:15" s="1096" customFormat="1" ht="18">
      <c r="A101" s="749"/>
      <c r="B101" s="751" t="s">
        <v>762</v>
      </c>
      <c r="C101" s="816"/>
      <c r="D101" s="817"/>
      <c r="E101" s="817"/>
      <c r="F101" s="816"/>
      <c r="G101" s="816">
        <v>250000</v>
      </c>
      <c r="H101" s="821"/>
      <c r="I101" s="821"/>
      <c r="J101" s="816"/>
      <c r="K101" s="816"/>
      <c r="L101" s="816"/>
      <c r="M101" s="816"/>
      <c r="N101" s="816"/>
      <c r="O101" s="1432"/>
    </row>
    <row r="102" spans="1:15" s="1096" customFormat="1" ht="9">
      <c r="A102" s="749" t="s">
        <v>763</v>
      </c>
      <c r="B102" s="751" t="s">
        <v>764</v>
      </c>
      <c r="C102" s="816"/>
      <c r="D102" s="817"/>
      <c r="E102" s="817"/>
      <c r="F102" s="816"/>
      <c r="G102" s="816">
        <v>117000</v>
      </c>
      <c r="H102" s="821"/>
      <c r="I102" s="821"/>
      <c r="J102" s="816"/>
      <c r="K102" s="816"/>
      <c r="L102" s="816"/>
      <c r="M102" s="816"/>
      <c r="N102" s="816"/>
      <c r="O102" s="1432"/>
    </row>
    <row r="103" spans="1:15" s="1096" customFormat="1" ht="18">
      <c r="A103" s="749" t="s">
        <v>765</v>
      </c>
      <c r="B103" s="751" t="s">
        <v>766</v>
      </c>
      <c r="C103" s="816"/>
      <c r="D103" s="817"/>
      <c r="E103" s="817"/>
      <c r="F103" s="816"/>
      <c r="G103" s="816">
        <v>146000</v>
      </c>
      <c r="H103" s="821"/>
      <c r="I103" s="821"/>
      <c r="J103" s="816"/>
      <c r="K103" s="816"/>
      <c r="L103" s="816"/>
      <c r="M103" s="816"/>
      <c r="N103" s="816"/>
      <c r="O103" s="1432"/>
    </row>
    <row r="104" spans="1:15" s="1096" customFormat="1" ht="18">
      <c r="A104" s="749"/>
      <c r="B104" s="751" t="s">
        <v>767</v>
      </c>
      <c r="C104" s="816"/>
      <c r="D104" s="817"/>
      <c r="E104" s="817"/>
      <c r="F104" s="816"/>
      <c r="G104" s="816">
        <v>130000</v>
      </c>
      <c r="H104" s="821"/>
      <c r="I104" s="821"/>
      <c r="J104" s="816"/>
      <c r="K104" s="816"/>
      <c r="L104" s="816"/>
      <c r="M104" s="816"/>
      <c r="N104" s="816"/>
      <c r="O104" s="1432"/>
    </row>
    <row r="105" spans="1:15" s="1096" customFormat="1" ht="18">
      <c r="A105" s="749"/>
      <c r="B105" s="751" t="s">
        <v>768</v>
      </c>
      <c r="C105" s="816"/>
      <c r="D105" s="817"/>
      <c r="E105" s="817"/>
      <c r="F105" s="816"/>
      <c r="G105" s="816">
        <v>500000</v>
      </c>
      <c r="H105" s="821"/>
      <c r="I105" s="821"/>
      <c r="J105" s="816"/>
      <c r="K105" s="816"/>
      <c r="L105" s="816"/>
      <c r="M105" s="816"/>
      <c r="N105" s="816"/>
      <c r="O105" s="1432"/>
    </row>
    <row r="106" spans="1:15" s="1096" customFormat="1" ht="18">
      <c r="A106" s="756" t="s">
        <v>769</v>
      </c>
      <c r="B106" s="751" t="s">
        <v>770</v>
      </c>
      <c r="C106" s="816"/>
      <c r="D106" s="817"/>
      <c r="E106" s="817"/>
      <c r="F106" s="816"/>
      <c r="G106" s="816">
        <v>147000</v>
      </c>
      <c r="H106" s="821"/>
      <c r="I106" s="821"/>
      <c r="J106" s="816"/>
      <c r="K106" s="816"/>
      <c r="L106" s="816"/>
      <c r="M106" s="816"/>
      <c r="N106" s="816"/>
      <c r="O106" s="1432"/>
    </row>
    <row r="107" spans="1:15" s="1096" customFormat="1" ht="18">
      <c r="A107" s="749" t="s">
        <v>771</v>
      </c>
      <c r="B107" s="751" t="s">
        <v>772</v>
      </c>
      <c r="C107" s="816"/>
      <c r="D107" s="817"/>
      <c r="E107" s="817"/>
      <c r="F107" s="816"/>
      <c r="G107" s="816">
        <v>189000</v>
      </c>
      <c r="H107" s="821"/>
      <c r="I107" s="821"/>
      <c r="J107" s="816"/>
      <c r="K107" s="816"/>
      <c r="L107" s="816"/>
      <c r="M107" s="816"/>
      <c r="N107" s="816"/>
      <c r="O107" s="1432"/>
    </row>
    <row r="108" spans="1:15" s="1096" customFormat="1" ht="9">
      <c r="A108" s="749"/>
      <c r="B108" s="751" t="s">
        <v>773</v>
      </c>
      <c r="C108" s="816"/>
      <c r="D108" s="817"/>
      <c r="E108" s="817"/>
      <c r="F108" s="816"/>
      <c r="G108" s="816">
        <v>250000</v>
      </c>
      <c r="H108" s="821"/>
      <c r="I108" s="821"/>
      <c r="J108" s="816"/>
      <c r="K108" s="816"/>
      <c r="L108" s="816"/>
      <c r="M108" s="816"/>
      <c r="N108" s="816"/>
      <c r="O108" s="1432"/>
    </row>
    <row r="109" spans="1:15" s="1096" customFormat="1" ht="18">
      <c r="A109" s="749"/>
      <c r="B109" s="751" t="s">
        <v>774</v>
      </c>
      <c r="C109" s="816"/>
      <c r="D109" s="817"/>
      <c r="E109" s="817"/>
      <c r="F109" s="816"/>
      <c r="G109" s="816">
        <v>110000</v>
      </c>
      <c r="H109" s="821"/>
      <c r="I109" s="821"/>
      <c r="J109" s="816"/>
      <c r="K109" s="816"/>
      <c r="L109" s="816"/>
      <c r="M109" s="816"/>
      <c r="N109" s="816"/>
      <c r="O109" s="1432"/>
    </row>
    <row r="110" spans="1:15" s="1096" customFormat="1" ht="18">
      <c r="A110" s="749"/>
      <c r="B110" s="751" t="s">
        <v>775</v>
      </c>
      <c r="C110" s="816"/>
      <c r="D110" s="817"/>
      <c r="E110" s="817"/>
      <c r="F110" s="816"/>
      <c r="G110" s="816">
        <v>1300000</v>
      </c>
      <c r="H110" s="821"/>
      <c r="I110" s="821"/>
      <c r="J110" s="816"/>
      <c r="K110" s="816"/>
      <c r="L110" s="816"/>
      <c r="M110" s="816"/>
      <c r="N110" s="816"/>
      <c r="O110" s="1432"/>
    </row>
    <row r="111" spans="1:15" s="1096" customFormat="1" ht="9">
      <c r="A111" s="749"/>
      <c r="B111" s="751" t="s">
        <v>776</v>
      </c>
      <c r="C111" s="816"/>
      <c r="D111" s="817"/>
      <c r="E111" s="817"/>
      <c r="F111" s="816"/>
      <c r="G111" s="816">
        <v>500000</v>
      </c>
      <c r="H111" s="821"/>
      <c r="I111" s="821"/>
      <c r="J111" s="816"/>
      <c r="K111" s="816"/>
      <c r="L111" s="816"/>
      <c r="M111" s="816"/>
      <c r="N111" s="816"/>
      <c r="O111" s="1432"/>
    </row>
    <row r="112" spans="1:15" s="1096" customFormat="1" ht="9">
      <c r="A112" s="749" t="s">
        <v>751</v>
      </c>
      <c r="B112" s="751" t="s">
        <v>777</v>
      </c>
      <c r="C112" s="816"/>
      <c r="D112" s="817"/>
      <c r="E112" s="817"/>
      <c r="F112" s="816"/>
      <c r="G112" s="816">
        <v>1300000</v>
      </c>
      <c r="H112" s="821"/>
      <c r="I112" s="821"/>
      <c r="J112" s="816"/>
      <c r="K112" s="816"/>
      <c r="L112" s="816"/>
      <c r="M112" s="816"/>
      <c r="N112" s="816"/>
      <c r="O112" s="1432"/>
    </row>
    <row r="113" spans="1:15" s="1096" customFormat="1" ht="27">
      <c r="A113" s="749"/>
      <c r="B113" s="751" t="s">
        <v>778</v>
      </c>
      <c r="C113" s="816"/>
      <c r="D113" s="817"/>
      <c r="E113" s="817"/>
      <c r="F113" s="816"/>
      <c r="G113" s="816">
        <v>2000000</v>
      </c>
      <c r="H113" s="821"/>
      <c r="I113" s="821"/>
      <c r="J113" s="816"/>
      <c r="K113" s="816"/>
      <c r="L113" s="816"/>
      <c r="M113" s="816"/>
      <c r="N113" s="816"/>
      <c r="O113" s="1432"/>
    </row>
    <row r="114" spans="1:15" s="1096" customFormat="1" ht="9">
      <c r="A114" s="749"/>
      <c r="B114" s="751" t="s">
        <v>779</v>
      </c>
      <c r="C114" s="816"/>
      <c r="D114" s="817"/>
      <c r="E114" s="817"/>
      <c r="F114" s="816"/>
      <c r="G114" s="816">
        <v>500000</v>
      </c>
      <c r="H114" s="821"/>
      <c r="I114" s="821"/>
      <c r="J114" s="816"/>
      <c r="K114" s="816"/>
      <c r="L114" s="816"/>
      <c r="M114" s="816"/>
      <c r="N114" s="816"/>
      <c r="O114" s="1432"/>
    </row>
    <row r="115" spans="1:15" s="1096" customFormat="1" ht="18">
      <c r="A115" s="749"/>
      <c r="B115" s="751" t="s">
        <v>780</v>
      </c>
      <c r="C115" s="816"/>
      <c r="D115" s="817"/>
      <c r="E115" s="817"/>
      <c r="F115" s="816"/>
      <c r="G115" s="816">
        <v>200000</v>
      </c>
      <c r="H115" s="821"/>
      <c r="I115" s="821"/>
      <c r="J115" s="816"/>
      <c r="K115" s="816"/>
      <c r="L115" s="816"/>
      <c r="M115" s="816"/>
      <c r="N115" s="816"/>
      <c r="O115" s="1432"/>
    </row>
    <row r="116" spans="1:15" s="1096" customFormat="1" ht="18">
      <c r="A116" s="749"/>
      <c r="B116" s="751" t="s">
        <v>781</v>
      </c>
      <c r="C116" s="816"/>
      <c r="D116" s="817"/>
      <c r="E116" s="817"/>
      <c r="F116" s="816"/>
      <c r="G116" s="816">
        <v>500000</v>
      </c>
      <c r="H116" s="821"/>
      <c r="I116" s="821"/>
      <c r="J116" s="816"/>
      <c r="K116" s="816"/>
      <c r="L116" s="816"/>
      <c r="M116" s="816"/>
      <c r="N116" s="816"/>
      <c r="O116" s="1432"/>
    </row>
    <row r="117" spans="1:15" s="1096" customFormat="1" ht="9">
      <c r="A117" s="749"/>
      <c r="B117" s="751" t="s">
        <v>782</v>
      </c>
      <c r="C117" s="816"/>
      <c r="D117" s="817"/>
      <c r="E117" s="817"/>
      <c r="F117" s="816"/>
      <c r="G117" s="816">
        <v>380000</v>
      </c>
      <c r="H117" s="821"/>
      <c r="I117" s="821"/>
      <c r="J117" s="816"/>
      <c r="K117" s="816"/>
      <c r="L117" s="816"/>
      <c r="M117" s="816"/>
      <c r="N117" s="816"/>
      <c r="O117" s="1432"/>
    </row>
    <row r="118" spans="1:15" s="1096" customFormat="1" ht="18">
      <c r="A118" s="749"/>
      <c r="B118" s="751" t="s">
        <v>783</v>
      </c>
      <c r="C118" s="816"/>
      <c r="D118" s="817"/>
      <c r="E118" s="817"/>
      <c r="F118" s="816"/>
      <c r="G118" s="816">
        <v>205000</v>
      </c>
      <c r="H118" s="821"/>
      <c r="I118" s="821"/>
      <c r="J118" s="816"/>
      <c r="K118" s="816"/>
      <c r="L118" s="816"/>
      <c r="M118" s="816"/>
      <c r="N118" s="816"/>
      <c r="O118" s="1432"/>
    </row>
    <row r="119" spans="1:15" s="1096" customFormat="1" ht="18">
      <c r="A119" s="749"/>
      <c r="B119" s="751" t="s">
        <v>784</v>
      </c>
      <c r="C119" s="816"/>
      <c r="D119" s="817"/>
      <c r="E119" s="817"/>
      <c r="F119" s="816"/>
      <c r="G119" s="816">
        <v>115000</v>
      </c>
      <c r="H119" s="821"/>
      <c r="I119" s="821"/>
      <c r="J119" s="816"/>
      <c r="K119" s="816"/>
      <c r="L119" s="816"/>
      <c r="M119" s="816"/>
      <c r="N119" s="816"/>
      <c r="O119" s="1432"/>
    </row>
    <row r="120" spans="1:15" s="1096" customFormat="1" ht="18">
      <c r="A120" s="749"/>
      <c r="B120" s="751" t="s">
        <v>785</v>
      </c>
      <c r="C120" s="816"/>
      <c r="D120" s="817"/>
      <c r="E120" s="817"/>
      <c r="F120" s="816"/>
      <c r="G120" s="816">
        <v>380000</v>
      </c>
      <c r="H120" s="821"/>
      <c r="I120" s="821"/>
      <c r="J120" s="816"/>
      <c r="K120" s="816"/>
      <c r="L120" s="816"/>
      <c r="M120" s="816"/>
      <c r="N120" s="816"/>
      <c r="O120" s="1432"/>
    </row>
    <row r="121" spans="1:15" s="1096" customFormat="1" ht="27">
      <c r="A121" s="749"/>
      <c r="B121" s="751" t="s">
        <v>786</v>
      </c>
      <c r="C121" s="816"/>
      <c r="D121" s="817"/>
      <c r="E121" s="817"/>
      <c r="F121" s="816"/>
      <c r="G121" s="816">
        <v>150000</v>
      </c>
      <c r="H121" s="821"/>
      <c r="I121" s="821"/>
      <c r="J121" s="816"/>
      <c r="K121" s="816"/>
      <c r="L121" s="816"/>
      <c r="M121" s="816"/>
      <c r="N121" s="816"/>
      <c r="O121" s="1432"/>
    </row>
    <row r="122" spans="1:15" s="1096" customFormat="1" ht="9">
      <c r="A122" s="749"/>
      <c r="B122" s="751" t="s">
        <v>776</v>
      </c>
      <c r="C122" s="816"/>
      <c r="D122" s="817"/>
      <c r="E122" s="817"/>
      <c r="F122" s="816"/>
      <c r="G122" s="816">
        <v>850000</v>
      </c>
      <c r="H122" s="821"/>
      <c r="I122" s="821"/>
      <c r="J122" s="816"/>
      <c r="K122" s="816"/>
      <c r="L122" s="816"/>
      <c r="M122" s="816"/>
      <c r="N122" s="816"/>
      <c r="O122" s="1432"/>
    </row>
    <row r="123" spans="1:15" s="1096" customFormat="1" ht="18">
      <c r="A123" s="749"/>
      <c r="B123" s="751" t="s">
        <v>787</v>
      </c>
      <c r="C123" s="816"/>
      <c r="D123" s="817"/>
      <c r="E123" s="817"/>
      <c r="F123" s="816"/>
      <c r="G123" s="816">
        <v>230000</v>
      </c>
      <c r="H123" s="821"/>
      <c r="I123" s="821"/>
      <c r="J123" s="816"/>
      <c r="K123" s="816"/>
      <c r="L123" s="816"/>
      <c r="M123" s="816"/>
      <c r="N123" s="816"/>
      <c r="O123" s="1432"/>
    </row>
    <row r="124" spans="1:15" s="1096" customFormat="1" ht="9">
      <c r="A124" s="749"/>
      <c r="B124" s="751" t="s">
        <v>788</v>
      </c>
      <c r="C124" s="816"/>
      <c r="D124" s="817"/>
      <c r="E124" s="817"/>
      <c r="F124" s="816"/>
      <c r="G124" s="816">
        <v>40000</v>
      </c>
      <c r="H124" s="821"/>
      <c r="I124" s="821"/>
      <c r="J124" s="816"/>
      <c r="K124" s="816"/>
      <c r="L124" s="816"/>
      <c r="M124" s="816"/>
      <c r="N124" s="816"/>
      <c r="O124" s="1432"/>
    </row>
    <row r="125" spans="1:15" s="1096" customFormat="1" ht="9">
      <c r="A125" s="749"/>
      <c r="B125" s="751" t="s">
        <v>789</v>
      </c>
      <c r="C125" s="816"/>
      <c r="D125" s="817"/>
      <c r="E125" s="817"/>
      <c r="F125" s="816"/>
      <c r="G125" s="816">
        <v>240000</v>
      </c>
      <c r="H125" s="821"/>
      <c r="I125" s="821"/>
      <c r="J125" s="816"/>
      <c r="K125" s="816"/>
      <c r="L125" s="816"/>
      <c r="M125" s="816"/>
      <c r="N125" s="816"/>
      <c r="O125" s="1432"/>
    </row>
    <row r="126" spans="1:15" s="1096" customFormat="1" ht="18">
      <c r="A126" s="749"/>
      <c r="B126" s="751" t="s">
        <v>790</v>
      </c>
      <c r="C126" s="816"/>
      <c r="D126" s="817"/>
      <c r="E126" s="817"/>
      <c r="F126" s="816"/>
      <c r="G126" s="816">
        <v>240000</v>
      </c>
      <c r="H126" s="821"/>
      <c r="I126" s="821"/>
      <c r="J126" s="816"/>
      <c r="K126" s="816"/>
      <c r="L126" s="816"/>
      <c r="M126" s="816"/>
      <c r="N126" s="816"/>
      <c r="O126" s="1432"/>
    </row>
    <row r="127" spans="1:15" s="1096" customFormat="1" ht="18">
      <c r="A127" s="749"/>
      <c r="B127" s="751" t="s">
        <v>791</v>
      </c>
      <c r="C127" s="816"/>
      <c r="D127" s="817"/>
      <c r="E127" s="817"/>
      <c r="F127" s="816"/>
      <c r="G127" s="816">
        <v>500000</v>
      </c>
      <c r="H127" s="821"/>
      <c r="I127" s="821"/>
      <c r="J127" s="816"/>
      <c r="K127" s="816"/>
      <c r="L127" s="816"/>
      <c r="M127" s="816"/>
      <c r="N127" s="816"/>
      <c r="O127" s="1432"/>
    </row>
    <row r="128" spans="1:15" s="1096" customFormat="1" ht="18">
      <c r="A128" s="749"/>
      <c r="B128" s="751" t="s">
        <v>792</v>
      </c>
      <c r="C128" s="816"/>
      <c r="D128" s="817"/>
      <c r="E128" s="817"/>
      <c r="F128" s="816"/>
      <c r="G128" s="816">
        <v>150000</v>
      </c>
      <c r="H128" s="821"/>
      <c r="I128" s="821"/>
      <c r="J128" s="816"/>
      <c r="K128" s="816"/>
      <c r="L128" s="816"/>
      <c r="M128" s="816"/>
      <c r="N128" s="816"/>
      <c r="O128" s="1432"/>
    </row>
    <row r="129" spans="1:15" s="1096" customFormat="1" ht="18">
      <c r="A129" s="749"/>
      <c r="B129" s="751" t="s">
        <v>793</v>
      </c>
      <c r="C129" s="816"/>
      <c r="D129" s="817"/>
      <c r="E129" s="817"/>
      <c r="F129" s="816"/>
      <c r="G129" s="816">
        <v>270000</v>
      </c>
      <c r="H129" s="821"/>
      <c r="I129" s="821"/>
      <c r="J129" s="816"/>
      <c r="K129" s="816"/>
      <c r="L129" s="816"/>
      <c r="M129" s="816"/>
      <c r="N129" s="816"/>
      <c r="O129" s="1432"/>
    </row>
    <row r="130" spans="1:15" s="1096" customFormat="1" ht="9">
      <c r="A130" s="749"/>
      <c r="B130" s="751" t="s">
        <v>794</v>
      </c>
      <c r="C130" s="816"/>
      <c r="D130" s="817"/>
      <c r="E130" s="817"/>
      <c r="F130" s="816"/>
      <c r="G130" s="816">
        <v>60000</v>
      </c>
      <c r="H130" s="821"/>
      <c r="I130" s="821"/>
      <c r="J130" s="816"/>
      <c r="K130" s="816"/>
      <c r="L130" s="816"/>
      <c r="M130" s="816"/>
      <c r="N130" s="816"/>
      <c r="O130" s="1432"/>
    </row>
    <row r="131" spans="1:15" s="1096" customFormat="1" ht="9">
      <c r="A131" s="749"/>
      <c r="B131" s="751" t="s">
        <v>795</v>
      </c>
      <c r="C131" s="816"/>
      <c r="D131" s="817"/>
      <c r="E131" s="817"/>
      <c r="F131" s="816"/>
      <c r="G131" s="816">
        <v>45000</v>
      </c>
      <c r="H131" s="821"/>
      <c r="I131" s="821"/>
      <c r="J131" s="816"/>
      <c r="K131" s="816"/>
      <c r="L131" s="816"/>
      <c r="M131" s="816"/>
      <c r="N131" s="816"/>
      <c r="O131" s="1432"/>
    </row>
    <row r="132" spans="1:15" s="1096" customFormat="1" ht="18">
      <c r="A132" s="749"/>
      <c r="B132" s="751" t="s">
        <v>796</v>
      </c>
      <c r="C132" s="816"/>
      <c r="D132" s="817"/>
      <c r="E132" s="817"/>
      <c r="F132" s="816"/>
      <c r="G132" s="816">
        <v>500000</v>
      </c>
      <c r="H132" s="821"/>
      <c r="I132" s="821"/>
      <c r="J132" s="816"/>
      <c r="K132" s="816"/>
      <c r="L132" s="816"/>
      <c r="M132" s="816"/>
      <c r="N132" s="816"/>
      <c r="O132" s="1432"/>
    </row>
    <row r="133" spans="1:15" s="1096" customFormat="1" ht="9">
      <c r="A133" s="749"/>
      <c r="B133" s="751" t="s">
        <v>797</v>
      </c>
      <c r="C133" s="816"/>
      <c r="D133" s="817"/>
      <c r="E133" s="817"/>
      <c r="F133" s="816"/>
      <c r="G133" s="816">
        <v>205000</v>
      </c>
      <c r="H133" s="821"/>
      <c r="I133" s="821"/>
      <c r="J133" s="816"/>
      <c r="K133" s="816"/>
      <c r="L133" s="816"/>
      <c r="M133" s="816"/>
      <c r="N133" s="816"/>
      <c r="O133" s="1432"/>
    </row>
    <row r="134" spans="1:15" s="1096" customFormat="1" ht="18">
      <c r="A134" s="749"/>
      <c r="B134" s="751" t="s">
        <v>798</v>
      </c>
      <c r="C134" s="816"/>
      <c r="D134" s="817"/>
      <c r="E134" s="817"/>
      <c r="F134" s="816"/>
      <c r="G134" s="816">
        <v>500000</v>
      </c>
      <c r="H134" s="821"/>
      <c r="I134" s="821"/>
      <c r="J134" s="816"/>
      <c r="K134" s="816"/>
      <c r="L134" s="816"/>
      <c r="M134" s="816"/>
      <c r="N134" s="816"/>
      <c r="O134" s="1432"/>
    </row>
    <row r="135" spans="1:15" s="1096" customFormat="1" ht="9">
      <c r="A135" s="749"/>
      <c r="B135" s="751" t="s">
        <v>799</v>
      </c>
      <c r="C135" s="816"/>
      <c r="D135" s="817"/>
      <c r="E135" s="817"/>
      <c r="F135" s="816"/>
      <c r="G135" s="816">
        <v>70000</v>
      </c>
      <c r="H135" s="821"/>
      <c r="I135" s="821"/>
      <c r="J135" s="816"/>
      <c r="K135" s="816"/>
      <c r="L135" s="816"/>
      <c r="M135" s="816"/>
      <c r="N135" s="816"/>
      <c r="O135" s="1432"/>
    </row>
    <row r="136" spans="1:15" s="1096" customFormat="1" ht="27">
      <c r="A136" s="749"/>
      <c r="B136" s="751" t="s">
        <v>800</v>
      </c>
      <c r="C136" s="816"/>
      <c r="D136" s="817"/>
      <c r="E136" s="817"/>
      <c r="F136" s="816"/>
      <c r="G136" s="816">
        <v>180000</v>
      </c>
      <c r="H136" s="821"/>
      <c r="I136" s="821"/>
      <c r="J136" s="816"/>
      <c r="K136" s="816"/>
      <c r="L136" s="816"/>
      <c r="M136" s="816"/>
      <c r="N136" s="816"/>
      <c r="O136" s="1432"/>
    </row>
    <row r="137" spans="1:15" s="1096" customFormat="1" ht="18">
      <c r="A137" s="749"/>
      <c r="B137" s="1406" t="s">
        <v>801</v>
      </c>
      <c r="C137" s="816"/>
      <c r="D137" s="817"/>
      <c r="E137" s="817"/>
      <c r="F137" s="816"/>
      <c r="G137" s="816">
        <v>115000</v>
      </c>
      <c r="H137" s="821"/>
      <c r="I137" s="821"/>
      <c r="J137" s="816"/>
      <c r="K137" s="816"/>
      <c r="L137" s="816"/>
      <c r="M137" s="816"/>
      <c r="N137" s="816"/>
      <c r="O137" s="1432"/>
    </row>
    <row r="138" spans="1:15" s="1096" customFormat="1" ht="27">
      <c r="A138" s="749"/>
      <c r="B138" s="751" t="s">
        <v>802</v>
      </c>
      <c r="C138" s="816"/>
      <c r="D138" s="817"/>
      <c r="E138" s="817"/>
      <c r="F138" s="816"/>
      <c r="G138" s="816">
        <v>300000</v>
      </c>
      <c r="H138" s="821"/>
      <c r="I138" s="821"/>
      <c r="J138" s="816"/>
      <c r="K138" s="816"/>
      <c r="L138" s="816"/>
      <c r="M138" s="816"/>
      <c r="N138" s="816"/>
      <c r="O138" s="1432"/>
    </row>
    <row r="139" spans="1:15" s="1096" customFormat="1" ht="27">
      <c r="A139" s="749"/>
      <c r="B139" s="751" t="s">
        <v>803</v>
      </c>
      <c r="C139" s="816"/>
      <c r="D139" s="817"/>
      <c r="E139" s="817"/>
      <c r="F139" s="816"/>
      <c r="G139" s="816">
        <v>195000</v>
      </c>
      <c r="H139" s="821"/>
      <c r="I139" s="821"/>
      <c r="J139" s="816"/>
      <c r="K139" s="816"/>
      <c r="L139" s="816"/>
      <c r="M139" s="816"/>
      <c r="N139" s="816"/>
      <c r="O139" s="1432"/>
    </row>
    <row r="140" spans="1:15" s="1096" customFormat="1" ht="9">
      <c r="A140" s="749"/>
      <c r="B140" s="751" t="s">
        <v>804</v>
      </c>
      <c r="C140" s="816"/>
      <c r="D140" s="817"/>
      <c r="E140" s="817"/>
      <c r="F140" s="816"/>
      <c r="G140" s="816">
        <v>240000</v>
      </c>
      <c r="H140" s="821"/>
      <c r="I140" s="821"/>
      <c r="J140" s="816"/>
      <c r="K140" s="816"/>
      <c r="L140" s="816"/>
      <c r="M140" s="816"/>
      <c r="N140" s="816"/>
      <c r="O140" s="1432"/>
    </row>
    <row r="141" spans="1:15" s="1096" customFormat="1" ht="9">
      <c r="A141" s="749" t="s">
        <v>769</v>
      </c>
      <c r="B141" s="751" t="s">
        <v>805</v>
      </c>
      <c r="C141" s="816"/>
      <c r="D141" s="817"/>
      <c r="E141" s="817"/>
      <c r="F141" s="816"/>
      <c r="G141" s="816"/>
      <c r="H141" s="821"/>
      <c r="I141" s="821"/>
      <c r="J141" s="816">
        <v>4075000</v>
      </c>
      <c r="K141" s="816"/>
      <c r="L141" s="816"/>
      <c r="M141" s="816"/>
      <c r="N141" s="816"/>
      <c r="O141" s="1432"/>
    </row>
    <row r="142" spans="1:15" s="1096" customFormat="1" ht="9">
      <c r="A142" s="749"/>
      <c r="B142" s="751" t="s">
        <v>806</v>
      </c>
      <c r="C142" s="816"/>
      <c r="D142" s="817"/>
      <c r="E142" s="817"/>
      <c r="F142" s="816"/>
      <c r="G142" s="816"/>
      <c r="H142" s="821"/>
      <c r="I142" s="821"/>
      <c r="J142" s="816">
        <v>407500</v>
      </c>
      <c r="K142" s="816"/>
      <c r="L142" s="816"/>
      <c r="M142" s="816"/>
      <c r="N142" s="816"/>
      <c r="O142" s="1432"/>
    </row>
    <row r="143" spans="1:15" s="1096" customFormat="1" ht="18">
      <c r="A143" s="749" t="s">
        <v>807</v>
      </c>
      <c r="B143" s="751" t="s">
        <v>808</v>
      </c>
      <c r="C143" s="816"/>
      <c r="D143" s="817"/>
      <c r="E143" s="817"/>
      <c r="F143" s="816"/>
      <c r="G143" s="816"/>
      <c r="H143" s="821"/>
      <c r="I143" s="821"/>
      <c r="J143" s="816">
        <v>313000</v>
      </c>
      <c r="K143" s="816"/>
      <c r="L143" s="816"/>
      <c r="M143" s="816"/>
      <c r="N143" s="816"/>
      <c r="O143" s="1432"/>
    </row>
    <row r="144" spans="1:15" s="1096" customFormat="1" ht="18">
      <c r="A144" s="749"/>
      <c r="B144" s="751" t="s">
        <v>809</v>
      </c>
      <c r="C144" s="816"/>
      <c r="D144" s="817"/>
      <c r="E144" s="817"/>
      <c r="F144" s="816"/>
      <c r="G144" s="816"/>
      <c r="H144" s="821"/>
      <c r="I144" s="821"/>
      <c r="J144" s="816">
        <v>200000</v>
      </c>
      <c r="K144" s="816"/>
      <c r="L144" s="816"/>
      <c r="M144" s="816"/>
      <c r="N144" s="816"/>
      <c r="O144" s="1432"/>
    </row>
    <row r="145" spans="1:15" s="1096" customFormat="1" ht="18">
      <c r="A145" s="749" t="s">
        <v>810</v>
      </c>
      <c r="B145" s="751" t="s">
        <v>811</v>
      </c>
      <c r="C145" s="816"/>
      <c r="D145" s="817"/>
      <c r="E145" s="817"/>
      <c r="F145" s="816"/>
      <c r="G145" s="816"/>
      <c r="H145" s="821"/>
      <c r="I145" s="821"/>
      <c r="J145" s="816">
        <v>1180000</v>
      </c>
      <c r="K145" s="816"/>
      <c r="L145" s="816"/>
      <c r="M145" s="816"/>
      <c r="N145" s="816"/>
      <c r="O145" s="1432"/>
    </row>
    <row r="146" spans="1:15" s="1096" customFormat="1" ht="18">
      <c r="A146" s="749" t="s">
        <v>812</v>
      </c>
      <c r="B146" s="751" t="s">
        <v>813</v>
      </c>
      <c r="C146" s="816"/>
      <c r="D146" s="817"/>
      <c r="E146" s="817"/>
      <c r="F146" s="816"/>
      <c r="G146" s="816"/>
      <c r="H146" s="821"/>
      <c r="I146" s="821"/>
      <c r="J146" s="816">
        <v>120000</v>
      </c>
      <c r="K146" s="816"/>
      <c r="L146" s="816"/>
      <c r="M146" s="816"/>
      <c r="N146" s="816"/>
      <c r="O146" s="1432"/>
    </row>
    <row r="147" spans="1:15" s="1096" customFormat="1" ht="9">
      <c r="A147" s="749"/>
      <c r="B147" s="751" t="s">
        <v>814</v>
      </c>
      <c r="C147" s="816"/>
      <c r="D147" s="817"/>
      <c r="E147" s="817"/>
      <c r="F147" s="816"/>
      <c r="G147" s="816"/>
      <c r="H147" s="821"/>
      <c r="I147" s="821"/>
      <c r="J147" s="816">
        <v>130000</v>
      </c>
      <c r="K147" s="816"/>
      <c r="L147" s="816"/>
      <c r="M147" s="816"/>
      <c r="N147" s="816"/>
      <c r="O147" s="1432"/>
    </row>
    <row r="148" spans="1:15" s="1096" customFormat="1" ht="18">
      <c r="A148" s="749" t="s">
        <v>815</v>
      </c>
      <c r="B148" s="751" t="s">
        <v>816</v>
      </c>
      <c r="C148" s="816"/>
      <c r="D148" s="817"/>
      <c r="E148" s="817"/>
      <c r="F148" s="816"/>
      <c r="G148" s="816"/>
      <c r="H148" s="821"/>
      <c r="I148" s="821"/>
      <c r="J148" s="816">
        <v>1300000</v>
      </c>
      <c r="K148" s="816"/>
      <c r="L148" s="816"/>
      <c r="M148" s="816"/>
      <c r="N148" s="816"/>
      <c r="O148" s="1432"/>
    </row>
    <row r="149" spans="1:15" s="1096" customFormat="1" ht="45">
      <c r="A149" s="749"/>
      <c r="B149" s="751" t="s">
        <v>817</v>
      </c>
      <c r="C149" s="816"/>
      <c r="D149" s="817"/>
      <c r="E149" s="817"/>
      <c r="F149" s="816"/>
      <c r="G149" s="816"/>
      <c r="H149" s="821"/>
      <c r="I149" s="821"/>
      <c r="J149" s="816">
        <v>1500000</v>
      </c>
      <c r="K149" s="816"/>
      <c r="L149" s="816"/>
      <c r="M149" s="816"/>
      <c r="N149" s="816"/>
      <c r="O149" s="1432"/>
    </row>
    <row r="150" spans="1:15" s="1096" customFormat="1" ht="27">
      <c r="A150" s="749"/>
      <c r="B150" s="751" t="s">
        <v>818</v>
      </c>
      <c r="C150" s="816"/>
      <c r="D150" s="817"/>
      <c r="E150" s="817"/>
      <c r="F150" s="816"/>
      <c r="G150" s="816"/>
      <c r="H150" s="821"/>
      <c r="I150" s="821"/>
      <c r="J150" s="816">
        <v>2000000</v>
      </c>
      <c r="K150" s="816"/>
      <c r="L150" s="816"/>
      <c r="M150" s="816"/>
      <c r="N150" s="816"/>
      <c r="O150" s="1432"/>
    </row>
    <row r="151" spans="1:15" s="1096" customFormat="1" ht="27">
      <c r="A151" s="749" t="s">
        <v>819</v>
      </c>
      <c r="B151" s="751" t="s">
        <v>820</v>
      </c>
      <c r="C151" s="816"/>
      <c r="D151" s="817"/>
      <c r="E151" s="817"/>
      <c r="F151" s="816"/>
      <c r="G151" s="816"/>
      <c r="H151" s="821"/>
      <c r="I151" s="821"/>
      <c r="J151" s="816"/>
      <c r="K151" s="816">
        <v>466473</v>
      </c>
      <c r="L151" s="816"/>
      <c r="M151" s="816"/>
      <c r="N151" s="816"/>
      <c r="O151" s="1432"/>
    </row>
    <row r="152" spans="1:15" s="1096" customFormat="1" ht="9">
      <c r="A152" s="749"/>
      <c r="B152" s="819" t="s">
        <v>821</v>
      </c>
      <c r="C152" s="816"/>
      <c r="D152" s="817"/>
      <c r="E152" s="817"/>
      <c r="F152" s="816"/>
      <c r="G152" s="816"/>
      <c r="H152" s="821"/>
      <c r="I152" s="821"/>
      <c r="J152" s="816"/>
      <c r="K152" s="816">
        <v>46647</v>
      </c>
      <c r="L152" s="816"/>
      <c r="M152" s="816"/>
      <c r="N152" s="816"/>
      <c r="O152" s="1432"/>
    </row>
    <row r="153" spans="1:15" s="1096" customFormat="1" ht="9">
      <c r="A153" s="749"/>
      <c r="B153" s="751" t="s">
        <v>822</v>
      </c>
      <c r="C153" s="816"/>
      <c r="D153" s="817"/>
      <c r="E153" s="817"/>
      <c r="F153" s="816"/>
      <c r="G153" s="816"/>
      <c r="H153" s="821"/>
      <c r="I153" s="821"/>
      <c r="J153" s="816"/>
      <c r="K153" s="816">
        <v>290000</v>
      </c>
      <c r="L153" s="816"/>
      <c r="M153" s="816"/>
      <c r="N153" s="816"/>
      <c r="O153" s="1432"/>
    </row>
    <row r="154" spans="1:15" s="1096" customFormat="1" ht="18">
      <c r="A154" s="749" t="s">
        <v>823</v>
      </c>
      <c r="B154" s="751" t="s">
        <v>824</v>
      </c>
      <c r="C154" s="816"/>
      <c r="D154" s="817"/>
      <c r="E154" s="817"/>
      <c r="F154" s="816"/>
      <c r="G154" s="816"/>
      <c r="H154" s="821"/>
      <c r="I154" s="821"/>
      <c r="J154" s="816"/>
      <c r="K154" s="816">
        <v>100000</v>
      </c>
      <c r="L154" s="816"/>
      <c r="M154" s="816"/>
      <c r="N154" s="816"/>
      <c r="O154" s="1432"/>
    </row>
    <row r="155" spans="1:15" s="1096" customFormat="1" ht="18">
      <c r="A155" s="749"/>
      <c r="B155" s="751" t="s">
        <v>825</v>
      </c>
      <c r="C155" s="816"/>
      <c r="D155" s="817"/>
      <c r="E155" s="817"/>
      <c r="F155" s="816"/>
      <c r="G155" s="816"/>
      <c r="H155" s="821"/>
      <c r="I155" s="821"/>
      <c r="J155" s="816"/>
      <c r="K155" s="816">
        <v>120000</v>
      </c>
      <c r="L155" s="816"/>
      <c r="M155" s="816"/>
      <c r="N155" s="816"/>
      <c r="O155" s="1432"/>
    </row>
    <row r="156" spans="1:15" s="1096" customFormat="1" ht="18">
      <c r="A156" s="749"/>
      <c r="B156" s="751" t="s">
        <v>826</v>
      </c>
      <c r="C156" s="816"/>
      <c r="D156" s="817"/>
      <c r="E156" s="817"/>
      <c r="F156" s="816"/>
      <c r="G156" s="816"/>
      <c r="H156" s="821"/>
      <c r="I156" s="821"/>
      <c r="J156" s="816"/>
      <c r="K156" s="816">
        <v>250000</v>
      </c>
      <c r="L156" s="816"/>
      <c r="M156" s="816"/>
      <c r="N156" s="816"/>
      <c r="O156" s="1432"/>
    </row>
    <row r="157" spans="1:15" s="1096" customFormat="1" ht="9">
      <c r="A157" s="753" t="s">
        <v>827</v>
      </c>
      <c r="B157" s="819" t="s">
        <v>828</v>
      </c>
      <c r="C157" s="816"/>
      <c r="D157" s="817"/>
      <c r="E157" s="817"/>
      <c r="F157" s="816"/>
      <c r="G157" s="816">
        <v>840000</v>
      </c>
      <c r="H157" s="821"/>
      <c r="I157" s="821"/>
      <c r="J157" s="816"/>
      <c r="K157" s="816"/>
      <c r="L157" s="816"/>
      <c r="M157" s="816"/>
      <c r="N157" s="816"/>
      <c r="O157" s="1432"/>
    </row>
    <row r="158" spans="1:15" s="1096" customFormat="1" ht="9">
      <c r="A158" s="753"/>
      <c r="B158" s="819" t="s">
        <v>806</v>
      </c>
      <c r="C158" s="816"/>
      <c r="D158" s="817"/>
      <c r="E158" s="817"/>
      <c r="F158" s="816"/>
      <c r="G158" s="816">
        <v>84000</v>
      </c>
      <c r="H158" s="821"/>
      <c r="I158" s="821"/>
      <c r="J158" s="816"/>
      <c r="K158" s="816"/>
      <c r="L158" s="816"/>
      <c r="M158" s="816"/>
      <c r="N158" s="816"/>
      <c r="O158" s="1432"/>
    </row>
    <row r="159" spans="1:15" s="1096" customFormat="1" ht="9">
      <c r="A159" s="753" t="s">
        <v>704</v>
      </c>
      <c r="B159" s="819" t="s">
        <v>829</v>
      </c>
      <c r="C159" s="816"/>
      <c r="D159" s="817"/>
      <c r="E159" s="817"/>
      <c r="F159" s="816"/>
      <c r="G159" s="816">
        <v>70000</v>
      </c>
      <c r="H159" s="821"/>
      <c r="I159" s="821"/>
      <c r="J159" s="816"/>
      <c r="K159" s="816"/>
      <c r="L159" s="816"/>
      <c r="M159" s="816"/>
      <c r="N159" s="816"/>
      <c r="O159" s="1432"/>
    </row>
    <row r="160" spans="1:15" s="1096" customFormat="1" ht="9">
      <c r="A160" s="757" t="s">
        <v>830</v>
      </c>
      <c r="B160" s="819" t="s">
        <v>831</v>
      </c>
      <c r="C160" s="816"/>
      <c r="D160" s="817"/>
      <c r="E160" s="817"/>
      <c r="F160" s="816"/>
      <c r="G160" s="816">
        <v>240000</v>
      </c>
      <c r="H160" s="821"/>
      <c r="I160" s="821"/>
      <c r="J160" s="816"/>
      <c r="K160" s="816"/>
      <c r="L160" s="816"/>
      <c r="M160" s="816"/>
      <c r="N160" s="816"/>
      <c r="O160" s="1432"/>
    </row>
    <row r="161" spans="1:15" s="1096" customFormat="1" ht="9">
      <c r="A161" s="753"/>
      <c r="B161" s="819" t="s">
        <v>821</v>
      </c>
      <c r="C161" s="816"/>
      <c r="D161" s="817"/>
      <c r="E161" s="817"/>
      <c r="F161" s="816"/>
      <c r="G161" s="816">
        <v>24000</v>
      </c>
      <c r="H161" s="821"/>
      <c r="I161" s="821"/>
      <c r="J161" s="816"/>
      <c r="K161" s="816"/>
      <c r="L161" s="816"/>
      <c r="M161" s="816"/>
      <c r="N161" s="816"/>
      <c r="O161" s="1432"/>
    </row>
    <row r="162" spans="1:15" s="1096" customFormat="1" ht="9">
      <c r="A162" s="753"/>
      <c r="B162" s="819" t="s">
        <v>829</v>
      </c>
      <c r="C162" s="816"/>
      <c r="D162" s="817"/>
      <c r="E162" s="817"/>
      <c r="F162" s="816"/>
      <c r="G162" s="816">
        <v>40000</v>
      </c>
      <c r="H162" s="821"/>
      <c r="I162" s="821"/>
      <c r="J162" s="816"/>
      <c r="K162" s="816"/>
      <c r="L162" s="816"/>
      <c r="M162" s="816"/>
      <c r="N162" s="816"/>
      <c r="O162" s="1432"/>
    </row>
    <row r="163" spans="1:15" s="1096" customFormat="1" ht="9">
      <c r="A163" s="758"/>
      <c r="B163" s="759" t="s">
        <v>829</v>
      </c>
      <c r="C163" s="816"/>
      <c r="D163" s="817"/>
      <c r="E163" s="817"/>
      <c r="F163" s="816"/>
      <c r="G163" s="816"/>
      <c r="H163" s="821"/>
      <c r="I163" s="821"/>
      <c r="J163" s="816">
        <v>65000</v>
      </c>
      <c r="K163" s="816"/>
      <c r="L163" s="816"/>
      <c r="M163" s="816"/>
      <c r="N163" s="816"/>
      <c r="O163" s="1432"/>
    </row>
    <row r="164" spans="1:15" s="1096" customFormat="1" ht="27">
      <c r="A164" s="753" t="s">
        <v>832</v>
      </c>
      <c r="B164" s="819" t="s">
        <v>833</v>
      </c>
      <c r="C164" s="816"/>
      <c r="D164" s="817"/>
      <c r="E164" s="817"/>
      <c r="F164" s="816"/>
      <c r="G164" s="816">
        <v>153000</v>
      </c>
      <c r="H164" s="821"/>
      <c r="I164" s="821"/>
      <c r="J164" s="816"/>
      <c r="K164" s="816"/>
      <c r="L164" s="816"/>
      <c r="M164" s="816"/>
      <c r="N164" s="816"/>
      <c r="O164" s="1432"/>
    </row>
    <row r="165" spans="1:15" s="1096" customFormat="1" ht="18">
      <c r="A165" s="753" t="s">
        <v>834</v>
      </c>
      <c r="B165" s="819" t="s">
        <v>835</v>
      </c>
      <c r="C165" s="816"/>
      <c r="D165" s="817"/>
      <c r="E165" s="817"/>
      <c r="F165" s="816"/>
      <c r="G165" s="816">
        <v>75000</v>
      </c>
      <c r="H165" s="821"/>
      <c r="I165" s="821"/>
      <c r="J165" s="816"/>
      <c r="K165" s="816"/>
      <c r="L165" s="816"/>
      <c r="M165" s="816"/>
      <c r="N165" s="816"/>
      <c r="O165" s="1432"/>
    </row>
    <row r="166" spans="1:15" s="1096" customFormat="1" ht="36">
      <c r="A166" s="753" t="s">
        <v>836</v>
      </c>
      <c r="B166" s="751" t="s">
        <v>837</v>
      </c>
      <c r="C166" s="816"/>
      <c r="D166" s="817"/>
      <c r="E166" s="817"/>
      <c r="F166" s="816"/>
      <c r="G166" s="816"/>
      <c r="H166" s="821"/>
      <c r="I166" s="821"/>
      <c r="J166" s="816">
        <v>18210000</v>
      </c>
      <c r="K166" s="816"/>
      <c r="L166" s="816"/>
      <c r="M166" s="816"/>
      <c r="N166" s="816"/>
      <c r="O166" s="1432"/>
    </row>
    <row r="167" spans="1:15" s="1096" customFormat="1" ht="18">
      <c r="A167" s="753" t="s">
        <v>838</v>
      </c>
      <c r="B167" s="759" t="s">
        <v>839</v>
      </c>
      <c r="C167" s="816"/>
      <c r="D167" s="817"/>
      <c r="E167" s="817"/>
      <c r="F167" s="816"/>
      <c r="G167" s="816">
        <v>27800</v>
      </c>
      <c r="H167" s="821"/>
      <c r="I167" s="821"/>
      <c r="J167" s="816"/>
      <c r="K167" s="816"/>
      <c r="L167" s="816"/>
      <c r="M167" s="816"/>
      <c r="N167" s="816"/>
      <c r="O167" s="1432"/>
    </row>
    <row r="168" spans="1:15" s="1096" customFormat="1" ht="18">
      <c r="A168" s="753" t="s">
        <v>840</v>
      </c>
      <c r="B168" s="819" t="s">
        <v>841</v>
      </c>
      <c r="C168" s="816"/>
      <c r="D168" s="817"/>
      <c r="E168" s="817"/>
      <c r="F168" s="816"/>
      <c r="G168" s="816">
        <v>190000</v>
      </c>
      <c r="H168" s="821"/>
      <c r="I168" s="821"/>
      <c r="J168" s="816"/>
      <c r="K168" s="816"/>
      <c r="L168" s="816"/>
      <c r="M168" s="816"/>
      <c r="N168" s="816"/>
      <c r="O168" s="1432"/>
    </row>
    <row r="169" spans="1:15" s="1096" customFormat="1" ht="9">
      <c r="A169" s="753" t="s">
        <v>704</v>
      </c>
      <c r="B169" s="819" t="s">
        <v>842</v>
      </c>
      <c r="C169" s="816"/>
      <c r="D169" s="817"/>
      <c r="E169" s="817"/>
      <c r="F169" s="816"/>
      <c r="G169" s="816">
        <v>442000</v>
      </c>
      <c r="H169" s="821"/>
      <c r="I169" s="821"/>
      <c r="J169" s="816"/>
      <c r="K169" s="816"/>
      <c r="L169" s="816"/>
      <c r="M169" s="816"/>
      <c r="N169" s="816"/>
      <c r="O169" s="1432"/>
    </row>
    <row r="170" spans="1:15" s="1096" customFormat="1" ht="9">
      <c r="A170" s="753" t="s">
        <v>832</v>
      </c>
      <c r="B170" s="819" t="s">
        <v>843</v>
      </c>
      <c r="C170" s="816"/>
      <c r="D170" s="817"/>
      <c r="E170" s="817"/>
      <c r="F170" s="816"/>
      <c r="G170" s="816">
        <v>600000</v>
      </c>
      <c r="H170" s="821"/>
      <c r="I170" s="821"/>
      <c r="J170" s="816"/>
      <c r="K170" s="816"/>
      <c r="L170" s="816"/>
      <c r="M170" s="816"/>
      <c r="N170" s="816"/>
      <c r="O170" s="1432"/>
    </row>
    <row r="171" spans="1:15" s="1096" customFormat="1" ht="27">
      <c r="A171" s="753" t="s">
        <v>704</v>
      </c>
      <c r="B171" s="819" t="s">
        <v>844</v>
      </c>
      <c r="C171" s="816"/>
      <c r="D171" s="817"/>
      <c r="E171" s="817"/>
      <c r="F171" s="816"/>
      <c r="G171" s="816">
        <v>300000</v>
      </c>
      <c r="H171" s="821"/>
      <c r="I171" s="821"/>
      <c r="J171" s="816"/>
      <c r="K171" s="816"/>
      <c r="L171" s="816"/>
      <c r="M171" s="816"/>
      <c r="N171" s="816"/>
      <c r="O171" s="1432"/>
    </row>
    <row r="172" spans="1:15" s="1096" customFormat="1" ht="9">
      <c r="A172" s="753" t="s">
        <v>845</v>
      </c>
      <c r="B172" s="819" t="s">
        <v>846</v>
      </c>
      <c r="C172" s="816"/>
      <c r="D172" s="817"/>
      <c r="E172" s="817"/>
      <c r="F172" s="816"/>
      <c r="G172" s="816"/>
      <c r="H172" s="821"/>
      <c r="I172" s="821"/>
      <c r="J172" s="816"/>
      <c r="K172" s="816">
        <v>454545</v>
      </c>
      <c r="L172" s="816"/>
      <c r="M172" s="816"/>
      <c r="N172" s="816"/>
      <c r="O172" s="1432"/>
    </row>
    <row r="173" spans="1:15" s="1096" customFormat="1" ht="9">
      <c r="A173" s="753" t="s">
        <v>845</v>
      </c>
      <c r="B173" s="819" t="s">
        <v>806</v>
      </c>
      <c r="C173" s="816"/>
      <c r="D173" s="817"/>
      <c r="E173" s="817"/>
      <c r="F173" s="816"/>
      <c r="G173" s="816"/>
      <c r="H173" s="821"/>
      <c r="I173" s="821"/>
      <c r="J173" s="816"/>
      <c r="K173" s="816">
        <v>45455</v>
      </c>
      <c r="L173" s="816"/>
      <c r="M173" s="816"/>
      <c r="N173" s="816"/>
      <c r="O173" s="1432"/>
    </row>
    <row r="174" spans="1:15" s="1096" customFormat="1" ht="9">
      <c r="A174" s="753" t="s">
        <v>95</v>
      </c>
      <c r="B174" s="819" t="s">
        <v>847</v>
      </c>
      <c r="C174" s="816"/>
      <c r="D174" s="817"/>
      <c r="E174" s="817"/>
      <c r="F174" s="816"/>
      <c r="G174" s="816"/>
      <c r="H174" s="821"/>
      <c r="I174" s="821"/>
      <c r="J174" s="816"/>
      <c r="K174" s="816">
        <v>466473</v>
      </c>
      <c r="L174" s="816"/>
      <c r="M174" s="816"/>
      <c r="N174" s="816"/>
      <c r="O174" s="1432"/>
    </row>
    <row r="175" spans="1:15" s="1096" customFormat="1" ht="9">
      <c r="A175" s="753" t="s">
        <v>95</v>
      </c>
      <c r="B175" s="819" t="s">
        <v>806</v>
      </c>
      <c r="C175" s="816"/>
      <c r="D175" s="817"/>
      <c r="E175" s="817"/>
      <c r="F175" s="816"/>
      <c r="G175" s="816"/>
      <c r="H175" s="821"/>
      <c r="I175" s="821"/>
      <c r="J175" s="816"/>
      <c r="K175" s="816">
        <v>46647</v>
      </c>
      <c r="L175" s="816"/>
      <c r="M175" s="816"/>
      <c r="N175" s="816"/>
      <c r="O175" s="1432"/>
    </row>
    <row r="176" spans="1:15" s="1096" customFormat="1" ht="9">
      <c r="A176" s="753" t="s">
        <v>815</v>
      </c>
      <c r="B176" s="819" t="s">
        <v>846</v>
      </c>
      <c r="C176" s="816"/>
      <c r="D176" s="817"/>
      <c r="E176" s="817"/>
      <c r="F176" s="816"/>
      <c r="G176" s="816"/>
      <c r="H176" s="821"/>
      <c r="I176" s="821"/>
      <c r="J176" s="816"/>
      <c r="K176" s="816">
        <v>460682</v>
      </c>
      <c r="L176" s="816"/>
      <c r="M176" s="816"/>
      <c r="N176" s="816"/>
      <c r="O176" s="1432"/>
    </row>
    <row r="177" spans="1:15" s="1096" customFormat="1" ht="9">
      <c r="A177" s="753" t="s">
        <v>815</v>
      </c>
      <c r="B177" s="819" t="s">
        <v>806</v>
      </c>
      <c r="C177" s="816"/>
      <c r="D177" s="817"/>
      <c r="E177" s="817"/>
      <c r="F177" s="816"/>
      <c r="G177" s="816"/>
      <c r="H177" s="821"/>
      <c r="I177" s="821"/>
      <c r="J177" s="816"/>
      <c r="K177" s="816">
        <v>46068</v>
      </c>
      <c r="L177" s="816"/>
      <c r="M177" s="816"/>
      <c r="N177" s="816"/>
      <c r="O177" s="1432"/>
    </row>
    <row r="178" spans="1:15" s="1096" customFormat="1" ht="27">
      <c r="A178" s="753"/>
      <c r="B178" s="819" t="s">
        <v>848</v>
      </c>
      <c r="C178" s="816"/>
      <c r="D178" s="817"/>
      <c r="E178" s="817"/>
      <c r="F178" s="816"/>
      <c r="G178" s="816"/>
      <c r="H178" s="821"/>
      <c r="I178" s="821"/>
      <c r="J178" s="816">
        <v>240000</v>
      </c>
      <c r="K178" s="816"/>
      <c r="L178" s="816"/>
      <c r="M178" s="816"/>
      <c r="N178" s="816"/>
      <c r="O178" s="1432"/>
    </row>
    <row r="179" spans="1:15" s="1096" customFormat="1" ht="27">
      <c r="A179" s="753"/>
      <c r="B179" s="819" t="s">
        <v>849</v>
      </c>
      <c r="C179" s="816"/>
      <c r="D179" s="817"/>
      <c r="E179" s="817"/>
      <c r="F179" s="816"/>
      <c r="G179" s="816">
        <v>400000</v>
      </c>
      <c r="H179" s="821"/>
      <c r="I179" s="821"/>
      <c r="J179" s="816"/>
      <c r="K179" s="816"/>
      <c r="L179" s="816"/>
      <c r="M179" s="816"/>
      <c r="N179" s="816"/>
      <c r="O179" s="1432"/>
    </row>
    <row r="180" spans="1:15" s="1096" customFormat="1" ht="36">
      <c r="A180" s="757" t="s">
        <v>850</v>
      </c>
      <c r="B180" s="819" t="s">
        <v>851</v>
      </c>
      <c r="C180" s="816"/>
      <c r="D180" s="817"/>
      <c r="E180" s="817"/>
      <c r="F180" s="816"/>
      <c r="G180" s="816"/>
      <c r="H180" s="821"/>
      <c r="I180" s="821"/>
      <c r="J180" s="816">
        <v>1900000</v>
      </c>
      <c r="K180" s="816"/>
      <c r="L180" s="816"/>
      <c r="M180" s="816"/>
      <c r="N180" s="816"/>
      <c r="O180" s="1432"/>
    </row>
    <row r="181" spans="1:15" s="1096" customFormat="1" ht="18">
      <c r="A181" s="757" t="s">
        <v>850</v>
      </c>
      <c r="B181" s="819" t="s">
        <v>852</v>
      </c>
      <c r="C181" s="816"/>
      <c r="D181" s="817"/>
      <c r="E181" s="817"/>
      <c r="F181" s="816"/>
      <c r="G181" s="816"/>
      <c r="H181" s="821"/>
      <c r="I181" s="821"/>
      <c r="J181" s="816">
        <v>100000</v>
      </c>
      <c r="K181" s="816"/>
      <c r="L181" s="816"/>
      <c r="M181" s="816"/>
      <c r="N181" s="816"/>
      <c r="O181" s="1432"/>
    </row>
    <row r="182" spans="1:15" s="1096" customFormat="1" ht="9">
      <c r="A182" s="753" t="s">
        <v>850</v>
      </c>
      <c r="B182" s="819" t="s">
        <v>853</v>
      </c>
      <c r="C182" s="816"/>
      <c r="D182" s="817"/>
      <c r="E182" s="817"/>
      <c r="F182" s="816"/>
      <c r="G182" s="816"/>
      <c r="H182" s="821"/>
      <c r="I182" s="821"/>
      <c r="J182" s="816">
        <v>130000</v>
      </c>
      <c r="K182" s="816"/>
      <c r="L182" s="816"/>
      <c r="M182" s="816"/>
      <c r="N182" s="816"/>
      <c r="O182" s="1432"/>
    </row>
    <row r="183" spans="1:15" s="1096" customFormat="1" ht="27">
      <c r="A183" s="753" t="s">
        <v>850</v>
      </c>
      <c r="B183" s="819" t="s">
        <v>854</v>
      </c>
      <c r="C183" s="816"/>
      <c r="D183" s="817"/>
      <c r="E183" s="817"/>
      <c r="F183" s="816"/>
      <c r="G183" s="816"/>
      <c r="H183" s="821"/>
      <c r="I183" s="821"/>
      <c r="J183" s="816">
        <v>515000</v>
      </c>
      <c r="K183" s="816"/>
      <c r="L183" s="816"/>
      <c r="M183" s="816"/>
      <c r="N183" s="816"/>
      <c r="O183" s="1432"/>
    </row>
    <row r="184" spans="1:15" s="1096" customFormat="1" ht="45">
      <c r="A184" s="753" t="s">
        <v>850</v>
      </c>
      <c r="B184" s="1100" t="s">
        <v>855</v>
      </c>
      <c r="C184" s="818"/>
      <c r="D184" s="760"/>
      <c r="E184" s="817"/>
      <c r="F184" s="816">
        <v>35944200</v>
      </c>
      <c r="G184" s="818"/>
      <c r="H184" s="821"/>
      <c r="I184" s="821"/>
      <c r="J184" s="818"/>
      <c r="K184" s="818"/>
      <c r="L184" s="818"/>
      <c r="M184" s="818"/>
      <c r="N184" s="818"/>
      <c r="O184" s="1433" t="s">
        <v>856</v>
      </c>
    </row>
    <row r="185" spans="1:15" s="1096" customFormat="1" ht="18">
      <c r="A185" s="753" t="s">
        <v>836</v>
      </c>
      <c r="B185" s="819" t="s">
        <v>857</v>
      </c>
      <c r="C185" s="816"/>
      <c r="D185" s="817"/>
      <c r="E185" s="817"/>
      <c r="F185" s="816"/>
      <c r="G185" s="816"/>
      <c r="H185" s="821"/>
      <c r="I185" s="821"/>
      <c r="J185" s="816">
        <v>30000</v>
      </c>
      <c r="K185" s="816"/>
      <c r="L185" s="816"/>
      <c r="M185" s="816"/>
      <c r="N185" s="816"/>
      <c r="O185" s="1432"/>
    </row>
    <row r="186" spans="1:15" s="1096" customFormat="1" ht="18">
      <c r="A186" s="753" t="s">
        <v>858</v>
      </c>
      <c r="B186" s="819" t="s">
        <v>859</v>
      </c>
      <c r="C186" s="816"/>
      <c r="D186" s="817"/>
      <c r="E186" s="817"/>
      <c r="F186" s="816"/>
      <c r="G186" s="816"/>
      <c r="H186" s="821"/>
      <c r="I186" s="821"/>
      <c r="J186" s="816"/>
      <c r="K186" s="816"/>
      <c r="L186" s="816"/>
      <c r="M186" s="816">
        <v>80000</v>
      </c>
      <c r="N186" s="816"/>
      <c r="O186" s="1432"/>
    </row>
    <row r="187" spans="1:15" s="1096" customFormat="1" ht="18">
      <c r="A187" s="753" t="s">
        <v>858</v>
      </c>
      <c r="B187" s="819" t="s">
        <v>859</v>
      </c>
      <c r="C187" s="816"/>
      <c r="D187" s="817"/>
      <c r="E187" s="817"/>
      <c r="F187" s="816"/>
      <c r="G187" s="816"/>
      <c r="H187" s="821"/>
      <c r="I187" s="821"/>
      <c r="J187" s="816"/>
      <c r="K187" s="816"/>
      <c r="L187" s="816"/>
      <c r="M187" s="816">
        <v>43000</v>
      </c>
      <c r="N187" s="816"/>
      <c r="O187" s="1432"/>
    </row>
    <row r="188" spans="1:15" s="1096" customFormat="1" ht="18">
      <c r="A188" s="753"/>
      <c r="B188" s="819" t="s">
        <v>860</v>
      </c>
      <c r="C188" s="816"/>
      <c r="D188" s="817"/>
      <c r="E188" s="817"/>
      <c r="F188" s="816"/>
      <c r="G188" s="816"/>
      <c r="H188" s="821"/>
      <c r="I188" s="821"/>
      <c r="J188" s="816"/>
      <c r="K188" s="816">
        <v>334000</v>
      </c>
      <c r="L188" s="816"/>
      <c r="M188" s="816"/>
      <c r="N188" s="816"/>
      <c r="O188" s="1432"/>
    </row>
    <row r="189" spans="1:15" s="1096" customFormat="1" ht="27">
      <c r="A189" s="757" t="s">
        <v>819</v>
      </c>
      <c r="B189" s="819" t="s">
        <v>861</v>
      </c>
      <c r="C189" s="816"/>
      <c r="D189" s="817"/>
      <c r="E189" s="817"/>
      <c r="F189" s="816"/>
      <c r="G189" s="816"/>
      <c r="H189" s="821"/>
      <c r="I189" s="821"/>
      <c r="J189" s="816"/>
      <c r="K189" s="816">
        <v>480000</v>
      </c>
      <c r="L189" s="816"/>
      <c r="M189" s="816"/>
      <c r="N189" s="816"/>
      <c r="O189" s="1432"/>
    </row>
    <row r="190" spans="1:15" s="1096" customFormat="1" ht="18">
      <c r="A190" s="757" t="s">
        <v>858</v>
      </c>
      <c r="B190" s="819" t="s">
        <v>862</v>
      </c>
      <c r="C190" s="816"/>
      <c r="D190" s="817"/>
      <c r="E190" s="817"/>
      <c r="F190" s="816"/>
      <c r="G190" s="816"/>
      <c r="H190" s="821"/>
      <c r="I190" s="821"/>
      <c r="J190" s="816">
        <v>926400</v>
      </c>
      <c r="K190" s="816"/>
      <c r="L190" s="816"/>
      <c r="M190" s="816"/>
      <c r="N190" s="816"/>
      <c r="O190" s="1432"/>
    </row>
    <row r="191" spans="1:15" s="1096" customFormat="1" ht="9">
      <c r="A191" s="757" t="s">
        <v>858</v>
      </c>
      <c r="B191" s="819" t="s">
        <v>863</v>
      </c>
      <c r="C191" s="816"/>
      <c r="D191" s="817"/>
      <c r="E191" s="817"/>
      <c r="F191" s="816"/>
      <c r="G191" s="816"/>
      <c r="H191" s="821"/>
      <c r="I191" s="821"/>
      <c r="J191" s="816">
        <v>92640</v>
      </c>
      <c r="K191" s="816"/>
      <c r="L191" s="816"/>
      <c r="M191" s="816"/>
      <c r="N191" s="816"/>
      <c r="O191" s="1432"/>
    </row>
    <row r="192" spans="1:15" s="1096" customFormat="1" ht="36">
      <c r="A192" s="753"/>
      <c r="B192" s="819" t="s">
        <v>864</v>
      </c>
      <c r="C192" s="816"/>
      <c r="D192" s="817"/>
      <c r="E192" s="817"/>
      <c r="F192" s="816"/>
      <c r="G192" s="816"/>
      <c r="H192" s="821"/>
      <c r="I192" s="821"/>
      <c r="J192" s="816"/>
      <c r="K192" s="816">
        <v>150000</v>
      </c>
      <c r="L192" s="816"/>
      <c r="M192" s="816"/>
      <c r="N192" s="816"/>
      <c r="O192" s="1432"/>
    </row>
    <row r="193" spans="1:15" s="1096" customFormat="1" ht="27">
      <c r="A193" s="753"/>
      <c r="B193" s="819" t="s">
        <v>865</v>
      </c>
      <c r="C193" s="816"/>
      <c r="D193" s="817"/>
      <c r="E193" s="817"/>
      <c r="F193" s="816"/>
      <c r="G193" s="816"/>
      <c r="H193" s="821"/>
      <c r="I193" s="821"/>
      <c r="J193" s="816"/>
      <c r="K193" s="816">
        <f>13*15000</f>
        <v>195000</v>
      </c>
      <c r="L193" s="816"/>
      <c r="M193" s="816"/>
      <c r="N193" s="816"/>
      <c r="O193" s="1432"/>
    </row>
    <row r="194" spans="1:15" s="1096" customFormat="1" ht="27">
      <c r="A194" s="753"/>
      <c r="B194" s="819" t="s">
        <v>866</v>
      </c>
      <c r="C194" s="816"/>
      <c r="D194" s="817"/>
      <c r="E194" s="817"/>
      <c r="F194" s="816"/>
      <c r="G194" s="816"/>
      <c r="H194" s="821"/>
      <c r="I194" s="821"/>
      <c r="J194" s="816"/>
      <c r="K194" s="816">
        <v>60000</v>
      </c>
      <c r="L194" s="816"/>
      <c r="M194" s="816"/>
      <c r="N194" s="816"/>
      <c r="O194" s="1432"/>
    </row>
    <row r="195" spans="1:15" s="1096" customFormat="1" ht="18">
      <c r="A195" s="753"/>
      <c r="B195" s="819" t="s">
        <v>867</v>
      </c>
      <c r="C195" s="816"/>
      <c r="D195" s="817"/>
      <c r="E195" s="817"/>
      <c r="F195" s="816"/>
      <c r="G195" s="816"/>
      <c r="H195" s="821"/>
      <c r="I195" s="821"/>
      <c r="J195" s="816"/>
      <c r="K195" s="816">
        <v>15000</v>
      </c>
      <c r="L195" s="816"/>
      <c r="M195" s="816"/>
      <c r="N195" s="816"/>
      <c r="O195" s="1432"/>
    </row>
    <row r="196" spans="1:15" s="1096" customFormat="1" ht="27">
      <c r="A196" s="753"/>
      <c r="B196" s="819" t="s">
        <v>868</v>
      </c>
      <c r="C196" s="816"/>
      <c r="D196" s="817"/>
      <c r="E196" s="817"/>
      <c r="F196" s="816"/>
      <c r="G196" s="816"/>
      <c r="H196" s="821"/>
      <c r="I196" s="821"/>
      <c r="J196" s="816"/>
      <c r="K196" s="816">
        <f>40000*3+60000*15</f>
        <v>1020000</v>
      </c>
      <c r="L196" s="816"/>
      <c r="M196" s="816"/>
      <c r="N196" s="816"/>
      <c r="O196" s="1432"/>
    </row>
    <row r="197" spans="1:15" s="1096" customFormat="1" ht="27">
      <c r="A197" s="753"/>
      <c r="B197" s="819" t="s">
        <v>869</v>
      </c>
      <c r="C197" s="816"/>
      <c r="D197" s="817"/>
      <c r="E197" s="817"/>
      <c r="F197" s="816"/>
      <c r="G197" s="816"/>
      <c r="H197" s="821"/>
      <c r="I197" s="821"/>
      <c r="J197" s="816"/>
      <c r="K197" s="816">
        <v>210000</v>
      </c>
      <c r="L197" s="816"/>
      <c r="M197" s="816"/>
      <c r="N197" s="816"/>
      <c r="O197" s="1432"/>
    </row>
    <row r="198" spans="1:15" s="1096" customFormat="1" ht="27">
      <c r="A198" s="753"/>
      <c r="B198" s="819" t="s">
        <v>870</v>
      </c>
      <c r="C198" s="816"/>
      <c r="D198" s="817"/>
      <c r="E198" s="817"/>
      <c r="F198" s="816"/>
      <c r="G198" s="816"/>
      <c r="H198" s="821"/>
      <c r="I198" s="821"/>
      <c r="J198" s="816"/>
      <c r="K198" s="816">
        <v>10000</v>
      </c>
      <c r="L198" s="816"/>
      <c r="M198" s="816"/>
      <c r="N198" s="816"/>
      <c r="O198" s="1432"/>
    </row>
    <row r="199" spans="1:15" s="1096" customFormat="1" ht="27">
      <c r="A199" s="753"/>
      <c r="B199" s="819" t="s">
        <v>871</v>
      </c>
      <c r="C199" s="816"/>
      <c r="D199" s="817"/>
      <c r="E199" s="817"/>
      <c r="F199" s="816"/>
      <c r="G199" s="816"/>
      <c r="H199" s="821"/>
      <c r="I199" s="821"/>
      <c r="J199" s="816"/>
      <c r="K199" s="816">
        <v>35000</v>
      </c>
      <c r="L199" s="816"/>
      <c r="M199" s="816"/>
      <c r="N199" s="816"/>
      <c r="O199" s="1432"/>
    </row>
    <row r="200" spans="1:15" s="1096" customFormat="1" ht="27">
      <c r="A200" s="753"/>
      <c r="B200" s="819" t="s">
        <v>872</v>
      </c>
      <c r="C200" s="816"/>
      <c r="D200" s="817"/>
      <c r="E200" s="817"/>
      <c r="F200" s="816"/>
      <c r="G200" s="816"/>
      <c r="H200" s="821"/>
      <c r="I200" s="821"/>
      <c r="J200" s="816"/>
      <c r="K200" s="816">
        <v>210000</v>
      </c>
      <c r="L200" s="816"/>
      <c r="M200" s="816"/>
      <c r="N200" s="816"/>
      <c r="O200" s="1432"/>
    </row>
    <row r="201" spans="1:15" s="1096" customFormat="1" ht="18">
      <c r="A201" s="753"/>
      <c r="B201" s="819" t="s">
        <v>873</v>
      </c>
      <c r="C201" s="816"/>
      <c r="D201" s="817"/>
      <c r="E201" s="817"/>
      <c r="F201" s="816"/>
      <c r="G201" s="816"/>
      <c r="H201" s="821"/>
      <c r="I201" s="821"/>
      <c r="J201" s="816"/>
      <c r="K201" s="816">
        <v>75000</v>
      </c>
      <c r="L201" s="816"/>
      <c r="M201" s="816"/>
      <c r="N201" s="816"/>
      <c r="O201" s="1432"/>
    </row>
    <row r="202" spans="1:15" s="1096" customFormat="1" ht="27">
      <c r="A202" s="753"/>
      <c r="B202" s="819" t="s">
        <v>869</v>
      </c>
      <c r="C202" s="816"/>
      <c r="D202" s="817"/>
      <c r="E202" s="817"/>
      <c r="F202" s="816"/>
      <c r="G202" s="816"/>
      <c r="H202" s="821"/>
      <c r="I202" s="821"/>
      <c r="J202" s="816"/>
      <c r="K202" s="816">
        <v>65000</v>
      </c>
      <c r="L202" s="816"/>
      <c r="M202" s="816"/>
      <c r="N202" s="816"/>
      <c r="O202" s="1432"/>
    </row>
    <row r="203" spans="1:15" s="1096" customFormat="1" ht="27">
      <c r="A203" s="753"/>
      <c r="B203" s="819" t="s">
        <v>869</v>
      </c>
      <c r="C203" s="816"/>
      <c r="D203" s="817"/>
      <c r="E203" s="817"/>
      <c r="F203" s="816"/>
      <c r="G203" s="816"/>
      <c r="H203" s="821"/>
      <c r="I203" s="821"/>
      <c r="J203" s="816"/>
      <c r="K203" s="816">
        <v>210000</v>
      </c>
      <c r="L203" s="816"/>
      <c r="M203" s="816"/>
      <c r="N203" s="816"/>
      <c r="O203" s="1432"/>
    </row>
    <row r="204" spans="1:15" s="1096" customFormat="1" ht="27">
      <c r="A204" s="753"/>
      <c r="B204" s="819" t="s">
        <v>874</v>
      </c>
      <c r="C204" s="816"/>
      <c r="D204" s="817"/>
      <c r="E204" s="817"/>
      <c r="F204" s="816"/>
      <c r="G204" s="816"/>
      <c r="H204" s="821"/>
      <c r="I204" s="821"/>
      <c r="J204" s="816">
        <v>399000</v>
      </c>
      <c r="K204" s="816"/>
      <c r="L204" s="816"/>
      <c r="M204" s="816"/>
      <c r="N204" s="816"/>
      <c r="O204" s="1432"/>
    </row>
    <row r="205" spans="1:15" s="1096" customFormat="1" ht="18">
      <c r="A205" s="753" t="s">
        <v>850</v>
      </c>
      <c r="B205" s="751" t="s">
        <v>875</v>
      </c>
      <c r="C205" s="816"/>
      <c r="D205" s="817"/>
      <c r="E205" s="817"/>
      <c r="F205" s="816"/>
      <c r="G205" s="816"/>
      <c r="H205" s="821"/>
      <c r="I205" s="821"/>
      <c r="J205" s="816">
        <v>3136364</v>
      </c>
      <c r="K205" s="816"/>
      <c r="L205" s="816"/>
      <c r="M205" s="816"/>
      <c r="N205" s="816"/>
      <c r="O205" s="1432"/>
    </row>
    <row r="206" spans="1:15" s="1096" customFormat="1" ht="9">
      <c r="A206" s="753"/>
      <c r="B206" s="751" t="s">
        <v>863</v>
      </c>
      <c r="C206" s="816"/>
      <c r="D206" s="817"/>
      <c r="E206" s="817"/>
      <c r="F206" s="816"/>
      <c r="G206" s="816"/>
      <c r="H206" s="821"/>
      <c r="I206" s="821"/>
      <c r="J206" s="816">
        <v>313636</v>
      </c>
      <c r="K206" s="816"/>
      <c r="L206" s="816"/>
      <c r="M206" s="816"/>
      <c r="N206" s="816"/>
      <c r="O206" s="1432"/>
    </row>
    <row r="207" spans="1:15" s="1096" customFormat="1" ht="18">
      <c r="A207" s="750" t="s">
        <v>876</v>
      </c>
      <c r="B207" s="751" t="s">
        <v>877</v>
      </c>
      <c r="C207" s="816"/>
      <c r="D207" s="817"/>
      <c r="E207" s="817"/>
      <c r="F207" s="816"/>
      <c r="G207" s="808">
        <v>100000</v>
      </c>
      <c r="H207" s="821"/>
      <c r="I207" s="821"/>
      <c r="J207" s="816"/>
      <c r="K207" s="816"/>
      <c r="L207" s="816"/>
      <c r="M207" s="816"/>
      <c r="N207" s="816"/>
      <c r="O207" s="1432"/>
    </row>
    <row r="208" spans="1:15" s="1096" customFormat="1" ht="27">
      <c r="A208" s="750" t="s">
        <v>876</v>
      </c>
      <c r="B208" s="751" t="s">
        <v>878</v>
      </c>
      <c r="C208" s="816"/>
      <c r="D208" s="817"/>
      <c r="E208" s="817"/>
      <c r="F208" s="816"/>
      <c r="G208" s="808">
        <v>94000</v>
      </c>
      <c r="H208" s="821"/>
      <c r="I208" s="821"/>
      <c r="J208" s="816"/>
      <c r="K208" s="816"/>
      <c r="L208" s="816"/>
      <c r="M208" s="816"/>
      <c r="N208" s="816"/>
      <c r="O208" s="1432"/>
    </row>
    <row r="209" spans="1:15" s="1096" customFormat="1" ht="18">
      <c r="A209" s="1408" t="s">
        <v>879</v>
      </c>
      <c r="B209" s="751" t="s">
        <v>877</v>
      </c>
      <c r="C209" s="816"/>
      <c r="D209" s="817"/>
      <c r="E209" s="817"/>
      <c r="F209" s="816"/>
      <c r="G209" s="816"/>
      <c r="H209" s="821"/>
      <c r="I209" s="821"/>
      <c r="J209" s="816"/>
      <c r="K209" s="808">
        <v>45000</v>
      </c>
      <c r="L209" s="816"/>
      <c r="M209" s="816"/>
      <c r="N209" s="816"/>
      <c r="O209" s="1432"/>
    </row>
    <row r="210" spans="1:15" s="1096" customFormat="1" ht="18">
      <c r="A210" s="1408" t="s">
        <v>880</v>
      </c>
      <c r="B210" s="751" t="s">
        <v>881</v>
      </c>
      <c r="C210" s="816"/>
      <c r="D210" s="817"/>
      <c r="E210" s="817"/>
      <c r="F210" s="816"/>
      <c r="G210" s="816"/>
      <c r="H210" s="821"/>
      <c r="I210" s="821"/>
      <c r="J210" s="808">
        <v>1000000</v>
      </c>
      <c r="K210" s="816"/>
      <c r="L210" s="816"/>
      <c r="M210" s="816"/>
      <c r="N210" s="816"/>
      <c r="O210" s="1432"/>
    </row>
    <row r="211" spans="1:15" s="1096" customFormat="1" ht="18">
      <c r="A211" s="1408" t="s">
        <v>880</v>
      </c>
      <c r="B211" s="751" t="s">
        <v>882</v>
      </c>
      <c r="C211" s="816"/>
      <c r="D211" s="817"/>
      <c r="E211" s="817"/>
      <c r="F211" s="816"/>
      <c r="G211" s="816"/>
      <c r="H211" s="821"/>
      <c r="I211" s="821"/>
      <c r="J211" s="808">
        <v>75000</v>
      </c>
      <c r="K211" s="816"/>
      <c r="L211" s="816"/>
      <c r="M211" s="816"/>
      <c r="N211" s="816"/>
      <c r="O211" s="1432"/>
    </row>
    <row r="212" spans="1:15" s="1096" customFormat="1" ht="18">
      <c r="A212" s="1408" t="s">
        <v>883</v>
      </c>
      <c r="B212" s="751" t="s">
        <v>884</v>
      </c>
      <c r="C212" s="816"/>
      <c r="D212" s="817"/>
      <c r="E212" s="817"/>
      <c r="F212" s="816"/>
      <c r="G212" s="816"/>
      <c r="H212" s="821"/>
      <c r="I212" s="821"/>
      <c r="J212" s="808">
        <v>713000</v>
      </c>
      <c r="K212" s="816"/>
      <c r="L212" s="816"/>
      <c r="M212" s="816"/>
      <c r="N212" s="816"/>
      <c r="O212" s="1432"/>
    </row>
    <row r="213" spans="1:15" s="1096" customFormat="1" ht="36">
      <c r="A213" s="1408" t="s">
        <v>885</v>
      </c>
      <c r="B213" s="751" t="s">
        <v>886</v>
      </c>
      <c r="C213" s="816"/>
      <c r="D213" s="817"/>
      <c r="E213" s="817"/>
      <c r="F213" s="816"/>
      <c r="G213" s="816"/>
      <c r="H213" s="821"/>
      <c r="I213" s="821"/>
      <c r="J213" s="816"/>
      <c r="K213" s="816"/>
      <c r="L213" s="808">
        <v>330000</v>
      </c>
      <c r="M213" s="816"/>
      <c r="N213" s="816"/>
      <c r="O213" s="1432"/>
    </row>
    <row r="214" spans="1:15" s="1096" customFormat="1" ht="9">
      <c r="A214" s="1408" t="s">
        <v>885</v>
      </c>
      <c r="B214" s="751" t="s">
        <v>887</v>
      </c>
      <c r="C214" s="816"/>
      <c r="D214" s="817"/>
      <c r="E214" s="817"/>
      <c r="F214" s="816"/>
      <c r="G214" s="816"/>
      <c r="H214" s="821"/>
      <c r="I214" s="821"/>
      <c r="J214" s="816"/>
      <c r="K214" s="816"/>
      <c r="L214" s="808">
        <v>30000</v>
      </c>
      <c r="M214" s="816"/>
      <c r="N214" s="816"/>
      <c r="O214" s="1432"/>
    </row>
    <row r="215" spans="1:15" s="1096" customFormat="1" ht="18">
      <c r="A215" s="1408" t="s">
        <v>885</v>
      </c>
      <c r="B215" s="751" t="s">
        <v>888</v>
      </c>
      <c r="C215" s="816"/>
      <c r="D215" s="817"/>
      <c r="E215" s="817"/>
      <c r="F215" s="816"/>
      <c r="G215" s="816"/>
      <c r="H215" s="821"/>
      <c r="I215" s="821"/>
      <c r="J215" s="816"/>
      <c r="K215" s="816"/>
      <c r="L215" s="808">
        <v>236000</v>
      </c>
      <c r="M215" s="816"/>
      <c r="N215" s="816"/>
      <c r="O215" s="1432"/>
    </row>
    <row r="216" spans="1:15" s="1096" customFormat="1" ht="9">
      <c r="A216" s="1408" t="s">
        <v>885</v>
      </c>
      <c r="B216" s="751" t="s">
        <v>889</v>
      </c>
      <c r="C216" s="816"/>
      <c r="D216" s="817"/>
      <c r="E216" s="817"/>
      <c r="F216" s="816"/>
      <c r="G216" s="816"/>
      <c r="H216" s="821"/>
      <c r="I216" s="821"/>
      <c r="J216" s="816"/>
      <c r="K216" s="816"/>
      <c r="L216" s="808">
        <v>320000</v>
      </c>
      <c r="M216" s="816"/>
      <c r="N216" s="816"/>
      <c r="O216" s="1432"/>
    </row>
    <row r="217" spans="1:15" s="1096" customFormat="1" ht="18">
      <c r="A217" s="1408" t="s">
        <v>890</v>
      </c>
      <c r="B217" s="751" t="s">
        <v>891</v>
      </c>
      <c r="C217" s="816"/>
      <c r="D217" s="817"/>
      <c r="E217" s="817"/>
      <c r="F217" s="816"/>
      <c r="G217" s="816"/>
      <c r="H217" s="821"/>
      <c r="I217" s="821"/>
      <c r="J217" s="808">
        <v>400000</v>
      </c>
      <c r="K217" s="816"/>
      <c r="L217" s="816"/>
      <c r="M217" s="816"/>
      <c r="N217" s="816"/>
      <c r="O217" s="1432"/>
    </row>
    <row r="218" spans="1:15" s="1096" customFormat="1" ht="27">
      <c r="A218" s="1408" t="s">
        <v>890</v>
      </c>
      <c r="B218" s="751" t="s">
        <v>892</v>
      </c>
      <c r="C218" s="816"/>
      <c r="D218" s="817"/>
      <c r="E218" s="817"/>
      <c r="F218" s="816"/>
      <c r="G218" s="816"/>
      <c r="H218" s="821"/>
      <c r="I218" s="821"/>
      <c r="J218" s="808">
        <v>200000</v>
      </c>
      <c r="K218" s="816"/>
      <c r="L218" s="816"/>
      <c r="M218" s="816"/>
      <c r="N218" s="816"/>
      <c r="O218" s="1432"/>
    </row>
    <row r="219" spans="1:15" s="1096" customFormat="1" ht="9">
      <c r="A219" s="1408" t="s">
        <v>893</v>
      </c>
      <c r="B219" s="751" t="s">
        <v>894</v>
      </c>
      <c r="C219" s="816"/>
      <c r="D219" s="817"/>
      <c r="E219" s="817"/>
      <c r="F219" s="816"/>
      <c r="G219" s="816"/>
      <c r="H219" s="821"/>
      <c r="I219" s="821"/>
      <c r="J219" s="816"/>
      <c r="K219" s="808">
        <v>75000</v>
      </c>
      <c r="L219" s="816"/>
      <c r="M219" s="816"/>
      <c r="N219" s="816"/>
      <c r="O219" s="1432"/>
    </row>
    <row r="220" spans="1:15" s="1096" customFormat="1" ht="36">
      <c r="A220" s="1408" t="s">
        <v>895</v>
      </c>
      <c r="B220" s="751" t="s">
        <v>896</v>
      </c>
      <c r="C220" s="816"/>
      <c r="D220" s="817"/>
      <c r="E220" s="817"/>
      <c r="F220" s="816"/>
      <c r="G220" s="816"/>
      <c r="H220" s="821"/>
      <c r="I220" s="821"/>
      <c r="J220" s="808">
        <v>2000000</v>
      </c>
      <c r="K220" s="816"/>
      <c r="L220" s="816"/>
      <c r="M220" s="816"/>
      <c r="N220" s="816"/>
      <c r="O220" s="1432"/>
    </row>
    <row r="221" spans="1:15" s="1096" customFormat="1" ht="9">
      <c r="A221" s="1408" t="s">
        <v>895</v>
      </c>
      <c r="B221" s="751" t="s">
        <v>897</v>
      </c>
      <c r="C221" s="816"/>
      <c r="D221" s="817"/>
      <c r="E221" s="817"/>
      <c r="F221" s="816"/>
      <c r="G221" s="816"/>
      <c r="H221" s="821"/>
      <c r="I221" s="821"/>
      <c r="J221" s="808">
        <v>7700</v>
      </c>
      <c r="K221" s="816"/>
      <c r="L221" s="816"/>
      <c r="M221" s="816"/>
      <c r="N221" s="816"/>
      <c r="O221" s="1432"/>
    </row>
    <row r="222" spans="1:15" s="1096" customFormat="1" ht="36">
      <c r="A222" s="1408" t="s">
        <v>895</v>
      </c>
      <c r="B222" s="751" t="s">
        <v>898</v>
      </c>
      <c r="C222" s="816"/>
      <c r="D222" s="817"/>
      <c r="E222" s="817"/>
      <c r="F222" s="816"/>
      <c r="G222" s="808"/>
      <c r="H222" s="821"/>
      <c r="I222" s="821"/>
      <c r="J222" s="816">
        <v>35400000</v>
      </c>
      <c r="K222" s="816"/>
      <c r="L222" s="816"/>
      <c r="M222" s="816"/>
      <c r="N222" s="816"/>
      <c r="O222" s="1432"/>
    </row>
    <row r="223" spans="1:15" s="1096" customFormat="1" ht="27">
      <c r="A223" s="1408" t="s">
        <v>899</v>
      </c>
      <c r="B223" s="751" t="s">
        <v>900</v>
      </c>
      <c r="C223" s="816"/>
      <c r="D223" s="817"/>
      <c r="E223" s="817"/>
      <c r="F223" s="816"/>
      <c r="G223" s="808"/>
      <c r="H223" s="821"/>
      <c r="I223" s="821"/>
      <c r="J223" s="816">
        <v>7000000</v>
      </c>
      <c r="K223" s="816"/>
      <c r="L223" s="816"/>
      <c r="M223" s="816"/>
      <c r="N223" s="816"/>
      <c r="O223" s="1432"/>
    </row>
    <row r="224" spans="1:15" s="1096" customFormat="1" ht="18">
      <c r="A224" s="1408" t="s">
        <v>901</v>
      </c>
      <c r="B224" s="751" t="s">
        <v>902</v>
      </c>
      <c r="C224" s="816"/>
      <c r="D224" s="817"/>
      <c r="E224" s="817"/>
      <c r="F224" s="816"/>
      <c r="G224" s="816"/>
      <c r="H224" s="821"/>
      <c r="I224" s="821"/>
      <c r="J224" s="808">
        <v>2200000</v>
      </c>
      <c r="K224" s="816"/>
      <c r="L224" s="816"/>
      <c r="M224" s="816"/>
      <c r="N224" s="816"/>
      <c r="O224" s="1432"/>
    </row>
    <row r="225" spans="1:15" s="1096" customFormat="1" ht="9">
      <c r="A225" s="1408"/>
      <c r="B225" s="751" t="s">
        <v>897</v>
      </c>
      <c r="C225" s="816"/>
      <c r="D225" s="817"/>
      <c r="E225" s="817"/>
      <c r="F225" s="816"/>
      <c r="G225" s="816"/>
      <c r="H225" s="821"/>
      <c r="I225" s="821"/>
      <c r="J225" s="808">
        <v>7700</v>
      </c>
      <c r="K225" s="816"/>
      <c r="L225" s="816"/>
      <c r="M225" s="816"/>
      <c r="N225" s="816"/>
      <c r="O225" s="1432"/>
    </row>
    <row r="226" spans="1:15" s="1096" customFormat="1" ht="18">
      <c r="A226" s="758" t="s">
        <v>152</v>
      </c>
      <c r="B226" s="759" t="s">
        <v>903</v>
      </c>
      <c r="C226" s="816"/>
      <c r="D226" s="817"/>
      <c r="E226" s="817"/>
      <c r="F226" s="816"/>
      <c r="G226" s="816"/>
      <c r="H226" s="821"/>
      <c r="I226" s="821"/>
      <c r="J226" s="816">
        <v>150000</v>
      </c>
      <c r="K226" s="816"/>
      <c r="L226" s="816"/>
      <c r="M226" s="816"/>
      <c r="N226" s="816"/>
      <c r="O226" s="1432"/>
    </row>
    <row r="227" spans="1:15" s="1096" customFormat="1" ht="18">
      <c r="A227" s="758" t="s">
        <v>152</v>
      </c>
      <c r="B227" s="751" t="s">
        <v>904</v>
      </c>
      <c r="C227" s="816"/>
      <c r="D227" s="817"/>
      <c r="E227" s="817"/>
      <c r="F227" s="816"/>
      <c r="G227" s="816"/>
      <c r="H227" s="821"/>
      <c r="I227" s="821"/>
      <c r="J227" s="816">
        <v>15000</v>
      </c>
      <c r="K227" s="816"/>
      <c r="L227" s="816"/>
      <c r="M227" s="816"/>
      <c r="N227" s="816"/>
      <c r="O227" s="1432"/>
    </row>
    <row r="228" spans="1:15" s="1096" customFormat="1" ht="9">
      <c r="A228" s="758"/>
      <c r="B228" s="819" t="s">
        <v>905</v>
      </c>
      <c r="C228" s="816"/>
      <c r="D228" s="817"/>
      <c r="E228" s="817"/>
      <c r="F228" s="816"/>
      <c r="G228" s="816">
        <v>2000000</v>
      </c>
      <c r="H228" s="821"/>
      <c r="I228" s="821"/>
      <c r="J228" s="816"/>
      <c r="K228" s="816"/>
      <c r="L228" s="816"/>
      <c r="M228" s="816"/>
      <c r="N228" s="816"/>
      <c r="O228" s="1432"/>
    </row>
    <row r="229" spans="1:15" s="1096" customFormat="1" ht="36">
      <c r="A229" s="749" t="s">
        <v>890</v>
      </c>
      <c r="B229" s="819" t="s">
        <v>906</v>
      </c>
      <c r="C229" s="818"/>
      <c r="D229" s="760">
        <v>56911900</v>
      </c>
      <c r="E229" s="817"/>
      <c r="F229" s="816">
        <v>25316750</v>
      </c>
      <c r="G229" s="818"/>
      <c r="H229" s="821"/>
      <c r="I229" s="821"/>
      <c r="J229" s="818"/>
      <c r="K229" s="818"/>
      <c r="L229" s="818"/>
      <c r="M229" s="818"/>
      <c r="N229" s="818"/>
      <c r="O229" s="1432"/>
    </row>
    <row r="230" spans="1:15" s="1096" customFormat="1" ht="9">
      <c r="A230" s="1408" t="s">
        <v>907</v>
      </c>
      <c r="B230" s="752" t="s">
        <v>908</v>
      </c>
      <c r="C230" s="816"/>
      <c r="D230" s="817"/>
      <c r="E230" s="817"/>
      <c r="F230" s="816"/>
      <c r="G230" s="816"/>
      <c r="H230" s="821"/>
      <c r="I230" s="821"/>
      <c r="J230" s="816">
        <v>500000</v>
      </c>
      <c r="K230" s="816"/>
      <c r="L230" s="816"/>
      <c r="M230" s="816"/>
      <c r="N230" s="816"/>
      <c r="O230" s="1432"/>
    </row>
    <row r="231" spans="1:15" s="1096" customFormat="1" ht="36">
      <c r="A231" s="1408" t="s">
        <v>895</v>
      </c>
      <c r="B231" s="751" t="s">
        <v>909</v>
      </c>
      <c r="C231" s="816"/>
      <c r="D231" s="817"/>
      <c r="E231" s="817"/>
      <c r="F231" s="816"/>
      <c r="G231" s="816"/>
      <c r="H231" s="821"/>
      <c r="I231" s="821"/>
      <c r="J231" s="816">
        <v>2400000</v>
      </c>
      <c r="K231" s="816"/>
      <c r="L231" s="816"/>
      <c r="M231" s="816"/>
      <c r="N231" s="816"/>
      <c r="O231" s="1432"/>
    </row>
    <row r="232" spans="1:15" s="1096" customFormat="1" ht="45">
      <c r="A232" s="756" t="s">
        <v>885</v>
      </c>
      <c r="B232" s="751" t="s">
        <v>910</v>
      </c>
      <c r="C232" s="816">
        <v>820000</v>
      </c>
      <c r="D232" s="817"/>
      <c r="E232" s="817"/>
      <c r="F232" s="816"/>
      <c r="G232" s="816"/>
      <c r="H232" s="821"/>
      <c r="I232" s="821"/>
      <c r="J232" s="816"/>
      <c r="K232" s="816"/>
      <c r="L232" s="816"/>
      <c r="M232" s="816"/>
      <c r="N232" s="816"/>
      <c r="O232" s="1432"/>
    </row>
    <row r="233" spans="1:15" s="1096" customFormat="1" ht="27">
      <c r="A233" s="749"/>
      <c r="B233" s="751" t="s">
        <v>911</v>
      </c>
      <c r="C233" s="816"/>
      <c r="D233" s="817"/>
      <c r="E233" s="817"/>
      <c r="F233" s="816"/>
      <c r="G233" s="816"/>
      <c r="H233" s="821"/>
      <c r="I233" s="821"/>
      <c r="J233" s="816">
        <v>35550000</v>
      </c>
      <c r="K233" s="816"/>
      <c r="L233" s="816"/>
      <c r="M233" s="816"/>
      <c r="N233" s="816"/>
      <c r="O233" s="1432"/>
    </row>
    <row r="234" spans="1:15" s="1096" customFormat="1" ht="27">
      <c r="A234" s="761"/>
      <c r="B234" s="819" t="s">
        <v>912</v>
      </c>
      <c r="C234" s="816"/>
      <c r="D234" s="817"/>
      <c r="E234" s="817"/>
      <c r="F234" s="816"/>
      <c r="G234" s="816"/>
      <c r="H234" s="821"/>
      <c r="I234" s="821"/>
      <c r="J234" s="816"/>
      <c r="K234" s="816"/>
      <c r="L234" s="816"/>
      <c r="M234" s="816"/>
      <c r="N234" s="816">
        <v>5000000</v>
      </c>
      <c r="O234" s="1432"/>
    </row>
    <row r="235" spans="1:15" s="1096" customFormat="1" ht="18">
      <c r="A235" s="749" t="s">
        <v>157</v>
      </c>
      <c r="B235" s="751" t="s">
        <v>913</v>
      </c>
      <c r="C235" s="816"/>
      <c r="D235" s="817"/>
      <c r="E235" s="817"/>
      <c r="F235" s="816"/>
      <c r="G235" s="816"/>
      <c r="H235" s="821"/>
      <c r="I235" s="821"/>
      <c r="J235" s="816">
        <v>68000</v>
      </c>
      <c r="K235" s="816"/>
      <c r="L235" s="816"/>
      <c r="M235" s="816"/>
      <c r="N235" s="816"/>
      <c r="O235" s="1432"/>
    </row>
    <row r="236" spans="1:15" s="1096" customFormat="1" ht="45">
      <c r="A236" s="749" t="s">
        <v>157</v>
      </c>
      <c r="B236" s="751" t="s">
        <v>914</v>
      </c>
      <c r="C236" s="816"/>
      <c r="D236" s="817"/>
      <c r="E236" s="817"/>
      <c r="F236" s="816"/>
      <c r="G236" s="816"/>
      <c r="H236" s="821"/>
      <c r="I236" s="821"/>
      <c r="J236" s="816"/>
      <c r="K236" s="816"/>
      <c r="L236" s="816"/>
      <c r="M236" s="1409">
        <v>3166850</v>
      </c>
      <c r="N236" s="816"/>
      <c r="O236" s="1432"/>
    </row>
    <row r="237" spans="1:15" s="1096" customFormat="1" ht="18">
      <c r="A237" s="749" t="s">
        <v>907</v>
      </c>
      <c r="B237" s="751" t="s">
        <v>915</v>
      </c>
      <c r="C237" s="816"/>
      <c r="D237" s="817"/>
      <c r="E237" s="817"/>
      <c r="F237" s="816"/>
      <c r="G237" s="816"/>
      <c r="H237" s="821"/>
      <c r="I237" s="821"/>
      <c r="J237" s="816">
        <v>650000</v>
      </c>
      <c r="K237" s="816"/>
      <c r="L237" s="816"/>
      <c r="M237" s="816"/>
      <c r="N237" s="816"/>
      <c r="O237" s="1432"/>
    </row>
    <row r="238" spans="1:15" s="1096" customFormat="1" ht="18">
      <c r="A238" s="749" t="s">
        <v>916</v>
      </c>
      <c r="B238" s="751" t="s">
        <v>917</v>
      </c>
      <c r="C238" s="816"/>
      <c r="D238" s="817"/>
      <c r="E238" s="817"/>
      <c r="F238" s="816"/>
      <c r="G238" s="816"/>
      <c r="H238" s="821"/>
      <c r="I238" s="821"/>
      <c r="J238" s="816">
        <v>900000</v>
      </c>
      <c r="K238" s="816"/>
      <c r="L238" s="816"/>
      <c r="M238" s="816"/>
      <c r="N238" s="816"/>
      <c r="O238" s="1432"/>
    </row>
    <row r="239" spans="1:15" s="1096" customFormat="1" ht="18">
      <c r="A239" s="749" t="s">
        <v>157</v>
      </c>
      <c r="B239" s="751" t="s">
        <v>918</v>
      </c>
      <c r="C239" s="816"/>
      <c r="D239" s="817"/>
      <c r="E239" s="817"/>
      <c r="F239" s="816"/>
      <c r="G239" s="816"/>
      <c r="H239" s="821"/>
      <c r="I239" s="821"/>
      <c r="J239" s="816">
        <v>300000</v>
      </c>
      <c r="K239" s="816"/>
      <c r="L239" s="816"/>
      <c r="M239" s="816"/>
      <c r="N239" s="816"/>
      <c r="O239" s="1432"/>
    </row>
    <row r="240" spans="1:15" s="1096" customFormat="1" ht="18">
      <c r="A240" s="749" t="s">
        <v>919</v>
      </c>
      <c r="B240" s="751" t="s">
        <v>920</v>
      </c>
      <c r="C240" s="816"/>
      <c r="D240" s="817"/>
      <c r="E240" s="817"/>
      <c r="F240" s="816"/>
      <c r="G240" s="816"/>
      <c r="H240" s="821"/>
      <c r="I240" s="821"/>
      <c r="J240" s="816"/>
      <c r="K240" s="816"/>
      <c r="L240" s="816">
        <v>210000</v>
      </c>
      <c r="M240" s="816"/>
      <c r="N240" s="816"/>
      <c r="O240" s="1432"/>
    </row>
    <row r="241" spans="1:15" s="1096" customFormat="1" ht="36">
      <c r="A241" s="749" t="s">
        <v>157</v>
      </c>
      <c r="B241" s="751" t="s">
        <v>921</v>
      </c>
      <c r="C241" s="816"/>
      <c r="D241" s="817"/>
      <c r="E241" s="817"/>
      <c r="F241" s="816"/>
      <c r="G241" s="816"/>
      <c r="H241" s="821"/>
      <c r="I241" s="821"/>
      <c r="J241" s="816"/>
      <c r="K241" s="816"/>
      <c r="L241" s="816">
        <f>180000+70000+50000</f>
        <v>300000</v>
      </c>
      <c r="M241" s="816"/>
      <c r="N241" s="816"/>
      <c r="O241" s="1432"/>
    </row>
    <row r="242" spans="1:15" s="1096" customFormat="1" ht="18">
      <c r="A242" s="749" t="s">
        <v>157</v>
      </c>
      <c r="B242" s="751" t="s">
        <v>922</v>
      </c>
      <c r="C242" s="816"/>
      <c r="D242" s="817"/>
      <c r="E242" s="817"/>
      <c r="F242" s="816"/>
      <c r="G242" s="816"/>
      <c r="H242" s="821"/>
      <c r="I242" s="821"/>
      <c r="J242" s="816">
        <v>745000</v>
      </c>
      <c r="K242" s="816"/>
      <c r="L242" s="816"/>
      <c r="M242" s="816"/>
      <c r="N242" s="816"/>
      <c r="O242" s="1432"/>
    </row>
    <row r="243" spans="1:15" s="1096" customFormat="1" ht="27">
      <c r="A243" s="749" t="s">
        <v>893</v>
      </c>
      <c r="B243" s="751" t="s">
        <v>923</v>
      </c>
      <c r="C243" s="816"/>
      <c r="D243" s="817"/>
      <c r="E243" s="817"/>
      <c r="F243" s="816"/>
      <c r="G243" s="816"/>
      <c r="H243" s="821"/>
      <c r="I243" s="821"/>
      <c r="J243" s="816">
        <v>284000</v>
      </c>
      <c r="K243" s="816"/>
      <c r="L243" s="816"/>
      <c r="M243" s="816"/>
      <c r="N243" s="816"/>
      <c r="O243" s="1432"/>
    </row>
    <row r="244" spans="1:15" s="1096" customFormat="1" ht="18">
      <c r="A244" s="749" t="s">
        <v>893</v>
      </c>
      <c r="B244" s="751" t="s">
        <v>924</v>
      </c>
      <c r="C244" s="816"/>
      <c r="D244" s="817"/>
      <c r="E244" s="817"/>
      <c r="F244" s="816"/>
      <c r="G244" s="816"/>
      <c r="H244" s="821"/>
      <c r="I244" s="821"/>
      <c r="J244" s="816"/>
      <c r="K244" s="816">
        <v>72000</v>
      </c>
      <c r="L244" s="816"/>
      <c r="M244" s="816"/>
      <c r="N244" s="816"/>
      <c r="O244" s="1432"/>
    </row>
    <row r="245" spans="1:15" s="1096" customFormat="1" ht="9">
      <c r="A245" s="749" t="s">
        <v>925</v>
      </c>
      <c r="B245" s="751" t="s">
        <v>926</v>
      </c>
      <c r="C245" s="816"/>
      <c r="D245" s="817"/>
      <c r="E245" s="817"/>
      <c r="F245" s="816"/>
      <c r="G245" s="816"/>
      <c r="H245" s="821"/>
      <c r="I245" s="821"/>
      <c r="J245" s="816"/>
      <c r="K245" s="816">
        <v>454545</v>
      </c>
      <c r="L245" s="816"/>
      <c r="M245" s="816"/>
      <c r="N245" s="816"/>
      <c r="O245" s="1432"/>
    </row>
    <row r="246" spans="1:15" s="1096" customFormat="1" ht="9">
      <c r="A246" s="749" t="s">
        <v>925</v>
      </c>
      <c r="B246" s="751" t="s">
        <v>863</v>
      </c>
      <c r="C246" s="816"/>
      <c r="D246" s="817"/>
      <c r="E246" s="817"/>
      <c r="F246" s="816"/>
      <c r="G246" s="816"/>
      <c r="H246" s="821"/>
      <c r="I246" s="821"/>
      <c r="J246" s="816"/>
      <c r="K246" s="816">
        <v>45455</v>
      </c>
      <c r="L246" s="816"/>
      <c r="M246" s="816"/>
      <c r="N246" s="816"/>
      <c r="O246" s="1432"/>
    </row>
    <row r="247" spans="1:15" s="1096" customFormat="1" ht="27">
      <c r="A247" s="749" t="s">
        <v>927</v>
      </c>
      <c r="B247" s="751" t="s">
        <v>928</v>
      </c>
      <c r="C247" s="816"/>
      <c r="D247" s="817"/>
      <c r="E247" s="817"/>
      <c r="F247" s="816"/>
      <c r="G247" s="816"/>
      <c r="H247" s="821"/>
      <c r="I247" s="821"/>
      <c r="J247" s="816"/>
      <c r="K247" s="816"/>
      <c r="L247" s="816">
        <v>600000</v>
      </c>
      <c r="M247" s="816"/>
      <c r="N247" s="816"/>
      <c r="O247" s="1432"/>
    </row>
    <row r="248" spans="1:15" s="1096" customFormat="1" ht="9">
      <c r="A248" s="749"/>
      <c r="B248" s="751" t="s">
        <v>887</v>
      </c>
      <c r="C248" s="816"/>
      <c r="D248" s="817"/>
      <c r="E248" s="817"/>
      <c r="F248" s="816"/>
      <c r="G248" s="816"/>
      <c r="H248" s="821"/>
      <c r="I248" s="821"/>
      <c r="J248" s="816"/>
      <c r="K248" s="816"/>
      <c r="L248" s="816">
        <v>140000</v>
      </c>
      <c r="M248" s="816"/>
      <c r="N248" s="816"/>
      <c r="O248" s="1432"/>
    </row>
    <row r="249" spans="1:15" s="1096" customFormat="1" ht="27">
      <c r="A249" s="749"/>
      <c r="B249" s="751" t="s">
        <v>929</v>
      </c>
      <c r="C249" s="816"/>
      <c r="D249" s="817"/>
      <c r="E249" s="817"/>
      <c r="F249" s="816"/>
      <c r="G249" s="816"/>
      <c r="H249" s="821"/>
      <c r="I249" s="821"/>
      <c r="J249" s="816"/>
      <c r="K249" s="816"/>
      <c r="L249" s="816">
        <v>720000</v>
      </c>
      <c r="M249" s="816"/>
      <c r="N249" s="816"/>
      <c r="O249" s="1432"/>
    </row>
    <row r="250" spans="1:15" s="1096" customFormat="1" ht="18">
      <c r="A250" s="749"/>
      <c r="B250" s="751" t="s">
        <v>930</v>
      </c>
      <c r="C250" s="816"/>
      <c r="D250" s="817"/>
      <c r="E250" s="817"/>
      <c r="F250" s="816"/>
      <c r="G250" s="816"/>
      <c r="H250" s="821"/>
      <c r="I250" s="821"/>
      <c r="J250" s="816"/>
      <c r="K250" s="816"/>
      <c r="L250" s="816">
        <v>1430000</v>
      </c>
      <c r="M250" s="816"/>
      <c r="N250" s="816"/>
      <c r="O250" s="1432"/>
    </row>
    <row r="251" spans="1:15" s="1096" customFormat="1" ht="18">
      <c r="A251" s="749" t="s">
        <v>927</v>
      </c>
      <c r="B251" s="751" t="s">
        <v>931</v>
      </c>
      <c r="C251" s="816"/>
      <c r="D251" s="817"/>
      <c r="E251" s="817"/>
      <c r="F251" s="816"/>
      <c r="G251" s="816"/>
      <c r="H251" s="821"/>
      <c r="I251" s="821"/>
      <c r="J251" s="816">
        <v>250000</v>
      </c>
      <c r="K251" s="816"/>
      <c r="L251" s="816"/>
      <c r="M251" s="816"/>
      <c r="N251" s="816"/>
      <c r="O251" s="1432"/>
    </row>
    <row r="252" spans="1:15" s="1096" customFormat="1" ht="9">
      <c r="A252" s="749"/>
      <c r="B252" s="751" t="s">
        <v>887</v>
      </c>
      <c r="C252" s="816"/>
      <c r="D252" s="817"/>
      <c r="E252" s="817"/>
      <c r="F252" s="816"/>
      <c r="G252" s="816"/>
      <c r="H252" s="821"/>
      <c r="I252" s="821"/>
      <c r="J252" s="816">
        <v>120000</v>
      </c>
      <c r="K252" s="816"/>
      <c r="L252" s="816"/>
      <c r="M252" s="816"/>
      <c r="N252" s="816"/>
      <c r="O252" s="1432"/>
    </row>
    <row r="253" spans="1:15" s="1096" customFormat="1" ht="27">
      <c r="A253" s="749"/>
      <c r="B253" s="751" t="s">
        <v>932</v>
      </c>
      <c r="C253" s="816"/>
      <c r="D253" s="817"/>
      <c r="E253" s="817"/>
      <c r="F253" s="816"/>
      <c r="G253" s="816"/>
      <c r="H253" s="821"/>
      <c r="I253" s="821"/>
      <c r="J253" s="816">
        <v>240000</v>
      </c>
      <c r="K253" s="816"/>
      <c r="L253" s="816"/>
      <c r="M253" s="816"/>
      <c r="N253" s="816"/>
      <c r="O253" s="1432"/>
    </row>
    <row r="254" spans="1:15" s="1096" customFormat="1" ht="9">
      <c r="A254" s="749" t="s">
        <v>927</v>
      </c>
      <c r="B254" s="751" t="s">
        <v>926</v>
      </c>
      <c r="C254" s="816"/>
      <c r="D254" s="817"/>
      <c r="E254" s="817"/>
      <c r="F254" s="816"/>
      <c r="G254" s="816"/>
      <c r="H254" s="821"/>
      <c r="I254" s="821"/>
      <c r="J254" s="816">
        <v>1000000</v>
      </c>
      <c r="K254" s="816"/>
      <c r="L254" s="816"/>
      <c r="M254" s="816"/>
      <c r="N254" s="816"/>
      <c r="O254" s="1432"/>
    </row>
    <row r="255" spans="1:15" s="1096" customFormat="1" ht="27">
      <c r="A255" s="749" t="s">
        <v>157</v>
      </c>
      <c r="B255" s="751" t="s">
        <v>933</v>
      </c>
      <c r="C255" s="816"/>
      <c r="D255" s="817"/>
      <c r="E255" s="817"/>
      <c r="F255" s="816">
        <v>20000000</v>
      </c>
      <c r="G255" s="816"/>
      <c r="H255" s="821"/>
      <c r="I255" s="821"/>
      <c r="J255" s="816"/>
      <c r="K255" s="816"/>
      <c r="L255" s="816"/>
      <c r="M255" s="816"/>
      <c r="N255" s="816"/>
      <c r="O255" s="1432"/>
    </row>
    <row r="256" spans="1:15" s="1096" customFormat="1" ht="27">
      <c r="A256" s="762" t="s">
        <v>157</v>
      </c>
      <c r="B256" s="1410" t="s">
        <v>934</v>
      </c>
      <c r="C256" s="763"/>
      <c r="D256" s="764"/>
      <c r="E256" s="817"/>
      <c r="F256" s="763">
        <v>10000000</v>
      </c>
      <c r="G256" s="763"/>
      <c r="H256" s="821"/>
      <c r="I256" s="821"/>
      <c r="J256" s="763"/>
      <c r="K256" s="763"/>
      <c r="L256" s="763"/>
      <c r="M256" s="763"/>
      <c r="N256" s="763"/>
      <c r="O256" s="1432"/>
    </row>
    <row r="257" spans="1:27" s="791" customFormat="1" ht="9">
      <c r="A257" s="1771" t="s">
        <v>935</v>
      </c>
      <c r="B257" s="1772"/>
      <c r="C257" s="765">
        <f t="shared" ref="C257:N257" si="0">SUM(C6:C256)</f>
        <v>292906750</v>
      </c>
      <c r="D257" s="765">
        <f t="shared" si="0"/>
        <v>56911900</v>
      </c>
      <c r="E257" s="765">
        <f t="shared" si="0"/>
        <v>0</v>
      </c>
      <c r="F257" s="765">
        <f t="shared" si="0"/>
        <v>91260950</v>
      </c>
      <c r="G257" s="765">
        <f t="shared" si="0"/>
        <v>304095800</v>
      </c>
      <c r="H257" s="765">
        <f t="shared" si="0"/>
        <v>0</v>
      </c>
      <c r="I257" s="765">
        <f t="shared" si="0"/>
        <v>0</v>
      </c>
      <c r="J257" s="765">
        <f t="shared" si="0"/>
        <v>328105590</v>
      </c>
      <c r="K257" s="765">
        <f t="shared" si="0"/>
        <v>39184990</v>
      </c>
      <c r="L257" s="765">
        <f t="shared" si="0"/>
        <v>4316000</v>
      </c>
      <c r="M257" s="765">
        <f t="shared" si="0"/>
        <v>3289850</v>
      </c>
      <c r="N257" s="765">
        <f t="shared" si="0"/>
        <v>5000000</v>
      </c>
      <c r="O257" s="766"/>
      <c r="P257" s="1411"/>
      <c r="Q257" s="1411"/>
      <c r="R257" s="1411"/>
      <c r="S257" s="1411"/>
      <c r="T257" s="1411"/>
      <c r="U257" s="1411"/>
      <c r="V257" s="1411"/>
      <c r="W257" s="1411"/>
      <c r="X257" s="1411"/>
      <c r="Y257" s="1411"/>
      <c r="Z257" s="1411"/>
      <c r="AA257" s="1411"/>
    </row>
    <row r="258" spans="1:27" s="791" customFormat="1" ht="9">
      <c r="A258" s="1771" t="s">
        <v>936</v>
      </c>
      <c r="B258" s="1772"/>
      <c r="C258" s="796">
        <f>SUM(C257:F257)</f>
        <v>441079600</v>
      </c>
      <c r="D258" s="797"/>
      <c r="E258" s="797"/>
      <c r="F258" s="798"/>
      <c r="G258" s="796"/>
      <c r="H258" s="797"/>
      <c r="I258" s="797"/>
      <c r="J258" s="797"/>
      <c r="K258" s="797"/>
      <c r="L258" s="797"/>
      <c r="M258" s="797"/>
      <c r="N258" s="798"/>
      <c r="O258" s="766"/>
      <c r="P258" s="1430"/>
      <c r="Q258" s="1411"/>
      <c r="R258" s="1411"/>
      <c r="S258" s="1411"/>
      <c r="T258" s="1411"/>
      <c r="U258" s="1411"/>
      <c r="V258" s="1411"/>
      <c r="W258" s="1411"/>
      <c r="X258" s="1411"/>
      <c r="Y258" s="1411"/>
      <c r="Z258" s="1411"/>
      <c r="AA258" s="1411"/>
    </row>
    <row r="259" spans="1:27" s="791" customFormat="1" ht="9">
      <c r="A259" s="1771" t="s">
        <v>937</v>
      </c>
      <c r="B259" s="1772"/>
      <c r="C259" s="796">
        <f>SUM(G257:N257)</f>
        <v>683992230</v>
      </c>
      <c r="D259" s="797"/>
      <c r="E259" s="797"/>
      <c r="F259" s="798"/>
      <c r="G259" s="796"/>
      <c r="H259" s="797"/>
      <c r="I259" s="797"/>
      <c r="J259" s="797"/>
      <c r="K259" s="797"/>
      <c r="L259" s="797"/>
      <c r="M259" s="797"/>
      <c r="N259" s="798"/>
      <c r="O259" s="766"/>
      <c r="P259" s="1411"/>
      <c r="Q259" s="1411"/>
      <c r="R259" s="1411"/>
      <c r="S259" s="1411"/>
      <c r="T259" s="1411"/>
      <c r="U259" s="1411"/>
      <c r="V259" s="1411"/>
      <c r="W259" s="1411"/>
      <c r="X259" s="1411"/>
      <c r="Y259" s="1411"/>
      <c r="Z259" s="1411"/>
      <c r="AA259" s="1411"/>
    </row>
    <row r="260" spans="1:27" s="791" customFormat="1" ht="9">
      <c r="A260" s="1773" t="s">
        <v>938</v>
      </c>
      <c r="B260" s="1772"/>
      <c r="C260" s="796">
        <f>C258-C259</f>
        <v>-242912630</v>
      </c>
      <c r="D260" s="797"/>
      <c r="E260" s="797"/>
      <c r="F260" s="798"/>
      <c r="G260" s="793"/>
      <c r="H260" s="794"/>
      <c r="I260" s="794"/>
      <c r="J260" s="794"/>
      <c r="K260" s="794"/>
      <c r="L260" s="794"/>
      <c r="M260" s="794"/>
      <c r="N260" s="794"/>
      <c r="O260" s="766"/>
      <c r="P260" s="1411"/>
      <c r="Q260" s="1411"/>
      <c r="R260" s="1411"/>
      <c r="S260" s="1411"/>
      <c r="T260" s="1411"/>
      <c r="U260" s="1411"/>
      <c r="V260" s="1411"/>
      <c r="W260" s="1411"/>
      <c r="X260" s="1411"/>
      <c r="Y260" s="1411"/>
      <c r="Z260" s="1411"/>
      <c r="AA260" s="1411"/>
    </row>
    <row r="261" spans="1:27" s="791" customFormat="1" ht="9">
      <c r="A261" s="792"/>
      <c r="B261" s="1412" t="s">
        <v>939</v>
      </c>
      <c r="C261" s="746"/>
      <c r="D261" s="746"/>
      <c r="E261" s="746"/>
      <c r="F261" s="746"/>
      <c r="G261" s="768"/>
      <c r="H261" s="768"/>
      <c r="I261" s="768"/>
      <c r="J261" s="768"/>
      <c r="K261" s="767"/>
      <c r="L261" s="767"/>
      <c r="M261" s="768"/>
      <c r="N261" s="768"/>
      <c r="O261" s="1434"/>
      <c r="P261" s="1411"/>
      <c r="Q261" s="1411"/>
      <c r="R261" s="1411"/>
      <c r="S261" s="1411"/>
      <c r="T261" s="1411"/>
      <c r="U261" s="1411"/>
      <c r="V261" s="1411"/>
      <c r="W261" s="1411"/>
      <c r="X261" s="1411"/>
      <c r="Y261" s="1411"/>
      <c r="Z261" s="1411"/>
      <c r="AA261" s="1411"/>
    </row>
    <row r="262" spans="1:27" s="791" customFormat="1" ht="18">
      <c r="A262" s="769" t="s">
        <v>174</v>
      </c>
      <c r="B262" s="819" t="s">
        <v>940</v>
      </c>
      <c r="C262" s="820"/>
      <c r="D262" s="820">
        <v>18000000</v>
      </c>
      <c r="E262" s="820"/>
      <c r="F262" s="816"/>
      <c r="G262" s="816"/>
      <c r="H262" s="816"/>
      <c r="I262" s="816"/>
      <c r="J262" s="816"/>
      <c r="K262" s="816"/>
      <c r="L262" s="816"/>
      <c r="M262" s="770"/>
      <c r="N262" s="770"/>
      <c r="O262" s="771"/>
      <c r="P262" s="1411"/>
      <c r="Q262" s="1411"/>
      <c r="R262" s="1411"/>
      <c r="S262" s="1411"/>
      <c r="T262" s="1411"/>
      <c r="U262" s="1411"/>
      <c r="V262" s="1411"/>
      <c r="W262" s="1411"/>
      <c r="X262" s="1411"/>
      <c r="Y262" s="1411"/>
      <c r="Z262" s="1411"/>
      <c r="AA262" s="1411"/>
    </row>
    <row r="263" spans="1:27" s="791" customFormat="1" ht="18">
      <c r="A263" s="769" t="s">
        <v>941</v>
      </c>
      <c r="B263" s="819" t="s">
        <v>942</v>
      </c>
      <c r="C263" s="820"/>
      <c r="D263" s="820"/>
      <c r="E263" s="820">
        <v>45000000</v>
      </c>
      <c r="F263" s="816"/>
      <c r="G263" s="816"/>
      <c r="H263" s="816"/>
      <c r="I263" s="816"/>
      <c r="J263" s="816"/>
      <c r="K263" s="816"/>
      <c r="L263" s="816"/>
      <c r="M263" s="816"/>
      <c r="N263" s="816"/>
      <c r="O263" s="771"/>
      <c r="P263" s="1411"/>
      <c r="Q263" s="1411"/>
      <c r="R263" s="1411"/>
      <c r="S263" s="1411"/>
      <c r="T263" s="1411"/>
      <c r="U263" s="1411"/>
      <c r="V263" s="1411"/>
      <c r="W263" s="1411"/>
      <c r="X263" s="1411"/>
      <c r="Y263" s="1411"/>
      <c r="Z263" s="1411"/>
      <c r="AA263" s="1411"/>
    </row>
    <row r="264" spans="1:27" s="791" customFormat="1" ht="18">
      <c r="A264" s="769" t="s">
        <v>223</v>
      </c>
      <c r="B264" s="751" t="s">
        <v>942</v>
      </c>
      <c r="C264" s="820"/>
      <c r="D264" s="820">
        <v>45000000</v>
      </c>
      <c r="E264" s="820"/>
      <c r="F264" s="816"/>
      <c r="G264" s="816"/>
      <c r="H264" s="816"/>
      <c r="I264" s="816"/>
      <c r="J264" s="816"/>
      <c r="K264" s="816"/>
      <c r="L264" s="816"/>
      <c r="M264" s="816"/>
      <c r="N264" s="816"/>
      <c r="O264" s="771"/>
      <c r="P264" s="1411"/>
      <c r="Q264" s="1411"/>
      <c r="R264" s="1411"/>
      <c r="S264" s="1411"/>
      <c r="T264" s="1411"/>
      <c r="U264" s="1411"/>
      <c r="V264" s="1411"/>
      <c r="W264" s="1411"/>
      <c r="X264" s="1411"/>
      <c r="Y264" s="1411"/>
      <c r="Z264" s="1411"/>
      <c r="AA264" s="1411"/>
    </row>
    <row r="265" spans="1:27" s="791" customFormat="1" ht="18">
      <c r="A265" s="769" t="s">
        <v>239</v>
      </c>
      <c r="B265" s="751" t="s">
        <v>940</v>
      </c>
      <c r="C265" s="820"/>
      <c r="D265" s="820"/>
      <c r="E265" s="820"/>
      <c r="F265" s="816">
        <v>5000000</v>
      </c>
      <c r="G265" s="816"/>
      <c r="H265" s="816"/>
      <c r="I265" s="816"/>
      <c r="J265" s="816"/>
      <c r="K265" s="816"/>
      <c r="L265" s="816"/>
      <c r="M265" s="816"/>
      <c r="N265" s="816"/>
      <c r="O265" s="771"/>
      <c r="P265" s="1411"/>
      <c r="Q265" s="1411"/>
      <c r="R265" s="1411"/>
      <c r="S265" s="1411"/>
      <c r="T265" s="1411"/>
      <c r="U265" s="1411"/>
      <c r="V265" s="1411"/>
      <c r="W265" s="1411"/>
      <c r="X265" s="1411"/>
      <c r="Y265" s="1411"/>
      <c r="Z265" s="1411"/>
      <c r="AA265" s="1411"/>
    </row>
    <row r="266" spans="1:27" s="791" customFormat="1" ht="18">
      <c r="A266" s="769" t="s">
        <v>269</v>
      </c>
      <c r="B266" s="751" t="s">
        <v>940</v>
      </c>
      <c r="C266" s="820"/>
      <c r="D266" s="820">
        <v>30000000</v>
      </c>
      <c r="E266" s="820"/>
      <c r="F266" s="816"/>
      <c r="G266" s="816"/>
      <c r="H266" s="816"/>
      <c r="I266" s="816"/>
      <c r="J266" s="816"/>
      <c r="K266" s="816"/>
      <c r="L266" s="816"/>
      <c r="M266" s="816"/>
      <c r="N266" s="816"/>
      <c r="O266" s="771"/>
      <c r="P266" s="1411"/>
      <c r="Q266" s="1411"/>
      <c r="R266" s="1411"/>
      <c r="S266" s="1411"/>
      <c r="T266" s="1411"/>
      <c r="U266" s="1411"/>
      <c r="V266" s="1411"/>
      <c r="W266" s="1411"/>
      <c r="X266" s="1411"/>
      <c r="Y266" s="1411"/>
      <c r="Z266" s="1411"/>
      <c r="AA266" s="1411"/>
    </row>
    <row r="267" spans="1:27" s="791" customFormat="1" ht="18">
      <c r="A267" s="769" t="s">
        <v>943</v>
      </c>
      <c r="B267" s="751" t="s">
        <v>940</v>
      </c>
      <c r="C267" s="820"/>
      <c r="D267" s="820">
        <v>25000000</v>
      </c>
      <c r="E267" s="820"/>
      <c r="F267" s="816"/>
      <c r="G267" s="816"/>
      <c r="H267" s="816"/>
      <c r="I267" s="816"/>
      <c r="J267" s="816"/>
      <c r="K267" s="816"/>
      <c r="L267" s="816"/>
      <c r="M267" s="816"/>
      <c r="N267" s="816"/>
      <c r="O267" s="771"/>
      <c r="P267" s="1411"/>
      <c r="Q267" s="1411"/>
      <c r="R267" s="1411"/>
      <c r="S267" s="1411"/>
      <c r="T267" s="1411"/>
      <c r="U267" s="1411"/>
      <c r="V267" s="1411"/>
      <c r="W267" s="1411"/>
      <c r="X267" s="1411"/>
      <c r="Y267" s="1411"/>
      <c r="Z267" s="1411"/>
      <c r="AA267" s="1411"/>
    </row>
    <row r="268" spans="1:27" s="791" customFormat="1" ht="18">
      <c r="A268" s="769" t="s">
        <v>425</v>
      </c>
      <c r="B268" s="751" t="s">
        <v>942</v>
      </c>
      <c r="C268" s="820"/>
      <c r="D268" s="820">
        <v>90000000</v>
      </c>
      <c r="E268" s="820"/>
      <c r="F268" s="816"/>
      <c r="G268" s="816"/>
      <c r="H268" s="816"/>
      <c r="I268" s="816"/>
      <c r="J268" s="816"/>
      <c r="K268" s="816"/>
      <c r="L268" s="816"/>
      <c r="M268" s="816"/>
      <c r="N268" s="816"/>
      <c r="O268" s="771"/>
      <c r="P268" s="1411"/>
      <c r="Q268" s="1411"/>
      <c r="R268" s="1411"/>
      <c r="S268" s="1411"/>
      <c r="T268" s="1411"/>
      <c r="U268" s="1411"/>
      <c r="V268" s="1411"/>
      <c r="W268" s="1411"/>
      <c r="X268" s="1411"/>
      <c r="Y268" s="1411"/>
      <c r="Z268" s="1411"/>
      <c r="AA268" s="1411"/>
    </row>
    <row r="269" spans="1:27" s="791" customFormat="1" ht="18">
      <c r="A269" s="772" t="s">
        <v>469</v>
      </c>
      <c r="B269" s="773" t="s">
        <v>942</v>
      </c>
      <c r="C269" s="782"/>
      <c r="D269" s="782">
        <v>90000000</v>
      </c>
      <c r="E269" s="782"/>
      <c r="F269" s="774"/>
      <c r="G269" s="774"/>
      <c r="H269" s="774"/>
      <c r="I269" s="774"/>
      <c r="J269" s="774"/>
      <c r="K269" s="774"/>
      <c r="L269" s="774"/>
      <c r="M269" s="774"/>
      <c r="N269" s="774"/>
      <c r="O269" s="783"/>
      <c r="P269" s="1411"/>
      <c r="Q269" s="1411"/>
      <c r="R269" s="1411"/>
      <c r="S269" s="1411"/>
      <c r="T269" s="1411"/>
      <c r="U269" s="1411"/>
      <c r="V269" s="1411"/>
      <c r="W269" s="1411"/>
      <c r="X269" s="1411"/>
      <c r="Y269" s="1411"/>
      <c r="Z269" s="1411"/>
      <c r="AA269" s="1411"/>
    </row>
    <row r="270" spans="1:27" s="791" customFormat="1" ht="18">
      <c r="A270" s="775"/>
      <c r="B270" s="1413" t="s">
        <v>944</v>
      </c>
      <c r="C270" s="776"/>
      <c r="D270" s="776"/>
      <c r="E270" s="776"/>
      <c r="F270" s="748"/>
      <c r="G270" s="748"/>
      <c r="H270" s="748"/>
      <c r="I270" s="748"/>
      <c r="J270" s="748"/>
      <c r="K270" s="748"/>
      <c r="L270" s="748"/>
      <c r="M270" s="748"/>
      <c r="N270" s="748"/>
      <c r="O270" s="777"/>
      <c r="P270" s="1411"/>
      <c r="Q270" s="1411"/>
      <c r="R270" s="1411"/>
      <c r="S270" s="1411"/>
      <c r="T270" s="1411"/>
      <c r="U270" s="1411"/>
      <c r="V270" s="1411"/>
      <c r="W270" s="1411"/>
      <c r="X270" s="1411"/>
      <c r="Y270" s="1411"/>
      <c r="Z270" s="1411"/>
      <c r="AA270" s="1411"/>
    </row>
    <row r="271" spans="1:27" s="791" customFormat="1" ht="9">
      <c r="A271" s="778"/>
      <c r="B271" s="779" t="s">
        <v>945</v>
      </c>
      <c r="C271" s="803"/>
      <c r="D271" s="803">
        <v>24742200</v>
      </c>
      <c r="E271" s="816"/>
      <c r="F271" s="763">
        <v>13070600</v>
      </c>
      <c r="G271" s="816"/>
      <c r="H271" s="816"/>
      <c r="I271" s="816"/>
      <c r="J271" s="816"/>
      <c r="K271" s="816"/>
      <c r="L271" s="816"/>
      <c r="M271" s="816"/>
      <c r="N271" s="816"/>
      <c r="O271" s="1774" t="s">
        <v>946</v>
      </c>
      <c r="P271" s="1411"/>
      <c r="Q271" s="1411"/>
      <c r="R271" s="1411"/>
      <c r="S271" s="1411"/>
      <c r="T271" s="1411"/>
      <c r="U271" s="1411"/>
      <c r="V271" s="1411"/>
      <c r="W271" s="1411"/>
      <c r="X271" s="1411"/>
      <c r="Y271" s="1411"/>
      <c r="Z271" s="1411"/>
      <c r="AA271" s="1411"/>
    </row>
    <row r="272" spans="1:27" s="791" customFormat="1" ht="9">
      <c r="A272" s="778"/>
      <c r="B272" s="779" t="s">
        <v>947</v>
      </c>
      <c r="C272" s="803"/>
      <c r="D272" s="803">
        <v>26192050</v>
      </c>
      <c r="E272" s="820"/>
      <c r="F272" s="763">
        <v>6974300</v>
      </c>
      <c r="G272" s="816"/>
      <c r="H272" s="816"/>
      <c r="I272" s="816"/>
      <c r="J272" s="816"/>
      <c r="K272" s="816"/>
      <c r="L272" s="816"/>
      <c r="M272" s="816"/>
      <c r="N272" s="816"/>
      <c r="O272" s="1775"/>
      <c r="P272" s="1411"/>
      <c r="Q272" s="1411"/>
      <c r="R272" s="1411"/>
      <c r="S272" s="1411"/>
      <c r="T272" s="1411"/>
      <c r="U272" s="1411"/>
      <c r="V272" s="1411"/>
      <c r="W272" s="1411"/>
      <c r="X272" s="1411"/>
      <c r="Y272" s="1411"/>
      <c r="Z272" s="1411"/>
      <c r="AA272" s="1411"/>
    </row>
    <row r="273" spans="1:27" s="791" customFormat="1" ht="9">
      <c r="A273" s="780"/>
      <c r="B273" s="781" t="s">
        <v>948</v>
      </c>
      <c r="C273" s="782"/>
      <c r="D273" s="782">
        <v>1357500</v>
      </c>
      <c r="E273" s="774"/>
      <c r="F273" s="774">
        <v>2587150</v>
      </c>
      <c r="G273" s="774"/>
      <c r="H273" s="774"/>
      <c r="I273" s="774"/>
      <c r="J273" s="774"/>
      <c r="K273" s="774"/>
      <c r="L273" s="774"/>
      <c r="M273" s="774"/>
      <c r="N273" s="774"/>
      <c r="O273" s="1776"/>
      <c r="P273" s="1411"/>
      <c r="Q273" s="1411"/>
      <c r="R273" s="1411"/>
      <c r="S273" s="1411"/>
      <c r="T273" s="1411"/>
      <c r="U273" s="1411"/>
      <c r="V273" s="1411"/>
      <c r="W273" s="1411"/>
      <c r="X273" s="1411"/>
      <c r="Y273" s="1411"/>
      <c r="Z273" s="1411"/>
      <c r="AA273" s="1411"/>
    </row>
    <row r="274" spans="1:27" s="791" customFormat="1" ht="18">
      <c r="A274" s="775"/>
      <c r="B274" s="1413" t="s">
        <v>949</v>
      </c>
      <c r="C274" s="776"/>
      <c r="D274" s="776"/>
      <c r="E274" s="776"/>
      <c r="F274" s="748"/>
      <c r="G274" s="748"/>
      <c r="H274" s="748"/>
      <c r="I274" s="748"/>
      <c r="J274" s="748"/>
      <c r="K274" s="748"/>
      <c r="L274" s="748"/>
      <c r="M274" s="748"/>
      <c r="N274" s="748"/>
      <c r="O274" s="777"/>
      <c r="P274" s="1411"/>
      <c r="Q274" s="1411"/>
      <c r="R274" s="1411"/>
      <c r="S274" s="1411"/>
      <c r="T274" s="1411"/>
      <c r="U274" s="1411"/>
      <c r="V274" s="1411"/>
      <c r="W274" s="1411"/>
      <c r="X274" s="1411"/>
      <c r="Y274" s="1411"/>
      <c r="Z274" s="1411"/>
      <c r="AA274" s="1411"/>
    </row>
    <row r="275" spans="1:27" s="791" customFormat="1" ht="11.25">
      <c r="A275" s="778"/>
      <c r="B275" s="740" t="s">
        <v>950</v>
      </c>
      <c r="C275" s="803"/>
      <c r="D275" s="803"/>
      <c r="E275" s="820"/>
      <c r="F275" s="742">
        <v>200000000</v>
      </c>
      <c r="G275" s="816"/>
      <c r="H275" s="816"/>
      <c r="I275" s="816"/>
      <c r="J275" s="816"/>
      <c r="K275" s="816"/>
      <c r="L275" s="816"/>
      <c r="M275" s="816"/>
      <c r="N275" s="816"/>
      <c r="O275" s="771"/>
      <c r="P275" s="1411"/>
      <c r="Q275" s="1411"/>
      <c r="R275" s="1411"/>
      <c r="S275" s="1411"/>
      <c r="T275" s="1411"/>
      <c r="U275" s="1411"/>
      <c r="V275" s="1411"/>
      <c r="W275" s="1411"/>
      <c r="X275" s="1411"/>
      <c r="Y275" s="1411"/>
      <c r="Z275" s="1411"/>
      <c r="AA275" s="1411"/>
    </row>
    <row r="276" spans="1:27" s="791" customFormat="1" ht="22.5">
      <c r="A276" s="778"/>
      <c r="B276" s="740" t="s">
        <v>951</v>
      </c>
      <c r="C276" s="803"/>
      <c r="D276" s="803"/>
      <c r="E276" s="820"/>
      <c r="F276" s="742">
        <v>140000000</v>
      </c>
      <c r="G276" s="816"/>
      <c r="H276" s="816"/>
      <c r="I276" s="816"/>
      <c r="J276" s="816"/>
      <c r="K276" s="816"/>
      <c r="L276" s="816"/>
      <c r="M276" s="816"/>
      <c r="N276" s="816"/>
      <c r="O276" s="771"/>
      <c r="P276" s="1411"/>
      <c r="Q276" s="1411"/>
      <c r="R276" s="1411"/>
      <c r="S276" s="1411"/>
      <c r="T276" s="1411"/>
      <c r="U276" s="1411"/>
      <c r="V276" s="1411"/>
      <c r="W276" s="1411"/>
      <c r="X276" s="1411"/>
      <c r="Y276" s="1411"/>
      <c r="Z276" s="1411"/>
      <c r="AA276" s="1411"/>
    </row>
    <row r="277" spans="1:27" s="791" customFormat="1" ht="11.25">
      <c r="A277" s="778"/>
      <c r="B277" s="740" t="s">
        <v>952</v>
      </c>
      <c r="C277" s="803"/>
      <c r="D277" s="803"/>
      <c r="E277" s="820"/>
      <c r="F277" s="742">
        <v>80000000</v>
      </c>
      <c r="G277" s="816"/>
      <c r="H277" s="816"/>
      <c r="I277" s="816"/>
      <c r="J277" s="816"/>
      <c r="K277" s="816"/>
      <c r="L277" s="816"/>
      <c r="M277" s="816"/>
      <c r="N277" s="816"/>
      <c r="O277" s="771"/>
      <c r="P277" s="1411"/>
      <c r="Q277" s="1411"/>
      <c r="R277" s="1411"/>
      <c r="S277" s="1411"/>
      <c r="T277" s="1411"/>
      <c r="U277" s="1411"/>
      <c r="V277" s="1411"/>
      <c r="W277" s="1411"/>
      <c r="X277" s="1411"/>
      <c r="Y277" s="1411"/>
      <c r="Z277" s="1411"/>
      <c r="AA277" s="1411"/>
    </row>
    <row r="278" spans="1:27" s="791" customFormat="1" ht="22.5">
      <c r="A278" s="778"/>
      <c r="B278" s="740" t="s">
        <v>953</v>
      </c>
      <c r="C278" s="803"/>
      <c r="D278" s="803"/>
      <c r="E278" s="820"/>
      <c r="F278" s="742">
        <v>100000000</v>
      </c>
      <c r="G278" s="816"/>
      <c r="H278" s="816"/>
      <c r="I278" s="816"/>
      <c r="J278" s="816"/>
      <c r="K278" s="816"/>
      <c r="L278" s="816"/>
      <c r="M278" s="816"/>
      <c r="N278" s="816"/>
      <c r="O278" s="771"/>
      <c r="P278" s="1411"/>
      <c r="Q278" s="1411"/>
      <c r="R278" s="1411"/>
      <c r="S278" s="1411"/>
      <c r="T278" s="1411"/>
      <c r="U278" s="1411"/>
      <c r="V278" s="1411"/>
      <c r="W278" s="1411"/>
      <c r="X278" s="1411"/>
      <c r="Y278" s="1411"/>
      <c r="Z278" s="1411"/>
      <c r="AA278" s="1411"/>
    </row>
    <row r="279" spans="1:27" s="791" customFormat="1" ht="22.5">
      <c r="A279" s="778"/>
      <c r="B279" s="740" t="s">
        <v>954</v>
      </c>
      <c r="C279" s="803"/>
      <c r="D279" s="803"/>
      <c r="E279" s="820"/>
      <c r="F279" s="742">
        <v>30000000</v>
      </c>
      <c r="G279" s="816"/>
      <c r="H279" s="816"/>
      <c r="I279" s="816"/>
      <c r="J279" s="816"/>
      <c r="K279" s="816"/>
      <c r="L279" s="816"/>
      <c r="M279" s="816"/>
      <c r="N279" s="816"/>
      <c r="O279" s="771"/>
      <c r="P279" s="1411"/>
      <c r="Q279" s="1411"/>
      <c r="R279" s="1411"/>
      <c r="S279" s="1411"/>
      <c r="T279" s="1411"/>
      <c r="U279" s="1411"/>
      <c r="V279" s="1411"/>
      <c r="W279" s="1411"/>
      <c r="X279" s="1411"/>
      <c r="Y279" s="1411"/>
      <c r="Z279" s="1411"/>
      <c r="AA279" s="1411"/>
    </row>
    <row r="280" spans="1:27" s="791" customFormat="1" ht="22.5">
      <c r="A280" s="778"/>
      <c r="B280" s="740" t="s">
        <v>955</v>
      </c>
      <c r="C280" s="803"/>
      <c r="D280" s="803"/>
      <c r="E280" s="820"/>
      <c r="F280" s="816">
        <v>232000000</v>
      </c>
      <c r="G280" s="816"/>
      <c r="H280" s="816"/>
      <c r="I280" s="816"/>
      <c r="J280" s="816"/>
      <c r="K280" s="816"/>
      <c r="L280" s="816"/>
      <c r="M280" s="816"/>
      <c r="N280" s="816"/>
      <c r="O280" s="771"/>
      <c r="P280" s="1411"/>
      <c r="Q280" s="1411"/>
      <c r="R280" s="1411"/>
      <c r="S280" s="1411"/>
      <c r="T280" s="1411"/>
      <c r="U280" s="1411"/>
      <c r="V280" s="1411"/>
      <c r="W280" s="1411"/>
      <c r="X280" s="1411"/>
      <c r="Y280" s="1411"/>
      <c r="Z280" s="1411"/>
      <c r="AA280" s="1411"/>
    </row>
    <row r="281" spans="1:27" s="791" customFormat="1" ht="22.5">
      <c r="A281" s="778"/>
      <c r="B281" s="740" t="s">
        <v>956</v>
      </c>
      <c r="C281" s="803"/>
      <c r="D281" s="803"/>
      <c r="E281" s="820"/>
      <c r="F281" s="816">
        <v>35000000</v>
      </c>
      <c r="G281" s="816"/>
      <c r="H281" s="816"/>
      <c r="I281" s="816"/>
      <c r="J281" s="816"/>
      <c r="K281" s="816"/>
      <c r="L281" s="816"/>
      <c r="M281" s="816"/>
      <c r="N281" s="816"/>
      <c r="O281" s="771"/>
      <c r="P281" s="1411"/>
      <c r="Q281" s="1411"/>
      <c r="R281" s="1411"/>
      <c r="S281" s="1411"/>
      <c r="T281" s="1411"/>
      <c r="U281" s="1411"/>
      <c r="V281" s="1411"/>
      <c r="W281" s="1411"/>
      <c r="X281" s="1411"/>
      <c r="Y281" s="1411"/>
      <c r="Z281" s="1411"/>
      <c r="AA281" s="1411"/>
    </row>
    <row r="282" spans="1:27" s="791" customFormat="1" ht="22.5">
      <c r="A282" s="780"/>
      <c r="B282" s="740" t="s">
        <v>957</v>
      </c>
      <c r="C282" s="782"/>
      <c r="D282" s="782"/>
      <c r="E282" s="782"/>
      <c r="F282" s="774">
        <v>50000000</v>
      </c>
      <c r="G282" s="774"/>
      <c r="H282" s="774"/>
      <c r="I282" s="774"/>
      <c r="J282" s="774"/>
      <c r="K282" s="774"/>
      <c r="L282" s="774"/>
      <c r="M282" s="774"/>
      <c r="N282" s="774"/>
      <c r="O282" s="783"/>
      <c r="P282" s="1411"/>
      <c r="Q282" s="1411"/>
      <c r="R282" s="1411"/>
      <c r="S282" s="1411"/>
      <c r="T282" s="1411"/>
      <c r="U282" s="1411"/>
      <c r="V282" s="1411"/>
      <c r="W282" s="1411"/>
      <c r="X282" s="1411"/>
      <c r="Y282" s="1411"/>
      <c r="Z282" s="1411"/>
      <c r="AA282" s="1411"/>
    </row>
    <row r="283" spans="1:27" s="791" customFormat="1" ht="18">
      <c r="A283" s="775"/>
      <c r="B283" s="1413" t="s">
        <v>958</v>
      </c>
      <c r="C283" s="776"/>
      <c r="D283" s="776"/>
      <c r="E283" s="776"/>
      <c r="F283" s="748"/>
      <c r="G283" s="748"/>
      <c r="H283" s="748"/>
      <c r="I283" s="748"/>
      <c r="J283" s="748"/>
      <c r="K283" s="748"/>
      <c r="L283" s="748"/>
      <c r="M283" s="748"/>
      <c r="N283" s="748"/>
      <c r="O283" s="777"/>
      <c r="P283" s="1411"/>
      <c r="Q283" s="1411"/>
      <c r="R283" s="1411"/>
      <c r="S283" s="1411"/>
      <c r="T283" s="1411"/>
      <c r="U283" s="1411"/>
      <c r="V283" s="1411"/>
      <c r="W283" s="1411"/>
      <c r="X283" s="1411"/>
      <c r="Y283" s="1411"/>
      <c r="Z283" s="1411"/>
      <c r="AA283" s="1411"/>
    </row>
    <row r="284" spans="1:27" s="791" customFormat="1" ht="36">
      <c r="A284" s="778" t="s">
        <v>959</v>
      </c>
      <c r="B284" s="779" t="s">
        <v>960</v>
      </c>
      <c r="C284" s="803"/>
      <c r="D284" s="803"/>
      <c r="E284" s="820"/>
      <c r="F284" s="763">
        <v>819000</v>
      </c>
      <c r="G284" s="816"/>
      <c r="H284" s="816"/>
      <c r="I284" s="816"/>
      <c r="J284" s="816"/>
      <c r="K284" s="816"/>
      <c r="L284" s="816"/>
      <c r="M284" s="816"/>
      <c r="N284" s="816"/>
      <c r="O284" s="771"/>
      <c r="P284" s="1411"/>
      <c r="Q284" s="1411"/>
      <c r="R284" s="1411"/>
      <c r="S284" s="1411"/>
      <c r="T284" s="1411"/>
      <c r="U284" s="1411"/>
      <c r="V284" s="1411"/>
      <c r="W284" s="1411"/>
      <c r="X284" s="1411"/>
      <c r="Y284" s="1411"/>
      <c r="Z284" s="1411"/>
      <c r="AA284" s="1411"/>
    </row>
    <row r="285" spans="1:27" s="791" customFormat="1" ht="27">
      <c r="A285" s="778" t="s">
        <v>244</v>
      </c>
      <c r="B285" s="779" t="s">
        <v>961</v>
      </c>
      <c r="C285" s="803"/>
      <c r="D285" s="803">
        <v>2570000</v>
      </c>
      <c r="E285" s="816"/>
      <c r="F285" s="763"/>
      <c r="G285" s="816"/>
      <c r="H285" s="816"/>
      <c r="I285" s="816"/>
      <c r="J285" s="816"/>
      <c r="K285" s="816"/>
      <c r="L285" s="816"/>
      <c r="M285" s="816"/>
      <c r="N285" s="816"/>
      <c r="O285" s="771"/>
      <c r="P285" s="1411"/>
      <c r="Q285" s="1411"/>
      <c r="R285" s="1411"/>
      <c r="S285" s="1411"/>
      <c r="T285" s="1411"/>
      <c r="U285" s="1411"/>
      <c r="V285" s="1411"/>
      <c r="W285" s="1411"/>
      <c r="X285" s="1411"/>
      <c r="Y285" s="1411"/>
      <c r="Z285" s="1411"/>
      <c r="AA285" s="1411"/>
    </row>
    <row r="286" spans="1:27" s="791" customFormat="1" ht="27">
      <c r="A286" s="778" t="s">
        <v>246</v>
      </c>
      <c r="B286" s="779" t="s">
        <v>962</v>
      </c>
      <c r="C286" s="803"/>
      <c r="D286" s="803"/>
      <c r="E286" s="816"/>
      <c r="F286" s="763">
        <v>7250000</v>
      </c>
      <c r="G286" s="816"/>
      <c r="H286" s="816"/>
      <c r="I286" s="816"/>
      <c r="J286" s="816"/>
      <c r="K286" s="816"/>
      <c r="L286" s="816"/>
      <c r="M286" s="816"/>
      <c r="N286" s="816"/>
      <c r="O286" s="771"/>
      <c r="P286" s="1411"/>
      <c r="Q286" s="1411"/>
      <c r="R286" s="1411"/>
      <c r="S286" s="1411"/>
      <c r="T286" s="1411"/>
      <c r="U286" s="1411"/>
      <c r="V286" s="1411"/>
      <c r="W286" s="1411"/>
      <c r="X286" s="1411"/>
      <c r="Y286" s="1411"/>
      <c r="Z286" s="1411"/>
      <c r="AA286" s="1411"/>
    </row>
    <row r="287" spans="1:27" s="791" customFormat="1" ht="36">
      <c r="A287" s="778" t="s">
        <v>460</v>
      </c>
      <c r="B287" s="779" t="s">
        <v>963</v>
      </c>
      <c r="C287" s="803"/>
      <c r="D287" s="803"/>
      <c r="E287" s="820"/>
      <c r="F287" s="763">
        <v>15100000</v>
      </c>
      <c r="G287" s="816"/>
      <c r="H287" s="816"/>
      <c r="I287" s="816"/>
      <c r="J287" s="816"/>
      <c r="K287" s="816"/>
      <c r="L287" s="816"/>
      <c r="M287" s="816"/>
      <c r="N287" s="816"/>
      <c r="O287" s="771"/>
      <c r="P287" s="1411"/>
      <c r="Q287" s="1411"/>
      <c r="R287" s="1411"/>
      <c r="S287" s="1411"/>
      <c r="T287" s="1411"/>
      <c r="U287" s="1411"/>
      <c r="V287" s="1411"/>
      <c r="W287" s="1411"/>
      <c r="X287" s="1411"/>
      <c r="Y287" s="1411"/>
      <c r="Z287" s="1411"/>
      <c r="AA287" s="1411"/>
    </row>
    <row r="288" spans="1:27" s="791" customFormat="1" ht="45">
      <c r="A288" s="778" t="s">
        <v>492</v>
      </c>
      <c r="B288" s="779" t="s">
        <v>964</v>
      </c>
      <c r="C288" s="803"/>
      <c r="D288" s="803"/>
      <c r="E288" s="763"/>
      <c r="F288" s="763">
        <v>1500000</v>
      </c>
      <c r="G288" s="763"/>
      <c r="H288" s="763"/>
      <c r="I288" s="763"/>
      <c r="J288" s="763"/>
      <c r="K288" s="763"/>
      <c r="L288" s="763"/>
      <c r="M288" s="763"/>
      <c r="N288" s="763"/>
      <c r="O288" s="784"/>
      <c r="P288" s="1411"/>
      <c r="Q288" s="1411"/>
      <c r="R288" s="1411"/>
      <c r="S288" s="1411"/>
      <c r="T288" s="1411"/>
      <c r="U288" s="1411"/>
      <c r="V288" s="1411"/>
      <c r="W288" s="1411"/>
      <c r="X288" s="1411"/>
      <c r="Y288" s="1411"/>
      <c r="Z288" s="1411"/>
      <c r="AA288" s="1411"/>
    </row>
    <row r="289" spans="1:27" s="791" customFormat="1" ht="18">
      <c r="A289" s="785"/>
      <c r="B289" s="1414" t="s">
        <v>965</v>
      </c>
      <c r="C289" s="748"/>
      <c r="D289" s="748"/>
      <c r="E289" s="748"/>
      <c r="F289" s="748"/>
      <c r="G289" s="748"/>
      <c r="H289" s="748"/>
      <c r="I289" s="748"/>
      <c r="J289" s="748"/>
      <c r="K289" s="748"/>
      <c r="L289" s="748"/>
      <c r="M289" s="748"/>
      <c r="N289" s="748"/>
      <c r="O289" s="777"/>
      <c r="P289" s="1411"/>
      <c r="Q289" s="1411"/>
      <c r="R289" s="1411"/>
      <c r="S289" s="1411"/>
      <c r="T289" s="1411"/>
      <c r="U289" s="1411"/>
      <c r="V289" s="1411"/>
      <c r="W289" s="1411"/>
      <c r="X289" s="1411"/>
      <c r="Y289" s="1411"/>
      <c r="Z289" s="1411"/>
      <c r="AA289" s="1411"/>
    </row>
    <row r="290" spans="1:27" s="791" customFormat="1" ht="18">
      <c r="A290" s="786" t="s">
        <v>216</v>
      </c>
      <c r="B290" s="819" t="s">
        <v>966</v>
      </c>
      <c r="C290" s="816"/>
      <c r="D290" s="816"/>
      <c r="E290" s="816"/>
      <c r="F290" s="816"/>
      <c r="G290" s="816"/>
      <c r="H290" s="816">
        <v>20000000</v>
      </c>
      <c r="I290" s="816"/>
      <c r="J290" s="816"/>
      <c r="K290" s="816"/>
      <c r="L290" s="816"/>
      <c r="M290" s="816"/>
      <c r="N290" s="816"/>
      <c r="O290" s="771"/>
      <c r="P290" s="1411"/>
      <c r="Q290" s="1411"/>
      <c r="R290" s="1411"/>
      <c r="S290" s="1411"/>
      <c r="T290" s="1411"/>
      <c r="U290" s="1411"/>
      <c r="V290" s="1411"/>
      <c r="W290" s="1411"/>
      <c r="X290" s="1411"/>
      <c r="Y290" s="1411"/>
      <c r="Z290" s="1411"/>
      <c r="AA290" s="1411"/>
    </row>
    <row r="291" spans="1:27" s="791" customFormat="1" ht="18">
      <c r="A291" s="786"/>
      <c r="B291" s="819" t="s">
        <v>967</v>
      </c>
      <c r="C291" s="816"/>
      <c r="D291" s="816"/>
      <c r="E291" s="816"/>
      <c r="F291" s="816"/>
      <c r="G291" s="804"/>
      <c r="H291" s="804">
        <v>40000000</v>
      </c>
      <c r="I291" s="816"/>
      <c r="J291" s="816"/>
      <c r="K291" s="816"/>
      <c r="L291" s="816"/>
      <c r="M291" s="816"/>
      <c r="N291" s="816"/>
      <c r="O291" s="771"/>
      <c r="P291" s="1411"/>
      <c r="Q291" s="1411"/>
      <c r="R291" s="1411"/>
      <c r="S291" s="1411"/>
      <c r="T291" s="1411"/>
      <c r="U291" s="1411"/>
      <c r="V291" s="1411"/>
      <c r="W291" s="1411"/>
      <c r="X291" s="1411"/>
      <c r="Y291" s="1411"/>
      <c r="Z291" s="1411"/>
      <c r="AA291" s="1411"/>
    </row>
    <row r="292" spans="1:27" s="791" customFormat="1" ht="18">
      <c r="A292" s="778"/>
      <c r="B292" s="779" t="s">
        <v>967</v>
      </c>
      <c r="C292" s="816"/>
      <c r="D292" s="816"/>
      <c r="E292" s="816"/>
      <c r="F292" s="816"/>
      <c r="G292" s="752"/>
      <c r="H292" s="752"/>
      <c r="I292" s="816"/>
      <c r="J292" s="805">
        <v>49050000</v>
      </c>
      <c r="K292" s="816"/>
      <c r="L292" s="816"/>
      <c r="M292" s="816"/>
      <c r="N292" s="816"/>
      <c r="O292" s="771"/>
      <c r="P292" s="1411"/>
      <c r="Q292" s="1411"/>
      <c r="R292" s="1411"/>
      <c r="S292" s="1411"/>
      <c r="T292" s="1411"/>
      <c r="U292" s="1411"/>
      <c r="V292" s="1411"/>
      <c r="W292" s="1411"/>
      <c r="X292" s="1411"/>
      <c r="Y292" s="1411"/>
      <c r="Z292" s="1411"/>
      <c r="AA292" s="1411"/>
    </row>
    <row r="293" spans="1:27" s="791" customFormat="1" ht="9">
      <c r="A293" s="786" t="s">
        <v>269</v>
      </c>
      <c r="B293" s="1415" t="s">
        <v>968</v>
      </c>
      <c r="C293" s="816"/>
      <c r="D293" s="816"/>
      <c r="E293" s="816"/>
      <c r="F293" s="816"/>
      <c r="G293" s="816"/>
      <c r="H293" s="816">
        <v>10000000</v>
      </c>
      <c r="I293" s="816"/>
      <c r="J293" s="816"/>
      <c r="K293" s="816"/>
      <c r="L293" s="816"/>
      <c r="M293" s="816"/>
      <c r="N293" s="816"/>
      <c r="O293" s="771"/>
      <c r="P293" s="1411"/>
      <c r="Q293" s="1411"/>
      <c r="R293" s="1411"/>
      <c r="S293" s="1411"/>
      <c r="T293" s="1411"/>
      <c r="U293" s="1411"/>
      <c r="V293" s="1411"/>
      <c r="W293" s="1411"/>
      <c r="X293" s="1411"/>
      <c r="Y293" s="1411"/>
      <c r="Z293" s="1411"/>
      <c r="AA293" s="1411"/>
    </row>
    <row r="294" spans="1:27" s="791" customFormat="1" ht="9">
      <c r="A294" s="786"/>
      <c r="B294" s="1415" t="s">
        <v>969</v>
      </c>
      <c r="C294" s="816"/>
      <c r="D294" s="816"/>
      <c r="E294" s="816"/>
      <c r="F294" s="816"/>
      <c r="G294" s="816"/>
      <c r="H294" s="816">
        <v>14000000</v>
      </c>
      <c r="I294" s="816"/>
      <c r="J294" s="816"/>
      <c r="K294" s="816"/>
      <c r="L294" s="816"/>
      <c r="M294" s="816"/>
      <c r="N294" s="816"/>
      <c r="O294" s="771"/>
      <c r="P294" s="1411"/>
      <c r="Q294" s="1411"/>
      <c r="R294" s="1411"/>
      <c r="S294" s="1411"/>
      <c r="T294" s="1411"/>
      <c r="U294" s="1411"/>
      <c r="V294" s="1411"/>
      <c r="W294" s="1411"/>
      <c r="X294" s="1411"/>
      <c r="Y294" s="1411"/>
      <c r="Z294" s="1411"/>
      <c r="AA294" s="1411"/>
    </row>
    <row r="295" spans="1:27" s="791" customFormat="1" ht="9">
      <c r="A295" s="786"/>
      <c r="B295" s="1415" t="s">
        <v>970</v>
      </c>
      <c r="C295" s="816"/>
      <c r="D295" s="816"/>
      <c r="E295" s="816"/>
      <c r="F295" s="816"/>
      <c r="G295" s="816"/>
      <c r="H295" s="816"/>
      <c r="I295" s="816"/>
      <c r="J295" s="806">
        <v>9000000</v>
      </c>
      <c r="K295" s="816"/>
      <c r="L295" s="816"/>
      <c r="M295" s="816"/>
      <c r="N295" s="816"/>
      <c r="O295" s="771"/>
      <c r="P295" s="1411"/>
      <c r="Q295" s="1411"/>
      <c r="R295" s="1411"/>
      <c r="S295" s="1411"/>
      <c r="T295" s="1411"/>
      <c r="U295" s="1411"/>
      <c r="V295" s="1411"/>
      <c r="W295" s="1411"/>
      <c r="X295" s="1411"/>
      <c r="Y295" s="1411"/>
      <c r="Z295" s="1411"/>
      <c r="AA295" s="1411"/>
    </row>
    <row r="296" spans="1:27" s="791" customFormat="1" ht="9">
      <c r="A296" s="786" t="s">
        <v>342</v>
      </c>
      <c r="B296" s="787" t="s">
        <v>971</v>
      </c>
      <c r="C296" s="816"/>
      <c r="D296" s="816"/>
      <c r="E296" s="816"/>
      <c r="F296" s="816"/>
      <c r="G296" s="816"/>
      <c r="H296" s="816"/>
      <c r="I296" s="816"/>
      <c r="J296" s="806">
        <v>41600000</v>
      </c>
      <c r="K296" s="816"/>
      <c r="L296" s="816"/>
      <c r="M296" s="816"/>
      <c r="N296" s="816"/>
      <c r="O296" s="771"/>
      <c r="P296" s="1411"/>
      <c r="Q296" s="1411"/>
      <c r="R296" s="1411"/>
      <c r="S296" s="1411"/>
      <c r="T296" s="1411"/>
      <c r="U296" s="1411"/>
      <c r="V296" s="1411"/>
      <c r="W296" s="1411"/>
      <c r="X296" s="1411"/>
      <c r="Y296" s="1411"/>
      <c r="Z296" s="1411"/>
      <c r="AA296" s="1411"/>
    </row>
    <row r="297" spans="1:27" s="791" customFormat="1" ht="9">
      <c r="A297" s="786"/>
      <c r="B297" s="787" t="s">
        <v>970</v>
      </c>
      <c r="C297" s="816"/>
      <c r="D297" s="816"/>
      <c r="E297" s="816"/>
      <c r="F297" s="816"/>
      <c r="G297" s="816"/>
      <c r="H297" s="816"/>
      <c r="I297" s="816"/>
      <c r="J297" s="806">
        <f>141700000-J296</f>
        <v>100100000</v>
      </c>
      <c r="K297" s="816"/>
      <c r="L297" s="816"/>
      <c r="M297" s="816"/>
      <c r="N297" s="816"/>
      <c r="O297" s="771"/>
      <c r="P297" s="1411"/>
      <c r="Q297" s="1411"/>
      <c r="R297" s="1411"/>
      <c r="S297" s="1411"/>
      <c r="T297" s="1411"/>
      <c r="U297" s="1411"/>
      <c r="V297" s="1411"/>
      <c r="W297" s="1411"/>
      <c r="X297" s="1411"/>
      <c r="Y297" s="1411"/>
      <c r="Z297" s="1411"/>
      <c r="AA297" s="1411"/>
    </row>
    <row r="298" spans="1:27" s="791" customFormat="1" ht="27">
      <c r="A298" s="786" t="s">
        <v>400</v>
      </c>
      <c r="B298" s="819" t="s">
        <v>972</v>
      </c>
      <c r="C298" s="816"/>
      <c r="D298" s="816"/>
      <c r="E298" s="816"/>
      <c r="F298" s="816"/>
      <c r="G298" s="816"/>
      <c r="H298" s="816"/>
      <c r="I298" s="816"/>
      <c r="J298" s="806">
        <v>6615000</v>
      </c>
      <c r="K298" s="816"/>
      <c r="L298" s="816"/>
      <c r="M298" s="816"/>
      <c r="N298" s="816"/>
      <c r="O298" s="771"/>
      <c r="P298" s="1411"/>
      <c r="Q298" s="1411"/>
      <c r="R298" s="1411"/>
      <c r="S298" s="1411"/>
      <c r="T298" s="1411"/>
      <c r="U298" s="1411"/>
      <c r="V298" s="1411"/>
      <c r="W298" s="1411"/>
      <c r="X298" s="1411"/>
      <c r="Y298" s="1411"/>
      <c r="Z298" s="1411"/>
      <c r="AA298" s="1411"/>
    </row>
    <row r="299" spans="1:27" s="791" customFormat="1" ht="9">
      <c r="A299" s="786" t="s">
        <v>472</v>
      </c>
      <c r="B299" s="787" t="s">
        <v>973</v>
      </c>
      <c r="C299" s="816"/>
      <c r="D299" s="816"/>
      <c r="E299" s="816"/>
      <c r="F299" s="816"/>
      <c r="G299" s="806"/>
      <c r="H299" s="806">
        <v>50000000</v>
      </c>
      <c r="I299" s="816"/>
      <c r="J299" s="752"/>
      <c r="K299" s="816"/>
      <c r="L299" s="816"/>
      <c r="M299" s="816"/>
      <c r="N299" s="816"/>
      <c r="O299" s="771"/>
      <c r="P299" s="1411"/>
      <c r="Q299" s="1411"/>
      <c r="R299" s="1411"/>
      <c r="S299" s="1411"/>
      <c r="T299" s="1411"/>
      <c r="U299" s="1411"/>
      <c r="V299" s="1411"/>
      <c r="W299" s="1411"/>
      <c r="X299" s="1411"/>
      <c r="Y299" s="1411"/>
      <c r="Z299" s="1411"/>
      <c r="AA299" s="1411"/>
    </row>
    <row r="300" spans="1:27" s="791" customFormat="1" ht="9">
      <c r="A300" s="786"/>
      <c r="B300" s="787" t="s">
        <v>969</v>
      </c>
      <c r="C300" s="816"/>
      <c r="D300" s="816"/>
      <c r="E300" s="816"/>
      <c r="F300" s="816"/>
      <c r="G300" s="806"/>
      <c r="H300" s="806">
        <v>84000000</v>
      </c>
      <c r="I300" s="816"/>
      <c r="J300" s="752"/>
      <c r="K300" s="816"/>
      <c r="L300" s="816"/>
      <c r="M300" s="816"/>
      <c r="N300" s="816"/>
      <c r="O300" s="771"/>
      <c r="P300" s="1411"/>
      <c r="Q300" s="1411"/>
      <c r="R300" s="1411"/>
      <c r="S300" s="1411"/>
      <c r="T300" s="1411"/>
      <c r="U300" s="1411"/>
      <c r="V300" s="1411"/>
      <c r="W300" s="1411"/>
      <c r="X300" s="1411"/>
      <c r="Y300" s="1411"/>
      <c r="Z300" s="1411"/>
      <c r="AA300" s="1411"/>
    </row>
    <row r="301" spans="1:27" s="791" customFormat="1" ht="9">
      <c r="A301" s="780"/>
      <c r="B301" s="788" t="s">
        <v>970</v>
      </c>
      <c r="C301" s="774"/>
      <c r="D301" s="774"/>
      <c r="E301" s="774"/>
      <c r="F301" s="774"/>
      <c r="G301" s="774"/>
      <c r="H301" s="774"/>
      <c r="I301" s="774"/>
      <c r="J301" s="1416">
        <v>102450000</v>
      </c>
      <c r="K301" s="774"/>
      <c r="L301" s="774"/>
      <c r="M301" s="774"/>
      <c r="N301" s="774"/>
      <c r="O301" s="783"/>
      <c r="P301" s="1411"/>
      <c r="Q301" s="1411"/>
      <c r="R301" s="1411"/>
      <c r="S301" s="1411"/>
      <c r="T301" s="1411"/>
      <c r="U301" s="1411"/>
      <c r="V301" s="1411"/>
      <c r="W301" s="1411"/>
      <c r="X301" s="1411"/>
      <c r="Y301" s="1411"/>
      <c r="Z301" s="1411"/>
      <c r="AA301" s="1411"/>
    </row>
    <row r="302" spans="1:27" s="791" customFormat="1" ht="27">
      <c r="A302" s="775"/>
      <c r="B302" s="1413" t="s">
        <v>974</v>
      </c>
      <c r="C302" s="748"/>
      <c r="D302" s="748"/>
      <c r="E302" s="748"/>
      <c r="F302" s="748"/>
      <c r="G302" s="748"/>
      <c r="H302" s="748"/>
      <c r="I302" s="748"/>
      <c r="J302" s="748"/>
      <c r="K302" s="748"/>
      <c r="L302" s="748"/>
      <c r="M302" s="748"/>
      <c r="N302" s="748"/>
      <c r="O302" s="777"/>
      <c r="P302" s="1411"/>
      <c r="Q302" s="1411"/>
      <c r="R302" s="1411"/>
      <c r="S302" s="1411"/>
      <c r="T302" s="1411"/>
      <c r="U302" s="1411"/>
      <c r="V302" s="1411"/>
      <c r="W302" s="1411"/>
      <c r="X302" s="1411"/>
      <c r="Y302" s="1411"/>
      <c r="Z302" s="1411"/>
      <c r="AA302" s="1411"/>
    </row>
    <row r="303" spans="1:27" s="791" customFormat="1" ht="27">
      <c r="A303" s="786" t="s">
        <v>975</v>
      </c>
      <c r="B303" s="819" t="s">
        <v>976</v>
      </c>
      <c r="C303" s="816"/>
      <c r="D303" s="816"/>
      <c r="E303" s="816"/>
      <c r="F303" s="816"/>
      <c r="G303" s="816"/>
      <c r="H303" s="816"/>
      <c r="I303" s="816"/>
      <c r="J303" s="816">
        <v>2500000</v>
      </c>
      <c r="K303" s="816"/>
      <c r="L303" s="816"/>
      <c r="M303" s="816"/>
      <c r="N303" s="816"/>
      <c r="O303" s="771"/>
      <c r="P303" s="1411"/>
      <c r="Q303" s="1411"/>
      <c r="R303" s="1411"/>
      <c r="S303" s="1411"/>
      <c r="T303" s="1411"/>
      <c r="U303" s="1411"/>
      <c r="V303" s="1411"/>
      <c r="W303" s="1411"/>
      <c r="X303" s="1411"/>
      <c r="Y303" s="1411"/>
      <c r="Z303" s="1411"/>
      <c r="AA303" s="1411"/>
    </row>
    <row r="304" spans="1:27" s="791" customFormat="1" ht="27">
      <c r="A304" s="786" t="s">
        <v>975</v>
      </c>
      <c r="B304" s="819" t="s">
        <v>977</v>
      </c>
      <c r="C304" s="816"/>
      <c r="D304" s="816"/>
      <c r="E304" s="816"/>
      <c r="F304" s="816"/>
      <c r="G304" s="816"/>
      <c r="H304" s="816"/>
      <c r="I304" s="816"/>
      <c r="J304" s="816">
        <v>2500000</v>
      </c>
      <c r="K304" s="816"/>
      <c r="L304" s="816"/>
      <c r="M304" s="816"/>
      <c r="N304" s="816"/>
      <c r="O304" s="771"/>
      <c r="P304" s="1411"/>
      <c r="Q304" s="1411"/>
      <c r="R304" s="1411"/>
      <c r="S304" s="1411"/>
      <c r="T304" s="1411"/>
      <c r="U304" s="1411"/>
      <c r="V304" s="1411"/>
      <c r="W304" s="1411"/>
      <c r="X304" s="1411"/>
      <c r="Y304" s="1411"/>
      <c r="Z304" s="1411"/>
      <c r="AA304" s="1411"/>
    </row>
    <row r="305" spans="1:27" s="791" customFormat="1" ht="18">
      <c r="A305" s="786" t="s">
        <v>975</v>
      </c>
      <c r="B305" s="819" t="s">
        <v>978</v>
      </c>
      <c r="C305" s="816"/>
      <c r="D305" s="816"/>
      <c r="E305" s="816"/>
      <c r="F305" s="816"/>
      <c r="G305" s="816"/>
      <c r="H305" s="816"/>
      <c r="I305" s="816"/>
      <c r="J305" s="816">
        <v>4000000</v>
      </c>
      <c r="K305" s="816"/>
      <c r="L305" s="816"/>
      <c r="M305" s="816"/>
      <c r="N305" s="816"/>
      <c r="O305" s="771"/>
      <c r="P305" s="1411"/>
      <c r="Q305" s="1411"/>
      <c r="R305" s="1411"/>
      <c r="S305" s="1411"/>
      <c r="T305" s="1411"/>
      <c r="U305" s="1411"/>
      <c r="V305" s="1411"/>
      <c r="W305" s="1411"/>
      <c r="X305" s="1411"/>
      <c r="Y305" s="1411"/>
      <c r="Z305" s="1411"/>
      <c r="AA305" s="1411"/>
    </row>
    <row r="306" spans="1:27" s="791" customFormat="1" ht="27">
      <c r="A306" s="786" t="s">
        <v>223</v>
      </c>
      <c r="B306" s="819" t="s">
        <v>979</v>
      </c>
      <c r="C306" s="816"/>
      <c r="D306" s="816"/>
      <c r="E306" s="816"/>
      <c r="F306" s="816"/>
      <c r="G306" s="816"/>
      <c r="H306" s="816"/>
      <c r="I306" s="816"/>
      <c r="J306" s="816">
        <f>'[1]Lương t.lĩnh T8'!H10</f>
        <v>2130000</v>
      </c>
      <c r="K306" s="816"/>
      <c r="L306" s="816"/>
      <c r="M306" s="816"/>
      <c r="N306" s="816"/>
      <c r="O306" s="771"/>
      <c r="P306" s="1411"/>
      <c r="Q306" s="1411"/>
      <c r="R306" s="1411"/>
      <c r="S306" s="1411"/>
      <c r="T306" s="1411"/>
      <c r="U306" s="1411"/>
      <c r="V306" s="1411"/>
      <c r="W306" s="1411"/>
      <c r="X306" s="1411"/>
      <c r="Y306" s="1411"/>
      <c r="Z306" s="1411"/>
      <c r="AA306" s="1411"/>
    </row>
    <row r="307" spans="1:27" s="791" customFormat="1" ht="27">
      <c r="A307" s="786" t="s">
        <v>223</v>
      </c>
      <c r="B307" s="819" t="s">
        <v>980</v>
      </c>
      <c r="C307" s="816"/>
      <c r="D307" s="816"/>
      <c r="E307" s="816"/>
      <c r="F307" s="816"/>
      <c r="G307" s="816"/>
      <c r="H307" s="816">
        <v>5460000</v>
      </c>
      <c r="I307" s="816"/>
      <c r="J307" s="816"/>
      <c r="K307" s="816"/>
      <c r="L307" s="816"/>
      <c r="M307" s="816"/>
      <c r="N307" s="816"/>
      <c r="O307" s="771"/>
      <c r="P307" s="1411"/>
      <c r="Q307" s="1411"/>
      <c r="R307" s="1411"/>
      <c r="S307" s="1411"/>
      <c r="T307" s="1411"/>
      <c r="U307" s="1411"/>
      <c r="V307" s="1411"/>
      <c r="W307" s="1411"/>
      <c r="X307" s="1411"/>
      <c r="Y307" s="1411"/>
      <c r="Z307" s="1411"/>
      <c r="AA307" s="1411"/>
    </row>
    <row r="308" spans="1:27" s="791" customFormat="1" ht="18">
      <c r="A308" s="786" t="s">
        <v>223</v>
      </c>
      <c r="B308" s="819" t="s">
        <v>981</v>
      </c>
      <c r="C308" s="816"/>
      <c r="D308" s="816"/>
      <c r="E308" s="816"/>
      <c r="F308" s="816"/>
      <c r="G308" s="816"/>
      <c r="H308" s="816"/>
      <c r="I308" s="816">
        <v>14937500</v>
      </c>
      <c r="J308" s="816"/>
      <c r="K308" s="816"/>
      <c r="L308" s="816"/>
      <c r="M308" s="816"/>
      <c r="N308" s="816"/>
      <c r="O308" s="771"/>
      <c r="P308" s="1411"/>
      <c r="Q308" s="1411"/>
      <c r="R308" s="1411"/>
      <c r="S308" s="1411"/>
      <c r="T308" s="1411"/>
      <c r="U308" s="1411"/>
      <c r="V308" s="1411"/>
      <c r="W308" s="1411"/>
      <c r="X308" s="1411"/>
      <c r="Y308" s="1411"/>
      <c r="Z308" s="1411"/>
      <c r="AA308" s="1411"/>
    </row>
    <row r="309" spans="1:27" s="791" customFormat="1" ht="9">
      <c r="A309" s="786" t="s">
        <v>223</v>
      </c>
      <c r="B309" s="819" t="s">
        <v>897</v>
      </c>
      <c r="C309" s="816"/>
      <c r="D309" s="816"/>
      <c r="E309" s="816"/>
      <c r="F309" s="816"/>
      <c r="G309" s="816"/>
      <c r="H309" s="816"/>
      <c r="I309" s="816">
        <v>15000</v>
      </c>
      <c r="J309" s="816"/>
      <c r="K309" s="816"/>
      <c r="L309" s="816"/>
      <c r="M309" s="816"/>
      <c r="N309" s="816"/>
      <c r="O309" s="771"/>
      <c r="P309" s="1411"/>
      <c r="Q309" s="1411"/>
      <c r="R309" s="1411"/>
      <c r="S309" s="1411"/>
      <c r="T309" s="1411"/>
      <c r="U309" s="1411"/>
      <c r="V309" s="1411"/>
      <c r="W309" s="1411"/>
      <c r="X309" s="1411"/>
      <c r="Y309" s="1411"/>
      <c r="Z309" s="1411"/>
      <c r="AA309" s="1411"/>
    </row>
    <row r="310" spans="1:27" s="791" customFormat="1" ht="18">
      <c r="A310" s="786" t="s">
        <v>223</v>
      </c>
      <c r="B310" s="819" t="s">
        <v>982</v>
      </c>
      <c r="C310" s="816"/>
      <c r="D310" s="816"/>
      <c r="E310" s="816"/>
      <c r="F310" s="816"/>
      <c r="G310" s="816"/>
      <c r="H310" s="816"/>
      <c r="I310" s="816">
        <v>15100000</v>
      </c>
      <c r="J310" s="816"/>
      <c r="K310" s="816"/>
      <c r="L310" s="816"/>
      <c r="M310" s="816"/>
      <c r="N310" s="816"/>
      <c r="O310" s="771"/>
      <c r="P310" s="1411"/>
      <c r="Q310" s="1411"/>
      <c r="R310" s="1411"/>
      <c r="S310" s="1411"/>
      <c r="T310" s="1411"/>
      <c r="U310" s="1411"/>
      <c r="V310" s="1411"/>
      <c r="W310" s="1411"/>
      <c r="X310" s="1411"/>
      <c r="Y310" s="1411"/>
      <c r="Z310" s="1411"/>
      <c r="AA310" s="1411"/>
    </row>
    <row r="311" spans="1:27" s="791" customFormat="1" ht="9">
      <c r="A311" s="786" t="s">
        <v>223</v>
      </c>
      <c r="B311" s="819" t="s">
        <v>897</v>
      </c>
      <c r="C311" s="816"/>
      <c r="D311" s="816"/>
      <c r="E311" s="816"/>
      <c r="F311" s="816"/>
      <c r="G311" s="816"/>
      <c r="H311" s="816"/>
      <c r="I311" s="816">
        <v>15000</v>
      </c>
      <c r="J311" s="816"/>
      <c r="K311" s="816"/>
      <c r="L311" s="816"/>
      <c r="M311" s="816"/>
      <c r="N311" s="816"/>
      <c r="O311" s="771"/>
      <c r="P311" s="1411"/>
      <c r="Q311" s="1411"/>
      <c r="R311" s="1411"/>
      <c r="S311" s="1411"/>
      <c r="T311" s="1411"/>
      <c r="U311" s="1411"/>
      <c r="V311" s="1411"/>
      <c r="W311" s="1411"/>
      <c r="X311" s="1411"/>
      <c r="Y311" s="1411"/>
      <c r="Z311" s="1411"/>
      <c r="AA311" s="1411"/>
    </row>
    <row r="312" spans="1:27" s="791" customFormat="1" ht="18">
      <c r="A312" s="786" t="s">
        <v>223</v>
      </c>
      <c r="B312" s="819" t="s">
        <v>983</v>
      </c>
      <c r="C312" s="816"/>
      <c r="D312" s="816"/>
      <c r="E312" s="816"/>
      <c r="F312" s="816"/>
      <c r="G312" s="816"/>
      <c r="H312" s="816"/>
      <c r="I312" s="816">
        <v>15187500</v>
      </c>
      <c r="J312" s="816"/>
      <c r="K312" s="816"/>
      <c r="L312" s="816"/>
      <c r="M312" s="816"/>
      <c r="N312" s="816"/>
      <c r="O312" s="771"/>
      <c r="P312" s="1411"/>
      <c r="Q312" s="1411"/>
      <c r="R312" s="1411"/>
      <c r="S312" s="1411"/>
      <c r="T312" s="1411"/>
      <c r="U312" s="1411"/>
      <c r="V312" s="1411"/>
      <c r="W312" s="1411"/>
      <c r="X312" s="1411"/>
      <c r="Y312" s="1411"/>
      <c r="Z312" s="1411"/>
      <c r="AA312" s="1411"/>
    </row>
    <row r="313" spans="1:27" s="791" customFormat="1" ht="9">
      <c r="A313" s="786" t="s">
        <v>223</v>
      </c>
      <c r="B313" s="819" t="s">
        <v>897</v>
      </c>
      <c r="C313" s="816"/>
      <c r="D313" s="816"/>
      <c r="E313" s="816"/>
      <c r="F313" s="816"/>
      <c r="G313" s="816"/>
      <c r="H313" s="816"/>
      <c r="I313" s="816">
        <v>15000</v>
      </c>
      <c r="J313" s="816"/>
      <c r="K313" s="816"/>
      <c r="L313" s="816"/>
      <c r="M313" s="816"/>
      <c r="N313" s="816"/>
      <c r="O313" s="771"/>
      <c r="P313" s="1411"/>
      <c r="Q313" s="1411"/>
      <c r="R313" s="1411"/>
      <c r="S313" s="1411"/>
      <c r="T313" s="1411"/>
      <c r="U313" s="1411"/>
      <c r="V313" s="1411"/>
      <c r="W313" s="1411"/>
      <c r="X313" s="1411"/>
      <c r="Y313" s="1411"/>
      <c r="Z313" s="1411"/>
      <c r="AA313" s="1411"/>
    </row>
    <row r="314" spans="1:27" s="791" customFormat="1" ht="18">
      <c r="A314" s="786" t="s">
        <v>356</v>
      </c>
      <c r="B314" s="819" t="s">
        <v>984</v>
      </c>
      <c r="C314" s="816"/>
      <c r="D314" s="816"/>
      <c r="E314" s="816"/>
      <c r="F314" s="816"/>
      <c r="G314" s="816"/>
      <c r="H314" s="816"/>
      <c r="I314" s="816"/>
      <c r="J314" s="816">
        <v>4000000</v>
      </c>
      <c r="K314" s="816"/>
      <c r="L314" s="816"/>
      <c r="M314" s="816"/>
      <c r="N314" s="816"/>
      <c r="O314" s="771"/>
      <c r="P314" s="1411"/>
      <c r="Q314" s="1411"/>
      <c r="R314" s="1411"/>
      <c r="S314" s="1411"/>
      <c r="T314" s="1411"/>
      <c r="U314" s="1411"/>
      <c r="V314" s="1411"/>
      <c r="W314" s="1411"/>
      <c r="X314" s="1411"/>
      <c r="Y314" s="1411"/>
      <c r="Z314" s="1411"/>
      <c r="AA314" s="1411"/>
    </row>
    <row r="315" spans="1:27" s="791" customFormat="1" ht="18">
      <c r="A315" s="786" t="s">
        <v>387</v>
      </c>
      <c r="B315" s="819" t="s">
        <v>985</v>
      </c>
      <c r="C315" s="816"/>
      <c r="D315" s="816"/>
      <c r="E315" s="816"/>
      <c r="F315" s="816"/>
      <c r="G315" s="816"/>
      <c r="H315" s="816"/>
      <c r="I315" s="816"/>
      <c r="J315" s="816">
        <v>1000000</v>
      </c>
      <c r="K315" s="816"/>
      <c r="L315" s="816"/>
      <c r="M315" s="816"/>
      <c r="N315" s="816"/>
      <c r="O315" s="771"/>
      <c r="P315" s="1411"/>
      <c r="Q315" s="1411"/>
      <c r="R315" s="1411"/>
      <c r="S315" s="1411"/>
      <c r="T315" s="1411"/>
      <c r="U315" s="1411"/>
      <c r="V315" s="1411"/>
      <c r="W315" s="1411"/>
      <c r="X315" s="1411"/>
      <c r="Y315" s="1411"/>
      <c r="Z315" s="1411"/>
      <c r="AA315" s="1411"/>
    </row>
    <row r="316" spans="1:27" s="791" customFormat="1" ht="18">
      <c r="A316" s="786" t="s">
        <v>943</v>
      </c>
      <c r="B316" s="819" t="s">
        <v>986</v>
      </c>
      <c r="C316" s="816"/>
      <c r="D316" s="816"/>
      <c r="E316" s="816"/>
      <c r="F316" s="816"/>
      <c r="G316" s="816"/>
      <c r="H316" s="816"/>
      <c r="I316" s="816"/>
      <c r="J316" s="816">
        <v>2000000</v>
      </c>
      <c r="K316" s="816"/>
      <c r="L316" s="816"/>
      <c r="M316" s="816"/>
      <c r="N316" s="816"/>
      <c r="O316" s="771"/>
      <c r="P316" s="1411"/>
      <c r="Q316" s="1411"/>
      <c r="R316" s="1411"/>
      <c r="S316" s="1411"/>
      <c r="T316" s="1411"/>
      <c r="U316" s="1411"/>
      <c r="V316" s="1411"/>
      <c r="W316" s="1411"/>
      <c r="X316" s="1411"/>
      <c r="Y316" s="1411"/>
      <c r="Z316" s="1411"/>
      <c r="AA316" s="1411"/>
    </row>
    <row r="317" spans="1:27" s="791" customFormat="1" ht="18">
      <c r="A317" s="786" t="s">
        <v>400</v>
      </c>
      <c r="B317" s="819" t="s">
        <v>986</v>
      </c>
      <c r="C317" s="816"/>
      <c r="D317" s="816"/>
      <c r="E317" s="816"/>
      <c r="F317" s="816"/>
      <c r="G317" s="816"/>
      <c r="H317" s="816"/>
      <c r="I317" s="816"/>
      <c r="J317" s="816">
        <v>2500000</v>
      </c>
      <c r="K317" s="816"/>
      <c r="L317" s="816"/>
      <c r="M317" s="816"/>
      <c r="N317" s="816"/>
      <c r="O317" s="771"/>
      <c r="P317" s="1411"/>
      <c r="Q317" s="1411"/>
      <c r="R317" s="1411"/>
      <c r="S317" s="1411"/>
      <c r="T317" s="1411"/>
      <c r="U317" s="1411"/>
      <c r="V317" s="1411"/>
      <c r="W317" s="1411"/>
      <c r="X317" s="1411"/>
      <c r="Y317" s="1411"/>
      <c r="Z317" s="1411"/>
      <c r="AA317" s="1411"/>
    </row>
    <row r="318" spans="1:27" s="791" customFormat="1" ht="18">
      <c r="A318" s="786" t="s">
        <v>407</v>
      </c>
      <c r="B318" s="819" t="s">
        <v>987</v>
      </c>
      <c r="C318" s="816"/>
      <c r="D318" s="816"/>
      <c r="E318" s="816"/>
      <c r="F318" s="816"/>
      <c r="G318" s="816"/>
      <c r="H318" s="816"/>
      <c r="I318" s="816"/>
      <c r="J318" s="816">
        <v>5000000</v>
      </c>
      <c r="K318" s="816"/>
      <c r="L318" s="816"/>
      <c r="M318" s="816"/>
      <c r="N318" s="816"/>
      <c r="O318" s="771"/>
      <c r="P318" s="1411"/>
      <c r="Q318" s="1411"/>
      <c r="R318" s="1411"/>
      <c r="S318" s="1411"/>
      <c r="T318" s="1411"/>
      <c r="U318" s="1411"/>
      <c r="V318" s="1411"/>
      <c r="W318" s="1411"/>
      <c r="X318" s="1411"/>
      <c r="Y318" s="1411"/>
      <c r="Z318" s="1411"/>
      <c r="AA318" s="1411"/>
    </row>
    <row r="319" spans="1:27" s="791" customFormat="1" ht="18">
      <c r="A319" s="786" t="s">
        <v>425</v>
      </c>
      <c r="B319" s="819" t="s">
        <v>988</v>
      </c>
      <c r="C319" s="816"/>
      <c r="D319" s="816"/>
      <c r="E319" s="816"/>
      <c r="F319" s="816"/>
      <c r="G319" s="816"/>
      <c r="H319" s="816"/>
      <c r="I319" s="816"/>
      <c r="J319" s="816">
        <v>3000000</v>
      </c>
      <c r="K319" s="816"/>
      <c r="L319" s="816"/>
      <c r="M319" s="816"/>
      <c r="N319" s="816"/>
      <c r="O319" s="771"/>
      <c r="P319" s="1411"/>
      <c r="Q319" s="1411"/>
      <c r="R319" s="1411"/>
      <c r="S319" s="1411"/>
      <c r="T319" s="1411"/>
      <c r="U319" s="1411"/>
      <c r="V319" s="1411"/>
      <c r="W319" s="1411"/>
      <c r="X319" s="1411"/>
      <c r="Y319" s="1411"/>
      <c r="Z319" s="1411"/>
      <c r="AA319" s="1411"/>
    </row>
    <row r="320" spans="1:27" s="791" customFormat="1" ht="9">
      <c r="A320" s="786" t="s">
        <v>425</v>
      </c>
      <c r="B320" s="819" t="s">
        <v>897</v>
      </c>
      <c r="C320" s="816"/>
      <c r="D320" s="816"/>
      <c r="E320" s="816"/>
      <c r="F320" s="816"/>
      <c r="G320" s="816"/>
      <c r="H320" s="816"/>
      <c r="I320" s="816"/>
      <c r="J320" s="816">
        <v>7700</v>
      </c>
      <c r="K320" s="816"/>
      <c r="L320" s="816"/>
      <c r="M320" s="816"/>
      <c r="N320" s="816"/>
      <c r="O320" s="771"/>
      <c r="P320" s="1411"/>
      <c r="Q320" s="1411"/>
      <c r="R320" s="1411"/>
      <c r="S320" s="1411"/>
      <c r="T320" s="1411"/>
      <c r="U320" s="1411"/>
      <c r="V320" s="1411"/>
      <c r="W320" s="1411"/>
      <c r="X320" s="1411"/>
      <c r="Y320" s="1411"/>
      <c r="Z320" s="1411"/>
      <c r="AA320" s="1411"/>
    </row>
    <row r="321" spans="1:27" s="791" customFormat="1" ht="18">
      <c r="A321" s="786" t="s">
        <v>425</v>
      </c>
      <c r="B321" s="819" t="s">
        <v>985</v>
      </c>
      <c r="C321" s="816"/>
      <c r="D321" s="816"/>
      <c r="E321" s="816"/>
      <c r="F321" s="816"/>
      <c r="G321" s="816"/>
      <c r="H321" s="816"/>
      <c r="I321" s="816"/>
      <c r="J321" s="816">
        <v>2000000</v>
      </c>
      <c r="K321" s="816"/>
      <c r="L321" s="816"/>
      <c r="M321" s="816"/>
      <c r="N321" s="816"/>
      <c r="O321" s="771"/>
      <c r="P321" s="1411"/>
      <c r="Q321" s="1411"/>
      <c r="R321" s="1411"/>
      <c r="S321" s="1411"/>
      <c r="T321" s="1411"/>
      <c r="U321" s="1411"/>
      <c r="V321" s="1411"/>
      <c r="W321" s="1411"/>
      <c r="X321" s="1411"/>
      <c r="Y321" s="1411"/>
      <c r="Z321" s="1411"/>
      <c r="AA321" s="1411"/>
    </row>
    <row r="322" spans="1:27" s="791" customFormat="1" ht="27">
      <c r="A322" s="786" t="s">
        <v>427</v>
      </c>
      <c r="B322" s="819" t="s">
        <v>989</v>
      </c>
      <c r="C322" s="816"/>
      <c r="D322" s="816"/>
      <c r="E322" s="816"/>
      <c r="F322" s="816"/>
      <c r="G322" s="816"/>
      <c r="H322" s="816"/>
      <c r="I322" s="816"/>
      <c r="J322" s="816">
        <v>4000000</v>
      </c>
      <c r="K322" s="816"/>
      <c r="L322" s="816"/>
      <c r="M322" s="816"/>
      <c r="N322" s="816"/>
      <c r="O322" s="771"/>
      <c r="P322" s="1411"/>
      <c r="Q322" s="1411"/>
      <c r="R322" s="1411"/>
      <c r="S322" s="1411"/>
      <c r="T322" s="1411"/>
      <c r="U322" s="1411"/>
      <c r="V322" s="1411"/>
      <c r="W322" s="1411"/>
      <c r="X322" s="1411"/>
      <c r="Y322" s="1411"/>
      <c r="Z322" s="1411"/>
      <c r="AA322" s="1411"/>
    </row>
    <row r="323" spans="1:27" s="791" customFormat="1" ht="18">
      <c r="A323" s="786" t="s">
        <v>446</v>
      </c>
      <c r="B323" s="819" t="s">
        <v>988</v>
      </c>
      <c r="C323" s="816"/>
      <c r="D323" s="816"/>
      <c r="E323" s="816"/>
      <c r="F323" s="816"/>
      <c r="G323" s="816"/>
      <c r="H323" s="816"/>
      <c r="I323" s="816"/>
      <c r="J323" s="816">
        <v>5000000</v>
      </c>
      <c r="K323" s="816"/>
      <c r="L323" s="816"/>
      <c r="M323" s="816"/>
      <c r="N323" s="816"/>
      <c r="O323" s="771"/>
      <c r="P323" s="1411"/>
      <c r="Q323" s="1411"/>
      <c r="R323" s="1411"/>
      <c r="S323" s="1411"/>
      <c r="T323" s="1411"/>
      <c r="U323" s="1411"/>
      <c r="V323" s="1411"/>
      <c r="W323" s="1411"/>
      <c r="X323" s="1411"/>
      <c r="Y323" s="1411"/>
      <c r="Z323" s="1411"/>
      <c r="AA323" s="1411"/>
    </row>
    <row r="324" spans="1:27" s="791" customFormat="1" ht="9">
      <c r="A324" s="786" t="s">
        <v>446</v>
      </c>
      <c r="B324" s="819" t="s">
        <v>897</v>
      </c>
      <c r="C324" s="816"/>
      <c r="D324" s="816"/>
      <c r="E324" s="816"/>
      <c r="F324" s="816"/>
      <c r="G324" s="816"/>
      <c r="H324" s="816"/>
      <c r="I324" s="816"/>
      <c r="J324" s="816">
        <v>10000</v>
      </c>
      <c r="K324" s="816"/>
      <c r="L324" s="816"/>
      <c r="M324" s="816"/>
      <c r="N324" s="816"/>
      <c r="O324" s="771"/>
    </row>
    <row r="325" spans="1:27" s="791" customFormat="1" ht="18">
      <c r="A325" s="786" t="s">
        <v>454</v>
      </c>
      <c r="B325" s="819" t="s">
        <v>990</v>
      </c>
      <c r="C325" s="816"/>
      <c r="D325" s="816"/>
      <c r="E325" s="816"/>
      <c r="F325" s="816"/>
      <c r="G325" s="816"/>
      <c r="H325" s="816"/>
      <c r="I325" s="816"/>
      <c r="J325" s="816">
        <v>500000</v>
      </c>
      <c r="K325" s="816"/>
      <c r="L325" s="816"/>
      <c r="M325" s="816"/>
      <c r="N325" s="816"/>
      <c r="O325" s="771"/>
    </row>
    <row r="326" spans="1:27" s="791" customFormat="1" ht="18">
      <c r="A326" s="786" t="s">
        <v>454</v>
      </c>
      <c r="B326" s="819" t="s">
        <v>991</v>
      </c>
      <c r="C326" s="816"/>
      <c r="D326" s="816"/>
      <c r="E326" s="816"/>
      <c r="F326" s="816"/>
      <c r="G326" s="816"/>
      <c r="H326" s="816"/>
      <c r="I326" s="816"/>
      <c r="J326" s="816">
        <v>500000</v>
      </c>
      <c r="K326" s="816"/>
      <c r="L326" s="816"/>
      <c r="M326" s="816"/>
      <c r="N326" s="816"/>
      <c r="O326" s="771"/>
    </row>
    <row r="327" spans="1:27" s="791" customFormat="1" ht="18">
      <c r="A327" s="786" t="s">
        <v>454</v>
      </c>
      <c r="B327" s="819" t="s">
        <v>988</v>
      </c>
      <c r="C327" s="816"/>
      <c r="D327" s="816"/>
      <c r="E327" s="816"/>
      <c r="F327" s="816"/>
      <c r="G327" s="816"/>
      <c r="H327" s="816"/>
      <c r="I327" s="816"/>
      <c r="J327" s="816">
        <v>4600000</v>
      </c>
      <c r="K327" s="816"/>
      <c r="L327" s="816"/>
      <c r="M327" s="816"/>
      <c r="N327" s="816"/>
      <c r="O327" s="771"/>
    </row>
    <row r="328" spans="1:27" s="791" customFormat="1" ht="9">
      <c r="A328" s="786" t="s">
        <v>454</v>
      </c>
      <c r="B328" s="819" t="s">
        <v>897</v>
      </c>
      <c r="C328" s="816"/>
      <c r="D328" s="816"/>
      <c r="E328" s="816"/>
      <c r="F328" s="816"/>
      <c r="G328" s="816"/>
      <c r="H328" s="816"/>
      <c r="I328" s="816"/>
      <c r="J328" s="816">
        <v>10000</v>
      </c>
      <c r="K328" s="816"/>
      <c r="L328" s="816"/>
      <c r="M328" s="816"/>
      <c r="N328" s="816"/>
      <c r="O328" s="771"/>
    </row>
    <row r="329" spans="1:27" s="791" customFormat="1" ht="18">
      <c r="A329" s="786" t="s">
        <v>456</v>
      </c>
      <c r="B329" s="819" t="s">
        <v>992</v>
      </c>
      <c r="C329" s="816"/>
      <c r="D329" s="816"/>
      <c r="E329" s="816"/>
      <c r="F329" s="816"/>
      <c r="G329" s="816"/>
      <c r="H329" s="816"/>
      <c r="I329" s="816"/>
      <c r="J329" s="816">
        <v>2500000</v>
      </c>
      <c r="K329" s="816"/>
      <c r="L329" s="816"/>
      <c r="M329" s="816"/>
      <c r="N329" s="816"/>
      <c r="O329" s="771"/>
    </row>
    <row r="330" spans="1:27" s="791" customFormat="1" ht="9">
      <c r="A330" s="786" t="s">
        <v>456</v>
      </c>
      <c r="B330" s="819" t="s">
        <v>897</v>
      </c>
      <c r="C330" s="816"/>
      <c r="D330" s="816"/>
      <c r="E330" s="816"/>
      <c r="F330" s="816"/>
      <c r="G330" s="816"/>
      <c r="H330" s="816"/>
      <c r="I330" s="816"/>
      <c r="J330" s="816">
        <v>10000</v>
      </c>
      <c r="K330" s="816"/>
      <c r="L330" s="816"/>
      <c r="M330" s="816"/>
      <c r="N330" s="816"/>
      <c r="O330" s="771"/>
    </row>
    <row r="331" spans="1:27" s="791" customFormat="1" ht="18">
      <c r="A331" s="786" t="s">
        <v>459</v>
      </c>
      <c r="B331" s="819" t="s">
        <v>993</v>
      </c>
      <c r="C331" s="816"/>
      <c r="D331" s="816"/>
      <c r="E331" s="816"/>
      <c r="F331" s="816"/>
      <c r="G331" s="816"/>
      <c r="H331" s="816"/>
      <c r="I331" s="816"/>
      <c r="J331" s="816">
        <v>1800000</v>
      </c>
      <c r="K331" s="816"/>
      <c r="L331" s="816"/>
      <c r="M331" s="816"/>
      <c r="N331" s="816"/>
      <c r="O331" s="771"/>
    </row>
    <row r="332" spans="1:27" s="791" customFormat="1" ht="27">
      <c r="A332" s="778" t="s">
        <v>460</v>
      </c>
      <c r="B332" s="779" t="s">
        <v>994</v>
      </c>
      <c r="C332" s="816"/>
      <c r="D332" s="816"/>
      <c r="E332" s="816"/>
      <c r="F332" s="763"/>
      <c r="G332" s="763"/>
      <c r="H332" s="763"/>
      <c r="I332" s="763"/>
      <c r="J332" s="763">
        <v>5000000</v>
      </c>
      <c r="K332" s="816"/>
      <c r="L332" s="816"/>
      <c r="M332" s="816"/>
      <c r="N332" s="816"/>
      <c r="O332" s="771"/>
    </row>
    <row r="333" spans="1:27" s="791" customFormat="1" ht="18">
      <c r="A333" s="757" t="s">
        <v>472</v>
      </c>
      <c r="B333" s="819" t="s">
        <v>993</v>
      </c>
      <c r="C333" s="816"/>
      <c r="D333" s="816"/>
      <c r="E333" s="816"/>
      <c r="F333" s="816"/>
      <c r="G333" s="816"/>
      <c r="H333" s="816"/>
      <c r="I333" s="816"/>
      <c r="J333" s="816">
        <v>1000000</v>
      </c>
      <c r="K333" s="816"/>
      <c r="L333" s="816"/>
      <c r="M333" s="816"/>
      <c r="N333" s="816"/>
      <c r="O333" s="771"/>
    </row>
    <row r="334" spans="1:27" s="791" customFormat="1" ht="72">
      <c r="A334" s="757" t="s">
        <v>492</v>
      </c>
      <c r="B334" s="819" t="s">
        <v>995</v>
      </c>
      <c r="C334" s="816"/>
      <c r="D334" s="816"/>
      <c r="E334" s="816"/>
      <c r="F334" s="816"/>
      <c r="G334" s="816"/>
      <c r="H334" s="816"/>
      <c r="I334" s="816"/>
      <c r="J334" s="816">
        <v>5087000</v>
      </c>
      <c r="K334" s="816"/>
      <c r="L334" s="816"/>
      <c r="M334" s="816"/>
      <c r="N334" s="816"/>
      <c r="O334" s="789"/>
    </row>
    <row r="335" spans="1:27" s="791" customFormat="1" ht="72">
      <c r="A335" s="757" t="s">
        <v>492</v>
      </c>
      <c r="B335" s="819" t="s">
        <v>995</v>
      </c>
      <c r="C335" s="816"/>
      <c r="D335" s="816"/>
      <c r="E335" s="816"/>
      <c r="F335" s="816"/>
      <c r="G335" s="816"/>
      <c r="H335" s="816"/>
      <c r="I335" s="816"/>
      <c r="J335" s="816">
        <v>5087000</v>
      </c>
      <c r="K335" s="816"/>
      <c r="L335" s="816"/>
      <c r="M335" s="816"/>
      <c r="N335" s="816"/>
      <c r="O335" s="789"/>
    </row>
    <row r="336" spans="1:27" s="791" customFormat="1" ht="27">
      <c r="A336" s="757" t="s">
        <v>495</v>
      </c>
      <c r="B336" s="819" t="s">
        <v>996</v>
      </c>
      <c r="C336" s="816"/>
      <c r="D336" s="816"/>
      <c r="E336" s="816"/>
      <c r="F336" s="816"/>
      <c r="G336" s="816"/>
      <c r="H336" s="816"/>
      <c r="I336" s="816"/>
      <c r="J336" s="816">
        <v>3044000</v>
      </c>
      <c r="K336" s="816"/>
      <c r="L336" s="816"/>
      <c r="M336" s="816"/>
      <c r="N336" s="816"/>
      <c r="O336" s="789"/>
    </row>
    <row r="337" spans="1:15" s="791" customFormat="1" ht="18">
      <c r="A337" s="757" t="s">
        <v>495</v>
      </c>
      <c r="B337" s="819" t="s">
        <v>997</v>
      </c>
      <c r="C337" s="816"/>
      <c r="D337" s="816"/>
      <c r="E337" s="816"/>
      <c r="F337" s="816"/>
      <c r="G337" s="816"/>
      <c r="H337" s="816"/>
      <c r="I337" s="816"/>
      <c r="J337" s="816">
        <f>10000000-J336</f>
        <v>6956000</v>
      </c>
      <c r="K337" s="816"/>
      <c r="L337" s="816"/>
      <c r="M337" s="816"/>
      <c r="N337" s="816"/>
      <c r="O337" s="789"/>
    </row>
    <row r="338" spans="1:15" s="791" customFormat="1" ht="9">
      <c r="A338" s="749"/>
      <c r="B338" s="1439" t="s">
        <v>998</v>
      </c>
      <c r="C338" s="816"/>
      <c r="D338" s="816"/>
      <c r="E338" s="816"/>
      <c r="F338" s="816"/>
      <c r="G338" s="816"/>
      <c r="H338" s="816"/>
      <c r="I338" s="816"/>
      <c r="J338" s="816"/>
      <c r="K338" s="816"/>
      <c r="L338" s="816"/>
      <c r="M338" s="816"/>
      <c r="N338" s="816"/>
      <c r="O338" s="790"/>
    </row>
    <row r="339" spans="1:15" s="791" customFormat="1" ht="27">
      <c r="A339" s="753" t="s">
        <v>999</v>
      </c>
      <c r="B339" s="819" t="s">
        <v>1000</v>
      </c>
      <c r="C339" s="816"/>
      <c r="D339" s="816"/>
      <c r="E339" s="816"/>
      <c r="F339" s="816"/>
      <c r="G339" s="752"/>
      <c r="H339" s="752"/>
      <c r="I339" s="816"/>
      <c r="J339" s="816">
        <v>291700</v>
      </c>
      <c r="K339" s="816"/>
      <c r="L339" s="816"/>
      <c r="M339" s="816"/>
      <c r="N339" s="816"/>
      <c r="O339" s="771"/>
    </row>
    <row r="340" spans="1:15" s="791" customFormat="1" ht="18">
      <c r="A340" s="753" t="s">
        <v>999</v>
      </c>
      <c r="B340" s="819" t="s">
        <v>1001</v>
      </c>
      <c r="C340" s="816"/>
      <c r="D340" s="816"/>
      <c r="E340" s="816"/>
      <c r="F340" s="816"/>
      <c r="G340" s="752"/>
      <c r="H340" s="752"/>
      <c r="I340" s="816"/>
      <c r="J340" s="816">
        <v>745000</v>
      </c>
      <c r="K340" s="816"/>
      <c r="L340" s="816"/>
      <c r="M340" s="816"/>
      <c r="N340" s="816"/>
      <c r="O340" s="771"/>
    </row>
    <row r="341" spans="1:15" s="791" customFormat="1" ht="27">
      <c r="A341" s="753" t="s">
        <v>160</v>
      </c>
      <c r="B341" s="819" t="s">
        <v>1002</v>
      </c>
      <c r="C341" s="816"/>
      <c r="D341" s="816"/>
      <c r="E341" s="816"/>
      <c r="F341" s="816"/>
      <c r="G341" s="752"/>
      <c r="H341" s="752"/>
      <c r="I341" s="816"/>
      <c r="J341" s="816">
        <v>1300000</v>
      </c>
      <c r="K341" s="816"/>
      <c r="L341" s="816"/>
      <c r="M341" s="816"/>
      <c r="N341" s="816"/>
      <c r="O341" s="771"/>
    </row>
    <row r="342" spans="1:15" s="791" customFormat="1" ht="9">
      <c r="A342" s="753" t="s">
        <v>160</v>
      </c>
      <c r="B342" s="819" t="s">
        <v>897</v>
      </c>
      <c r="C342" s="816"/>
      <c r="D342" s="816"/>
      <c r="E342" s="816"/>
      <c r="F342" s="816"/>
      <c r="G342" s="752"/>
      <c r="H342" s="752"/>
      <c r="I342" s="816"/>
      <c r="J342" s="816">
        <v>7700</v>
      </c>
      <c r="K342" s="816"/>
      <c r="L342" s="816"/>
      <c r="M342" s="816"/>
      <c r="N342" s="816"/>
      <c r="O342" s="771"/>
    </row>
    <row r="343" spans="1:15" s="791" customFormat="1" ht="45">
      <c r="A343" s="753" t="s">
        <v>167</v>
      </c>
      <c r="B343" s="819" t="s">
        <v>1003</v>
      </c>
      <c r="C343" s="816"/>
      <c r="D343" s="816"/>
      <c r="E343" s="816"/>
      <c r="F343" s="816"/>
      <c r="G343" s="752"/>
      <c r="H343" s="752"/>
      <c r="I343" s="816"/>
      <c r="J343" s="816"/>
      <c r="K343" s="816"/>
      <c r="L343" s="816">
        <f>15000+40000+60000+10000+15000</f>
        <v>140000</v>
      </c>
      <c r="M343" s="816"/>
      <c r="N343" s="816"/>
      <c r="O343" s="771" t="s">
        <v>1004</v>
      </c>
    </row>
    <row r="344" spans="1:15" s="791" customFormat="1" ht="54">
      <c r="A344" s="753" t="s">
        <v>167</v>
      </c>
      <c r="B344" s="819" t="s">
        <v>1005</v>
      </c>
      <c r="C344" s="816"/>
      <c r="D344" s="816"/>
      <c r="E344" s="816"/>
      <c r="F344" s="816"/>
      <c r="G344" s="752"/>
      <c r="H344" s="752"/>
      <c r="I344" s="816"/>
      <c r="J344" s="816"/>
      <c r="K344" s="816"/>
      <c r="L344" s="816">
        <v>550000</v>
      </c>
      <c r="M344" s="816"/>
      <c r="N344" s="816"/>
      <c r="O344" s="771"/>
    </row>
    <row r="345" spans="1:15" s="791" customFormat="1" ht="45">
      <c r="A345" s="753" t="s">
        <v>167</v>
      </c>
      <c r="B345" s="819" t="s">
        <v>1006</v>
      </c>
      <c r="C345" s="816"/>
      <c r="D345" s="816"/>
      <c r="E345" s="816"/>
      <c r="F345" s="816"/>
      <c r="G345" s="752"/>
      <c r="H345" s="752"/>
      <c r="I345" s="816"/>
      <c r="J345" s="816"/>
      <c r="K345" s="816"/>
      <c r="L345" s="816">
        <v>790000</v>
      </c>
      <c r="M345" s="816"/>
      <c r="N345" s="816"/>
      <c r="O345" s="771" t="s">
        <v>1007</v>
      </c>
    </row>
    <row r="346" spans="1:15" s="791" customFormat="1" ht="18">
      <c r="A346" s="753" t="s">
        <v>1008</v>
      </c>
      <c r="B346" s="819" t="s">
        <v>1009</v>
      </c>
      <c r="C346" s="816"/>
      <c r="D346" s="816"/>
      <c r="E346" s="816"/>
      <c r="F346" s="816"/>
      <c r="G346" s="816"/>
      <c r="H346" s="816">
        <v>110000</v>
      </c>
      <c r="I346" s="816"/>
      <c r="J346" s="816"/>
      <c r="K346" s="816"/>
      <c r="L346" s="816"/>
      <c r="M346" s="816"/>
      <c r="N346" s="816"/>
      <c r="O346" s="771"/>
    </row>
    <row r="347" spans="1:15" s="791" customFormat="1" ht="18">
      <c r="A347" s="753" t="s">
        <v>180</v>
      </c>
      <c r="B347" s="819" t="s">
        <v>1010</v>
      </c>
      <c r="C347" s="816"/>
      <c r="D347" s="816"/>
      <c r="E347" s="816"/>
      <c r="F347" s="816"/>
      <c r="G347" s="816"/>
      <c r="H347" s="816"/>
      <c r="I347" s="816"/>
      <c r="J347" s="816">
        <v>499000</v>
      </c>
      <c r="K347" s="816"/>
      <c r="L347" s="816"/>
      <c r="M347" s="816"/>
      <c r="N347" s="816"/>
      <c r="O347" s="771"/>
    </row>
    <row r="348" spans="1:15" s="791" customFormat="1" ht="27">
      <c r="A348" s="753" t="s">
        <v>180</v>
      </c>
      <c r="B348" s="819" t="s">
        <v>1011</v>
      </c>
      <c r="C348" s="816"/>
      <c r="D348" s="816"/>
      <c r="E348" s="816"/>
      <c r="F348" s="816"/>
      <c r="G348" s="816"/>
      <c r="H348" s="816"/>
      <c r="I348" s="816"/>
      <c r="J348" s="816">
        <v>500000</v>
      </c>
      <c r="K348" s="816"/>
      <c r="L348" s="816"/>
      <c r="M348" s="816"/>
      <c r="N348" s="816"/>
      <c r="O348" s="771"/>
    </row>
    <row r="349" spans="1:15" s="791" customFormat="1" ht="27">
      <c r="A349" s="753" t="s">
        <v>179</v>
      </c>
      <c r="B349" s="819" t="s">
        <v>1012</v>
      </c>
      <c r="C349" s="816"/>
      <c r="D349" s="816"/>
      <c r="E349" s="816"/>
      <c r="F349" s="816"/>
      <c r="G349" s="816"/>
      <c r="H349" s="816"/>
      <c r="I349" s="816"/>
      <c r="J349" s="816">
        <v>5850000</v>
      </c>
      <c r="K349" s="816"/>
      <c r="L349" s="816"/>
      <c r="M349" s="816"/>
      <c r="N349" s="816"/>
      <c r="O349" s="771" t="s">
        <v>1013</v>
      </c>
    </row>
    <row r="350" spans="1:15" s="791" customFormat="1" ht="63">
      <c r="A350" s="757" t="s">
        <v>174</v>
      </c>
      <c r="B350" s="819" t="s">
        <v>1014</v>
      </c>
      <c r="C350" s="816"/>
      <c r="D350" s="816"/>
      <c r="E350" s="816"/>
      <c r="F350" s="816"/>
      <c r="G350" s="816"/>
      <c r="H350" s="816"/>
      <c r="I350" s="816"/>
      <c r="J350" s="816"/>
      <c r="K350" s="816"/>
      <c r="L350" s="816">
        <v>15000</v>
      </c>
      <c r="M350" s="816"/>
      <c r="N350" s="816"/>
      <c r="O350" s="771" t="s">
        <v>1004</v>
      </c>
    </row>
    <row r="351" spans="1:15" s="791" customFormat="1" ht="63">
      <c r="A351" s="757" t="s">
        <v>174</v>
      </c>
      <c r="B351" s="819" t="s">
        <v>1015</v>
      </c>
      <c r="C351" s="816"/>
      <c r="D351" s="816"/>
      <c r="E351" s="816"/>
      <c r="F351" s="816"/>
      <c r="G351" s="816"/>
      <c r="H351" s="816"/>
      <c r="I351" s="816"/>
      <c r="J351" s="816"/>
      <c r="K351" s="816"/>
      <c r="L351" s="816">
        <f>120000*3*2</f>
        <v>720000</v>
      </c>
      <c r="M351" s="816"/>
      <c r="N351" s="816"/>
      <c r="O351" s="771"/>
    </row>
    <row r="352" spans="1:15" s="791" customFormat="1" ht="63">
      <c r="A352" s="757" t="s">
        <v>174</v>
      </c>
      <c r="B352" s="819" t="s">
        <v>1016</v>
      </c>
      <c r="C352" s="816"/>
      <c r="D352" s="816"/>
      <c r="E352" s="816"/>
      <c r="F352" s="816"/>
      <c r="G352" s="816"/>
      <c r="H352" s="816"/>
      <c r="I352" s="816"/>
      <c r="J352" s="816"/>
      <c r="K352" s="816"/>
      <c r="L352" s="816">
        <f>420*2000</f>
        <v>840000</v>
      </c>
      <c r="M352" s="816"/>
      <c r="N352" s="816"/>
      <c r="O352" s="771"/>
    </row>
    <row r="353" spans="1:16" s="791" customFormat="1" ht="45">
      <c r="A353" s="757" t="s">
        <v>168</v>
      </c>
      <c r="B353" s="819" t="s">
        <v>1017</v>
      </c>
      <c r="C353" s="816"/>
      <c r="D353" s="816"/>
      <c r="E353" s="816"/>
      <c r="F353" s="816"/>
      <c r="G353" s="816"/>
      <c r="H353" s="816"/>
      <c r="I353" s="816"/>
      <c r="J353" s="816"/>
      <c r="K353" s="816"/>
      <c r="L353" s="816">
        <f>10000+10000+60000+60000</f>
        <v>140000</v>
      </c>
      <c r="M353" s="816"/>
      <c r="N353" s="816"/>
      <c r="O353" s="771" t="s">
        <v>1004</v>
      </c>
    </row>
    <row r="354" spans="1:16" s="791" customFormat="1" ht="45">
      <c r="A354" s="757" t="s">
        <v>168</v>
      </c>
      <c r="B354" s="819" t="s">
        <v>1018</v>
      </c>
      <c r="C354" s="816"/>
      <c r="D354" s="816"/>
      <c r="E354" s="816"/>
      <c r="F354" s="816"/>
      <c r="G354" s="816"/>
      <c r="H354" s="816"/>
      <c r="I354" s="816"/>
      <c r="J354" s="816"/>
      <c r="K354" s="816"/>
      <c r="L354" s="816">
        <f>320*2000</f>
        <v>640000</v>
      </c>
      <c r="M354" s="816"/>
      <c r="N354" s="816"/>
      <c r="O354" s="771"/>
    </row>
    <row r="355" spans="1:16" s="791" customFormat="1" ht="27">
      <c r="A355" s="757" t="s">
        <v>168</v>
      </c>
      <c r="B355" s="819" t="s">
        <v>1019</v>
      </c>
      <c r="C355" s="816"/>
      <c r="D355" s="816"/>
      <c r="E355" s="816"/>
      <c r="F355" s="816"/>
      <c r="G355" s="816"/>
      <c r="H355" s="816"/>
      <c r="I355" s="816"/>
      <c r="J355" s="816">
        <v>520000</v>
      </c>
      <c r="K355" s="816"/>
      <c r="L355" s="816"/>
      <c r="M355" s="816"/>
      <c r="N355" s="816"/>
      <c r="O355" s="771"/>
    </row>
    <row r="356" spans="1:16" s="791" customFormat="1" ht="18">
      <c r="A356" s="757" t="s">
        <v>179</v>
      </c>
      <c r="B356" s="819" t="s">
        <v>1020</v>
      </c>
      <c r="C356" s="816"/>
      <c r="D356" s="816"/>
      <c r="E356" s="816"/>
      <c r="F356" s="816"/>
      <c r="G356" s="816"/>
      <c r="H356" s="816"/>
      <c r="I356" s="816"/>
      <c r="J356" s="816">
        <v>600000</v>
      </c>
      <c r="K356" s="816"/>
      <c r="L356" s="816"/>
      <c r="M356" s="816"/>
      <c r="N356" s="816"/>
      <c r="O356" s="771"/>
    </row>
    <row r="357" spans="1:16" s="791" customFormat="1" ht="9">
      <c r="A357" s="757" t="s">
        <v>959</v>
      </c>
      <c r="B357" s="819" t="s">
        <v>1021</v>
      </c>
      <c r="C357" s="816"/>
      <c r="D357" s="816"/>
      <c r="E357" s="816"/>
      <c r="F357" s="816"/>
      <c r="G357" s="816"/>
      <c r="H357" s="816"/>
      <c r="I357" s="816"/>
      <c r="J357" s="816">
        <v>870000</v>
      </c>
      <c r="K357" s="816"/>
      <c r="L357" s="816"/>
      <c r="M357" s="816"/>
      <c r="N357" s="816"/>
      <c r="O357" s="771"/>
    </row>
    <row r="358" spans="1:16" s="791" customFormat="1" ht="27">
      <c r="A358" s="757" t="s">
        <v>179</v>
      </c>
      <c r="B358" s="819" t="s">
        <v>1022</v>
      </c>
      <c r="C358" s="816"/>
      <c r="D358" s="816"/>
      <c r="E358" s="816"/>
      <c r="F358" s="816"/>
      <c r="G358" s="816"/>
      <c r="H358" s="816"/>
      <c r="I358" s="816"/>
      <c r="J358" s="816">
        <v>200000</v>
      </c>
      <c r="K358" s="816"/>
      <c r="L358" s="816"/>
      <c r="M358" s="816"/>
      <c r="N358" s="816"/>
      <c r="O358" s="771"/>
    </row>
    <row r="359" spans="1:16" s="791" customFormat="1" ht="9">
      <c r="A359" s="757" t="s">
        <v>198</v>
      </c>
      <c r="B359" s="819" t="s">
        <v>1023</v>
      </c>
      <c r="C359" s="816"/>
      <c r="D359" s="816"/>
      <c r="E359" s="816"/>
      <c r="F359" s="816"/>
      <c r="G359" s="816"/>
      <c r="H359" s="816"/>
      <c r="I359" s="816"/>
      <c r="J359" s="816">
        <v>1000000</v>
      </c>
      <c r="K359" s="816"/>
      <c r="L359" s="816"/>
      <c r="M359" s="816"/>
      <c r="N359" s="816"/>
      <c r="O359" s="771" t="s">
        <v>1024</v>
      </c>
    </row>
    <row r="360" spans="1:16" s="791" customFormat="1" ht="9">
      <c r="A360" s="757" t="s">
        <v>198</v>
      </c>
      <c r="B360" s="819" t="s">
        <v>1021</v>
      </c>
      <c r="C360" s="816"/>
      <c r="D360" s="816"/>
      <c r="E360" s="816"/>
      <c r="F360" s="816"/>
      <c r="G360" s="816"/>
      <c r="H360" s="816"/>
      <c r="I360" s="816"/>
      <c r="J360" s="816">
        <v>1885400</v>
      </c>
      <c r="K360" s="816"/>
      <c r="L360" s="816"/>
      <c r="M360" s="816"/>
      <c r="N360" s="816"/>
      <c r="O360" s="771" t="s">
        <v>1025</v>
      </c>
    </row>
    <row r="361" spans="1:16" s="791" customFormat="1" ht="9">
      <c r="A361" s="757" t="s">
        <v>198</v>
      </c>
      <c r="B361" s="819" t="s">
        <v>782</v>
      </c>
      <c r="C361" s="816"/>
      <c r="D361" s="816"/>
      <c r="E361" s="816"/>
      <c r="F361" s="816"/>
      <c r="G361" s="816"/>
      <c r="H361" s="816"/>
      <c r="I361" s="816"/>
      <c r="J361" s="816">
        <v>60000</v>
      </c>
      <c r="K361" s="816"/>
      <c r="L361" s="816"/>
      <c r="M361" s="816"/>
      <c r="N361" s="816"/>
      <c r="O361" s="771"/>
    </row>
    <row r="362" spans="1:16" s="791" customFormat="1" ht="9">
      <c r="A362" s="757" t="s">
        <v>198</v>
      </c>
      <c r="B362" s="819" t="s">
        <v>1023</v>
      </c>
      <c r="C362" s="816"/>
      <c r="D362" s="816"/>
      <c r="E362" s="816"/>
      <c r="F362" s="816"/>
      <c r="G362" s="816"/>
      <c r="H362" s="816"/>
      <c r="I362" s="816"/>
      <c r="J362" s="816">
        <v>809000</v>
      </c>
      <c r="K362" s="816"/>
      <c r="L362" s="816"/>
      <c r="M362" s="816"/>
      <c r="N362" s="816"/>
      <c r="O362" s="771" t="s">
        <v>1026</v>
      </c>
    </row>
    <row r="363" spans="1:16" s="791" customFormat="1" ht="45">
      <c r="A363" s="753" t="s">
        <v>975</v>
      </c>
      <c r="B363" s="819" t="s">
        <v>1027</v>
      </c>
      <c r="C363" s="816"/>
      <c r="D363" s="816"/>
      <c r="E363" s="816"/>
      <c r="F363" s="816"/>
      <c r="G363" s="816"/>
      <c r="H363" s="816"/>
      <c r="I363" s="816"/>
      <c r="J363" s="816">
        <v>800000</v>
      </c>
      <c r="K363" s="752"/>
      <c r="L363" s="816"/>
      <c r="M363" s="816"/>
      <c r="N363" s="816"/>
      <c r="O363" s="771" t="s">
        <v>1028</v>
      </c>
    </row>
    <row r="364" spans="1:16" s="791" customFormat="1" ht="27">
      <c r="A364" s="753" t="s">
        <v>299</v>
      </c>
      <c r="B364" s="819" t="s">
        <v>1029</v>
      </c>
      <c r="C364" s="816"/>
      <c r="D364" s="816"/>
      <c r="E364" s="816"/>
      <c r="F364" s="816"/>
      <c r="G364" s="816"/>
      <c r="H364" s="816"/>
      <c r="I364" s="816"/>
      <c r="J364" s="816">
        <v>1220000</v>
      </c>
      <c r="K364" s="752"/>
      <c r="L364" s="816"/>
      <c r="M364" s="816"/>
      <c r="N364" s="816"/>
      <c r="O364" s="771"/>
    </row>
    <row r="365" spans="1:16" s="791" customFormat="1" ht="36">
      <c r="A365" s="757" t="s">
        <v>216</v>
      </c>
      <c r="B365" s="819" t="s">
        <v>1030</v>
      </c>
      <c r="C365" s="816"/>
      <c r="D365" s="816"/>
      <c r="E365" s="816"/>
      <c r="F365" s="816"/>
      <c r="G365" s="816"/>
      <c r="H365" s="816"/>
      <c r="I365" s="816"/>
      <c r="J365" s="816"/>
      <c r="K365" s="816"/>
      <c r="L365" s="816">
        <v>130000</v>
      </c>
      <c r="M365" s="816"/>
      <c r="N365" s="816"/>
      <c r="O365" s="771"/>
      <c r="P365" s="1417"/>
    </row>
    <row r="366" spans="1:16" s="791" customFormat="1" ht="36">
      <c r="A366" s="757" t="s">
        <v>216</v>
      </c>
      <c r="B366" s="819" t="s">
        <v>1031</v>
      </c>
      <c r="C366" s="816"/>
      <c r="D366" s="816"/>
      <c r="E366" s="816"/>
      <c r="F366" s="816"/>
      <c r="G366" s="816"/>
      <c r="H366" s="816"/>
      <c r="I366" s="816"/>
      <c r="J366" s="816"/>
      <c r="K366" s="816"/>
      <c r="L366" s="816">
        <v>840000</v>
      </c>
      <c r="M366" s="816"/>
      <c r="N366" s="816"/>
      <c r="O366" s="771"/>
    </row>
    <row r="367" spans="1:16" s="791" customFormat="1" ht="18">
      <c r="A367" s="757" t="s">
        <v>216</v>
      </c>
      <c r="B367" s="819" t="s">
        <v>1032</v>
      </c>
      <c r="C367" s="816"/>
      <c r="D367" s="816"/>
      <c r="E367" s="816"/>
      <c r="F367" s="816"/>
      <c r="G367" s="816"/>
      <c r="H367" s="816"/>
      <c r="I367" s="816"/>
      <c r="J367" s="816">
        <v>73000</v>
      </c>
      <c r="K367" s="816"/>
      <c r="L367" s="816"/>
      <c r="M367" s="816"/>
      <c r="N367" s="816"/>
      <c r="O367" s="771"/>
    </row>
    <row r="368" spans="1:16" s="791" customFormat="1" ht="27">
      <c r="A368" s="757" t="s">
        <v>216</v>
      </c>
      <c r="B368" s="819" t="s">
        <v>1033</v>
      </c>
      <c r="C368" s="816"/>
      <c r="D368" s="816"/>
      <c r="E368" s="816"/>
      <c r="F368" s="816"/>
      <c r="G368" s="816"/>
      <c r="H368" s="816"/>
      <c r="I368" s="816"/>
      <c r="J368" s="816">
        <f>510000+185000</f>
        <v>695000</v>
      </c>
      <c r="K368" s="816"/>
      <c r="L368" s="816"/>
      <c r="M368" s="816"/>
      <c r="N368" s="816"/>
      <c r="O368" s="771"/>
    </row>
    <row r="369" spans="1:15" s="791" customFormat="1" ht="18">
      <c r="A369" s="757" t="s">
        <v>216</v>
      </c>
      <c r="B369" s="819" t="s">
        <v>1034</v>
      </c>
      <c r="C369" s="816"/>
      <c r="D369" s="816"/>
      <c r="E369" s="816"/>
      <c r="F369" s="816"/>
      <c r="G369" s="816"/>
      <c r="H369" s="816">
        <v>55000</v>
      </c>
      <c r="I369" s="816"/>
      <c r="J369" s="816"/>
      <c r="K369" s="816"/>
      <c r="L369" s="816"/>
      <c r="M369" s="816"/>
      <c r="N369" s="816"/>
      <c r="O369" s="771"/>
    </row>
    <row r="370" spans="1:15" s="791" customFormat="1" ht="9">
      <c r="A370" s="757" t="s">
        <v>216</v>
      </c>
      <c r="B370" s="819" t="s">
        <v>1035</v>
      </c>
      <c r="C370" s="816"/>
      <c r="D370" s="816"/>
      <c r="E370" s="816"/>
      <c r="F370" s="816"/>
      <c r="G370" s="816"/>
      <c r="H370" s="816">
        <v>55000</v>
      </c>
      <c r="I370" s="816"/>
      <c r="J370" s="816"/>
      <c r="K370" s="816"/>
      <c r="L370" s="816"/>
      <c r="M370" s="816"/>
      <c r="N370" s="816"/>
      <c r="O370" s="771"/>
    </row>
    <row r="371" spans="1:15" s="791" customFormat="1" ht="27">
      <c r="A371" s="757" t="s">
        <v>216</v>
      </c>
      <c r="B371" s="819" t="s">
        <v>1036</v>
      </c>
      <c r="C371" s="816"/>
      <c r="D371" s="816"/>
      <c r="E371" s="816"/>
      <c r="F371" s="816"/>
      <c r="G371" s="816"/>
      <c r="H371" s="816">
        <v>22000</v>
      </c>
      <c r="I371" s="816"/>
      <c r="J371" s="816"/>
      <c r="K371" s="816"/>
      <c r="L371" s="816"/>
      <c r="M371" s="816"/>
      <c r="N371" s="816"/>
      <c r="O371" s="771"/>
    </row>
    <row r="372" spans="1:15" s="791" customFormat="1" ht="36">
      <c r="A372" s="757" t="s">
        <v>218</v>
      </c>
      <c r="B372" s="819" t="s">
        <v>1037</v>
      </c>
      <c r="C372" s="816"/>
      <c r="D372" s="816"/>
      <c r="E372" s="816"/>
      <c r="F372" s="816"/>
      <c r="G372" s="816"/>
      <c r="H372" s="816"/>
      <c r="I372" s="816"/>
      <c r="J372" s="816">
        <v>2750000</v>
      </c>
      <c r="K372" s="816"/>
      <c r="L372" s="816"/>
      <c r="M372" s="816"/>
      <c r="N372" s="816"/>
      <c r="O372" s="771"/>
    </row>
    <row r="373" spans="1:15" s="791" customFormat="1" ht="27">
      <c r="A373" s="757" t="s">
        <v>223</v>
      </c>
      <c r="B373" s="819" t="s">
        <v>1038</v>
      </c>
      <c r="C373" s="816"/>
      <c r="D373" s="816"/>
      <c r="E373" s="816"/>
      <c r="F373" s="816"/>
      <c r="G373" s="816"/>
      <c r="H373" s="816"/>
      <c r="I373" s="816"/>
      <c r="J373" s="816">
        <v>2400000</v>
      </c>
      <c r="K373" s="816"/>
      <c r="L373" s="816"/>
      <c r="M373" s="816"/>
      <c r="N373" s="816"/>
      <c r="O373" s="771"/>
    </row>
    <row r="374" spans="1:15" s="791" customFormat="1" ht="27">
      <c r="A374" s="757" t="s">
        <v>223</v>
      </c>
      <c r="B374" s="819" t="s">
        <v>1039</v>
      </c>
      <c r="C374" s="816"/>
      <c r="D374" s="816"/>
      <c r="E374" s="816"/>
      <c r="F374" s="816"/>
      <c r="G374" s="816"/>
      <c r="H374" s="816"/>
      <c r="I374" s="816"/>
      <c r="J374" s="816">
        <v>1200000</v>
      </c>
      <c r="K374" s="816"/>
      <c r="L374" s="816"/>
      <c r="M374" s="816"/>
      <c r="N374" s="816"/>
      <c r="O374" s="771"/>
    </row>
    <row r="375" spans="1:15" s="791" customFormat="1" ht="27">
      <c r="A375" s="757" t="s">
        <v>223</v>
      </c>
      <c r="B375" s="819" t="s">
        <v>1040</v>
      </c>
      <c r="C375" s="816"/>
      <c r="D375" s="816"/>
      <c r="E375" s="816"/>
      <c r="F375" s="816"/>
      <c r="G375" s="816"/>
      <c r="H375" s="816"/>
      <c r="I375" s="816"/>
      <c r="J375" s="816">
        <v>1000000</v>
      </c>
      <c r="K375" s="816"/>
      <c r="L375" s="816"/>
      <c r="M375" s="816"/>
      <c r="N375" s="816"/>
      <c r="O375" s="771"/>
    </row>
    <row r="376" spans="1:15" s="791" customFormat="1" ht="36">
      <c r="A376" s="757" t="s">
        <v>223</v>
      </c>
      <c r="B376" s="819" t="s">
        <v>1041</v>
      </c>
      <c r="C376" s="816"/>
      <c r="D376" s="816"/>
      <c r="E376" s="816"/>
      <c r="F376" s="816"/>
      <c r="G376" s="816"/>
      <c r="H376" s="816"/>
      <c r="I376" s="816"/>
      <c r="J376" s="816">
        <v>200000</v>
      </c>
      <c r="K376" s="816"/>
      <c r="L376" s="816"/>
      <c r="M376" s="816"/>
      <c r="N376" s="816"/>
      <c r="O376" s="771" t="s">
        <v>1042</v>
      </c>
    </row>
    <row r="377" spans="1:15" s="791" customFormat="1" ht="36">
      <c r="A377" s="757" t="s">
        <v>223</v>
      </c>
      <c r="B377" s="819" t="s">
        <v>1043</v>
      </c>
      <c r="C377" s="816"/>
      <c r="D377" s="816"/>
      <c r="E377" s="816"/>
      <c r="F377" s="816"/>
      <c r="G377" s="816"/>
      <c r="H377" s="816"/>
      <c r="I377" s="816"/>
      <c r="J377" s="816">
        <v>1300000</v>
      </c>
      <c r="K377" s="816"/>
      <c r="L377" s="816"/>
      <c r="M377" s="816"/>
      <c r="N377" s="816"/>
      <c r="O377" s="771"/>
    </row>
    <row r="378" spans="1:15" s="791" customFormat="1" ht="36">
      <c r="A378" s="757" t="s">
        <v>223</v>
      </c>
      <c r="B378" s="819" t="s">
        <v>1044</v>
      </c>
      <c r="C378" s="816"/>
      <c r="D378" s="816"/>
      <c r="E378" s="816"/>
      <c r="F378" s="816"/>
      <c r="G378" s="816"/>
      <c r="H378" s="816"/>
      <c r="I378" s="816"/>
      <c r="J378" s="816">
        <v>1000000</v>
      </c>
      <c r="K378" s="816"/>
      <c r="L378" s="816"/>
      <c r="M378" s="816"/>
      <c r="N378" s="816"/>
      <c r="O378" s="771"/>
    </row>
    <row r="379" spans="1:15" s="791" customFormat="1" ht="36">
      <c r="A379" s="757" t="s">
        <v>223</v>
      </c>
      <c r="B379" s="819" t="s">
        <v>1045</v>
      </c>
      <c r="C379" s="816"/>
      <c r="D379" s="816"/>
      <c r="E379" s="816"/>
      <c r="F379" s="816"/>
      <c r="G379" s="816"/>
      <c r="H379" s="816"/>
      <c r="I379" s="816"/>
      <c r="J379" s="816">
        <v>110000</v>
      </c>
      <c r="K379" s="816"/>
      <c r="L379" s="816"/>
      <c r="M379" s="816"/>
      <c r="N379" s="816"/>
      <c r="O379" s="771"/>
    </row>
    <row r="380" spans="1:15" s="791" customFormat="1" ht="18">
      <c r="A380" s="757" t="s">
        <v>223</v>
      </c>
      <c r="B380" s="819" t="s">
        <v>1046</v>
      </c>
      <c r="C380" s="816"/>
      <c r="D380" s="816"/>
      <c r="E380" s="816"/>
      <c r="F380" s="816"/>
      <c r="G380" s="816"/>
      <c r="H380" s="816"/>
      <c r="I380" s="816"/>
      <c r="J380" s="816">
        <v>1070000</v>
      </c>
      <c r="K380" s="816"/>
      <c r="L380" s="816"/>
      <c r="M380" s="816"/>
      <c r="N380" s="816"/>
      <c r="O380" s="771"/>
    </row>
    <row r="381" spans="1:15" s="791" customFormat="1" ht="27">
      <c r="A381" s="757" t="s">
        <v>223</v>
      </c>
      <c r="B381" s="819" t="s">
        <v>1047</v>
      </c>
      <c r="C381" s="816"/>
      <c r="D381" s="816"/>
      <c r="E381" s="816"/>
      <c r="F381" s="816"/>
      <c r="G381" s="816"/>
      <c r="H381" s="816"/>
      <c r="I381" s="816"/>
      <c r="J381" s="816">
        <v>10000000</v>
      </c>
      <c r="K381" s="816"/>
      <c r="L381" s="816"/>
      <c r="M381" s="816"/>
      <c r="N381" s="816"/>
      <c r="O381" s="771"/>
    </row>
    <row r="382" spans="1:15" s="791" customFormat="1" ht="18">
      <c r="A382" s="757" t="s">
        <v>235</v>
      </c>
      <c r="B382" s="819" t="s">
        <v>1048</v>
      </c>
      <c r="C382" s="816"/>
      <c r="D382" s="816"/>
      <c r="E382" s="816"/>
      <c r="F382" s="816"/>
      <c r="G382" s="816">
        <v>300000</v>
      </c>
      <c r="H382" s="816"/>
      <c r="I382" s="816"/>
      <c r="J382" s="816"/>
      <c r="K382" s="816"/>
      <c r="L382" s="816"/>
      <c r="M382" s="816"/>
      <c r="N382" s="816"/>
      <c r="O382" s="771"/>
    </row>
    <row r="383" spans="1:15" s="791" customFormat="1" ht="36">
      <c r="A383" s="757" t="s">
        <v>239</v>
      </c>
      <c r="B383" s="819" t="s">
        <v>1049</v>
      </c>
      <c r="C383" s="816"/>
      <c r="D383" s="816"/>
      <c r="E383" s="816"/>
      <c r="F383" s="816"/>
      <c r="G383" s="816"/>
      <c r="H383" s="816"/>
      <c r="I383" s="816"/>
      <c r="J383" s="816">
        <v>700000</v>
      </c>
      <c r="K383" s="816"/>
      <c r="L383" s="816"/>
      <c r="M383" s="816"/>
      <c r="N383" s="816"/>
      <c r="O383" s="771"/>
    </row>
    <row r="384" spans="1:15" s="791" customFormat="1" ht="27">
      <c r="A384" s="757" t="s">
        <v>239</v>
      </c>
      <c r="B384" s="819" t="s">
        <v>1050</v>
      </c>
      <c r="C384" s="816"/>
      <c r="D384" s="816"/>
      <c r="E384" s="816"/>
      <c r="F384" s="816"/>
      <c r="G384" s="816"/>
      <c r="H384" s="816"/>
      <c r="I384" s="816"/>
      <c r="J384" s="816">
        <v>2800000</v>
      </c>
      <c r="K384" s="816"/>
      <c r="L384" s="816"/>
      <c r="M384" s="816"/>
      <c r="N384" s="816"/>
      <c r="O384" s="771"/>
    </row>
    <row r="385" spans="1:15" s="791" customFormat="1" ht="27">
      <c r="A385" s="757" t="s">
        <v>239</v>
      </c>
      <c r="B385" s="819" t="s">
        <v>1051</v>
      </c>
      <c r="C385" s="816"/>
      <c r="D385" s="816"/>
      <c r="E385" s="816"/>
      <c r="F385" s="816"/>
      <c r="G385" s="816"/>
      <c r="H385" s="816"/>
      <c r="I385" s="816"/>
      <c r="J385" s="816">
        <v>2000000</v>
      </c>
      <c r="K385" s="816"/>
      <c r="L385" s="816"/>
      <c r="M385" s="816"/>
      <c r="N385" s="816"/>
      <c r="O385" s="771"/>
    </row>
    <row r="386" spans="1:15" s="791" customFormat="1" ht="36">
      <c r="A386" s="757" t="s">
        <v>239</v>
      </c>
      <c r="B386" s="819" t="s">
        <v>1052</v>
      </c>
      <c r="C386" s="816"/>
      <c r="D386" s="816"/>
      <c r="E386" s="816"/>
      <c r="F386" s="816"/>
      <c r="G386" s="816"/>
      <c r="H386" s="816"/>
      <c r="I386" s="816"/>
      <c r="J386" s="816">
        <v>1000000</v>
      </c>
      <c r="K386" s="816"/>
      <c r="L386" s="816"/>
      <c r="M386" s="816"/>
      <c r="N386" s="816"/>
      <c r="O386" s="771"/>
    </row>
    <row r="387" spans="1:15" s="791" customFormat="1" ht="27">
      <c r="A387" s="757" t="s">
        <v>239</v>
      </c>
      <c r="B387" s="819" t="s">
        <v>1053</v>
      </c>
      <c r="C387" s="816"/>
      <c r="D387" s="816"/>
      <c r="E387" s="816"/>
      <c r="F387" s="816"/>
      <c r="G387" s="816"/>
      <c r="H387" s="816"/>
      <c r="I387" s="816"/>
      <c r="J387" s="816">
        <v>1000000</v>
      </c>
      <c r="K387" s="816"/>
      <c r="L387" s="816"/>
      <c r="M387" s="816"/>
      <c r="N387" s="816"/>
      <c r="O387" s="771"/>
    </row>
    <row r="388" spans="1:15" s="791" customFormat="1" ht="36">
      <c r="A388" s="757" t="s">
        <v>239</v>
      </c>
      <c r="B388" s="819" t="s">
        <v>1054</v>
      </c>
      <c r="C388" s="816"/>
      <c r="D388" s="816"/>
      <c r="E388" s="816"/>
      <c r="F388" s="816"/>
      <c r="G388" s="816"/>
      <c r="H388" s="816"/>
      <c r="I388" s="816"/>
      <c r="J388" s="816">
        <v>120000</v>
      </c>
      <c r="K388" s="816"/>
      <c r="L388" s="816"/>
      <c r="M388" s="816"/>
      <c r="N388" s="816"/>
      <c r="O388" s="771"/>
    </row>
    <row r="389" spans="1:15" s="791" customFormat="1" ht="27">
      <c r="A389" s="757" t="s">
        <v>239</v>
      </c>
      <c r="B389" s="819" t="s">
        <v>1055</v>
      </c>
      <c r="C389" s="816"/>
      <c r="D389" s="816"/>
      <c r="E389" s="816"/>
      <c r="F389" s="816"/>
      <c r="G389" s="816"/>
      <c r="H389" s="816"/>
      <c r="I389" s="816"/>
      <c r="J389" s="816">
        <v>70000</v>
      </c>
      <c r="K389" s="816"/>
      <c r="L389" s="816"/>
      <c r="M389" s="816"/>
      <c r="N389" s="816"/>
      <c r="O389" s="771"/>
    </row>
    <row r="390" spans="1:15" s="791" customFormat="1" ht="27">
      <c r="A390" s="757" t="s">
        <v>239</v>
      </c>
      <c r="B390" s="819" t="s">
        <v>1056</v>
      </c>
      <c r="C390" s="816"/>
      <c r="D390" s="816"/>
      <c r="E390" s="816"/>
      <c r="F390" s="816"/>
      <c r="G390" s="816"/>
      <c r="H390" s="816"/>
      <c r="I390" s="816"/>
      <c r="J390" s="816"/>
      <c r="K390" s="816"/>
      <c r="L390" s="816">
        <v>190000</v>
      </c>
      <c r="M390" s="816"/>
      <c r="N390" s="816"/>
      <c r="O390" s="771"/>
    </row>
    <row r="391" spans="1:15" s="791" customFormat="1" ht="36">
      <c r="A391" s="757" t="s">
        <v>239</v>
      </c>
      <c r="B391" s="819" t="s">
        <v>1057</v>
      </c>
      <c r="C391" s="816"/>
      <c r="D391" s="816"/>
      <c r="E391" s="816"/>
      <c r="F391" s="816"/>
      <c r="G391" s="816"/>
      <c r="H391" s="816"/>
      <c r="I391" s="816"/>
      <c r="J391" s="816"/>
      <c r="K391" s="816"/>
      <c r="L391" s="816">
        <v>50000</v>
      </c>
      <c r="M391" s="816"/>
      <c r="N391" s="816"/>
      <c r="O391" s="771"/>
    </row>
    <row r="392" spans="1:15" s="791" customFormat="1" ht="27">
      <c r="A392" s="757" t="s">
        <v>239</v>
      </c>
      <c r="B392" s="819" t="s">
        <v>1058</v>
      </c>
      <c r="C392" s="816"/>
      <c r="D392" s="816"/>
      <c r="E392" s="816"/>
      <c r="F392" s="816"/>
      <c r="G392" s="816"/>
      <c r="H392" s="816"/>
      <c r="I392" s="816"/>
      <c r="J392" s="816"/>
      <c r="K392" s="816"/>
      <c r="L392" s="816">
        <v>140000</v>
      </c>
      <c r="M392" s="816"/>
      <c r="N392" s="816"/>
      <c r="O392" s="771"/>
    </row>
    <row r="393" spans="1:15" s="791" customFormat="1" ht="27">
      <c r="A393" s="757" t="s">
        <v>239</v>
      </c>
      <c r="B393" s="819" t="s">
        <v>1059</v>
      </c>
      <c r="C393" s="816"/>
      <c r="D393" s="816"/>
      <c r="E393" s="816"/>
      <c r="F393" s="816"/>
      <c r="G393" s="816"/>
      <c r="H393" s="816"/>
      <c r="I393" s="816"/>
      <c r="J393" s="816"/>
      <c r="K393" s="816"/>
      <c r="L393" s="816">
        <v>860000</v>
      </c>
      <c r="M393" s="816"/>
      <c r="N393" s="816"/>
      <c r="O393" s="771" t="s">
        <v>1060</v>
      </c>
    </row>
    <row r="394" spans="1:15" s="791" customFormat="1" ht="45">
      <c r="A394" s="757" t="s">
        <v>239</v>
      </c>
      <c r="B394" s="819" t="s">
        <v>1061</v>
      </c>
      <c r="C394" s="816"/>
      <c r="D394" s="816"/>
      <c r="E394" s="816"/>
      <c r="F394" s="816"/>
      <c r="G394" s="816"/>
      <c r="H394" s="816"/>
      <c r="I394" s="816"/>
      <c r="J394" s="816">
        <v>60000</v>
      </c>
      <c r="K394" s="816"/>
      <c r="L394" s="816"/>
      <c r="M394" s="816"/>
      <c r="N394" s="816"/>
      <c r="O394" s="771"/>
    </row>
    <row r="395" spans="1:15" s="791" customFormat="1" ht="27">
      <c r="A395" s="757" t="s">
        <v>239</v>
      </c>
      <c r="B395" s="819" t="s">
        <v>1062</v>
      </c>
      <c r="C395" s="816"/>
      <c r="D395" s="816"/>
      <c r="E395" s="816"/>
      <c r="F395" s="816"/>
      <c r="G395" s="816"/>
      <c r="H395" s="816"/>
      <c r="I395" s="816"/>
      <c r="J395" s="816">
        <v>200000</v>
      </c>
      <c r="K395" s="816"/>
      <c r="L395" s="816"/>
      <c r="M395" s="816"/>
      <c r="N395" s="816"/>
      <c r="O395" s="771"/>
    </row>
    <row r="396" spans="1:15" s="791" customFormat="1" ht="36">
      <c r="A396" s="757" t="s">
        <v>239</v>
      </c>
      <c r="B396" s="819" t="s">
        <v>1063</v>
      </c>
      <c r="C396" s="816"/>
      <c r="D396" s="816"/>
      <c r="E396" s="816"/>
      <c r="F396" s="816"/>
      <c r="G396" s="816"/>
      <c r="H396" s="816"/>
      <c r="I396" s="816"/>
      <c r="J396" s="816">
        <v>905000</v>
      </c>
      <c r="K396" s="816"/>
      <c r="L396" s="816"/>
      <c r="M396" s="816"/>
      <c r="N396" s="816"/>
      <c r="O396" s="771"/>
    </row>
    <row r="397" spans="1:15" s="791" customFormat="1" ht="27">
      <c r="A397" s="757" t="s">
        <v>239</v>
      </c>
      <c r="B397" s="819" t="s">
        <v>1064</v>
      </c>
      <c r="C397" s="816"/>
      <c r="D397" s="816"/>
      <c r="E397" s="816"/>
      <c r="F397" s="816"/>
      <c r="G397" s="816"/>
      <c r="H397" s="816"/>
      <c r="I397" s="816"/>
      <c r="J397" s="816">
        <v>1000000</v>
      </c>
      <c r="K397" s="816"/>
      <c r="L397" s="816"/>
      <c r="M397" s="816"/>
      <c r="N397" s="816"/>
      <c r="O397" s="771"/>
    </row>
    <row r="398" spans="1:15" s="791" customFormat="1" ht="45">
      <c r="A398" s="757" t="s">
        <v>239</v>
      </c>
      <c r="B398" s="819" t="s">
        <v>1065</v>
      </c>
      <c r="C398" s="816"/>
      <c r="D398" s="816"/>
      <c r="E398" s="816"/>
      <c r="F398" s="816"/>
      <c r="G398" s="816"/>
      <c r="H398" s="816"/>
      <c r="I398" s="816"/>
      <c r="J398" s="816">
        <v>1818000</v>
      </c>
      <c r="K398" s="816"/>
      <c r="L398" s="816"/>
      <c r="M398" s="816"/>
      <c r="N398" s="816"/>
      <c r="O398" s="771"/>
    </row>
    <row r="399" spans="1:15" s="791" customFormat="1" ht="45">
      <c r="A399" s="757" t="s">
        <v>239</v>
      </c>
      <c r="B399" s="819" t="s">
        <v>1066</v>
      </c>
      <c r="C399" s="816"/>
      <c r="D399" s="816"/>
      <c r="E399" s="816"/>
      <c r="F399" s="816"/>
      <c r="G399" s="816"/>
      <c r="H399" s="816"/>
      <c r="I399" s="816"/>
      <c r="J399" s="816">
        <v>11400000</v>
      </c>
      <c r="K399" s="816"/>
      <c r="L399" s="816"/>
      <c r="M399" s="816"/>
      <c r="N399" s="816"/>
      <c r="O399" s="771"/>
    </row>
    <row r="400" spans="1:15" s="791" customFormat="1" ht="27">
      <c r="A400" s="757" t="s">
        <v>243</v>
      </c>
      <c r="B400" s="819" t="s">
        <v>1067</v>
      </c>
      <c r="C400" s="816"/>
      <c r="D400" s="816"/>
      <c r="E400" s="816"/>
      <c r="F400" s="816"/>
      <c r="G400" s="816"/>
      <c r="H400" s="816"/>
      <c r="I400" s="816"/>
      <c r="J400" s="816">
        <v>380000</v>
      </c>
      <c r="K400" s="816"/>
      <c r="L400" s="816"/>
      <c r="M400" s="816"/>
      <c r="N400" s="816"/>
      <c r="O400" s="771"/>
    </row>
    <row r="401" spans="1:15" s="791" customFormat="1" ht="27">
      <c r="A401" s="757" t="s">
        <v>243</v>
      </c>
      <c r="B401" s="819" t="s">
        <v>1068</v>
      </c>
      <c r="C401" s="816"/>
      <c r="D401" s="816"/>
      <c r="E401" s="816"/>
      <c r="F401" s="816"/>
      <c r="G401" s="816"/>
      <c r="H401" s="816"/>
      <c r="I401" s="816"/>
      <c r="J401" s="816">
        <v>500000</v>
      </c>
      <c r="K401" s="816"/>
      <c r="L401" s="816"/>
      <c r="M401" s="816"/>
      <c r="N401" s="816"/>
      <c r="O401" s="771"/>
    </row>
    <row r="402" spans="1:15" s="791" customFormat="1" ht="27">
      <c r="A402" s="757" t="s">
        <v>243</v>
      </c>
      <c r="B402" s="819" t="s">
        <v>1069</v>
      </c>
      <c r="C402" s="816"/>
      <c r="D402" s="816"/>
      <c r="E402" s="816"/>
      <c r="F402" s="816"/>
      <c r="G402" s="816"/>
      <c r="H402" s="816"/>
      <c r="I402" s="816"/>
      <c r="J402" s="816">
        <v>1000000</v>
      </c>
      <c r="K402" s="816"/>
      <c r="L402" s="816"/>
      <c r="M402" s="816"/>
      <c r="N402" s="816"/>
      <c r="O402" s="771"/>
    </row>
    <row r="403" spans="1:15" s="791" customFormat="1" ht="45">
      <c r="A403" s="757" t="s">
        <v>244</v>
      </c>
      <c r="B403" s="819" t="s">
        <v>1070</v>
      </c>
      <c r="C403" s="816"/>
      <c r="D403" s="816"/>
      <c r="E403" s="816"/>
      <c r="F403" s="816"/>
      <c r="G403" s="816"/>
      <c r="H403" s="816"/>
      <c r="I403" s="816"/>
      <c r="J403" s="816">
        <v>1000000</v>
      </c>
      <c r="K403" s="816"/>
      <c r="L403" s="816"/>
      <c r="M403" s="816"/>
      <c r="N403" s="816"/>
      <c r="O403" s="771"/>
    </row>
    <row r="404" spans="1:15" s="791" customFormat="1" ht="36">
      <c r="A404" s="757" t="s">
        <v>244</v>
      </c>
      <c r="B404" s="819" t="s">
        <v>1071</v>
      </c>
      <c r="C404" s="816"/>
      <c r="D404" s="816"/>
      <c r="E404" s="816"/>
      <c r="F404" s="816"/>
      <c r="G404" s="816"/>
      <c r="H404" s="816"/>
      <c r="I404" s="816"/>
      <c r="J404" s="816">
        <v>500000</v>
      </c>
      <c r="K404" s="816"/>
      <c r="L404" s="816"/>
      <c r="M404" s="816"/>
      <c r="N404" s="816"/>
      <c r="O404" s="771"/>
    </row>
    <row r="405" spans="1:15" s="791" customFormat="1" ht="27">
      <c r="A405" s="757" t="s">
        <v>244</v>
      </c>
      <c r="B405" s="819" t="s">
        <v>1072</v>
      </c>
      <c r="C405" s="816"/>
      <c r="D405" s="816"/>
      <c r="E405" s="816"/>
      <c r="F405" s="816"/>
      <c r="G405" s="816"/>
      <c r="H405" s="816"/>
      <c r="I405" s="816"/>
      <c r="J405" s="816">
        <v>3200000</v>
      </c>
      <c r="K405" s="816"/>
      <c r="L405" s="816"/>
      <c r="M405" s="816"/>
      <c r="N405" s="816"/>
      <c r="O405" s="771" t="s">
        <v>1073</v>
      </c>
    </row>
    <row r="406" spans="1:15" s="791" customFormat="1" ht="36">
      <c r="A406" s="757" t="s">
        <v>246</v>
      </c>
      <c r="B406" s="819" t="s">
        <v>1074</v>
      </c>
      <c r="C406" s="816"/>
      <c r="D406" s="816"/>
      <c r="E406" s="816"/>
      <c r="F406" s="816"/>
      <c r="G406" s="816"/>
      <c r="H406" s="816"/>
      <c r="I406" s="816"/>
      <c r="J406" s="816"/>
      <c r="K406" s="816"/>
      <c r="L406" s="816">
        <v>135000</v>
      </c>
      <c r="M406" s="816"/>
      <c r="N406" s="816"/>
      <c r="O406" s="771"/>
    </row>
    <row r="407" spans="1:15" s="791" customFormat="1" ht="36">
      <c r="A407" s="757" t="s">
        <v>246</v>
      </c>
      <c r="B407" s="819" t="s">
        <v>1075</v>
      </c>
      <c r="C407" s="816"/>
      <c r="D407" s="816"/>
      <c r="E407" s="816"/>
      <c r="F407" s="816"/>
      <c r="G407" s="816"/>
      <c r="H407" s="816"/>
      <c r="I407" s="816"/>
      <c r="J407" s="816"/>
      <c r="K407" s="816"/>
      <c r="L407" s="816">
        <v>145000</v>
      </c>
      <c r="M407" s="816"/>
      <c r="N407" s="816"/>
      <c r="O407" s="771"/>
    </row>
    <row r="408" spans="1:15" s="791" customFormat="1" ht="36">
      <c r="A408" s="757" t="s">
        <v>246</v>
      </c>
      <c r="B408" s="819" t="s">
        <v>1076</v>
      </c>
      <c r="C408" s="816"/>
      <c r="D408" s="816"/>
      <c r="E408" s="816"/>
      <c r="F408" s="816"/>
      <c r="G408" s="816"/>
      <c r="H408" s="816"/>
      <c r="I408" s="816"/>
      <c r="J408" s="816"/>
      <c r="K408" s="816"/>
      <c r="L408" s="816">
        <v>580000</v>
      </c>
      <c r="M408" s="816"/>
      <c r="N408" s="816"/>
      <c r="O408" s="771"/>
    </row>
    <row r="409" spans="1:15" s="791" customFormat="1" ht="27">
      <c r="A409" s="757" t="s">
        <v>246</v>
      </c>
      <c r="B409" s="819" t="s">
        <v>1077</v>
      </c>
      <c r="C409" s="816"/>
      <c r="D409" s="816"/>
      <c r="E409" s="816"/>
      <c r="F409" s="816"/>
      <c r="G409" s="816"/>
      <c r="H409" s="816"/>
      <c r="I409" s="816"/>
      <c r="J409" s="816">
        <v>900000</v>
      </c>
      <c r="K409" s="816"/>
      <c r="L409" s="816"/>
      <c r="M409" s="816"/>
      <c r="N409" s="816"/>
      <c r="O409" s="771"/>
    </row>
    <row r="410" spans="1:15" s="791" customFormat="1" ht="9">
      <c r="A410" s="757" t="s">
        <v>246</v>
      </c>
      <c r="B410" s="819" t="s">
        <v>897</v>
      </c>
      <c r="C410" s="816"/>
      <c r="D410" s="816"/>
      <c r="E410" s="816"/>
      <c r="F410" s="816"/>
      <c r="G410" s="816"/>
      <c r="H410" s="816"/>
      <c r="I410" s="816"/>
      <c r="J410" s="816">
        <v>2200</v>
      </c>
      <c r="K410" s="816"/>
      <c r="L410" s="816"/>
      <c r="M410" s="816"/>
      <c r="N410" s="816"/>
      <c r="O410" s="771"/>
    </row>
    <row r="411" spans="1:15" s="791" customFormat="1" ht="36">
      <c r="A411" s="757" t="s">
        <v>1078</v>
      </c>
      <c r="B411" s="819" t="s">
        <v>1079</v>
      </c>
      <c r="C411" s="816"/>
      <c r="D411" s="816"/>
      <c r="E411" s="816"/>
      <c r="F411" s="816"/>
      <c r="G411" s="816"/>
      <c r="H411" s="816"/>
      <c r="I411" s="816"/>
      <c r="J411" s="816"/>
      <c r="K411" s="816"/>
      <c r="L411" s="816">
        <v>100000</v>
      </c>
      <c r="M411" s="816"/>
      <c r="N411" s="816"/>
      <c r="O411" s="1435"/>
    </row>
    <row r="412" spans="1:15" s="791" customFormat="1" ht="36">
      <c r="A412" s="757" t="s">
        <v>1078</v>
      </c>
      <c r="B412" s="819" t="s">
        <v>1080</v>
      </c>
      <c r="C412" s="816"/>
      <c r="D412" s="816"/>
      <c r="E412" s="816"/>
      <c r="F412" s="816"/>
      <c r="G412" s="816"/>
      <c r="H412" s="816"/>
      <c r="I412" s="816"/>
      <c r="J412" s="816"/>
      <c r="K412" s="816"/>
      <c r="L412" s="816">
        <v>640000</v>
      </c>
      <c r="M412" s="816"/>
      <c r="N412" s="816"/>
      <c r="O412" s="1435"/>
    </row>
    <row r="413" spans="1:15" s="791" customFormat="1" ht="72">
      <c r="A413" s="757" t="s">
        <v>1078</v>
      </c>
      <c r="B413" s="819" t="s">
        <v>1081</v>
      </c>
      <c r="C413" s="816"/>
      <c r="D413" s="816"/>
      <c r="E413" s="816"/>
      <c r="F413" s="816"/>
      <c r="G413" s="816"/>
      <c r="H413" s="816"/>
      <c r="I413" s="816"/>
      <c r="J413" s="816">
        <f>241000+647000+392000</f>
        <v>1280000</v>
      </c>
      <c r="K413" s="816"/>
      <c r="L413" s="816"/>
      <c r="M413" s="816"/>
      <c r="N413" s="816"/>
      <c r="O413" s="771" t="s">
        <v>1082</v>
      </c>
    </row>
    <row r="414" spans="1:15" s="791" customFormat="1" ht="27">
      <c r="A414" s="757" t="s">
        <v>1083</v>
      </c>
      <c r="B414" s="819" t="s">
        <v>1084</v>
      </c>
      <c r="C414" s="816"/>
      <c r="D414" s="816"/>
      <c r="E414" s="816"/>
      <c r="F414" s="816"/>
      <c r="G414" s="816"/>
      <c r="H414" s="816"/>
      <c r="I414" s="816"/>
      <c r="J414" s="816">
        <v>1114000</v>
      </c>
      <c r="K414" s="816"/>
      <c r="L414" s="816"/>
      <c r="M414" s="816"/>
      <c r="N414" s="816"/>
      <c r="O414" s="771"/>
    </row>
    <row r="415" spans="1:15" s="791" customFormat="1" ht="18">
      <c r="A415" s="757" t="s">
        <v>1083</v>
      </c>
      <c r="B415" s="819" t="s">
        <v>1085</v>
      </c>
      <c r="C415" s="816"/>
      <c r="D415" s="816"/>
      <c r="E415" s="816"/>
      <c r="F415" s="816"/>
      <c r="G415" s="816"/>
      <c r="H415" s="816"/>
      <c r="I415" s="816"/>
      <c r="J415" s="816">
        <v>100000</v>
      </c>
      <c r="K415" s="816"/>
      <c r="L415" s="816"/>
      <c r="M415" s="816"/>
      <c r="N415" s="816"/>
      <c r="O415" s="771"/>
    </row>
    <row r="416" spans="1:15" s="791" customFormat="1" ht="18">
      <c r="A416" s="757" t="s">
        <v>1083</v>
      </c>
      <c r="B416" s="819" t="s">
        <v>1086</v>
      </c>
      <c r="C416" s="816"/>
      <c r="D416" s="816"/>
      <c r="E416" s="816"/>
      <c r="F416" s="816"/>
      <c r="G416" s="816"/>
      <c r="H416" s="816"/>
      <c r="I416" s="816"/>
      <c r="J416" s="816">
        <v>50000</v>
      </c>
      <c r="K416" s="816"/>
      <c r="L416" s="816"/>
      <c r="M416" s="816"/>
      <c r="N416" s="816"/>
      <c r="O416" s="771"/>
    </row>
    <row r="417" spans="1:15" s="791" customFormat="1" ht="18">
      <c r="A417" s="757" t="s">
        <v>254</v>
      </c>
      <c r="B417" s="819" t="s">
        <v>1032</v>
      </c>
      <c r="C417" s="816"/>
      <c r="D417" s="816"/>
      <c r="E417" s="816"/>
      <c r="F417" s="816"/>
      <c r="G417" s="816"/>
      <c r="H417" s="816"/>
      <c r="I417" s="816"/>
      <c r="J417" s="816">
        <v>108000</v>
      </c>
      <c r="K417" s="816"/>
      <c r="L417" s="816"/>
      <c r="M417" s="816"/>
      <c r="N417" s="816"/>
      <c r="O417" s="771"/>
    </row>
    <row r="418" spans="1:15" s="791" customFormat="1" ht="45">
      <c r="A418" s="757" t="s">
        <v>254</v>
      </c>
      <c r="B418" s="819" t="s">
        <v>1087</v>
      </c>
      <c r="C418" s="816"/>
      <c r="D418" s="816"/>
      <c r="E418" s="816"/>
      <c r="F418" s="816"/>
      <c r="G418" s="816"/>
      <c r="H418" s="816"/>
      <c r="I418" s="816"/>
      <c r="J418" s="816">
        <v>4555000</v>
      </c>
      <c r="K418" s="816"/>
      <c r="L418" s="816"/>
      <c r="M418" s="816"/>
      <c r="N418" s="816"/>
      <c r="O418" s="771" t="s">
        <v>1088</v>
      </c>
    </row>
    <row r="419" spans="1:15" s="791" customFormat="1" ht="9">
      <c r="A419" s="757" t="s">
        <v>254</v>
      </c>
      <c r="B419" s="819" t="s">
        <v>897</v>
      </c>
      <c r="C419" s="816"/>
      <c r="D419" s="816"/>
      <c r="E419" s="816"/>
      <c r="F419" s="816"/>
      <c r="G419" s="816"/>
      <c r="H419" s="816"/>
      <c r="I419" s="816"/>
      <c r="J419" s="816">
        <v>2200</v>
      </c>
      <c r="K419" s="816"/>
      <c r="L419" s="816"/>
      <c r="M419" s="816"/>
      <c r="N419" s="816"/>
      <c r="O419" s="771"/>
    </row>
    <row r="420" spans="1:15" s="791" customFormat="1" ht="27">
      <c r="A420" s="757" t="s">
        <v>254</v>
      </c>
      <c r="B420" s="819" t="s">
        <v>1089</v>
      </c>
      <c r="C420" s="816"/>
      <c r="D420" s="816"/>
      <c r="E420" s="816"/>
      <c r="F420" s="816"/>
      <c r="G420" s="816"/>
      <c r="H420" s="816"/>
      <c r="I420" s="816"/>
      <c r="J420" s="816">
        <v>13180000</v>
      </c>
      <c r="K420" s="816"/>
      <c r="L420" s="816"/>
      <c r="M420" s="816"/>
      <c r="N420" s="816"/>
      <c r="O420" s="771"/>
    </row>
    <row r="421" spans="1:15" s="791" customFormat="1" ht="27">
      <c r="A421" s="757" t="s">
        <v>254</v>
      </c>
      <c r="B421" s="819" t="s">
        <v>1090</v>
      </c>
      <c r="C421" s="816"/>
      <c r="D421" s="816"/>
      <c r="E421" s="816"/>
      <c r="F421" s="816"/>
      <c r="G421" s="816"/>
      <c r="H421" s="816"/>
      <c r="I421" s="816"/>
      <c r="J421" s="816">
        <v>6171000</v>
      </c>
      <c r="K421" s="816"/>
      <c r="L421" s="816"/>
      <c r="M421" s="816"/>
      <c r="N421" s="816"/>
      <c r="O421" s="771"/>
    </row>
    <row r="422" spans="1:15" s="791" customFormat="1" ht="9">
      <c r="A422" s="757" t="s">
        <v>254</v>
      </c>
      <c r="B422" s="819" t="s">
        <v>897</v>
      </c>
      <c r="C422" s="816"/>
      <c r="D422" s="816"/>
      <c r="E422" s="816"/>
      <c r="F422" s="816"/>
      <c r="G422" s="816"/>
      <c r="H422" s="816"/>
      <c r="I422" s="816"/>
      <c r="J422" s="816">
        <v>7700</v>
      </c>
      <c r="K422" s="816"/>
      <c r="L422" s="816"/>
      <c r="M422" s="816"/>
      <c r="N422" s="816"/>
      <c r="O422" s="771"/>
    </row>
    <row r="423" spans="1:15" s="791" customFormat="1" ht="27">
      <c r="A423" s="757" t="s">
        <v>1091</v>
      </c>
      <c r="B423" s="819" t="s">
        <v>1092</v>
      </c>
      <c r="C423" s="816"/>
      <c r="D423" s="816"/>
      <c r="E423" s="816"/>
      <c r="F423" s="816"/>
      <c r="G423" s="816"/>
      <c r="H423" s="816"/>
      <c r="I423" s="816"/>
      <c r="J423" s="816">
        <v>3200000</v>
      </c>
      <c r="K423" s="816"/>
      <c r="L423" s="816"/>
      <c r="M423" s="816"/>
      <c r="N423" s="816"/>
      <c r="O423" s="771"/>
    </row>
    <row r="424" spans="1:15" s="791" customFormat="1" ht="9">
      <c r="A424" s="757" t="s">
        <v>1091</v>
      </c>
      <c r="B424" s="819" t="s">
        <v>1093</v>
      </c>
      <c r="C424" s="816"/>
      <c r="D424" s="816"/>
      <c r="E424" s="816"/>
      <c r="F424" s="816"/>
      <c r="G424" s="816"/>
      <c r="H424" s="816"/>
      <c r="I424" s="816"/>
      <c r="J424" s="816">
        <v>1200000</v>
      </c>
      <c r="K424" s="816"/>
      <c r="L424" s="816"/>
      <c r="M424" s="816"/>
      <c r="N424" s="816"/>
      <c r="O424" s="771" t="s">
        <v>1094</v>
      </c>
    </row>
    <row r="425" spans="1:15" s="791" customFormat="1" ht="27">
      <c r="A425" s="757" t="s">
        <v>281</v>
      </c>
      <c r="B425" s="819" t="s">
        <v>1095</v>
      </c>
      <c r="C425" s="816"/>
      <c r="D425" s="816"/>
      <c r="E425" s="816"/>
      <c r="F425" s="816"/>
      <c r="G425" s="816"/>
      <c r="H425" s="816"/>
      <c r="I425" s="816"/>
      <c r="J425" s="816">
        <v>2340000</v>
      </c>
      <c r="K425" s="816"/>
      <c r="L425" s="816"/>
      <c r="M425" s="816"/>
      <c r="N425" s="816"/>
      <c r="O425" s="771"/>
    </row>
    <row r="426" spans="1:15" s="791" customFormat="1" ht="27">
      <c r="A426" s="757" t="s">
        <v>281</v>
      </c>
      <c r="B426" s="819" t="s">
        <v>1096</v>
      </c>
      <c r="C426" s="816"/>
      <c r="D426" s="816"/>
      <c r="E426" s="816"/>
      <c r="F426" s="816"/>
      <c r="G426" s="816"/>
      <c r="H426" s="816"/>
      <c r="I426" s="816"/>
      <c r="J426" s="816">
        <v>800000</v>
      </c>
      <c r="K426" s="816"/>
      <c r="L426" s="816"/>
      <c r="M426" s="816"/>
      <c r="N426" s="816"/>
      <c r="O426" s="771" t="s">
        <v>1097</v>
      </c>
    </row>
    <row r="427" spans="1:15" s="791" customFormat="1" ht="18">
      <c r="A427" s="757" t="s">
        <v>281</v>
      </c>
      <c r="B427" s="819" t="s">
        <v>1098</v>
      </c>
      <c r="C427" s="816"/>
      <c r="D427" s="816"/>
      <c r="E427" s="816"/>
      <c r="F427" s="816"/>
      <c r="G427" s="816"/>
      <c r="H427" s="816"/>
      <c r="I427" s="816"/>
      <c r="J427" s="816">
        <v>10200000</v>
      </c>
      <c r="K427" s="816"/>
      <c r="L427" s="816"/>
      <c r="M427" s="816"/>
      <c r="N427" s="816"/>
      <c r="O427" s="771" t="s">
        <v>1099</v>
      </c>
    </row>
    <row r="428" spans="1:15" s="791" customFormat="1" ht="18">
      <c r="A428" s="757" t="s">
        <v>281</v>
      </c>
      <c r="B428" s="819" t="s">
        <v>1100</v>
      </c>
      <c r="C428" s="816"/>
      <c r="D428" s="816"/>
      <c r="E428" s="816"/>
      <c r="F428" s="816"/>
      <c r="G428" s="816"/>
      <c r="H428" s="816"/>
      <c r="I428" s="816"/>
      <c r="J428" s="816">
        <v>500000</v>
      </c>
      <c r="K428" s="816"/>
      <c r="L428" s="816"/>
      <c r="M428" s="816"/>
      <c r="N428" s="816"/>
      <c r="O428" s="771"/>
    </row>
    <row r="429" spans="1:15" s="791" customFormat="1" ht="36">
      <c r="A429" s="757" t="s">
        <v>281</v>
      </c>
      <c r="B429" s="819" t="s">
        <v>1101</v>
      </c>
      <c r="C429" s="816"/>
      <c r="D429" s="816"/>
      <c r="E429" s="816"/>
      <c r="F429" s="816"/>
      <c r="G429" s="816"/>
      <c r="H429" s="816"/>
      <c r="I429" s="816"/>
      <c r="J429" s="816">
        <v>75000</v>
      </c>
      <c r="K429" s="816"/>
      <c r="L429" s="816"/>
      <c r="M429" s="816"/>
      <c r="N429" s="816"/>
      <c r="O429" s="771"/>
    </row>
    <row r="430" spans="1:15" s="791" customFormat="1" ht="36">
      <c r="A430" s="757" t="s">
        <v>281</v>
      </c>
      <c r="B430" s="819" t="s">
        <v>1102</v>
      </c>
      <c r="C430" s="816"/>
      <c r="D430" s="816"/>
      <c r="E430" s="816"/>
      <c r="F430" s="816"/>
      <c r="G430" s="816"/>
      <c r="H430" s="816"/>
      <c r="I430" s="816"/>
      <c r="J430" s="816">
        <v>1200000</v>
      </c>
      <c r="K430" s="816"/>
      <c r="L430" s="816"/>
      <c r="M430" s="816"/>
      <c r="N430" s="816"/>
      <c r="O430" s="771"/>
    </row>
    <row r="431" spans="1:15" s="791" customFormat="1" ht="36">
      <c r="A431" s="757" t="s">
        <v>281</v>
      </c>
      <c r="B431" s="819" t="s">
        <v>1103</v>
      </c>
      <c r="C431" s="816"/>
      <c r="D431" s="816"/>
      <c r="E431" s="816"/>
      <c r="F431" s="816"/>
      <c r="G431" s="816"/>
      <c r="H431" s="816"/>
      <c r="I431" s="816"/>
      <c r="J431" s="816">
        <v>60000</v>
      </c>
      <c r="K431" s="816"/>
      <c r="L431" s="816"/>
      <c r="M431" s="816"/>
      <c r="N431" s="816"/>
      <c r="O431" s="771"/>
    </row>
    <row r="432" spans="1:15" s="791" customFormat="1" ht="27">
      <c r="A432" s="757" t="s">
        <v>281</v>
      </c>
      <c r="B432" s="819" t="s">
        <v>1104</v>
      </c>
      <c r="C432" s="816"/>
      <c r="D432" s="816"/>
      <c r="E432" s="816"/>
      <c r="F432" s="816"/>
      <c r="G432" s="816"/>
      <c r="H432" s="816"/>
      <c r="I432" s="816"/>
      <c r="J432" s="816">
        <v>500000</v>
      </c>
      <c r="K432" s="816"/>
      <c r="L432" s="816"/>
      <c r="M432" s="816"/>
      <c r="N432" s="816"/>
      <c r="O432" s="771" t="s">
        <v>1105</v>
      </c>
    </row>
    <row r="433" spans="1:15" s="791" customFormat="1" ht="18">
      <c r="A433" s="757" t="s">
        <v>256</v>
      </c>
      <c r="B433" s="819" t="s">
        <v>1106</v>
      </c>
      <c r="C433" s="816"/>
      <c r="D433" s="816"/>
      <c r="E433" s="816"/>
      <c r="F433" s="816"/>
      <c r="G433" s="816"/>
      <c r="H433" s="816"/>
      <c r="I433" s="816"/>
      <c r="J433" s="816">
        <v>1023000</v>
      </c>
      <c r="K433" s="816"/>
      <c r="L433" s="816"/>
      <c r="M433" s="816"/>
      <c r="N433" s="816"/>
      <c r="O433" s="771"/>
    </row>
    <row r="434" spans="1:15" s="791" customFormat="1" ht="27">
      <c r="A434" s="757" t="s">
        <v>256</v>
      </c>
      <c r="B434" s="819" t="s">
        <v>1107</v>
      </c>
      <c r="C434" s="816"/>
      <c r="D434" s="816"/>
      <c r="E434" s="816"/>
      <c r="F434" s="816"/>
      <c r="G434" s="816"/>
      <c r="H434" s="816"/>
      <c r="I434" s="816"/>
      <c r="J434" s="816">
        <v>1380000</v>
      </c>
      <c r="K434" s="816"/>
      <c r="L434" s="816"/>
      <c r="M434" s="816"/>
      <c r="N434" s="816"/>
      <c r="O434" s="771"/>
    </row>
    <row r="435" spans="1:15" s="791" customFormat="1" ht="27">
      <c r="A435" s="757" t="s">
        <v>261</v>
      </c>
      <c r="B435" s="819" t="s">
        <v>1108</v>
      </c>
      <c r="C435" s="816"/>
      <c r="D435" s="816"/>
      <c r="E435" s="816"/>
      <c r="F435" s="816"/>
      <c r="G435" s="816"/>
      <c r="H435" s="816"/>
      <c r="I435" s="816"/>
      <c r="J435" s="816">
        <v>7000000</v>
      </c>
      <c r="K435" s="752"/>
      <c r="L435" s="816"/>
      <c r="M435" s="816"/>
      <c r="N435" s="816"/>
      <c r="O435" s="771"/>
    </row>
    <row r="436" spans="1:15" s="791" customFormat="1" ht="9">
      <c r="A436" s="757" t="s">
        <v>261</v>
      </c>
      <c r="B436" s="819" t="s">
        <v>897</v>
      </c>
      <c r="C436" s="816"/>
      <c r="D436" s="816"/>
      <c r="E436" s="816"/>
      <c r="F436" s="816"/>
      <c r="G436" s="816"/>
      <c r="H436" s="816"/>
      <c r="I436" s="816"/>
      <c r="J436" s="816">
        <v>10000</v>
      </c>
      <c r="K436" s="752"/>
      <c r="L436" s="816"/>
      <c r="M436" s="816"/>
      <c r="N436" s="816"/>
      <c r="O436" s="771"/>
    </row>
    <row r="437" spans="1:15" s="791" customFormat="1" ht="45">
      <c r="A437" s="757" t="s">
        <v>261</v>
      </c>
      <c r="B437" s="819" t="s">
        <v>1109</v>
      </c>
      <c r="C437" s="816"/>
      <c r="D437" s="816"/>
      <c r="E437" s="816"/>
      <c r="F437" s="816"/>
      <c r="G437" s="816"/>
      <c r="H437" s="816"/>
      <c r="I437" s="816"/>
      <c r="J437" s="816">
        <v>11000</v>
      </c>
      <c r="K437" s="752"/>
      <c r="L437" s="816"/>
      <c r="M437" s="816"/>
      <c r="N437" s="816"/>
      <c r="O437" s="771"/>
    </row>
    <row r="438" spans="1:15" s="791" customFormat="1" ht="54">
      <c r="A438" s="757" t="s">
        <v>261</v>
      </c>
      <c r="B438" s="819" t="s">
        <v>1110</v>
      </c>
      <c r="C438" s="816"/>
      <c r="D438" s="816"/>
      <c r="E438" s="816"/>
      <c r="F438" s="816"/>
      <c r="G438" s="816"/>
      <c r="H438" s="816"/>
      <c r="I438" s="816"/>
      <c r="J438" s="816">
        <v>10000</v>
      </c>
      <c r="K438" s="752"/>
      <c r="L438" s="816"/>
      <c r="M438" s="816"/>
      <c r="N438" s="816"/>
      <c r="O438" s="771"/>
    </row>
    <row r="439" spans="1:15" s="791" customFormat="1" ht="45">
      <c r="A439" s="757" t="s">
        <v>261</v>
      </c>
      <c r="B439" s="819" t="s">
        <v>1111</v>
      </c>
      <c r="C439" s="816"/>
      <c r="D439" s="816"/>
      <c r="E439" s="816"/>
      <c r="F439" s="816"/>
      <c r="G439" s="816"/>
      <c r="H439" s="816"/>
      <c r="I439" s="816"/>
      <c r="J439" s="816">
        <v>11000</v>
      </c>
      <c r="K439" s="752"/>
      <c r="L439" s="816"/>
      <c r="M439" s="816"/>
      <c r="N439" s="816"/>
      <c r="O439" s="771"/>
    </row>
    <row r="440" spans="1:15" s="791" customFormat="1" ht="36">
      <c r="A440" s="757" t="s">
        <v>269</v>
      </c>
      <c r="B440" s="819" t="s">
        <v>1112</v>
      </c>
      <c r="C440" s="816"/>
      <c r="D440" s="816"/>
      <c r="E440" s="816"/>
      <c r="F440" s="816"/>
      <c r="G440" s="816"/>
      <c r="H440" s="816"/>
      <c r="I440" s="816"/>
      <c r="J440" s="816">
        <v>250000</v>
      </c>
      <c r="K440" s="816"/>
      <c r="L440" s="816"/>
      <c r="M440" s="816"/>
      <c r="N440" s="816"/>
      <c r="O440" s="771"/>
    </row>
    <row r="441" spans="1:15" s="791" customFormat="1" ht="36">
      <c r="A441" s="757" t="s">
        <v>269</v>
      </c>
      <c r="B441" s="819" t="s">
        <v>1113</v>
      </c>
      <c r="C441" s="816"/>
      <c r="D441" s="816"/>
      <c r="E441" s="816"/>
      <c r="F441" s="816"/>
      <c r="G441" s="816"/>
      <c r="H441" s="816"/>
      <c r="I441" s="816"/>
      <c r="J441" s="816">
        <v>70000</v>
      </c>
      <c r="K441" s="816"/>
      <c r="L441" s="816"/>
      <c r="M441" s="816"/>
      <c r="N441" s="816"/>
      <c r="O441" s="771"/>
    </row>
    <row r="442" spans="1:15" s="791" customFormat="1" ht="36">
      <c r="A442" s="757" t="s">
        <v>269</v>
      </c>
      <c r="B442" s="819" t="s">
        <v>1114</v>
      </c>
      <c r="C442" s="816"/>
      <c r="D442" s="816"/>
      <c r="E442" s="816"/>
      <c r="F442" s="816"/>
      <c r="G442" s="816"/>
      <c r="H442" s="816"/>
      <c r="I442" s="816"/>
      <c r="J442" s="816">
        <v>1200000</v>
      </c>
      <c r="K442" s="816"/>
      <c r="L442" s="816"/>
      <c r="M442" s="816"/>
      <c r="N442" s="816"/>
      <c r="O442" s="771"/>
    </row>
    <row r="443" spans="1:15" s="791" customFormat="1" ht="27">
      <c r="A443" s="757" t="s">
        <v>269</v>
      </c>
      <c r="B443" s="819" t="s">
        <v>1115</v>
      </c>
      <c r="C443" s="816"/>
      <c r="D443" s="816"/>
      <c r="E443" s="816"/>
      <c r="F443" s="816"/>
      <c r="G443" s="816"/>
      <c r="H443" s="816"/>
      <c r="I443" s="816"/>
      <c r="J443" s="816">
        <v>1000000</v>
      </c>
      <c r="K443" s="816"/>
      <c r="L443" s="816"/>
      <c r="M443" s="816"/>
      <c r="N443" s="816"/>
      <c r="O443" s="771"/>
    </row>
    <row r="444" spans="1:15" s="791" customFormat="1" ht="18">
      <c r="A444" s="757" t="s">
        <v>269</v>
      </c>
      <c r="B444" s="819" t="s">
        <v>1116</v>
      </c>
      <c r="C444" s="816"/>
      <c r="D444" s="816"/>
      <c r="E444" s="816"/>
      <c r="F444" s="816"/>
      <c r="G444" s="816"/>
      <c r="H444" s="816"/>
      <c r="I444" s="816"/>
      <c r="J444" s="816">
        <v>10000000</v>
      </c>
      <c r="K444" s="816"/>
      <c r="L444" s="816"/>
      <c r="M444" s="816"/>
      <c r="N444" s="816"/>
      <c r="O444" s="771"/>
    </row>
    <row r="445" spans="1:15" s="791" customFormat="1" ht="27">
      <c r="A445" s="757" t="s">
        <v>275</v>
      </c>
      <c r="B445" s="819" t="s">
        <v>1117</v>
      </c>
      <c r="C445" s="816"/>
      <c r="D445" s="816"/>
      <c r="E445" s="816"/>
      <c r="F445" s="816"/>
      <c r="G445" s="816"/>
      <c r="H445" s="816">
        <v>10000000</v>
      </c>
      <c r="I445" s="816"/>
      <c r="J445" s="816"/>
      <c r="K445" s="816"/>
      <c r="L445" s="816"/>
      <c r="M445" s="816"/>
      <c r="N445" s="816"/>
      <c r="O445" s="771"/>
    </row>
    <row r="446" spans="1:15" s="791" customFormat="1" ht="27">
      <c r="A446" s="757" t="s">
        <v>275</v>
      </c>
      <c r="B446" s="819" t="s">
        <v>1118</v>
      </c>
      <c r="C446" s="816"/>
      <c r="D446" s="816"/>
      <c r="E446" s="816"/>
      <c r="F446" s="816"/>
      <c r="G446" s="816"/>
      <c r="H446" s="816"/>
      <c r="I446" s="816"/>
      <c r="J446" s="816"/>
      <c r="K446" s="816"/>
      <c r="L446" s="816">
        <v>3140000</v>
      </c>
      <c r="M446" s="816"/>
      <c r="N446" s="816"/>
      <c r="O446" s="771"/>
    </row>
    <row r="447" spans="1:15" s="791" customFormat="1" ht="45">
      <c r="A447" s="757" t="s">
        <v>275</v>
      </c>
      <c r="B447" s="819" t="s">
        <v>1119</v>
      </c>
      <c r="C447" s="816"/>
      <c r="D447" s="816"/>
      <c r="E447" s="816"/>
      <c r="F447" s="816"/>
      <c r="G447" s="816"/>
      <c r="H447" s="816"/>
      <c r="I447" s="816"/>
      <c r="J447" s="752"/>
      <c r="K447" s="816"/>
      <c r="L447" s="816">
        <v>120000</v>
      </c>
      <c r="M447" s="816"/>
      <c r="N447" s="816"/>
      <c r="O447" s="771"/>
    </row>
    <row r="448" spans="1:15" s="791" customFormat="1" ht="45">
      <c r="A448" s="757" t="s">
        <v>275</v>
      </c>
      <c r="B448" s="819" t="s">
        <v>1120</v>
      </c>
      <c r="C448" s="816"/>
      <c r="D448" s="816"/>
      <c r="E448" s="816"/>
      <c r="F448" s="816"/>
      <c r="G448" s="816"/>
      <c r="H448" s="816"/>
      <c r="I448" s="816"/>
      <c r="J448" s="752"/>
      <c r="K448" s="816"/>
      <c r="L448" s="816">
        <v>490000</v>
      </c>
      <c r="M448" s="816"/>
      <c r="N448" s="816"/>
      <c r="O448" s="771"/>
    </row>
    <row r="449" spans="1:15" s="791" customFormat="1" ht="36">
      <c r="A449" s="757" t="s">
        <v>275</v>
      </c>
      <c r="B449" s="819" t="s">
        <v>1121</v>
      </c>
      <c r="C449" s="816"/>
      <c r="D449" s="816"/>
      <c r="E449" s="816"/>
      <c r="F449" s="816"/>
      <c r="G449" s="816"/>
      <c r="H449" s="816"/>
      <c r="I449" s="816"/>
      <c r="J449" s="752"/>
      <c r="K449" s="816"/>
      <c r="L449" s="816">
        <v>780000</v>
      </c>
      <c r="M449" s="816"/>
      <c r="N449" s="816"/>
      <c r="O449" s="771"/>
    </row>
    <row r="450" spans="1:15" s="791" customFormat="1" ht="27">
      <c r="A450" s="757" t="s">
        <v>1122</v>
      </c>
      <c r="B450" s="819" t="s">
        <v>1123</v>
      </c>
      <c r="C450" s="816"/>
      <c r="D450" s="816"/>
      <c r="E450" s="816"/>
      <c r="F450" s="816"/>
      <c r="G450" s="816"/>
      <c r="H450" s="816"/>
      <c r="I450" s="816"/>
      <c r="J450" s="816">
        <v>300000</v>
      </c>
      <c r="K450" s="816"/>
      <c r="L450" s="816"/>
      <c r="M450" s="816"/>
      <c r="N450" s="816"/>
      <c r="O450" s="771"/>
    </row>
    <row r="451" spans="1:15" s="791" customFormat="1" ht="18">
      <c r="A451" s="757" t="s">
        <v>1122</v>
      </c>
      <c r="B451" s="819" t="s">
        <v>1124</v>
      </c>
      <c r="C451" s="816"/>
      <c r="D451" s="816"/>
      <c r="E451" s="816"/>
      <c r="F451" s="816"/>
      <c r="G451" s="816"/>
      <c r="H451" s="816"/>
      <c r="I451" s="816"/>
      <c r="J451" s="816">
        <v>625000</v>
      </c>
      <c r="K451" s="816"/>
      <c r="L451" s="816"/>
      <c r="M451" s="816"/>
      <c r="N451" s="816"/>
      <c r="O451" s="771"/>
    </row>
    <row r="452" spans="1:15" s="791" customFormat="1" ht="9">
      <c r="A452" s="757" t="s">
        <v>1122</v>
      </c>
      <c r="B452" s="819" t="s">
        <v>1125</v>
      </c>
      <c r="C452" s="816"/>
      <c r="D452" s="816"/>
      <c r="E452" s="816"/>
      <c r="F452" s="816"/>
      <c r="G452" s="816"/>
      <c r="H452" s="816"/>
      <c r="I452" s="816"/>
      <c r="J452" s="816">
        <v>382000</v>
      </c>
      <c r="K452" s="816"/>
      <c r="L452" s="816"/>
      <c r="M452" s="816"/>
      <c r="N452" s="816"/>
      <c r="O452" s="771"/>
    </row>
    <row r="453" spans="1:15" s="791" customFormat="1" ht="18">
      <c r="A453" s="757" t="s">
        <v>1126</v>
      </c>
      <c r="B453" s="819" t="s">
        <v>1127</v>
      </c>
      <c r="C453" s="816"/>
      <c r="D453" s="816"/>
      <c r="E453" s="816"/>
      <c r="F453" s="816"/>
      <c r="G453" s="816"/>
      <c r="H453" s="816">
        <v>114012000</v>
      </c>
      <c r="I453" s="816"/>
      <c r="J453" s="816"/>
      <c r="K453" s="816"/>
      <c r="L453" s="816"/>
      <c r="M453" s="816"/>
      <c r="N453" s="816"/>
      <c r="O453" s="771"/>
    </row>
    <row r="454" spans="1:15" s="791" customFormat="1" ht="18">
      <c r="A454" s="757" t="s">
        <v>1126</v>
      </c>
      <c r="B454" s="819" t="s">
        <v>1128</v>
      </c>
      <c r="C454" s="816"/>
      <c r="D454" s="816"/>
      <c r="E454" s="816"/>
      <c r="F454" s="816"/>
      <c r="G454" s="816"/>
      <c r="H454" s="816"/>
      <c r="I454" s="816"/>
      <c r="J454" s="816">
        <v>499000</v>
      </c>
      <c r="K454" s="816"/>
      <c r="L454" s="816"/>
      <c r="M454" s="816"/>
      <c r="N454" s="816"/>
      <c r="O454" s="771"/>
    </row>
    <row r="455" spans="1:15" s="791" customFormat="1" ht="18">
      <c r="A455" s="757" t="s">
        <v>1126</v>
      </c>
      <c r="B455" s="819" t="s">
        <v>1129</v>
      </c>
      <c r="C455" s="816"/>
      <c r="D455" s="816"/>
      <c r="E455" s="816"/>
      <c r="F455" s="816"/>
      <c r="G455" s="816"/>
      <c r="H455" s="816"/>
      <c r="I455" s="816"/>
      <c r="J455" s="816">
        <v>500000</v>
      </c>
      <c r="K455" s="816"/>
      <c r="L455" s="816"/>
      <c r="M455" s="816"/>
      <c r="N455" s="816"/>
      <c r="O455" s="771"/>
    </row>
    <row r="456" spans="1:15" s="791" customFormat="1" ht="54">
      <c r="A456" s="757" t="s">
        <v>289</v>
      </c>
      <c r="B456" s="819" t="s">
        <v>1130</v>
      </c>
      <c r="C456" s="816"/>
      <c r="D456" s="816"/>
      <c r="E456" s="816"/>
      <c r="F456" s="816"/>
      <c r="G456" s="816"/>
      <c r="H456" s="816"/>
      <c r="I456" s="816"/>
      <c r="J456" s="752"/>
      <c r="K456" s="816"/>
      <c r="L456" s="816">
        <v>145000</v>
      </c>
      <c r="M456" s="816"/>
      <c r="N456" s="816"/>
      <c r="O456" s="771"/>
    </row>
    <row r="457" spans="1:15" s="791" customFormat="1" ht="54">
      <c r="A457" s="757" t="s">
        <v>289</v>
      </c>
      <c r="B457" s="819" t="s">
        <v>1131</v>
      </c>
      <c r="C457" s="816"/>
      <c r="D457" s="816"/>
      <c r="E457" s="816"/>
      <c r="F457" s="816"/>
      <c r="G457" s="816"/>
      <c r="H457" s="816"/>
      <c r="I457" s="816"/>
      <c r="J457" s="752"/>
      <c r="K457" s="816"/>
      <c r="L457" s="816">
        <v>250000</v>
      </c>
      <c r="M457" s="816"/>
      <c r="N457" s="816"/>
      <c r="O457" s="771"/>
    </row>
    <row r="458" spans="1:15" s="791" customFormat="1" ht="54">
      <c r="A458" s="757" t="s">
        <v>289</v>
      </c>
      <c r="B458" s="819" t="s">
        <v>1132</v>
      </c>
      <c r="C458" s="816"/>
      <c r="D458" s="816"/>
      <c r="E458" s="816"/>
      <c r="F458" s="816"/>
      <c r="G458" s="816"/>
      <c r="H458" s="816"/>
      <c r="I458" s="816"/>
      <c r="J458" s="752"/>
      <c r="K458" s="816"/>
      <c r="L458" s="816">
        <v>980000</v>
      </c>
      <c r="M458" s="816"/>
      <c r="N458" s="816"/>
      <c r="O458" s="771"/>
    </row>
    <row r="459" spans="1:15" s="791" customFormat="1" ht="18">
      <c r="A459" s="757" t="s">
        <v>293</v>
      </c>
      <c r="B459" s="819" t="s">
        <v>1133</v>
      </c>
      <c r="C459" s="816"/>
      <c r="D459" s="816"/>
      <c r="E459" s="816"/>
      <c r="F459" s="816"/>
      <c r="G459" s="816"/>
      <c r="H459" s="816"/>
      <c r="I459" s="816"/>
      <c r="J459" s="816">
        <v>1500000</v>
      </c>
      <c r="K459" s="816"/>
      <c r="L459" s="816"/>
      <c r="M459" s="816"/>
      <c r="N459" s="816"/>
      <c r="O459" s="771"/>
    </row>
    <row r="460" spans="1:15" s="791" customFormat="1" ht="9">
      <c r="A460" s="757" t="s">
        <v>293</v>
      </c>
      <c r="B460" s="819" t="s">
        <v>897</v>
      </c>
      <c r="C460" s="816"/>
      <c r="D460" s="816"/>
      <c r="E460" s="816"/>
      <c r="F460" s="816"/>
      <c r="G460" s="816"/>
      <c r="H460" s="816"/>
      <c r="I460" s="816"/>
      <c r="J460" s="816">
        <v>10000</v>
      </c>
      <c r="K460" s="816"/>
      <c r="L460" s="816"/>
      <c r="M460" s="816"/>
      <c r="N460" s="816"/>
      <c r="O460" s="771"/>
    </row>
    <row r="461" spans="1:15" s="791" customFormat="1" ht="36">
      <c r="A461" s="757" t="s">
        <v>1134</v>
      </c>
      <c r="B461" s="819" t="s">
        <v>1135</v>
      </c>
      <c r="C461" s="816"/>
      <c r="D461" s="816"/>
      <c r="E461" s="816"/>
      <c r="F461" s="816"/>
      <c r="G461" s="816"/>
      <c r="H461" s="816"/>
      <c r="I461" s="816"/>
      <c r="J461" s="752"/>
      <c r="K461" s="816"/>
      <c r="L461" s="816">
        <v>30000</v>
      </c>
      <c r="M461" s="816"/>
      <c r="N461" s="816"/>
      <c r="O461" s="771"/>
    </row>
    <row r="462" spans="1:15" s="791" customFormat="1" ht="36">
      <c r="A462" s="757" t="s">
        <v>1134</v>
      </c>
      <c r="B462" s="819" t="s">
        <v>1136</v>
      </c>
      <c r="C462" s="816"/>
      <c r="D462" s="816"/>
      <c r="E462" s="816"/>
      <c r="F462" s="816"/>
      <c r="G462" s="816"/>
      <c r="H462" s="816"/>
      <c r="I462" s="816"/>
      <c r="J462" s="752"/>
      <c r="K462" s="816"/>
      <c r="L462" s="816">
        <v>80000</v>
      </c>
      <c r="M462" s="816"/>
      <c r="N462" s="816"/>
      <c r="O462" s="771"/>
    </row>
    <row r="463" spans="1:15" s="791" customFormat="1" ht="36">
      <c r="A463" s="757" t="s">
        <v>1134</v>
      </c>
      <c r="B463" s="819" t="s">
        <v>1137</v>
      </c>
      <c r="C463" s="816"/>
      <c r="D463" s="816"/>
      <c r="E463" s="816"/>
      <c r="F463" s="816"/>
      <c r="G463" s="816"/>
      <c r="H463" s="816"/>
      <c r="I463" s="816"/>
      <c r="J463" s="752"/>
      <c r="K463" s="816"/>
      <c r="L463" s="816">
        <v>380000</v>
      </c>
      <c r="M463" s="816"/>
      <c r="N463" s="816"/>
      <c r="O463" s="771"/>
    </row>
    <row r="464" spans="1:15" s="791" customFormat="1" ht="36">
      <c r="A464" s="757" t="s">
        <v>288</v>
      </c>
      <c r="B464" s="819" t="s">
        <v>1138</v>
      </c>
      <c r="C464" s="816"/>
      <c r="D464" s="816"/>
      <c r="E464" s="816"/>
      <c r="F464" s="816"/>
      <c r="G464" s="816"/>
      <c r="H464" s="816"/>
      <c r="I464" s="816"/>
      <c r="J464" s="816">
        <v>47000</v>
      </c>
      <c r="K464" s="816"/>
      <c r="L464" s="816"/>
      <c r="M464" s="816"/>
      <c r="N464" s="816"/>
      <c r="O464" s="771"/>
    </row>
    <row r="465" spans="1:15" s="791" customFormat="1" ht="54">
      <c r="A465" s="757" t="s">
        <v>288</v>
      </c>
      <c r="B465" s="819" t="s">
        <v>1139</v>
      </c>
      <c r="C465" s="816"/>
      <c r="D465" s="816"/>
      <c r="E465" s="816"/>
      <c r="F465" s="816"/>
      <c r="G465" s="816"/>
      <c r="H465" s="816"/>
      <c r="I465" s="816"/>
      <c r="J465" s="816">
        <v>1160000</v>
      </c>
      <c r="K465" s="816"/>
      <c r="L465" s="816"/>
      <c r="M465" s="816"/>
      <c r="N465" s="816"/>
      <c r="O465" s="771" t="s">
        <v>1140</v>
      </c>
    </row>
    <row r="466" spans="1:15" s="791" customFormat="1" ht="54">
      <c r="A466" s="757" t="s">
        <v>288</v>
      </c>
      <c r="B466" s="819" t="s">
        <v>1141</v>
      </c>
      <c r="C466" s="816"/>
      <c r="D466" s="816"/>
      <c r="E466" s="816"/>
      <c r="F466" s="816"/>
      <c r="G466" s="816"/>
      <c r="H466" s="816"/>
      <c r="I466" s="816"/>
      <c r="J466" s="816">
        <v>75000</v>
      </c>
      <c r="K466" s="752"/>
      <c r="L466" s="816"/>
      <c r="M466" s="816"/>
      <c r="N466" s="816"/>
      <c r="O466" s="771" t="s">
        <v>1142</v>
      </c>
    </row>
    <row r="467" spans="1:15" s="791" customFormat="1" ht="54">
      <c r="A467" s="757" t="s">
        <v>288</v>
      </c>
      <c r="B467" s="819" t="s">
        <v>1143</v>
      </c>
      <c r="C467" s="816"/>
      <c r="D467" s="816"/>
      <c r="E467" s="816"/>
      <c r="F467" s="816"/>
      <c r="G467" s="816"/>
      <c r="H467" s="816"/>
      <c r="I467" s="816"/>
      <c r="J467" s="816">
        <v>1600000</v>
      </c>
      <c r="K467" s="816"/>
      <c r="L467" s="816"/>
      <c r="M467" s="816"/>
      <c r="N467" s="816"/>
      <c r="O467" s="771"/>
    </row>
    <row r="468" spans="1:15" s="791" customFormat="1" ht="54">
      <c r="A468" s="757" t="s">
        <v>288</v>
      </c>
      <c r="B468" s="819" t="s">
        <v>1144</v>
      </c>
      <c r="C468" s="816"/>
      <c r="D468" s="816"/>
      <c r="E468" s="816"/>
      <c r="F468" s="816"/>
      <c r="G468" s="816"/>
      <c r="H468" s="816"/>
      <c r="I468" s="816"/>
      <c r="J468" s="816">
        <v>190000</v>
      </c>
      <c r="K468" s="816"/>
      <c r="L468" s="816"/>
      <c r="M468" s="816"/>
      <c r="N468" s="816"/>
      <c r="O468" s="771"/>
    </row>
    <row r="469" spans="1:15" s="791" customFormat="1" ht="54">
      <c r="A469" s="757" t="s">
        <v>288</v>
      </c>
      <c r="B469" s="819" t="s">
        <v>1145</v>
      </c>
      <c r="C469" s="816"/>
      <c r="D469" s="816"/>
      <c r="E469" s="816"/>
      <c r="F469" s="816"/>
      <c r="G469" s="816"/>
      <c r="H469" s="816"/>
      <c r="I469" s="816"/>
      <c r="J469" s="816">
        <v>1000000</v>
      </c>
      <c r="K469" s="752"/>
      <c r="L469" s="816"/>
      <c r="M469" s="816"/>
      <c r="N469" s="816"/>
      <c r="O469" s="771" t="s">
        <v>1142</v>
      </c>
    </row>
    <row r="470" spans="1:15" s="791" customFormat="1" ht="72">
      <c r="A470" s="757" t="s">
        <v>288</v>
      </c>
      <c r="B470" s="819" t="s">
        <v>1146</v>
      </c>
      <c r="C470" s="816"/>
      <c r="D470" s="816"/>
      <c r="E470" s="816"/>
      <c r="F470" s="816"/>
      <c r="G470" s="816"/>
      <c r="H470" s="816"/>
      <c r="I470" s="816"/>
      <c r="J470" s="816">
        <v>1000000</v>
      </c>
      <c r="K470" s="752"/>
      <c r="L470" s="816"/>
      <c r="M470" s="816"/>
      <c r="N470" s="816"/>
      <c r="O470" s="771" t="s">
        <v>1142</v>
      </c>
    </row>
    <row r="471" spans="1:15" s="791" customFormat="1" ht="54">
      <c r="A471" s="757" t="s">
        <v>288</v>
      </c>
      <c r="B471" s="819" t="s">
        <v>1147</v>
      </c>
      <c r="C471" s="816"/>
      <c r="D471" s="816"/>
      <c r="E471" s="816"/>
      <c r="F471" s="816"/>
      <c r="G471" s="816"/>
      <c r="H471" s="816"/>
      <c r="I471" s="816"/>
      <c r="J471" s="816">
        <v>230000</v>
      </c>
      <c r="K471" s="752"/>
      <c r="L471" s="816"/>
      <c r="M471" s="816"/>
      <c r="N471" s="816"/>
      <c r="O471" s="771" t="s">
        <v>1142</v>
      </c>
    </row>
    <row r="472" spans="1:15" s="791" customFormat="1" ht="27">
      <c r="A472" s="757" t="s">
        <v>288</v>
      </c>
      <c r="B472" s="819" t="s">
        <v>1148</v>
      </c>
      <c r="C472" s="816"/>
      <c r="D472" s="816"/>
      <c r="E472" s="816"/>
      <c r="F472" s="816"/>
      <c r="G472" s="816"/>
      <c r="H472" s="816"/>
      <c r="I472" s="816"/>
      <c r="J472" s="752"/>
      <c r="K472" s="816"/>
      <c r="L472" s="816">
        <v>460000</v>
      </c>
      <c r="M472" s="816"/>
      <c r="N472" s="816"/>
      <c r="O472" s="771"/>
    </row>
    <row r="473" spans="1:15" s="791" customFormat="1" ht="36">
      <c r="A473" s="757" t="s">
        <v>321</v>
      </c>
      <c r="B473" s="819" t="s">
        <v>1149</v>
      </c>
      <c r="C473" s="816"/>
      <c r="D473" s="816"/>
      <c r="E473" s="816"/>
      <c r="F473" s="816"/>
      <c r="G473" s="816"/>
      <c r="H473" s="816"/>
      <c r="I473" s="816"/>
      <c r="J473" s="816">
        <v>3000000</v>
      </c>
      <c r="K473" s="816"/>
      <c r="L473" s="816"/>
      <c r="M473" s="816"/>
      <c r="N473" s="816"/>
      <c r="O473" s="771"/>
    </row>
    <row r="474" spans="1:15" s="791" customFormat="1" ht="27">
      <c r="A474" s="757" t="s">
        <v>321</v>
      </c>
      <c r="B474" s="819" t="s">
        <v>1150</v>
      </c>
      <c r="C474" s="816"/>
      <c r="D474" s="816"/>
      <c r="E474" s="816"/>
      <c r="F474" s="816"/>
      <c r="G474" s="816"/>
      <c r="H474" s="816"/>
      <c r="I474" s="816"/>
      <c r="J474" s="816">
        <v>9000000</v>
      </c>
      <c r="K474" s="816"/>
      <c r="L474" s="816"/>
      <c r="M474" s="816"/>
      <c r="N474" s="816"/>
      <c r="O474" s="771"/>
    </row>
    <row r="475" spans="1:15" s="791" customFormat="1" ht="9">
      <c r="A475" s="757" t="s">
        <v>321</v>
      </c>
      <c r="B475" s="819" t="s">
        <v>897</v>
      </c>
      <c r="C475" s="816"/>
      <c r="D475" s="816"/>
      <c r="E475" s="816"/>
      <c r="F475" s="816"/>
      <c r="G475" s="816"/>
      <c r="H475" s="816"/>
      <c r="I475" s="816"/>
      <c r="J475" s="816">
        <v>10000</v>
      </c>
      <c r="K475" s="816"/>
      <c r="L475" s="816"/>
      <c r="M475" s="816"/>
      <c r="N475" s="816"/>
      <c r="O475" s="771"/>
    </row>
    <row r="476" spans="1:15" s="791" customFormat="1" ht="45">
      <c r="A476" s="757" t="s">
        <v>1151</v>
      </c>
      <c r="B476" s="819" t="s">
        <v>1152</v>
      </c>
      <c r="C476" s="816"/>
      <c r="D476" s="816"/>
      <c r="E476" s="816"/>
      <c r="F476" s="816"/>
      <c r="G476" s="816"/>
      <c r="H476" s="816"/>
      <c r="I476" s="816"/>
      <c r="J476" s="816"/>
      <c r="K476" s="816">
        <v>85000</v>
      </c>
      <c r="L476" s="816"/>
      <c r="M476" s="816"/>
      <c r="N476" s="816"/>
      <c r="O476" s="771"/>
    </row>
    <row r="477" spans="1:15" s="791" customFormat="1" ht="36">
      <c r="A477" s="757" t="s">
        <v>1151</v>
      </c>
      <c r="B477" s="819" t="s">
        <v>1153</v>
      </c>
      <c r="C477" s="816"/>
      <c r="D477" s="816"/>
      <c r="E477" s="816"/>
      <c r="F477" s="816"/>
      <c r="G477" s="816"/>
      <c r="H477" s="816"/>
      <c r="I477" s="816"/>
      <c r="J477" s="816">
        <v>3200000</v>
      </c>
      <c r="K477" s="816"/>
      <c r="L477" s="816"/>
      <c r="M477" s="816"/>
      <c r="N477" s="816"/>
      <c r="O477" s="771"/>
    </row>
    <row r="478" spans="1:15" s="791" customFormat="1" ht="45">
      <c r="A478" s="757" t="s">
        <v>1151</v>
      </c>
      <c r="B478" s="819" t="s">
        <v>1154</v>
      </c>
      <c r="C478" s="816"/>
      <c r="D478" s="816"/>
      <c r="E478" s="816"/>
      <c r="F478" s="816"/>
      <c r="G478" s="816"/>
      <c r="H478" s="816"/>
      <c r="I478" s="816"/>
      <c r="J478" s="816"/>
      <c r="K478" s="816">
        <v>180000</v>
      </c>
      <c r="L478" s="816"/>
      <c r="M478" s="816"/>
      <c r="N478" s="816"/>
      <c r="O478" s="771"/>
    </row>
    <row r="479" spans="1:15" s="791" customFormat="1" ht="36">
      <c r="A479" s="757" t="s">
        <v>1151</v>
      </c>
      <c r="B479" s="819" t="s">
        <v>1155</v>
      </c>
      <c r="C479" s="816"/>
      <c r="D479" s="816"/>
      <c r="E479" s="816"/>
      <c r="F479" s="816"/>
      <c r="G479" s="816"/>
      <c r="H479" s="816"/>
      <c r="I479" s="816"/>
      <c r="J479" s="816">
        <v>700000</v>
      </c>
      <c r="K479" s="816"/>
      <c r="L479" s="816"/>
      <c r="M479" s="816"/>
      <c r="N479" s="816"/>
      <c r="O479" s="771" t="s">
        <v>1156</v>
      </c>
    </row>
    <row r="480" spans="1:15" s="791" customFormat="1" ht="36">
      <c r="A480" s="757" t="s">
        <v>1151</v>
      </c>
      <c r="B480" s="819" t="s">
        <v>1157</v>
      </c>
      <c r="C480" s="816"/>
      <c r="D480" s="816"/>
      <c r="E480" s="816"/>
      <c r="F480" s="816"/>
      <c r="G480" s="816"/>
      <c r="H480" s="816"/>
      <c r="I480" s="816"/>
      <c r="J480" s="816"/>
      <c r="K480" s="816">
        <v>1500000</v>
      </c>
      <c r="L480" s="816"/>
      <c r="M480" s="816"/>
      <c r="N480" s="816"/>
      <c r="O480" s="771"/>
    </row>
    <row r="481" spans="1:15" s="791" customFormat="1" ht="36">
      <c r="A481" s="757" t="s">
        <v>329</v>
      </c>
      <c r="B481" s="819" t="s">
        <v>1158</v>
      </c>
      <c r="C481" s="816"/>
      <c r="D481" s="816"/>
      <c r="E481" s="816"/>
      <c r="F481" s="816"/>
      <c r="G481" s="808"/>
      <c r="H481" s="808"/>
      <c r="I481" s="816"/>
      <c r="J481" s="816"/>
      <c r="K481" s="816"/>
      <c r="L481" s="816">
        <v>75000</v>
      </c>
      <c r="M481" s="816"/>
      <c r="N481" s="816"/>
      <c r="O481" s="771"/>
    </row>
    <row r="482" spans="1:15" s="791" customFormat="1" ht="36">
      <c r="A482" s="757" t="s">
        <v>329</v>
      </c>
      <c r="B482" s="819" t="s">
        <v>1159</v>
      </c>
      <c r="C482" s="816"/>
      <c r="D482" s="816"/>
      <c r="E482" s="816"/>
      <c r="F482" s="816"/>
      <c r="G482" s="808"/>
      <c r="H482" s="808"/>
      <c r="I482" s="816"/>
      <c r="J482" s="816"/>
      <c r="K482" s="816"/>
      <c r="L482" s="816">
        <v>250000</v>
      </c>
      <c r="M482" s="816"/>
      <c r="N482" s="816"/>
      <c r="O482" s="771"/>
    </row>
    <row r="483" spans="1:15" s="791" customFormat="1" ht="36">
      <c r="A483" s="757" t="s">
        <v>329</v>
      </c>
      <c r="B483" s="819" t="s">
        <v>1160</v>
      </c>
      <c r="C483" s="816"/>
      <c r="D483" s="816"/>
      <c r="E483" s="816"/>
      <c r="F483" s="816"/>
      <c r="G483" s="816"/>
      <c r="H483" s="816"/>
      <c r="I483" s="816"/>
      <c r="J483" s="816"/>
      <c r="K483" s="816"/>
      <c r="L483" s="816">
        <v>680000</v>
      </c>
      <c r="M483" s="816"/>
      <c r="N483" s="816"/>
      <c r="O483" s="771"/>
    </row>
    <row r="484" spans="1:15" s="791" customFormat="1" ht="18">
      <c r="A484" s="757" t="s">
        <v>336</v>
      </c>
      <c r="B484" s="819" t="s">
        <v>1161</v>
      </c>
      <c r="C484" s="816"/>
      <c r="D484" s="816"/>
      <c r="E484" s="816"/>
      <c r="F484" s="816"/>
      <c r="G484" s="816"/>
      <c r="H484" s="816"/>
      <c r="I484" s="808"/>
      <c r="J484" s="816">
        <v>330000</v>
      </c>
      <c r="K484" s="816"/>
      <c r="L484" s="816"/>
      <c r="M484" s="816"/>
      <c r="N484" s="816"/>
      <c r="O484" s="771"/>
    </row>
    <row r="485" spans="1:15" s="791" customFormat="1" ht="36">
      <c r="A485" s="757" t="s">
        <v>342</v>
      </c>
      <c r="B485" s="819" t="s">
        <v>1162</v>
      </c>
      <c r="C485" s="816"/>
      <c r="D485" s="816"/>
      <c r="E485" s="816"/>
      <c r="F485" s="816"/>
      <c r="G485" s="816"/>
      <c r="H485" s="816"/>
      <c r="I485" s="808"/>
      <c r="J485" s="816"/>
      <c r="K485" s="816">
        <v>70000</v>
      </c>
      <c r="L485" s="816"/>
      <c r="M485" s="816"/>
      <c r="N485" s="816"/>
      <c r="O485" s="771"/>
    </row>
    <row r="486" spans="1:15" s="791" customFormat="1" ht="27">
      <c r="A486" s="757" t="s">
        <v>342</v>
      </c>
      <c r="B486" s="819" t="s">
        <v>1163</v>
      </c>
      <c r="C486" s="816"/>
      <c r="D486" s="816"/>
      <c r="E486" s="816"/>
      <c r="F486" s="816"/>
      <c r="G486" s="816"/>
      <c r="H486" s="816"/>
      <c r="I486" s="808"/>
      <c r="J486" s="816">
        <v>1000000</v>
      </c>
      <c r="K486" s="816"/>
      <c r="L486" s="816"/>
      <c r="M486" s="816"/>
      <c r="N486" s="816"/>
      <c r="O486" s="771"/>
    </row>
    <row r="487" spans="1:15" s="791" customFormat="1" ht="36">
      <c r="A487" s="757" t="s">
        <v>342</v>
      </c>
      <c r="B487" s="819" t="s">
        <v>1164</v>
      </c>
      <c r="C487" s="816"/>
      <c r="D487" s="816"/>
      <c r="E487" s="816"/>
      <c r="F487" s="816"/>
      <c r="G487" s="816"/>
      <c r="H487" s="816"/>
      <c r="I487" s="816"/>
      <c r="J487" s="816"/>
      <c r="K487" s="816">
        <v>75000</v>
      </c>
      <c r="L487" s="816"/>
      <c r="M487" s="816"/>
      <c r="N487" s="816"/>
      <c r="O487" s="771"/>
    </row>
    <row r="488" spans="1:15" s="791" customFormat="1" ht="27">
      <c r="A488" s="757" t="s">
        <v>342</v>
      </c>
      <c r="B488" s="819" t="s">
        <v>1165</v>
      </c>
      <c r="C488" s="816"/>
      <c r="D488" s="816"/>
      <c r="E488" s="816"/>
      <c r="F488" s="816"/>
      <c r="G488" s="816"/>
      <c r="H488" s="816"/>
      <c r="I488" s="816"/>
      <c r="J488" s="816"/>
      <c r="K488" s="816">
        <v>500000</v>
      </c>
      <c r="L488" s="816"/>
      <c r="M488" s="816"/>
      <c r="N488" s="816"/>
      <c r="O488" s="771" t="s">
        <v>1166</v>
      </c>
    </row>
    <row r="489" spans="1:15" s="791" customFormat="1" ht="27">
      <c r="A489" s="757" t="s">
        <v>356</v>
      </c>
      <c r="B489" s="819" t="s">
        <v>1167</v>
      </c>
      <c r="C489" s="816"/>
      <c r="D489" s="816"/>
      <c r="E489" s="816"/>
      <c r="F489" s="816"/>
      <c r="G489" s="816"/>
      <c r="H489" s="816"/>
      <c r="I489" s="816"/>
      <c r="J489" s="816">
        <v>5000000</v>
      </c>
      <c r="K489" s="816"/>
      <c r="L489" s="816"/>
      <c r="M489" s="816"/>
      <c r="N489" s="816"/>
      <c r="O489" s="771"/>
    </row>
    <row r="490" spans="1:15" s="791" customFormat="1" ht="9">
      <c r="A490" s="757" t="s">
        <v>356</v>
      </c>
      <c r="B490" s="819" t="s">
        <v>897</v>
      </c>
      <c r="C490" s="816"/>
      <c r="D490" s="816"/>
      <c r="E490" s="816"/>
      <c r="F490" s="816"/>
      <c r="G490" s="816"/>
      <c r="H490" s="816"/>
      <c r="I490" s="816"/>
      <c r="J490" s="816">
        <v>10000</v>
      </c>
      <c r="K490" s="816"/>
      <c r="L490" s="816"/>
      <c r="M490" s="816"/>
      <c r="N490" s="816"/>
      <c r="O490" s="771"/>
    </row>
    <row r="491" spans="1:15" s="791" customFormat="1" ht="36">
      <c r="A491" s="757" t="s">
        <v>356</v>
      </c>
      <c r="B491" s="819" t="s">
        <v>1168</v>
      </c>
      <c r="C491" s="816"/>
      <c r="D491" s="816"/>
      <c r="E491" s="816"/>
      <c r="F491" s="816"/>
      <c r="G491" s="816"/>
      <c r="H491" s="816"/>
      <c r="I491" s="808"/>
      <c r="J491" s="816">
        <v>10000000</v>
      </c>
      <c r="K491" s="816"/>
      <c r="L491" s="816"/>
      <c r="M491" s="816"/>
      <c r="N491" s="816"/>
      <c r="O491" s="771"/>
    </row>
    <row r="492" spans="1:15" s="791" customFormat="1" ht="36">
      <c r="A492" s="757" t="s">
        <v>1169</v>
      </c>
      <c r="B492" s="819" t="s">
        <v>1170</v>
      </c>
      <c r="C492" s="816"/>
      <c r="D492" s="816"/>
      <c r="E492" s="816"/>
      <c r="F492" s="816"/>
      <c r="G492" s="816"/>
      <c r="H492" s="816"/>
      <c r="I492" s="808"/>
      <c r="J492" s="816">
        <v>10000000</v>
      </c>
      <c r="K492" s="816"/>
      <c r="L492" s="816"/>
      <c r="M492" s="816"/>
      <c r="N492" s="816"/>
      <c r="O492" s="771" t="s">
        <v>1171</v>
      </c>
    </row>
    <row r="493" spans="1:15" s="791" customFormat="1" ht="45">
      <c r="A493" s="757" t="s">
        <v>1172</v>
      </c>
      <c r="B493" s="819" t="s">
        <v>1173</v>
      </c>
      <c r="C493" s="816"/>
      <c r="D493" s="816"/>
      <c r="E493" s="816"/>
      <c r="F493" s="816"/>
      <c r="G493" s="816"/>
      <c r="H493" s="816"/>
      <c r="I493" s="816"/>
      <c r="J493" s="816">
        <v>150000</v>
      </c>
      <c r="K493" s="816"/>
      <c r="L493" s="816"/>
      <c r="M493" s="816"/>
      <c r="N493" s="816"/>
      <c r="O493" s="771"/>
    </row>
    <row r="494" spans="1:15" s="791" customFormat="1" ht="45">
      <c r="A494" s="757" t="s">
        <v>1172</v>
      </c>
      <c r="B494" s="819" t="s">
        <v>1174</v>
      </c>
      <c r="C494" s="816"/>
      <c r="D494" s="816"/>
      <c r="E494" s="816"/>
      <c r="F494" s="816"/>
      <c r="G494" s="816"/>
      <c r="H494" s="816"/>
      <c r="I494" s="808"/>
      <c r="J494" s="816">
        <v>100000</v>
      </c>
      <c r="K494" s="816"/>
      <c r="L494" s="816"/>
      <c r="M494" s="816"/>
      <c r="N494" s="816"/>
      <c r="O494" s="771"/>
    </row>
    <row r="495" spans="1:15" s="791" customFormat="1" ht="45">
      <c r="A495" s="757" t="s">
        <v>1172</v>
      </c>
      <c r="B495" s="819" t="s">
        <v>1175</v>
      </c>
      <c r="C495" s="816"/>
      <c r="D495" s="816"/>
      <c r="E495" s="816"/>
      <c r="F495" s="816"/>
      <c r="G495" s="816"/>
      <c r="H495" s="816"/>
      <c r="I495" s="808"/>
      <c r="J495" s="816">
        <v>200000</v>
      </c>
      <c r="K495" s="816"/>
      <c r="L495" s="816"/>
      <c r="M495" s="816"/>
      <c r="N495" s="816"/>
      <c r="O495" s="771"/>
    </row>
    <row r="496" spans="1:15" s="791" customFormat="1" ht="45">
      <c r="A496" s="757" t="s">
        <v>1172</v>
      </c>
      <c r="B496" s="819" t="s">
        <v>1176</v>
      </c>
      <c r="C496" s="816"/>
      <c r="D496" s="816"/>
      <c r="E496" s="816"/>
      <c r="F496" s="816"/>
      <c r="G496" s="808"/>
      <c r="H496" s="808"/>
      <c r="I496" s="816"/>
      <c r="J496" s="816">
        <v>1000000</v>
      </c>
      <c r="K496" s="816"/>
      <c r="L496" s="816"/>
      <c r="M496" s="816"/>
      <c r="N496" s="816"/>
      <c r="O496" s="771" t="s">
        <v>1177</v>
      </c>
    </row>
    <row r="497" spans="1:16" s="791" customFormat="1" ht="45">
      <c r="A497" s="757" t="s">
        <v>1172</v>
      </c>
      <c r="B497" s="819" t="s">
        <v>1178</v>
      </c>
      <c r="C497" s="816"/>
      <c r="D497" s="816"/>
      <c r="E497" s="816"/>
      <c r="F497" s="816"/>
      <c r="G497" s="808"/>
      <c r="H497" s="808"/>
      <c r="I497" s="816"/>
      <c r="J497" s="816">
        <v>1500000</v>
      </c>
      <c r="K497" s="816"/>
      <c r="L497" s="816"/>
      <c r="M497" s="816"/>
      <c r="N497" s="816"/>
      <c r="O497" s="771" t="s">
        <v>1179</v>
      </c>
    </row>
    <row r="498" spans="1:16" s="791" customFormat="1" ht="45">
      <c r="A498" s="757" t="s">
        <v>1172</v>
      </c>
      <c r="B498" s="819" t="s">
        <v>1180</v>
      </c>
      <c r="C498" s="816"/>
      <c r="D498" s="816"/>
      <c r="E498" s="816"/>
      <c r="F498" s="816"/>
      <c r="G498" s="816"/>
      <c r="H498" s="816"/>
      <c r="I498" s="808"/>
      <c r="J498" s="816">
        <v>740000</v>
      </c>
      <c r="K498" s="816"/>
      <c r="L498" s="816"/>
      <c r="M498" s="816"/>
      <c r="N498" s="816"/>
      <c r="O498" s="771"/>
    </row>
    <row r="499" spans="1:16" s="791" customFormat="1" ht="45">
      <c r="A499" s="757" t="s">
        <v>1172</v>
      </c>
      <c r="B499" s="819" t="s">
        <v>1181</v>
      </c>
      <c r="C499" s="816"/>
      <c r="D499" s="816"/>
      <c r="E499" s="816"/>
      <c r="F499" s="816"/>
      <c r="G499" s="816"/>
      <c r="H499" s="816"/>
      <c r="I499" s="808"/>
      <c r="J499" s="816">
        <v>350000</v>
      </c>
      <c r="K499" s="816"/>
      <c r="L499" s="816"/>
      <c r="M499" s="816"/>
      <c r="N499" s="816"/>
      <c r="O499" s="771"/>
    </row>
    <row r="500" spans="1:16" s="791" customFormat="1" ht="54">
      <c r="A500" s="757" t="s">
        <v>1172</v>
      </c>
      <c r="B500" s="819" t="s">
        <v>1182</v>
      </c>
      <c r="C500" s="816"/>
      <c r="D500" s="816"/>
      <c r="E500" s="816"/>
      <c r="F500" s="816"/>
      <c r="G500" s="816"/>
      <c r="H500" s="816"/>
      <c r="I500" s="816"/>
      <c r="J500" s="816"/>
      <c r="K500" s="816">
        <v>1000000</v>
      </c>
      <c r="L500" s="816"/>
      <c r="M500" s="816"/>
      <c r="N500" s="816"/>
      <c r="O500" s="771"/>
    </row>
    <row r="501" spans="1:16" s="791" customFormat="1" ht="45">
      <c r="A501" s="757" t="s">
        <v>1172</v>
      </c>
      <c r="B501" s="819" t="s">
        <v>1183</v>
      </c>
      <c r="C501" s="816"/>
      <c r="D501" s="816"/>
      <c r="E501" s="816"/>
      <c r="F501" s="816"/>
      <c r="G501" s="816"/>
      <c r="H501" s="816"/>
      <c r="I501" s="816"/>
      <c r="J501" s="816">
        <v>500000</v>
      </c>
      <c r="K501" s="816"/>
      <c r="L501" s="816"/>
      <c r="M501" s="816"/>
      <c r="N501" s="816"/>
      <c r="O501" s="771"/>
    </row>
    <row r="502" spans="1:16" s="791" customFormat="1" ht="45">
      <c r="A502" s="757" t="s">
        <v>1172</v>
      </c>
      <c r="B502" s="819" t="s">
        <v>1184</v>
      </c>
      <c r="C502" s="816"/>
      <c r="D502" s="816"/>
      <c r="E502" s="816"/>
      <c r="F502" s="816"/>
      <c r="G502" s="816"/>
      <c r="H502" s="816"/>
      <c r="I502" s="816"/>
      <c r="J502" s="816">
        <v>270000</v>
      </c>
      <c r="K502" s="816"/>
      <c r="L502" s="816"/>
      <c r="M502" s="816"/>
      <c r="N502" s="816"/>
      <c r="O502" s="771"/>
    </row>
    <row r="503" spans="1:16" s="791" customFormat="1" ht="27">
      <c r="A503" s="757" t="s">
        <v>1172</v>
      </c>
      <c r="B503" s="819" t="s">
        <v>1185</v>
      </c>
      <c r="C503" s="816"/>
      <c r="D503" s="816"/>
      <c r="E503" s="816"/>
      <c r="F503" s="816"/>
      <c r="G503" s="816"/>
      <c r="H503" s="816"/>
      <c r="I503" s="816"/>
      <c r="J503" s="816">
        <v>17500000</v>
      </c>
      <c r="K503" s="816"/>
      <c r="L503" s="816"/>
      <c r="M503" s="816"/>
      <c r="N503" s="816"/>
      <c r="O503" s="771"/>
    </row>
    <row r="504" spans="1:16" s="791" customFormat="1" ht="63">
      <c r="A504" s="757" t="s">
        <v>1186</v>
      </c>
      <c r="B504" s="819" t="s">
        <v>1187</v>
      </c>
      <c r="C504" s="816"/>
      <c r="D504" s="816"/>
      <c r="E504" s="816"/>
      <c r="F504" s="816"/>
      <c r="G504" s="816"/>
      <c r="H504" s="816"/>
      <c r="I504" s="816"/>
      <c r="J504" s="816">
        <v>500000</v>
      </c>
      <c r="K504" s="816"/>
      <c r="L504" s="816"/>
      <c r="M504" s="816"/>
      <c r="N504" s="816"/>
      <c r="O504" s="771"/>
    </row>
    <row r="505" spans="1:16" s="791" customFormat="1" ht="63">
      <c r="A505" s="757" t="s">
        <v>1186</v>
      </c>
      <c r="B505" s="819" t="s">
        <v>1188</v>
      </c>
      <c r="C505" s="816"/>
      <c r="D505" s="816"/>
      <c r="E505" s="816"/>
      <c r="F505" s="816"/>
      <c r="G505" s="816"/>
      <c r="H505" s="816"/>
      <c r="I505" s="816"/>
      <c r="J505" s="816">
        <v>120000</v>
      </c>
      <c r="K505" s="816"/>
      <c r="L505" s="816"/>
      <c r="M505" s="816"/>
      <c r="N505" s="816"/>
      <c r="O505" s="771"/>
    </row>
    <row r="506" spans="1:16" s="791" customFormat="1" ht="54">
      <c r="A506" s="757" t="s">
        <v>1186</v>
      </c>
      <c r="B506" s="819" t="s">
        <v>1189</v>
      </c>
      <c r="C506" s="816"/>
      <c r="D506" s="816"/>
      <c r="E506" s="816"/>
      <c r="F506" s="816"/>
      <c r="G506" s="816"/>
      <c r="H506" s="816"/>
      <c r="I506" s="816"/>
      <c r="J506" s="816">
        <v>200000</v>
      </c>
      <c r="K506" s="816"/>
      <c r="L506" s="816"/>
      <c r="M506" s="816"/>
      <c r="N506" s="816"/>
      <c r="O506" s="771"/>
    </row>
    <row r="507" spans="1:16" s="791" customFormat="1" ht="54">
      <c r="A507" s="757" t="s">
        <v>1186</v>
      </c>
      <c r="B507" s="819" t="s">
        <v>1190</v>
      </c>
      <c r="C507" s="816"/>
      <c r="D507" s="816"/>
      <c r="E507" s="816"/>
      <c r="F507" s="816"/>
      <c r="G507" s="816"/>
      <c r="H507" s="816"/>
      <c r="I507" s="816"/>
      <c r="J507" s="816">
        <v>1200000</v>
      </c>
      <c r="K507" s="816"/>
      <c r="L507" s="816"/>
      <c r="M507" s="816"/>
      <c r="N507" s="816"/>
      <c r="O507" s="771"/>
    </row>
    <row r="508" spans="1:16" s="791" customFormat="1" ht="54">
      <c r="A508" s="757" t="s">
        <v>1186</v>
      </c>
      <c r="B508" s="819" t="s">
        <v>1191</v>
      </c>
      <c r="C508" s="816"/>
      <c r="D508" s="816"/>
      <c r="E508" s="816"/>
      <c r="F508" s="816"/>
      <c r="G508" s="816"/>
      <c r="H508" s="816"/>
      <c r="I508" s="816"/>
      <c r="J508" s="816">
        <v>150000</v>
      </c>
      <c r="K508" s="816"/>
      <c r="L508" s="816"/>
      <c r="M508" s="816"/>
      <c r="N508" s="816"/>
      <c r="O508" s="771"/>
    </row>
    <row r="509" spans="1:16" s="791" customFormat="1" ht="54">
      <c r="A509" s="757" t="s">
        <v>1186</v>
      </c>
      <c r="B509" s="819" t="s">
        <v>1192</v>
      </c>
      <c r="C509" s="816"/>
      <c r="D509" s="816"/>
      <c r="E509" s="816"/>
      <c r="F509" s="816"/>
      <c r="G509" s="816"/>
      <c r="H509" s="816"/>
      <c r="I509" s="816"/>
      <c r="J509" s="816">
        <v>135000</v>
      </c>
      <c r="K509" s="816"/>
      <c r="L509" s="816"/>
      <c r="M509" s="816"/>
      <c r="N509" s="816"/>
      <c r="O509" s="771"/>
    </row>
    <row r="510" spans="1:16" s="791" customFormat="1" ht="54">
      <c r="A510" s="757" t="s">
        <v>1186</v>
      </c>
      <c r="B510" s="819" t="s">
        <v>1193</v>
      </c>
      <c r="C510" s="816"/>
      <c r="D510" s="816"/>
      <c r="E510" s="816"/>
      <c r="F510" s="816"/>
      <c r="G510" s="816"/>
      <c r="H510" s="816"/>
      <c r="I510" s="816"/>
      <c r="J510" s="816">
        <v>500000</v>
      </c>
      <c r="K510" s="816"/>
      <c r="L510" s="816"/>
      <c r="M510" s="816"/>
      <c r="N510" s="816"/>
      <c r="O510" s="771"/>
      <c r="P510" s="1417"/>
    </row>
    <row r="511" spans="1:16" s="791" customFormat="1" ht="54">
      <c r="A511" s="757" t="s">
        <v>1186</v>
      </c>
      <c r="B511" s="819" t="s">
        <v>1194</v>
      </c>
      <c r="C511" s="816"/>
      <c r="D511" s="816"/>
      <c r="E511" s="816"/>
      <c r="F511" s="816"/>
      <c r="G511" s="816"/>
      <c r="H511" s="816"/>
      <c r="I511" s="816"/>
      <c r="J511" s="816">
        <v>1650000</v>
      </c>
      <c r="K511" s="816"/>
      <c r="L511" s="816"/>
      <c r="M511" s="816"/>
      <c r="N511" s="816"/>
      <c r="O511" s="771"/>
    </row>
    <row r="512" spans="1:16" s="791" customFormat="1" ht="63">
      <c r="A512" s="757" t="s">
        <v>1186</v>
      </c>
      <c r="B512" s="819" t="s">
        <v>1195</v>
      </c>
      <c r="C512" s="816"/>
      <c r="D512" s="816"/>
      <c r="E512" s="816"/>
      <c r="F512" s="816"/>
      <c r="G512" s="816"/>
      <c r="H512" s="816"/>
      <c r="I512" s="816"/>
      <c r="J512" s="816">
        <v>1000000</v>
      </c>
      <c r="K512" s="816"/>
      <c r="L512" s="816"/>
      <c r="M512" s="816"/>
      <c r="N512" s="816"/>
      <c r="O512" s="771" t="s">
        <v>1196</v>
      </c>
    </row>
    <row r="513" spans="1:15" s="791" customFormat="1" ht="63">
      <c r="A513" s="757" t="s">
        <v>1186</v>
      </c>
      <c r="B513" s="819" t="s">
        <v>1197</v>
      </c>
      <c r="C513" s="816"/>
      <c r="D513" s="816"/>
      <c r="E513" s="816"/>
      <c r="F513" s="816"/>
      <c r="G513" s="816"/>
      <c r="H513" s="816"/>
      <c r="I513" s="816"/>
      <c r="J513" s="816">
        <v>60000</v>
      </c>
      <c r="K513" s="816"/>
      <c r="L513" s="816"/>
      <c r="M513" s="816"/>
      <c r="N513" s="816"/>
      <c r="O513" s="771"/>
    </row>
    <row r="514" spans="1:15" s="791" customFormat="1" ht="63">
      <c r="A514" s="757" t="s">
        <v>1186</v>
      </c>
      <c r="B514" s="819" t="s">
        <v>1198</v>
      </c>
      <c r="C514" s="816"/>
      <c r="D514" s="816"/>
      <c r="E514" s="816"/>
      <c r="F514" s="816"/>
      <c r="G514" s="816"/>
      <c r="H514" s="816"/>
      <c r="I514" s="816"/>
      <c r="J514" s="816">
        <v>530000</v>
      </c>
      <c r="K514" s="816"/>
      <c r="L514" s="816"/>
      <c r="M514" s="816"/>
      <c r="N514" s="816"/>
      <c r="O514" s="771"/>
    </row>
    <row r="515" spans="1:15" s="791" customFormat="1" ht="63">
      <c r="A515" s="757" t="s">
        <v>1186</v>
      </c>
      <c r="B515" s="819" t="s">
        <v>1199</v>
      </c>
      <c r="C515" s="816"/>
      <c r="D515" s="816"/>
      <c r="E515" s="816"/>
      <c r="F515" s="816"/>
      <c r="G515" s="816"/>
      <c r="H515" s="816"/>
      <c r="I515" s="816"/>
      <c r="J515" s="816">
        <v>100000</v>
      </c>
      <c r="K515" s="816"/>
      <c r="L515" s="816"/>
      <c r="M515" s="816"/>
      <c r="N515" s="816"/>
      <c r="O515" s="771"/>
    </row>
    <row r="516" spans="1:15" s="791" customFormat="1" ht="54">
      <c r="A516" s="757" t="s">
        <v>1186</v>
      </c>
      <c r="B516" s="819" t="s">
        <v>1200</v>
      </c>
      <c r="C516" s="816"/>
      <c r="D516" s="816"/>
      <c r="E516" s="816"/>
      <c r="F516" s="816"/>
      <c r="G516" s="816"/>
      <c r="H516" s="816"/>
      <c r="I516" s="816"/>
      <c r="J516" s="816">
        <v>200000</v>
      </c>
      <c r="K516" s="816"/>
      <c r="L516" s="816"/>
      <c r="M516" s="816"/>
      <c r="N516" s="816"/>
      <c r="O516" s="771"/>
    </row>
    <row r="517" spans="1:15" s="791" customFormat="1" ht="36">
      <c r="A517" s="757" t="s">
        <v>381</v>
      </c>
      <c r="B517" s="819" t="s">
        <v>1201</v>
      </c>
      <c r="C517" s="816"/>
      <c r="D517" s="816"/>
      <c r="E517" s="816"/>
      <c r="F517" s="816"/>
      <c r="G517" s="816"/>
      <c r="H517" s="816"/>
      <c r="I517" s="816"/>
      <c r="J517" s="816">
        <v>4555000</v>
      </c>
      <c r="K517" s="816"/>
      <c r="L517" s="816"/>
      <c r="M517" s="816"/>
      <c r="N517" s="816"/>
      <c r="O517" s="771"/>
    </row>
    <row r="518" spans="1:15" s="791" customFormat="1" ht="45">
      <c r="A518" s="757" t="s">
        <v>385</v>
      </c>
      <c r="B518" s="819" t="s">
        <v>1202</v>
      </c>
      <c r="C518" s="816"/>
      <c r="D518" s="816"/>
      <c r="E518" s="816"/>
      <c r="F518" s="816"/>
      <c r="G518" s="816"/>
      <c r="H518" s="816"/>
      <c r="I518" s="816"/>
      <c r="J518" s="816">
        <v>120000</v>
      </c>
      <c r="K518" s="816"/>
      <c r="L518" s="816"/>
      <c r="M518" s="816"/>
      <c r="N518" s="816"/>
      <c r="O518" s="771"/>
    </row>
    <row r="519" spans="1:15" s="791" customFormat="1" ht="45">
      <c r="A519" s="757" t="s">
        <v>385</v>
      </c>
      <c r="B519" s="819" t="s">
        <v>1203</v>
      </c>
      <c r="C519" s="816"/>
      <c r="D519" s="816"/>
      <c r="E519" s="816"/>
      <c r="F519" s="816"/>
      <c r="G519" s="816"/>
      <c r="H519" s="816"/>
      <c r="I519" s="816"/>
      <c r="J519" s="816">
        <v>1000000</v>
      </c>
      <c r="K519" s="816"/>
      <c r="L519" s="816"/>
      <c r="M519" s="816"/>
      <c r="N519" s="816"/>
      <c r="O519" s="771"/>
    </row>
    <row r="520" spans="1:15" s="791" customFormat="1" ht="36">
      <c r="A520" s="757" t="s">
        <v>385</v>
      </c>
      <c r="B520" s="819" t="s">
        <v>1204</v>
      </c>
      <c r="C520" s="816"/>
      <c r="D520" s="816"/>
      <c r="E520" s="816"/>
      <c r="F520" s="816"/>
      <c r="G520" s="816"/>
      <c r="H520" s="816"/>
      <c r="I520" s="816"/>
      <c r="J520" s="816">
        <v>1000000</v>
      </c>
      <c r="K520" s="816"/>
      <c r="L520" s="816"/>
      <c r="M520" s="816"/>
      <c r="N520" s="816"/>
      <c r="O520" s="771" t="s">
        <v>1205</v>
      </c>
    </row>
    <row r="521" spans="1:15" s="791" customFormat="1" ht="36">
      <c r="A521" s="757" t="s">
        <v>385</v>
      </c>
      <c r="B521" s="819" t="s">
        <v>1206</v>
      </c>
      <c r="C521" s="816"/>
      <c r="D521" s="816"/>
      <c r="E521" s="816"/>
      <c r="F521" s="816"/>
      <c r="G521" s="816"/>
      <c r="H521" s="816"/>
      <c r="I521" s="816"/>
      <c r="J521" s="816">
        <v>190000</v>
      </c>
      <c r="K521" s="816"/>
      <c r="L521" s="816"/>
      <c r="M521" s="816"/>
      <c r="N521" s="816"/>
      <c r="O521" s="771"/>
    </row>
    <row r="522" spans="1:15" s="791" customFormat="1" ht="36">
      <c r="A522" s="757" t="s">
        <v>387</v>
      </c>
      <c r="B522" s="819" t="s">
        <v>1207</v>
      </c>
      <c r="C522" s="816"/>
      <c r="D522" s="816"/>
      <c r="E522" s="816"/>
      <c r="F522" s="816"/>
      <c r="G522" s="816"/>
      <c r="H522" s="816"/>
      <c r="I522" s="816"/>
      <c r="J522" s="816">
        <v>120000</v>
      </c>
      <c r="K522" s="816"/>
      <c r="L522" s="816"/>
      <c r="M522" s="816"/>
      <c r="N522" s="816"/>
      <c r="O522" s="771"/>
    </row>
    <row r="523" spans="1:15" s="791" customFormat="1" ht="36">
      <c r="A523" s="757" t="s">
        <v>387</v>
      </c>
      <c r="B523" s="819" t="s">
        <v>1208</v>
      </c>
      <c r="C523" s="816"/>
      <c r="D523" s="816"/>
      <c r="E523" s="816"/>
      <c r="F523" s="816"/>
      <c r="G523" s="816"/>
      <c r="H523" s="816"/>
      <c r="I523" s="816"/>
      <c r="J523" s="816">
        <v>500000</v>
      </c>
      <c r="K523" s="816"/>
      <c r="L523" s="816"/>
      <c r="M523" s="816"/>
      <c r="N523" s="816"/>
      <c r="O523" s="771" t="s">
        <v>1209</v>
      </c>
    </row>
    <row r="524" spans="1:15" s="791" customFormat="1" ht="36">
      <c r="A524" s="757" t="s">
        <v>387</v>
      </c>
      <c r="B524" s="819" t="s">
        <v>1210</v>
      </c>
      <c r="C524" s="816"/>
      <c r="D524" s="816"/>
      <c r="E524" s="816"/>
      <c r="F524" s="816"/>
      <c r="G524" s="816"/>
      <c r="H524" s="816"/>
      <c r="I524" s="816"/>
      <c r="J524" s="816">
        <v>250000</v>
      </c>
      <c r="K524" s="816"/>
      <c r="L524" s="816"/>
      <c r="M524" s="816"/>
      <c r="N524" s="816"/>
      <c r="O524" s="771"/>
    </row>
    <row r="525" spans="1:15" s="791" customFormat="1" ht="36">
      <c r="A525" s="757" t="s">
        <v>387</v>
      </c>
      <c r="B525" s="819" t="s">
        <v>1211</v>
      </c>
      <c r="C525" s="816"/>
      <c r="D525" s="816"/>
      <c r="E525" s="816"/>
      <c r="F525" s="816"/>
      <c r="G525" s="816"/>
      <c r="H525" s="816"/>
      <c r="I525" s="816"/>
      <c r="J525" s="816">
        <v>1000000</v>
      </c>
      <c r="K525" s="816"/>
      <c r="L525" s="816"/>
      <c r="M525" s="816"/>
      <c r="N525" s="816"/>
      <c r="O525" s="771"/>
    </row>
    <row r="526" spans="1:15" s="791" customFormat="1" ht="36">
      <c r="A526" s="757" t="s">
        <v>387</v>
      </c>
      <c r="B526" s="819" t="s">
        <v>1212</v>
      </c>
      <c r="C526" s="816"/>
      <c r="D526" s="816"/>
      <c r="E526" s="816"/>
      <c r="F526" s="816"/>
      <c r="G526" s="816"/>
      <c r="H526" s="816"/>
      <c r="I526" s="816"/>
      <c r="J526" s="816">
        <v>332000</v>
      </c>
      <c r="K526" s="816"/>
      <c r="L526" s="816"/>
      <c r="M526" s="816"/>
      <c r="N526" s="816"/>
      <c r="O526" s="771"/>
    </row>
    <row r="527" spans="1:15" s="791" customFormat="1" ht="18">
      <c r="A527" s="757" t="s">
        <v>387</v>
      </c>
      <c r="B527" s="819" t="s">
        <v>1213</v>
      </c>
      <c r="C527" s="816"/>
      <c r="D527" s="816"/>
      <c r="E527" s="816"/>
      <c r="F527" s="816"/>
      <c r="G527" s="816"/>
      <c r="H527" s="816"/>
      <c r="I527" s="816"/>
      <c r="J527" s="816">
        <v>636000</v>
      </c>
      <c r="K527" s="816"/>
      <c r="L527" s="816"/>
      <c r="M527" s="816"/>
      <c r="N527" s="816"/>
      <c r="O527" s="771"/>
    </row>
    <row r="528" spans="1:15" s="791" customFormat="1" ht="9">
      <c r="A528" s="757" t="s">
        <v>387</v>
      </c>
      <c r="B528" s="819" t="s">
        <v>897</v>
      </c>
      <c r="C528" s="816"/>
      <c r="D528" s="816"/>
      <c r="E528" s="816"/>
      <c r="F528" s="816"/>
      <c r="G528" s="816"/>
      <c r="H528" s="816"/>
      <c r="I528" s="816"/>
      <c r="J528" s="816">
        <v>10000</v>
      </c>
      <c r="K528" s="816"/>
      <c r="L528" s="816"/>
      <c r="M528" s="816"/>
      <c r="N528" s="816"/>
      <c r="O528" s="771"/>
    </row>
    <row r="529" spans="1:15" s="791" customFormat="1" ht="18">
      <c r="A529" s="757" t="s">
        <v>396</v>
      </c>
      <c r="B529" s="819" t="s">
        <v>1214</v>
      </c>
      <c r="C529" s="816"/>
      <c r="D529" s="816"/>
      <c r="E529" s="816"/>
      <c r="F529" s="816"/>
      <c r="G529" s="816"/>
      <c r="H529" s="816"/>
      <c r="I529" s="816"/>
      <c r="J529" s="816">
        <v>500000</v>
      </c>
      <c r="K529" s="816"/>
      <c r="L529" s="816"/>
      <c r="M529" s="816"/>
      <c r="N529" s="816"/>
      <c r="O529" s="771"/>
    </row>
    <row r="530" spans="1:15" s="791" customFormat="1" ht="18">
      <c r="A530" s="757" t="s">
        <v>405</v>
      </c>
      <c r="B530" s="819" t="s">
        <v>1129</v>
      </c>
      <c r="C530" s="816"/>
      <c r="D530" s="816"/>
      <c r="E530" s="816"/>
      <c r="F530" s="816"/>
      <c r="G530" s="816"/>
      <c r="H530" s="816"/>
      <c r="I530" s="816"/>
      <c r="J530" s="816">
        <v>500000</v>
      </c>
      <c r="K530" s="816"/>
      <c r="L530" s="816"/>
      <c r="M530" s="816"/>
      <c r="N530" s="816"/>
      <c r="O530" s="771"/>
    </row>
    <row r="531" spans="1:15" s="1418" customFormat="1" ht="36">
      <c r="A531" s="757" t="s">
        <v>506</v>
      </c>
      <c r="B531" s="819" t="s">
        <v>1215</v>
      </c>
      <c r="C531" s="818"/>
      <c r="D531" s="818"/>
      <c r="E531" s="818"/>
      <c r="F531" s="818"/>
      <c r="G531" s="818"/>
      <c r="H531" s="818"/>
      <c r="I531" s="818"/>
      <c r="J531" s="816"/>
      <c r="K531" s="816">
        <v>120000</v>
      </c>
      <c r="L531" s="816"/>
      <c r="M531" s="816"/>
      <c r="N531" s="816"/>
      <c r="O531" s="771"/>
    </row>
    <row r="532" spans="1:15" s="791" customFormat="1" ht="36">
      <c r="A532" s="757" t="s">
        <v>506</v>
      </c>
      <c r="B532" s="819" t="s">
        <v>1216</v>
      </c>
      <c r="C532" s="1419"/>
      <c r="D532" s="1419"/>
      <c r="E532" s="1419"/>
      <c r="F532" s="1419"/>
      <c r="G532" s="1420"/>
      <c r="H532" s="1420"/>
      <c r="I532" s="1419"/>
      <c r="J532" s="816"/>
      <c r="K532" s="816">
        <v>500000</v>
      </c>
      <c r="L532" s="816"/>
      <c r="M532" s="816"/>
      <c r="N532" s="816"/>
      <c r="O532" s="771" t="s">
        <v>1217</v>
      </c>
    </row>
    <row r="533" spans="1:15" s="791" customFormat="1" ht="36">
      <c r="A533" s="757" t="s">
        <v>407</v>
      </c>
      <c r="B533" s="819" t="s">
        <v>1218</v>
      </c>
      <c r="C533" s="816"/>
      <c r="D533" s="816"/>
      <c r="E533" s="816"/>
      <c r="F533" s="816"/>
      <c r="G533" s="816"/>
      <c r="H533" s="816"/>
      <c r="I533" s="816"/>
      <c r="J533" s="816">
        <v>150000</v>
      </c>
      <c r="K533" s="816"/>
      <c r="L533" s="816"/>
      <c r="M533" s="816"/>
      <c r="N533" s="816"/>
      <c r="O533" s="771"/>
    </row>
    <row r="534" spans="1:15" s="791" customFormat="1" ht="36">
      <c r="A534" s="757" t="s">
        <v>407</v>
      </c>
      <c r="B534" s="819" t="s">
        <v>1219</v>
      </c>
      <c r="C534" s="1421"/>
      <c r="D534" s="1421"/>
      <c r="E534" s="1421"/>
      <c r="F534" s="1421"/>
      <c r="G534" s="1421"/>
      <c r="H534" s="1421"/>
      <c r="I534" s="1422"/>
      <c r="J534" s="816">
        <v>560000</v>
      </c>
      <c r="K534" s="816"/>
      <c r="L534" s="816"/>
      <c r="M534" s="816"/>
      <c r="N534" s="816"/>
      <c r="O534" s="771"/>
    </row>
    <row r="535" spans="1:15" s="791" customFormat="1" ht="27">
      <c r="A535" s="757" t="s">
        <v>407</v>
      </c>
      <c r="B535" s="819" t="s">
        <v>1220</v>
      </c>
      <c r="C535" s="1423"/>
      <c r="D535" s="1423"/>
      <c r="E535" s="1423"/>
      <c r="F535" s="1423"/>
      <c r="G535" s="1423"/>
      <c r="H535" s="1423"/>
      <c r="I535" s="1423"/>
      <c r="J535" s="816">
        <v>800000</v>
      </c>
      <c r="K535" s="816"/>
      <c r="L535" s="816"/>
      <c r="M535" s="816"/>
      <c r="N535" s="816"/>
      <c r="O535" s="771"/>
    </row>
    <row r="536" spans="1:15" s="791" customFormat="1" ht="36">
      <c r="A536" s="757" t="s">
        <v>410</v>
      </c>
      <c r="B536" s="819" t="s">
        <v>1221</v>
      </c>
      <c r="C536" s="816"/>
      <c r="D536" s="816"/>
      <c r="E536" s="816"/>
      <c r="F536" s="816"/>
      <c r="G536" s="816"/>
      <c r="H536" s="816"/>
      <c r="I536" s="816"/>
      <c r="J536" s="816">
        <v>9240000</v>
      </c>
      <c r="K536" s="816"/>
      <c r="L536" s="816"/>
      <c r="M536" s="816"/>
      <c r="N536" s="816"/>
      <c r="O536" s="771"/>
    </row>
    <row r="537" spans="1:15" s="791" customFormat="1" ht="36">
      <c r="A537" s="757" t="s">
        <v>419</v>
      </c>
      <c r="B537" s="819" t="s">
        <v>1222</v>
      </c>
      <c r="C537" s="816"/>
      <c r="D537" s="816"/>
      <c r="E537" s="816"/>
      <c r="F537" s="816"/>
      <c r="G537" s="816"/>
      <c r="H537" s="816"/>
      <c r="I537" s="816"/>
      <c r="J537" s="816">
        <v>250000</v>
      </c>
      <c r="K537" s="816"/>
      <c r="L537" s="816"/>
      <c r="M537" s="816"/>
      <c r="N537" s="816"/>
      <c r="O537" s="771"/>
    </row>
    <row r="538" spans="1:15" s="791" customFormat="1" ht="36">
      <c r="A538" s="757" t="s">
        <v>419</v>
      </c>
      <c r="B538" s="819" t="s">
        <v>1223</v>
      </c>
      <c r="C538" s="816"/>
      <c r="D538" s="816"/>
      <c r="E538" s="816"/>
      <c r="F538" s="816"/>
      <c r="G538" s="816"/>
      <c r="H538" s="816"/>
      <c r="I538" s="816"/>
      <c r="J538" s="816">
        <v>3500000</v>
      </c>
      <c r="K538" s="816"/>
      <c r="L538" s="816"/>
      <c r="M538" s="816"/>
      <c r="N538" s="816"/>
      <c r="O538" s="771" t="s">
        <v>1224</v>
      </c>
    </row>
    <row r="539" spans="1:15" s="791" customFormat="1" ht="18">
      <c r="A539" s="1440">
        <v>43872</v>
      </c>
      <c r="B539" s="819" t="s">
        <v>1225</v>
      </c>
      <c r="C539" s="816"/>
      <c r="D539" s="816"/>
      <c r="E539" s="816"/>
      <c r="F539" s="816">
        <v>200000000</v>
      </c>
      <c r="G539" s="816"/>
      <c r="H539" s="816"/>
      <c r="I539" s="816"/>
      <c r="J539" s="816"/>
      <c r="K539" s="816"/>
      <c r="L539" s="816"/>
      <c r="M539" s="816"/>
      <c r="N539" s="816"/>
      <c r="O539" s="771"/>
    </row>
    <row r="540" spans="1:15" s="791" customFormat="1" ht="18">
      <c r="A540" s="757" t="s">
        <v>425</v>
      </c>
      <c r="B540" s="819" t="s">
        <v>1226</v>
      </c>
      <c r="C540" s="816"/>
      <c r="D540" s="816"/>
      <c r="E540" s="816"/>
      <c r="F540" s="816"/>
      <c r="G540" s="816"/>
      <c r="H540" s="816">
        <v>110000000</v>
      </c>
      <c r="I540" s="816"/>
      <c r="J540" s="816"/>
      <c r="K540" s="816"/>
      <c r="L540" s="816"/>
      <c r="M540" s="816"/>
      <c r="N540" s="816"/>
      <c r="O540" s="771"/>
    </row>
    <row r="541" spans="1:15" s="791" customFormat="1" ht="18">
      <c r="A541" s="757" t="s">
        <v>425</v>
      </c>
      <c r="B541" s="819" t="s">
        <v>1227</v>
      </c>
      <c r="C541" s="816"/>
      <c r="D541" s="816"/>
      <c r="E541" s="816"/>
      <c r="F541" s="816"/>
      <c r="G541" s="816"/>
      <c r="H541" s="816"/>
      <c r="I541" s="816"/>
      <c r="J541" s="816">
        <v>800000</v>
      </c>
      <c r="K541" s="816"/>
      <c r="L541" s="816"/>
      <c r="M541" s="816"/>
      <c r="N541" s="816"/>
      <c r="O541" s="771"/>
    </row>
    <row r="542" spans="1:15" s="791" customFormat="1" ht="36">
      <c r="A542" s="757" t="s">
        <v>427</v>
      </c>
      <c r="B542" s="819" t="s">
        <v>1228</v>
      </c>
      <c r="C542" s="816"/>
      <c r="D542" s="816"/>
      <c r="E542" s="816"/>
      <c r="F542" s="816"/>
      <c r="G542" s="816"/>
      <c r="H542" s="816"/>
      <c r="I542" s="816"/>
      <c r="J542" s="816">
        <v>10000000</v>
      </c>
      <c r="K542" s="816"/>
      <c r="L542" s="816"/>
      <c r="M542" s="816"/>
      <c r="N542" s="816"/>
      <c r="O542" s="771"/>
    </row>
    <row r="543" spans="1:15" s="791" customFormat="1" ht="9">
      <c r="A543" s="757" t="s">
        <v>427</v>
      </c>
      <c r="B543" s="819" t="s">
        <v>897</v>
      </c>
      <c r="C543" s="816"/>
      <c r="D543" s="816"/>
      <c r="E543" s="816"/>
      <c r="F543" s="816"/>
      <c r="G543" s="816"/>
      <c r="H543" s="816"/>
      <c r="I543" s="816"/>
      <c r="J543" s="816">
        <v>11000</v>
      </c>
      <c r="K543" s="816"/>
      <c r="L543" s="816"/>
      <c r="M543" s="816"/>
      <c r="N543" s="816"/>
      <c r="O543" s="771"/>
    </row>
    <row r="544" spans="1:15" s="791" customFormat="1" ht="36">
      <c r="A544" s="757" t="s">
        <v>427</v>
      </c>
      <c r="B544" s="819" t="s">
        <v>1229</v>
      </c>
      <c r="C544" s="816"/>
      <c r="D544" s="816"/>
      <c r="E544" s="816"/>
      <c r="F544" s="816"/>
      <c r="G544" s="752"/>
      <c r="H544" s="752"/>
      <c r="I544" s="752"/>
      <c r="J544" s="816">
        <v>60000</v>
      </c>
      <c r="K544" s="816"/>
      <c r="L544" s="816"/>
      <c r="M544" s="816"/>
      <c r="N544" s="816"/>
      <c r="O544" s="771"/>
    </row>
    <row r="545" spans="1:15" s="791" customFormat="1" ht="36">
      <c r="A545" s="757" t="s">
        <v>427</v>
      </c>
      <c r="B545" s="819" t="s">
        <v>1230</v>
      </c>
      <c r="C545" s="816"/>
      <c r="D545" s="816"/>
      <c r="E545" s="816"/>
      <c r="F545" s="816"/>
      <c r="G545" s="752"/>
      <c r="H545" s="752"/>
      <c r="I545" s="752"/>
      <c r="J545" s="816">
        <v>230000</v>
      </c>
      <c r="K545" s="816"/>
      <c r="L545" s="816"/>
      <c r="M545" s="816"/>
      <c r="N545" s="816"/>
      <c r="O545" s="771"/>
    </row>
    <row r="546" spans="1:15" s="791" customFormat="1" ht="36">
      <c r="A546" s="757" t="s">
        <v>427</v>
      </c>
      <c r="B546" s="819" t="s">
        <v>1231</v>
      </c>
      <c r="C546" s="816"/>
      <c r="D546" s="816"/>
      <c r="E546" s="816"/>
      <c r="F546" s="816"/>
      <c r="G546" s="752"/>
      <c r="H546" s="752"/>
      <c r="I546" s="752"/>
      <c r="J546" s="816">
        <v>1018000</v>
      </c>
      <c r="K546" s="816"/>
      <c r="L546" s="816"/>
      <c r="M546" s="816"/>
      <c r="N546" s="816"/>
      <c r="O546" s="771" t="s">
        <v>1232</v>
      </c>
    </row>
    <row r="547" spans="1:15" s="791" customFormat="1" ht="63">
      <c r="A547" s="757" t="s">
        <v>430</v>
      </c>
      <c r="B547" s="819" t="s">
        <v>1233</v>
      </c>
      <c r="C547" s="816"/>
      <c r="D547" s="816"/>
      <c r="E547" s="816"/>
      <c r="F547" s="816"/>
      <c r="G547" s="752"/>
      <c r="H547" s="752"/>
      <c r="I547" s="752"/>
      <c r="J547" s="816">
        <v>1420000</v>
      </c>
      <c r="K547" s="816"/>
      <c r="L547" s="816"/>
      <c r="M547" s="816"/>
      <c r="N547" s="816"/>
      <c r="O547" s="771"/>
    </row>
    <row r="548" spans="1:15" s="791" customFormat="1" ht="9">
      <c r="A548" s="757" t="s">
        <v>430</v>
      </c>
      <c r="B548" s="819" t="s">
        <v>897</v>
      </c>
      <c r="C548" s="816"/>
      <c r="D548" s="816"/>
      <c r="E548" s="816"/>
      <c r="F548" s="816"/>
      <c r="G548" s="752"/>
      <c r="H548" s="752"/>
      <c r="I548" s="752"/>
      <c r="J548" s="816">
        <v>8000</v>
      </c>
      <c r="K548" s="816"/>
      <c r="L548" s="816"/>
      <c r="M548" s="816"/>
      <c r="N548" s="816"/>
      <c r="O548" s="771"/>
    </row>
    <row r="549" spans="1:15" s="791" customFormat="1" ht="18">
      <c r="A549" s="757" t="s">
        <v>430</v>
      </c>
      <c r="B549" s="819" t="s">
        <v>1214</v>
      </c>
      <c r="C549" s="816"/>
      <c r="D549" s="816"/>
      <c r="E549" s="816"/>
      <c r="F549" s="816"/>
      <c r="G549" s="752"/>
      <c r="H549" s="752"/>
      <c r="I549" s="752"/>
      <c r="J549" s="816">
        <v>1000000</v>
      </c>
      <c r="K549" s="816"/>
      <c r="L549" s="816"/>
      <c r="M549" s="816"/>
      <c r="N549" s="816"/>
      <c r="O549" s="771" t="s">
        <v>1234</v>
      </c>
    </row>
    <row r="550" spans="1:15" s="791" customFormat="1" ht="27">
      <c r="A550" s="757" t="s">
        <v>436</v>
      </c>
      <c r="B550" s="819" t="s">
        <v>1235</v>
      </c>
      <c r="C550" s="816"/>
      <c r="D550" s="816"/>
      <c r="E550" s="816"/>
      <c r="F550" s="816"/>
      <c r="G550" s="752"/>
      <c r="H550" s="752"/>
      <c r="I550" s="752"/>
      <c r="J550" s="816">
        <v>2160000</v>
      </c>
      <c r="K550" s="816"/>
      <c r="L550" s="816"/>
      <c r="M550" s="816"/>
      <c r="N550" s="816"/>
      <c r="O550" s="771"/>
    </row>
    <row r="551" spans="1:15" s="791" customFormat="1" ht="18">
      <c r="A551" s="757" t="s">
        <v>436</v>
      </c>
      <c r="B551" s="819" t="s">
        <v>1236</v>
      </c>
      <c r="C551" s="816"/>
      <c r="D551" s="816"/>
      <c r="E551" s="816"/>
      <c r="F551" s="816"/>
      <c r="G551" s="752"/>
      <c r="H551" s="752"/>
      <c r="I551" s="752"/>
      <c r="J551" s="816">
        <v>794000</v>
      </c>
      <c r="K551" s="816"/>
      <c r="L551" s="816"/>
      <c r="M551" s="816"/>
      <c r="N551" s="816"/>
      <c r="O551" s="771"/>
    </row>
    <row r="552" spans="1:15" s="791" customFormat="1" ht="18">
      <c r="A552" s="757" t="s">
        <v>436</v>
      </c>
      <c r="B552" s="819" t="s">
        <v>1129</v>
      </c>
      <c r="C552" s="816"/>
      <c r="D552" s="816"/>
      <c r="E552" s="816"/>
      <c r="F552" s="816"/>
      <c r="G552" s="752"/>
      <c r="H552" s="752"/>
      <c r="I552" s="752"/>
      <c r="J552" s="816">
        <v>500000</v>
      </c>
      <c r="K552" s="816"/>
      <c r="L552" s="816"/>
      <c r="M552" s="816"/>
      <c r="N552" s="816"/>
      <c r="O552" s="771"/>
    </row>
    <row r="553" spans="1:15" s="791" customFormat="1" ht="36">
      <c r="A553" s="757" t="s">
        <v>443</v>
      </c>
      <c r="B553" s="819" t="s">
        <v>1237</v>
      </c>
      <c r="C553" s="816"/>
      <c r="D553" s="816"/>
      <c r="E553" s="816"/>
      <c r="F553" s="816"/>
      <c r="G553" s="752"/>
      <c r="H553" s="752"/>
      <c r="I553" s="752"/>
      <c r="J553" s="816">
        <v>1000000</v>
      </c>
      <c r="K553" s="816"/>
      <c r="L553" s="816"/>
      <c r="M553" s="816"/>
      <c r="N553" s="816"/>
      <c r="O553" s="771" t="s">
        <v>1238</v>
      </c>
    </row>
    <row r="554" spans="1:15" s="791" customFormat="1" ht="36">
      <c r="A554" s="757" t="s">
        <v>443</v>
      </c>
      <c r="B554" s="819" t="s">
        <v>1239</v>
      </c>
      <c r="C554" s="816"/>
      <c r="D554" s="816"/>
      <c r="E554" s="816"/>
      <c r="F554" s="816"/>
      <c r="G554" s="752"/>
      <c r="H554" s="752"/>
      <c r="I554" s="752"/>
      <c r="J554" s="816">
        <v>470000</v>
      </c>
      <c r="K554" s="816"/>
      <c r="L554" s="816"/>
      <c r="M554" s="816"/>
      <c r="N554" s="816"/>
      <c r="O554" s="771"/>
    </row>
    <row r="555" spans="1:15" s="791" customFormat="1" ht="36">
      <c r="A555" s="757" t="s">
        <v>443</v>
      </c>
      <c r="B555" s="819" t="s">
        <v>1240</v>
      </c>
      <c r="C555" s="816"/>
      <c r="D555" s="816"/>
      <c r="E555" s="816"/>
      <c r="F555" s="816"/>
      <c r="G555" s="752"/>
      <c r="H555" s="752"/>
      <c r="I555" s="752"/>
      <c r="J555" s="816">
        <v>120000</v>
      </c>
      <c r="K555" s="816"/>
      <c r="L555" s="816"/>
      <c r="M555" s="816"/>
      <c r="N555" s="816"/>
      <c r="O555" s="771"/>
    </row>
    <row r="556" spans="1:15" s="791" customFormat="1" ht="36">
      <c r="A556" s="757" t="s">
        <v>443</v>
      </c>
      <c r="B556" s="819" t="s">
        <v>1241</v>
      </c>
      <c r="C556" s="816"/>
      <c r="D556" s="816"/>
      <c r="E556" s="816"/>
      <c r="F556" s="816"/>
      <c r="G556" s="752"/>
      <c r="H556" s="752"/>
      <c r="I556" s="752"/>
      <c r="J556" s="816">
        <v>2420000</v>
      </c>
      <c r="K556" s="816"/>
      <c r="L556" s="816"/>
      <c r="M556" s="816"/>
      <c r="N556" s="816"/>
      <c r="O556" s="771" t="s">
        <v>1242</v>
      </c>
    </row>
    <row r="557" spans="1:15" s="791" customFormat="1" ht="9">
      <c r="A557" s="757" t="s">
        <v>443</v>
      </c>
      <c r="B557" s="819" t="s">
        <v>897</v>
      </c>
      <c r="C557" s="820"/>
      <c r="D557" s="820"/>
      <c r="E557" s="820"/>
      <c r="F557" s="820"/>
      <c r="G557" s="816"/>
      <c r="H557" s="816"/>
      <c r="I557" s="816"/>
      <c r="J557" s="816">
        <v>10000</v>
      </c>
      <c r="K557" s="816"/>
      <c r="L557" s="816"/>
      <c r="M557" s="816"/>
      <c r="N557" s="816"/>
      <c r="O557" s="771"/>
    </row>
    <row r="558" spans="1:15" s="791" customFormat="1" ht="36">
      <c r="A558" s="757" t="s">
        <v>446</v>
      </c>
      <c r="B558" s="819" t="s">
        <v>1243</v>
      </c>
      <c r="C558" s="820"/>
      <c r="D558" s="820"/>
      <c r="E558" s="820"/>
      <c r="F558" s="820"/>
      <c r="G558" s="816"/>
      <c r="H558" s="816"/>
      <c r="I558" s="816"/>
      <c r="J558" s="816">
        <v>8800000</v>
      </c>
      <c r="K558" s="816"/>
      <c r="L558" s="816"/>
      <c r="M558" s="816"/>
      <c r="N558" s="816"/>
      <c r="O558" s="771" t="s">
        <v>1244</v>
      </c>
    </row>
    <row r="559" spans="1:15" s="791" customFormat="1" ht="9">
      <c r="A559" s="757" t="s">
        <v>447</v>
      </c>
      <c r="B559" s="819" t="s">
        <v>1021</v>
      </c>
      <c r="C559" s="820"/>
      <c r="D559" s="820"/>
      <c r="E559" s="820"/>
      <c r="F559" s="820"/>
      <c r="G559" s="816"/>
      <c r="H559" s="816"/>
      <c r="I559" s="816"/>
      <c r="J559" s="816">
        <v>430000</v>
      </c>
      <c r="K559" s="816"/>
      <c r="L559" s="816"/>
      <c r="M559" s="816"/>
      <c r="N559" s="816"/>
      <c r="O559" s="771"/>
    </row>
    <row r="560" spans="1:15" s="791" customFormat="1" ht="27">
      <c r="A560" s="757" t="s">
        <v>447</v>
      </c>
      <c r="B560" s="819" t="s">
        <v>1245</v>
      </c>
      <c r="C560" s="820"/>
      <c r="D560" s="820"/>
      <c r="E560" s="820"/>
      <c r="F560" s="820"/>
      <c r="G560" s="816"/>
      <c r="H560" s="816"/>
      <c r="I560" s="816"/>
      <c r="J560" s="816">
        <v>2600000</v>
      </c>
      <c r="K560" s="816"/>
      <c r="L560" s="816"/>
      <c r="M560" s="816"/>
      <c r="N560" s="816"/>
      <c r="O560" s="771"/>
    </row>
    <row r="561" spans="1:15" s="791" customFormat="1" ht="27">
      <c r="A561" s="757" t="s">
        <v>448</v>
      </c>
      <c r="B561" s="819" t="s">
        <v>1246</v>
      </c>
      <c r="C561" s="820"/>
      <c r="D561" s="820"/>
      <c r="E561" s="820"/>
      <c r="F561" s="820"/>
      <c r="G561" s="816"/>
      <c r="H561" s="816"/>
      <c r="I561" s="816"/>
      <c r="J561" s="816">
        <v>1170000</v>
      </c>
      <c r="K561" s="816"/>
      <c r="L561" s="816"/>
      <c r="M561" s="816"/>
      <c r="N561" s="816"/>
      <c r="O561" s="771"/>
    </row>
    <row r="562" spans="1:15" s="791" customFormat="1" ht="27">
      <c r="A562" s="757" t="s">
        <v>451</v>
      </c>
      <c r="B562" s="819" t="s">
        <v>1247</v>
      </c>
      <c r="C562" s="820"/>
      <c r="D562" s="820"/>
      <c r="E562" s="820"/>
      <c r="F562" s="820"/>
      <c r="G562" s="816"/>
      <c r="H562" s="816"/>
      <c r="I562" s="816"/>
      <c r="J562" s="816">
        <v>1156000</v>
      </c>
      <c r="K562" s="816"/>
      <c r="L562" s="816"/>
      <c r="M562" s="816"/>
      <c r="N562" s="816"/>
      <c r="O562" s="771"/>
    </row>
    <row r="563" spans="1:15" s="791" customFormat="1" ht="9">
      <c r="A563" s="757" t="s">
        <v>454</v>
      </c>
      <c r="B563" s="819" t="s">
        <v>1125</v>
      </c>
      <c r="C563" s="820"/>
      <c r="D563" s="820"/>
      <c r="E563" s="820"/>
      <c r="F563" s="820"/>
      <c r="G563" s="816"/>
      <c r="H563" s="816"/>
      <c r="I563" s="816"/>
      <c r="J563" s="816">
        <v>260000</v>
      </c>
      <c r="K563" s="816"/>
      <c r="L563" s="816"/>
      <c r="M563" s="816"/>
      <c r="N563" s="816"/>
      <c r="O563" s="771"/>
    </row>
    <row r="564" spans="1:15" s="791" customFormat="1" ht="72">
      <c r="A564" s="757" t="s">
        <v>454</v>
      </c>
      <c r="B564" s="819" t="s">
        <v>1248</v>
      </c>
      <c r="C564" s="820"/>
      <c r="D564" s="820"/>
      <c r="E564" s="820"/>
      <c r="F564" s="820"/>
      <c r="G564" s="816"/>
      <c r="H564" s="816"/>
      <c r="I564" s="816"/>
      <c r="J564" s="816">
        <v>2000000</v>
      </c>
      <c r="K564" s="816"/>
      <c r="L564" s="816"/>
      <c r="M564" s="816"/>
      <c r="N564" s="816"/>
      <c r="O564" s="771" t="s">
        <v>1249</v>
      </c>
    </row>
    <row r="565" spans="1:15" s="791" customFormat="1" ht="9">
      <c r="A565" s="757" t="s">
        <v>454</v>
      </c>
      <c r="B565" s="819" t="s">
        <v>897</v>
      </c>
      <c r="C565" s="820"/>
      <c r="D565" s="820"/>
      <c r="E565" s="820"/>
      <c r="F565" s="820"/>
      <c r="G565" s="816"/>
      <c r="H565" s="816"/>
      <c r="I565" s="816"/>
      <c r="J565" s="816">
        <v>7700</v>
      </c>
      <c r="K565" s="816"/>
      <c r="L565" s="816"/>
      <c r="M565" s="816"/>
      <c r="N565" s="816"/>
      <c r="O565" s="771"/>
    </row>
    <row r="566" spans="1:15" s="791" customFormat="1" ht="18">
      <c r="A566" s="757" t="s">
        <v>454</v>
      </c>
      <c r="B566" s="819" t="s">
        <v>1250</v>
      </c>
      <c r="C566" s="820"/>
      <c r="D566" s="820"/>
      <c r="E566" s="820"/>
      <c r="F566" s="820"/>
      <c r="G566" s="816"/>
      <c r="H566" s="816"/>
      <c r="I566" s="816"/>
      <c r="J566" s="816">
        <v>3600000</v>
      </c>
      <c r="K566" s="816"/>
      <c r="L566" s="816"/>
      <c r="M566" s="816"/>
      <c r="N566" s="816"/>
      <c r="O566" s="771" t="s">
        <v>1251</v>
      </c>
    </row>
    <row r="567" spans="1:15" s="791" customFormat="1" ht="9">
      <c r="A567" s="757" t="s">
        <v>456</v>
      </c>
      <c r="B567" s="819" t="s">
        <v>1252</v>
      </c>
      <c r="C567" s="820"/>
      <c r="D567" s="820"/>
      <c r="E567" s="820"/>
      <c r="F567" s="820"/>
      <c r="G567" s="816"/>
      <c r="H567" s="816"/>
      <c r="I567" s="816"/>
      <c r="J567" s="816">
        <v>130000</v>
      </c>
      <c r="K567" s="816"/>
      <c r="L567" s="816"/>
      <c r="M567" s="816"/>
      <c r="N567" s="816"/>
      <c r="O567" s="784"/>
    </row>
    <row r="568" spans="1:15" s="791" customFormat="1" ht="18">
      <c r="A568" s="757" t="s">
        <v>456</v>
      </c>
      <c r="B568" s="819" t="s">
        <v>1253</v>
      </c>
      <c r="C568" s="820"/>
      <c r="D568" s="820"/>
      <c r="E568" s="820"/>
      <c r="F568" s="820"/>
      <c r="G568" s="816"/>
      <c r="H568" s="816"/>
      <c r="I568" s="816"/>
      <c r="J568" s="816">
        <v>110000</v>
      </c>
      <c r="K568" s="816"/>
      <c r="L568" s="816"/>
      <c r="M568" s="816"/>
      <c r="N568" s="816"/>
      <c r="O568" s="784"/>
    </row>
    <row r="569" spans="1:15" s="791" customFormat="1" ht="36">
      <c r="A569" s="757" t="s">
        <v>459</v>
      </c>
      <c r="B569" s="819" t="s">
        <v>1254</v>
      </c>
      <c r="C569" s="820"/>
      <c r="D569" s="820"/>
      <c r="E569" s="820"/>
      <c r="F569" s="820"/>
      <c r="G569" s="816"/>
      <c r="H569" s="816"/>
      <c r="I569" s="816"/>
      <c r="J569" s="816">
        <v>2500000</v>
      </c>
      <c r="K569" s="816"/>
      <c r="L569" s="816"/>
      <c r="M569" s="816"/>
      <c r="N569" s="816"/>
      <c r="O569" s="771"/>
    </row>
    <row r="570" spans="1:15" s="791" customFormat="1" ht="9">
      <c r="A570" s="757" t="s">
        <v>459</v>
      </c>
      <c r="B570" s="819" t="s">
        <v>897</v>
      </c>
      <c r="C570" s="820"/>
      <c r="D570" s="820"/>
      <c r="E570" s="820"/>
      <c r="F570" s="820"/>
      <c r="G570" s="816"/>
      <c r="H570" s="816"/>
      <c r="I570" s="816"/>
      <c r="J570" s="816">
        <v>20000</v>
      </c>
      <c r="K570" s="816"/>
      <c r="L570" s="816"/>
      <c r="M570" s="816"/>
      <c r="N570" s="816"/>
      <c r="O570" s="771"/>
    </row>
    <row r="571" spans="1:15" s="791" customFormat="1" ht="36">
      <c r="A571" s="757" t="s">
        <v>460</v>
      </c>
      <c r="B571" s="819" t="s">
        <v>1255</v>
      </c>
      <c r="C571" s="820"/>
      <c r="D571" s="820"/>
      <c r="E571" s="820"/>
      <c r="F571" s="820"/>
      <c r="G571" s="816"/>
      <c r="H571" s="816"/>
      <c r="I571" s="816"/>
      <c r="J571" s="816">
        <v>2000000</v>
      </c>
      <c r="K571" s="816"/>
      <c r="L571" s="816"/>
      <c r="M571" s="816"/>
      <c r="N571" s="816"/>
      <c r="O571" s="771" t="s">
        <v>1256</v>
      </c>
    </row>
    <row r="572" spans="1:15" s="791" customFormat="1" ht="27">
      <c r="A572" s="757" t="s">
        <v>460</v>
      </c>
      <c r="B572" s="819" t="s">
        <v>1257</v>
      </c>
      <c r="C572" s="820"/>
      <c r="D572" s="820"/>
      <c r="E572" s="820"/>
      <c r="F572" s="820"/>
      <c r="G572" s="816"/>
      <c r="H572" s="816"/>
      <c r="I572" s="816"/>
      <c r="J572" s="816">
        <v>4000000</v>
      </c>
      <c r="K572" s="816"/>
      <c r="L572" s="816"/>
      <c r="M572" s="816"/>
      <c r="N572" s="816"/>
      <c r="O572" s="771"/>
    </row>
    <row r="573" spans="1:15" s="791" customFormat="1" ht="9">
      <c r="A573" s="757" t="s">
        <v>460</v>
      </c>
      <c r="B573" s="819" t="s">
        <v>897</v>
      </c>
      <c r="C573" s="820"/>
      <c r="D573" s="820"/>
      <c r="E573" s="820"/>
      <c r="F573" s="820"/>
      <c r="G573" s="816"/>
      <c r="H573" s="816"/>
      <c r="I573" s="816"/>
      <c r="J573" s="816">
        <v>10000</v>
      </c>
      <c r="K573" s="816"/>
      <c r="L573" s="816"/>
      <c r="M573" s="816"/>
      <c r="N573" s="816"/>
      <c r="O573" s="784"/>
    </row>
    <row r="574" spans="1:15" s="791" customFormat="1" ht="27">
      <c r="A574" s="753" t="s">
        <v>460</v>
      </c>
      <c r="B574" s="819" t="s">
        <v>1258</v>
      </c>
      <c r="C574" s="820"/>
      <c r="D574" s="820"/>
      <c r="E574" s="820"/>
      <c r="F574" s="820"/>
      <c r="G574" s="816"/>
      <c r="H574" s="816"/>
      <c r="I574" s="816"/>
      <c r="J574" s="816">
        <v>10000000</v>
      </c>
      <c r="K574" s="816"/>
      <c r="L574" s="816"/>
      <c r="M574" s="816"/>
      <c r="N574" s="816"/>
      <c r="O574" s="784"/>
    </row>
    <row r="575" spans="1:15" s="791" customFormat="1" ht="45">
      <c r="A575" s="753" t="s">
        <v>460</v>
      </c>
      <c r="B575" s="819" t="s">
        <v>1259</v>
      </c>
      <c r="C575" s="820"/>
      <c r="D575" s="820"/>
      <c r="E575" s="820"/>
      <c r="F575" s="820"/>
      <c r="G575" s="816"/>
      <c r="H575" s="816"/>
      <c r="I575" s="816"/>
      <c r="J575" s="816">
        <v>2500000</v>
      </c>
      <c r="K575" s="816"/>
      <c r="L575" s="816"/>
      <c r="M575" s="816"/>
      <c r="N575" s="816"/>
      <c r="O575" s="771"/>
    </row>
    <row r="576" spans="1:15" s="791" customFormat="1" ht="45">
      <c r="A576" s="757" t="s">
        <v>463</v>
      </c>
      <c r="B576" s="819" t="s">
        <v>1260</v>
      </c>
      <c r="C576" s="820"/>
      <c r="D576" s="820"/>
      <c r="E576" s="820"/>
      <c r="F576" s="820"/>
      <c r="G576" s="816"/>
      <c r="H576" s="816"/>
      <c r="I576" s="816"/>
      <c r="J576" s="816">
        <v>3200000</v>
      </c>
      <c r="K576" s="816"/>
      <c r="L576" s="816"/>
      <c r="M576" s="816"/>
      <c r="N576" s="816"/>
      <c r="O576" s="771"/>
    </row>
    <row r="577" spans="1:15" s="791" customFormat="1" ht="9">
      <c r="A577" s="757" t="s">
        <v>463</v>
      </c>
      <c r="B577" s="819" t="s">
        <v>897</v>
      </c>
      <c r="C577" s="820"/>
      <c r="D577" s="820"/>
      <c r="E577" s="820"/>
      <c r="F577" s="820"/>
      <c r="G577" s="816"/>
      <c r="H577" s="816"/>
      <c r="I577" s="816"/>
      <c r="J577" s="816">
        <v>10000</v>
      </c>
      <c r="K577" s="816"/>
      <c r="L577" s="816"/>
      <c r="M577" s="816"/>
      <c r="N577" s="816"/>
      <c r="O577" s="771"/>
    </row>
    <row r="578" spans="1:15" s="791" customFormat="1" ht="36">
      <c r="A578" s="757" t="s">
        <v>463</v>
      </c>
      <c r="B578" s="819" t="s">
        <v>1261</v>
      </c>
      <c r="C578" s="820"/>
      <c r="D578" s="820"/>
      <c r="E578" s="820"/>
      <c r="F578" s="820"/>
      <c r="G578" s="816"/>
      <c r="H578" s="816"/>
      <c r="I578" s="816"/>
      <c r="J578" s="816">
        <v>678000</v>
      </c>
      <c r="K578" s="816"/>
      <c r="L578" s="816"/>
      <c r="M578" s="816"/>
      <c r="N578" s="816"/>
      <c r="O578" s="771"/>
    </row>
    <row r="579" spans="1:15" s="791" customFormat="1" ht="18">
      <c r="A579" s="757" t="s">
        <v>472</v>
      </c>
      <c r="B579" s="819" t="s">
        <v>1262</v>
      </c>
      <c r="C579" s="820"/>
      <c r="D579" s="820"/>
      <c r="E579" s="820"/>
      <c r="F579" s="820"/>
      <c r="G579" s="816"/>
      <c r="H579" s="816"/>
      <c r="I579" s="816"/>
      <c r="J579" s="816">
        <v>390000</v>
      </c>
      <c r="K579" s="816"/>
      <c r="L579" s="816"/>
      <c r="M579" s="816"/>
      <c r="N579" s="816"/>
      <c r="O579" s="771"/>
    </row>
    <row r="580" spans="1:15" s="791" customFormat="1" ht="54">
      <c r="A580" s="757" t="s">
        <v>472</v>
      </c>
      <c r="B580" s="819" t="s">
        <v>1263</v>
      </c>
      <c r="C580" s="820"/>
      <c r="D580" s="820"/>
      <c r="E580" s="820"/>
      <c r="F580" s="820"/>
      <c r="G580" s="816"/>
      <c r="H580" s="816"/>
      <c r="I580" s="816"/>
      <c r="J580" s="816">
        <v>390000</v>
      </c>
      <c r="K580" s="816"/>
      <c r="L580" s="816"/>
      <c r="M580" s="816"/>
      <c r="N580" s="816"/>
      <c r="O580" s="771" t="s">
        <v>1264</v>
      </c>
    </row>
    <row r="581" spans="1:15" s="791" customFormat="1" ht="18">
      <c r="A581" s="757" t="s">
        <v>474</v>
      </c>
      <c r="B581" s="819" t="s">
        <v>1265</v>
      </c>
      <c r="C581" s="820"/>
      <c r="D581" s="820"/>
      <c r="E581" s="820"/>
      <c r="F581" s="820"/>
      <c r="G581" s="816"/>
      <c r="H581" s="816"/>
      <c r="I581" s="816"/>
      <c r="J581" s="816">
        <v>1002720</v>
      </c>
      <c r="K581" s="816"/>
      <c r="L581" s="816"/>
      <c r="M581" s="816"/>
      <c r="N581" s="816"/>
      <c r="O581" s="771"/>
    </row>
    <row r="582" spans="1:15" s="791" customFormat="1" ht="27">
      <c r="A582" s="757" t="s">
        <v>476</v>
      </c>
      <c r="B582" s="819" t="s">
        <v>1266</v>
      </c>
      <c r="C582" s="820"/>
      <c r="D582" s="820"/>
      <c r="E582" s="820"/>
      <c r="F582" s="820"/>
      <c r="G582" s="816"/>
      <c r="H582" s="816"/>
      <c r="I582" s="816"/>
      <c r="J582" s="816">
        <v>8800000</v>
      </c>
      <c r="K582" s="816"/>
      <c r="L582" s="816"/>
      <c r="M582" s="816"/>
      <c r="N582" s="816"/>
      <c r="O582" s="771"/>
    </row>
    <row r="583" spans="1:15" s="791" customFormat="1" ht="27">
      <c r="A583" s="757" t="s">
        <v>476</v>
      </c>
      <c r="B583" s="819" t="s">
        <v>1267</v>
      </c>
      <c r="C583" s="820"/>
      <c r="D583" s="820"/>
      <c r="E583" s="820"/>
      <c r="F583" s="820"/>
      <c r="G583" s="816"/>
      <c r="H583" s="816"/>
      <c r="I583" s="816"/>
      <c r="J583" s="816">
        <v>250000</v>
      </c>
      <c r="K583" s="816"/>
      <c r="L583" s="816"/>
      <c r="M583" s="816"/>
      <c r="N583" s="816"/>
      <c r="O583" s="771"/>
    </row>
    <row r="584" spans="1:15" s="791" customFormat="1" ht="18">
      <c r="A584" s="757" t="s">
        <v>476</v>
      </c>
      <c r="B584" s="819" t="s">
        <v>1268</v>
      </c>
      <c r="C584" s="820"/>
      <c r="D584" s="820"/>
      <c r="E584" s="820"/>
      <c r="F584" s="820"/>
      <c r="G584" s="816"/>
      <c r="H584" s="816"/>
      <c r="I584" s="816"/>
      <c r="J584" s="816">
        <v>1018710</v>
      </c>
      <c r="K584" s="816"/>
      <c r="L584" s="816"/>
      <c r="M584" s="816"/>
      <c r="N584" s="816"/>
      <c r="O584" s="771"/>
    </row>
    <row r="585" spans="1:15" s="791" customFormat="1" ht="36">
      <c r="A585" s="757" t="s">
        <v>476</v>
      </c>
      <c r="B585" s="819" t="s">
        <v>1269</v>
      </c>
      <c r="C585" s="820"/>
      <c r="D585" s="820"/>
      <c r="E585" s="820"/>
      <c r="F585" s="820"/>
      <c r="G585" s="816"/>
      <c r="H585" s="816"/>
      <c r="I585" s="816"/>
      <c r="J585" s="816">
        <v>640000</v>
      </c>
      <c r="K585" s="816"/>
      <c r="L585" s="816"/>
      <c r="M585" s="816"/>
      <c r="N585" s="816"/>
      <c r="O585" s="771"/>
    </row>
    <row r="586" spans="1:15" s="791" customFormat="1" ht="36">
      <c r="A586" s="757" t="s">
        <v>486</v>
      </c>
      <c r="B586" s="819" t="s">
        <v>1270</v>
      </c>
      <c r="C586" s="820"/>
      <c r="D586" s="820"/>
      <c r="E586" s="820"/>
      <c r="F586" s="820"/>
      <c r="G586" s="816"/>
      <c r="H586" s="816"/>
      <c r="I586" s="816"/>
      <c r="J586" s="816">
        <v>351000</v>
      </c>
      <c r="K586" s="816"/>
      <c r="L586" s="816"/>
      <c r="M586" s="816"/>
      <c r="N586" s="816"/>
      <c r="O586" s="771"/>
    </row>
    <row r="587" spans="1:15" s="791" customFormat="1" ht="36">
      <c r="A587" s="757" t="s">
        <v>486</v>
      </c>
      <c r="B587" s="819" t="s">
        <v>1271</v>
      </c>
      <c r="C587" s="820"/>
      <c r="D587" s="820"/>
      <c r="E587" s="820"/>
      <c r="F587" s="820"/>
      <c r="G587" s="816"/>
      <c r="H587" s="816"/>
      <c r="I587" s="816"/>
      <c r="J587" s="816">
        <v>213000</v>
      </c>
      <c r="K587" s="816"/>
      <c r="L587" s="816"/>
      <c r="M587" s="816"/>
      <c r="N587" s="816"/>
      <c r="O587" s="771"/>
    </row>
    <row r="588" spans="1:15" s="791" customFormat="1" ht="45">
      <c r="A588" s="757" t="s">
        <v>488</v>
      </c>
      <c r="B588" s="819" t="s">
        <v>1272</v>
      </c>
      <c r="C588" s="820"/>
      <c r="D588" s="820"/>
      <c r="E588" s="820"/>
      <c r="F588" s="820"/>
      <c r="G588" s="816"/>
      <c r="H588" s="816"/>
      <c r="I588" s="816"/>
      <c r="J588" s="816">
        <v>950000</v>
      </c>
      <c r="K588" s="816"/>
      <c r="L588" s="816"/>
      <c r="M588" s="816"/>
      <c r="N588" s="816"/>
      <c r="O588" s="771"/>
    </row>
    <row r="589" spans="1:15" s="791" customFormat="1" ht="36">
      <c r="A589" s="757" t="s">
        <v>492</v>
      </c>
      <c r="B589" s="819" t="s">
        <v>1273</v>
      </c>
      <c r="C589" s="820"/>
      <c r="D589" s="820"/>
      <c r="E589" s="820"/>
      <c r="F589" s="820"/>
      <c r="G589" s="816"/>
      <c r="H589" s="816"/>
      <c r="I589" s="816"/>
      <c r="J589" s="816">
        <v>3000000</v>
      </c>
      <c r="K589" s="816"/>
      <c r="L589" s="816"/>
      <c r="M589" s="816"/>
      <c r="N589" s="816"/>
      <c r="O589" s="771"/>
    </row>
    <row r="590" spans="1:15" s="791" customFormat="1" ht="36">
      <c r="A590" s="757" t="s">
        <v>492</v>
      </c>
      <c r="B590" s="819" t="s">
        <v>1274</v>
      </c>
      <c r="C590" s="820"/>
      <c r="D590" s="820"/>
      <c r="E590" s="820"/>
      <c r="F590" s="820"/>
      <c r="G590" s="816"/>
      <c r="H590" s="816"/>
      <c r="I590" s="816"/>
      <c r="J590" s="816">
        <v>1000000</v>
      </c>
      <c r="K590" s="816"/>
      <c r="L590" s="816"/>
      <c r="M590" s="816"/>
      <c r="N590" s="816"/>
      <c r="O590" s="771"/>
    </row>
    <row r="591" spans="1:15" s="791" customFormat="1" ht="36">
      <c r="A591" s="757" t="s">
        <v>492</v>
      </c>
      <c r="B591" s="819" t="s">
        <v>1275</v>
      </c>
      <c r="C591" s="820"/>
      <c r="D591" s="820"/>
      <c r="E591" s="820"/>
      <c r="F591" s="820"/>
      <c r="G591" s="816"/>
      <c r="H591" s="816"/>
      <c r="I591" s="816"/>
      <c r="J591" s="816">
        <v>50000</v>
      </c>
      <c r="K591" s="816"/>
      <c r="L591" s="816"/>
      <c r="M591" s="816"/>
      <c r="N591" s="816"/>
      <c r="O591" s="784"/>
    </row>
    <row r="592" spans="1:15" s="791" customFormat="1" ht="9">
      <c r="A592" s="757" t="s">
        <v>492</v>
      </c>
      <c r="B592" s="819" t="s">
        <v>1023</v>
      </c>
      <c r="C592" s="820"/>
      <c r="D592" s="820"/>
      <c r="E592" s="820"/>
      <c r="F592" s="820"/>
      <c r="G592" s="816"/>
      <c r="H592" s="816"/>
      <c r="I592" s="816"/>
      <c r="J592" s="816">
        <v>755000</v>
      </c>
      <c r="K592" s="816"/>
      <c r="L592" s="816"/>
      <c r="M592" s="816"/>
      <c r="N592" s="816"/>
      <c r="O592" s="784" t="s">
        <v>1276</v>
      </c>
    </row>
    <row r="593" spans="1:15" s="791" customFormat="1" ht="27">
      <c r="A593" s="753" t="s">
        <v>1277</v>
      </c>
      <c r="B593" s="819" t="s">
        <v>1278</v>
      </c>
      <c r="C593" s="820"/>
      <c r="D593" s="820"/>
      <c r="E593" s="820"/>
      <c r="F593" s="820"/>
      <c r="G593" s="816"/>
      <c r="H593" s="816"/>
      <c r="I593" s="816"/>
      <c r="J593" s="816">
        <v>15000000</v>
      </c>
      <c r="K593" s="816"/>
      <c r="L593" s="816"/>
      <c r="M593" s="816"/>
      <c r="N593" s="816"/>
      <c r="O593" s="784" t="s">
        <v>1279</v>
      </c>
    </row>
    <row r="594" spans="1:15" s="791" customFormat="1" ht="18">
      <c r="A594" s="753" t="s">
        <v>1277</v>
      </c>
      <c r="B594" s="819" t="s">
        <v>1280</v>
      </c>
      <c r="C594" s="820"/>
      <c r="D594" s="820"/>
      <c r="E594" s="820"/>
      <c r="F594" s="820"/>
      <c r="G594" s="816"/>
      <c r="H594" s="816"/>
      <c r="I594" s="816"/>
      <c r="J594" s="816">
        <v>200000</v>
      </c>
      <c r="K594" s="816"/>
      <c r="L594" s="816"/>
      <c r="M594" s="816"/>
      <c r="N594" s="816"/>
      <c r="O594" s="784"/>
    </row>
    <row r="595" spans="1:15" s="791" customFormat="1" ht="36">
      <c r="A595" s="757" t="s">
        <v>495</v>
      </c>
      <c r="B595" s="819" t="s">
        <v>1281</v>
      </c>
      <c r="C595" s="820"/>
      <c r="D595" s="820"/>
      <c r="E595" s="820"/>
      <c r="F595" s="820"/>
      <c r="G595" s="816"/>
      <c r="H595" s="816"/>
      <c r="I595" s="816"/>
      <c r="J595" s="816">
        <v>352000</v>
      </c>
      <c r="K595" s="816"/>
      <c r="L595" s="816"/>
      <c r="M595" s="816"/>
      <c r="N595" s="816"/>
      <c r="O595" s="784"/>
    </row>
    <row r="596" spans="1:15" s="1424" customFormat="1" ht="36">
      <c r="A596" s="757" t="s">
        <v>495</v>
      </c>
      <c r="B596" s="819" t="s">
        <v>1282</v>
      </c>
      <c r="C596" s="820"/>
      <c r="D596" s="820"/>
      <c r="E596" s="820"/>
      <c r="F596" s="820"/>
      <c r="G596" s="816"/>
      <c r="H596" s="816"/>
      <c r="I596" s="816"/>
      <c r="J596" s="816">
        <v>12815000</v>
      </c>
      <c r="K596" s="816"/>
      <c r="L596" s="816"/>
      <c r="M596" s="816"/>
      <c r="N596" s="816"/>
      <c r="O596" s="1436"/>
    </row>
    <row r="597" spans="1:15" s="1411" customFormat="1" ht="27">
      <c r="A597" s="1441" t="s">
        <v>499</v>
      </c>
      <c r="B597" s="819" t="s">
        <v>1283</v>
      </c>
      <c r="C597" s="820"/>
      <c r="D597" s="820"/>
      <c r="E597" s="820"/>
      <c r="F597" s="820"/>
      <c r="G597" s="816"/>
      <c r="H597" s="816"/>
      <c r="I597" s="816"/>
      <c r="J597" s="816">
        <v>4566000</v>
      </c>
      <c r="K597" s="816"/>
      <c r="L597" s="816"/>
      <c r="M597" s="816"/>
      <c r="N597" s="816"/>
      <c r="O597" s="1437"/>
    </row>
    <row r="598" spans="1:15" s="1411" customFormat="1" ht="9">
      <c r="A598" s="1442" t="s">
        <v>1284</v>
      </c>
      <c r="B598" s="819" t="s">
        <v>1285</v>
      </c>
      <c r="C598" s="820"/>
      <c r="D598" s="820"/>
      <c r="E598" s="820"/>
      <c r="F598" s="820"/>
      <c r="G598" s="816"/>
      <c r="H598" s="816"/>
      <c r="I598" s="816"/>
      <c r="J598" s="816">
        <f>10000+10000+60000+10000+10000+15000+40000+40000+15000+10000+10000+10000+15000+15000+10000+15000+40000+60000+10000+40000+10000+10000+100000+40000+40000+40000+60000+40000+40000+90000+40000+15000+15000+15000+10000+150000+150000</f>
        <v>1310000</v>
      </c>
      <c r="K598" s="816"/>
      <c r="L598" s="816"/>
      <c r="M598" s="816"/>
      <c r="N598" s="816"/>
      <c r="O598" s="1437" t="s">
        <v>1286</v>
      </c>
    </row>
    <row r="599" spans="1:15" s="1411" customFormat="1" ht="9">
      <c r="A599" s="1442">
        <v>43842</v>
      </c>
      <c r="B599" s="819" t="s">
        <v>1287</v>
      </c>
      <c r="C599" s="820"/>
      <c r="D599" s="820"/>
      <c r="E599" s="820"/>
      <c r="F599" s="820"/>
      <c r="G599" s="816"/>
      <c r="H599" s="816"/>
      <c r="I599" s="816"/>
      <c r="J599" s="816">
        <v>205000</v>
      </c>
      <c r="K599" s="816"/>
      <c r="L599" s="816"/>
      <c r="M599" s="816"/>
      <c r="N599" s="816"/>
      <c r="O599" s="1437"/>
    </row>
    <row r="600" spans="1:15" s="1411" customFormat="1" ht="9">
      <c r="A600" s="1442">
        <v>43842</v>
      </c>
      <c r="B600" s="819" t="s">
        <v>1288</v>
      </c>
      <c r="C600" s="820"/>
      <c r="D600" s="820"/>
      <c r="E600" s="820"/>
      <c r="F600" s="820"/>
      <c r="G600" s="816"/>
      <c r="H600" s="816"/>
      <c r="I600" s="816"/>
      <c r="J600" s="816">
        <v>650000</v>
      </c>
      <c r="K600" s="816"/>
      <c r="L600" s="816"/>
      <c r="M600" s="816"/>
      <c r="N600" s="816"/>
      <c r="O600" s="1437" t="s">
        <v>1286</v>
      </c>
    </row>
    <row r="601" spans="1:15" s="1411" customFormat="1" ht="18">
      <c r="A601" s="1442">
        <v>43873</v>
      </c>
      <c r="B601" s="819" t="s">
        <v>1289</v>
      </c>
      <c r="C601" s="820"/>
      <c r="D601" s="820"/>
      <c r="E601" s="820"/>
      <c r="F601" s="820"/>
      <c r="G601" s="816"/>
      <c r="H601" s="816"/>
      <c r="I601" s="816"/>
      <c r="J601" s="816">
        <v>100000000</v>
      </c>
      <c r="K601" s="816"/>
      <c r="L601" s="816"/>
      <c r="M601" s="816"/>
      <c r="N601" s="816"/>
      <c r="O601" s="1437"/>
    </row>
    <row r="602" spans="1:15" s="1411" customFormat="1" ht="18">
      <c r="A602" s="1440">
        <v>43873</v>
      </c>
      <c r="B602" s="819" t="s">
        <v>1290</v>
      </c>
      <c r="C602" s="820"/>
      <c r="D602" s="820"/>
      <c r="E602" s="820"/>
      <c r="F602" s="820"/>
      <c r="G602" s="816"/>
      <c r="H602" s="816"/>
      <c r="I602" s="816"/>
      <c r="J602" s="816">
        <v>12000000</v>
      </c>
      <c r="K602" s="816"/>
      <c r="L602" s="816"/>
      <c r="M602" s="816"/>
      <c r="N602" s="816"/>
      <c r="O602" s="1437"/>
    </row>
    <row r="603" spans="1:15" s="1411" customFormat="1" ht="9">
      <c r="A603" s="1440">
        <v>43842</v>
      </c>
      <c r="B603" s="819" t="s">
        <v>1291</v>
      </c>
      <c r="C603" s="820"/>
      <c r="D603" s="820"/>
      <c r="E603" s="820"/>
      <c r="F603" s="820"/>
      <c r="G603" s="816"/>
      <c r="H603" s="816"/>
      <c r="I603" s="816"/>
      <c r="J603" s="816">
        <v>60000</v>
      </c>
      <c r="K603" s="816"/>
      <c r="L603" s="816"/>
      <c r="M603" s="816"/>
      <c r="N603" s="816"/>
      <c r="O603" s="1437"/>
    </row>
    <row r="604" spans="1:15" s="1411" customFormat="1" ht="18">
      <c r="A604" s="1440">
        <v>43842</v>
      </c>
      <c r="B604" s="819" t="s">
        <v>1292</v>
      </c>
      <c r="C604" s="820"/>
      <c r="D604" s="820"/>
      <c r="E604" s="820"/>
      <c r="F604" s="820"/>
      <c r="G604" s="816"/>
      <c r="H604" s="816"/>
      <c r="I604" s="816"/>
      <c r="J604" s="816">
        <v>470000</v>
      </c>
      <c r="K604" s="816"/>
      <c r="L604" s="816"/>
      <c r="M604" s="816"/>
      <c r="N604" s="816"/>
      <c r="O604" s="1437"/>
    </row>
    <row r="605" spans="1:15" s="1411" customFormat="1" ht="9">
      <c r="A605" s="1440">
        <v>43842</v>
      </c>
      <c r="B605" s="819" t="s">
        <v>1293</v>
      </c>
      <c r="C605" s="820"/>
      <c r="D605" s="820"/>
      <c r="E605" s="820"/>
      <c r="F605" s="820"/>
      <c r="G605" s="816"/>
      <c r="H605" s="816"/>
      <c r="I605" s="816"/>
      <c r="J605" s="816">
        <v>1055000</v>
      </c>
      <c r="K605" s="816"/>
      <c r="L605" s="816"/>
      <c r="M605" s="816"/>
      <c r="N605" s="816"/>
      <c r="O605" s="1437"/>
    </row>
    <row r="606" spans="1:15" s="1411" customFormat="1" ht="18">
      <c r="A606" s="1440">
        <v>43842</v>
      </c>
      <c r="B606" s="819" t="s">
        <v>1294</v>
      </c>
      <c r="C606" s="820"/>
      <c r="D606" s="820"/>
      <c r="E606" s="820"/>
      <c r="F606" s="820"/>
      <c r="G606" s="816"/>
      <c r="H606" s="816"/>
      <c r="I606" s="816"/>
      <c r="J606" s="816">
        <v>5490000</v>
      </c>
      <c r="K606" s="816"/>
      <c r="L606" s="816"/>
      <c r="M606" s="816"/>
      <c r="N606" s="816"/>
      <c r="O606" s="1437"/>
    </row>
    <row r="607" spans="1:15" s="1411" customFormat="1" ht="9">
      <c r="A607" s="1440">
        <v>43873</v>
      </c>
      <c r="B607" s="819" t="s">
        <v>1295</v>
      </c>
      <c r="C607" s="820"/>
      <c r="D607" s="820"/>
      <c r="E607" s="820"/>
      <c r="F607" s="820"/>
      <c r="G607" s="816"/>
      <c r="H607" s="816"/>
      <c r="I607" s="816"/>
      <c r="J607" s="816">
        <v>145000</v>
      </c>
      <c r="K607" s="816"/>
      <c r="L607" s="816"/>
      <c r="M607" s="816"/>
      <c r="N607" s="816"/>
      <c r="O607" s="1437"/>
    </row>
    <row r="608" spans="1:15" s="1411" customFormat="1" ht="27">
      <c r="A608" s="1440">
        <v>43873</v>
      </c>
      <c r="B608" s="819" t="s">
        <v>1296</v>
      </c>
      <c r="C608" s="820"/>
      <c r="D608" s="820"/>
      <c r="E608" s="820"/>
      <c r="F608" s="820"/>
      <c r="G608" s="816"/>
      <c r="H608" s="816"/>
      <c r="I608" s="816"/>
      <c r="J608" s="816">
        <v>1045000</v>
      </c>
      <c r="K608" s="816"/>
      <c r="L608" s="816"/>
      <c r="M608" s="816"/>
      <c r="N608" s="816"/>
      <c r="O608" s="1437"/>
    </row>
    <row r="609" spans="1:15" s="1411" customFormat="1" ht="9">
      <c r="A609" s="1440">
        <v>43902</v>
      </c>
      <c r="B609" s="819" t="s">
        <v>1297</v>
      </c>
      <c r="C609" s="820"/>
      <c r="D609" s="820"/>
      <c r="E609" s="820"/>
      <c r="F609" s="820"/>
      <c r="G609" s="816"/>
      <c r="H609" s="816"/>
      <c r="I609" s="816"/>
      <c r="J609" s="816">
        <v>15000</v>
      </c>
      <c r="K609" s="816"/>
      <c r="L609" s="816"/>
      <c r="M609" s="816"/>
      <c r="N609" s="816"/>
      <c r="O609" s="1437"/>
    </row>
    <row r="610" spans="1:15" s="1411" customFormat="1" ht="9">
      <c r="A610" s="1440">
        <v>43902</v>
      </c>
      <c r="B610" s="819" t="s">
        <v>1298</v>
      </c>
      <c r="C610" s="820"/>
      <c r="D610" s="820"/>
      <c r="E610" s="820"/>
      <c r="F610" s="820"/>
      <c r="G610" s="816"/>
      <c r="H610" s="816"/>
      <c r="I610" s="816"/>
      <c r="J610" s="816">
        <v>632000</v>
      </c>
      <c r="K610" s="816"/>
      <c r="L610" s="816"/>
      <c r="M610" s="816"/>
      <c r="N610" s="816"/>
      <c r="O610" s="1437"/>
    </row>
    <row r="611" spans="1:15" s="1411" customFormat="1" ht="9">
      <c r="A611" s="1440">
        <v>43902</v>
      </c>
      <c r="B611" s="819" t="s">
        <v>1298</v>
      </c>
      <c r="C611" s="820"/>
      <c r="D611" s="820"/>
      <c r="E611" s="820"/>
      <c r="F611" s="820"/>
      <c r="G611" s="816"/>
      <c r="H611" s="816"/>
      <c r="I611" s="816"/>
      <c r="J611" s="816">
        <v>260000</v>
      </c>
      <c r="K611" s="816"/>
      <c r="L611" s="816"/>
      <c r="M611" s="816"/>
      <c r="N611" s="816"/>
      <c r="O611" s="1437"/>
    </row>
    <row r="612" spans="1:15" s="1411" customFormat="1" ht="9">
      <c r="A612" s="1440">
        <v>43902</v>
      </c>
      <c r="B612" s="819" t="s">
        <v>1299</v>
      </c>
      <c r="C612" s="820"/>
      <c r="D612" s="820"/>
      <c r="E612" s="820"/>
      <c r="F612" s="820"/>
      <c r="G612" s="816"/>
      <c r="H612" s="816"/>
      <c r="I612" s="816"/>
      <c r="J612" s="816">
        <v>265000</v>
      </c>
      <c r="K612" s="816"/>
      <c r="L612" s="816"/>
      <c r="M612" s="816"/>
      <c r="N612" s="816"/>
      <c r="O612" s="1437"/>
    </row>
    <row r="613" spans="1:15" s="1411" customFormat="1" ht="18">
      <c r="A613" s="1440">
        <v>43902</v>
      </c>
      <c r="B613" s="819" t="s">
        <v>1300</v>
      </c>
      <c r="C613" s="820"/>
      <c r="D613" s="820"/>
      <c r="E613" s="820"/>
      <c r="F613" s="820"/>
      <c r="G613" s="816"/>
      <c r="H613" s="816"/>
      <c r="I613" s="816"/>
      <c r="J613" s="816">
        <v>345000</v>
      </c>
      <c r="K613" s="816"/>
      <c r="L613" s="816"/>
      <c r="M613" s="816"/>
      <c r="N613" s="816"/>
      <c r="O613" s="1437"/>
    </row>
    <row r="614" spans="1:15" s="1411" customFormat="1" ht="9">
      <c r="A614" s="1440">
        <v>43933</v>
      </c>
      <c r="B614" s="819" t="s">
        <v>1287</v>
      </c>
      <c r="C614" s="820"/>
      <c r="D614" s="820"/>
      <c r="E614" s="820"/>
      <c r="F614" s="820"/>
      <c r="G614" s="816"/>
      <c r="H614" s="816"/>
      <c r="I614" s="816"/>
      <c r="J614" s="816">
        <v>136000</v>
      </c>
      <c r="K614" s="816"/>
      <c r="L614" s="816"/>
      <c r="M614" s="816"/>
      <c r="N614" s="816"/>
      <c r="O614" s="1437"/>
    </row>
    <row r="615" spans="1:15" s="1411" customFormat="1" ht="18">
      <c r="A615" s="1440">
        <v>43933</v>
      </c>
      <c r="B615" s="819" t="s">
        <v>1301</v>
      </c>
      <c r="C615" s="820"/>
      <c r="D615" s="820"/>
      <c r="E615" s="820"/>
      <c r="F615" s="820"/>
      <c r="G615" s="816"/>
      <c r="H615" s="816"/>
      <c r="I615" s="816"/>
      <c r="J615" s="816">
        <v>1006740</v>
      </c>
      <c r="K615" s="816"/>
      <c r="L615" s="816"/>
      <c r="M615" s="816"/>
      <c r="N615" s="816"/>
      <c r="O615" s="1437" t="s">
        <v>1286</v>
      </c>
    </row>
    <row r="616" spans="1:15" s="1411" customFormat="1" ht="9">
      <c r="A616" s="1440">
        <v>43933</v>
      </c>
      <c r="B616" s="819" t="s">
        <v>1302</v>
      </c>
      <c r="C616" s="820"/>
      <c r="D616" s="820"/>
      <c r="E616" s="820"/>
      <c r="F616" s="820"/>
      <c r="G616" s="816"/>
      <c r="H616" s="816"/>
      <c r="I616" s="816"/>
      <c r="J616" s="816">
        <v>90000</v>
      </c>
      <c r="K616" s="816"/>
      <c r="L616" s="816"/>
      <c r="M616" s="816"/>
      <c r="N616" s="816"/>
      <c r="O616" s="1437"/>
    </row>
    <row r="617" spans="1:15" s="1411" customFormat="1" ht="9">
      <c r="A617" s="1440">
        <v>43933</v>
      </c>
      <c r="B617" s="819" t="s">
        <v>1303</v>
      </c>
      <c r="C617" s="820"/>
      <c r="D617" s="820"/>
      <c r="E617" s="820"/>
      <c r="F617" s="820"/>
      <c r="G617" s="816"/>
      <c r="H617" s="816"/>
      <c r="I617" s="816"/>
      <c r="J617" s="816">
        <v>108000</v>
      </c>
      <c r="K617" s="816"/>
      <c r="L617" s="816"/>
      <c r="M617" s="816"/>
      <c r="N617" s="816"/>
      <c r="O617" s="1437"/>
    </row>
    <row r="618" spans="1:15" s="1411" customFormat="1" ht="18">
      <c r="A618" s="1440">
        <v>43933</v>
      </c>
      <c r="B618" s="819" t="s">
        <v>1304</v>
      </c>
      <c r="C618" s="820"/>
      <c r="D618" s="820"/>
      <c r="E618" s="820"/>
      <c r="F618" s="820"/>
      <c r="G618" s="816"/>
      <c r="H618" s="816"/>
      <c r="I618" s="816"/>
      <c r="J618" s="816">
        <v>643800</v>
      </c>
      <c r="K618" s="816"/>
      <c r="L618" s="816"/>
      <c r="M618" s="816"/>
      <c r="N618" s="816"/>
      <c r="O618" s="1437"/>
    </row>
    <row r="619" spans="1:15" s="1411" customFormat="1" ht="18">
      <c r="A619" s="1440">
        <v>43963</v>
      </c>
      <c r="B619" s="819" t="s">
        <v>1305</v>
      </c>
      <c r="C619" s="820"/>
      <c r="D619" s="820"/>
      <c r="E619" s="820"/>
      <c r="F619" s="820"/>
      <c r="G619" s="816"/>
      <c r="H619" s="816"/>
      <c r="I619" s="816"/>
      <c r="J619" s="816">
        <v>1950000</v>
      </c>
      <c r="K619" s="816"/>
      <c r="L619" s="816"/>
      <c r="M619" s="816"/>
      <c r="N619" s="816"/>
      <c r="O619" s="1437"/>
    </row>
    <row r="620" spans="1:15" s="1411" customFormat="1" ht="9">
      <c r="A620" s="1440">
        <v>43963</v>
      </c>
      <c r="B620" s="819" t="s">
        <v>1302</v>
      </c>
      <c r="C620" s="820"/>
      <c r="D620" s="820"/>
      <c r="E620" s="820"/>
      <c r="F620" s="820"/>
      <c r="G620" s="816"/>
      <c r="H620" s="816"/>
      <c r="I620" s="816"/>
      <c r="J620" s="816">
        <v>202000</v>
      </c>
      <c r="K620" s="816"/>
      <c r="L620" s="816"/>
      <c r="M620" s="816"/>
      <c r="N620" s="816"/>
      <c r="O620" s="1437"/>
    </row>
    <row r="621" spans="1:15" s="1411" customFormat="1" ht="18">
      <c r="A621" s="1440">
        <v>43963</v>
      </c>
      <c r="B621" s="819" t="s">
        <v>1306</v>
      </c>
      <c r="C621" s="820"/>
      <c r="D621" s="820"/>
      <c r="E621" s="820"/>
      <c r="F621" s="820"/>
      <c r="G621" s="816"/>
      <c r="H621" s="816"/>
      <c r="I621" s="816"/>
      <c r="J621" s="816">
        <v>750000</v>
      </c>
      <c r="K621" s="816"/>
      <c r="L621" s="816"/>
      <c r="M621" s="816"/>
      <c r="N621" s="816"/>
      <c r="O621" s="1437" t="s">
        <v>1307</v>
      </c>
    </row>
    <row r="622" spans="1:15" s="1411" customFormat="1" ht="9">
      <c r="A622" s="1440">
        <v>43994</v>
      </c>
      <c r="B622" s="819" t="s">
        <v>1288</v>
      </c>
      <c r="C622" s="820"/>
      <c r="D622" s="820"/>
      <c r="E622" s="820"/>
      <c r="F622" s="820"/>
      <c r="G622" s="816"/>
      <c r="H622" s="816"/>
      <c r="I622" s="816"/>
      <c r="J622" s="816">
        <v>300000</v>
      </c>
      <c r="K622" s="816"/>
      <c r="L622" s="816"/>
      <c r="M622" s="816"/>
      <c r="N622" s="816"/>
      <c r="O622" s="1437" t="s">
        <v>1286</v>
      </c>
    </row>
    <row r="623" spans="1:15" s="1411" customFormat="1" ht="18">
      <c r="A623" s="1440">
        <v>43994</v>
      </c>
      <c r="B623" s="819" t="s">
        <v>1308</v>
      </c>
      <c r="C623" s="820"/>
      <c r="D623" s="820"/>
      <c r="E623" s="820"/>
      <c r="F623" s="820"/>
      <c r="G623" s="816"/>
      <c r="H623" s="816"/>
      <c r="I623" s="816"/>
      <c r="J623" s="816">
        <v>861000</v>
      </c>
      <c r="K623" s="816"/>
      <c r="L623" s="816"/>
      <c r="M623" s="816"/>
      <c r="N623" s="816"/>
      <c r="O623" s="1437"/>
    </row>
    <row r="624" spans="1:15" s="1411" customFormat="1" ht="9">
      <c r="A624" s="1440">
        <v>43994</v>
      </c>
      <c r="B624" s="819" t="s">
        <v>1295</v>
      </c>
      <c r="C624" s="820"/>
      <c r="D624" s="820"/>
      <c r="E624" s="820"/>
      <c r="F624" s="820"/>
      <c r="G624" s="816"/>
      <c r="H624" s="816"/>
      <c r="I624" s="816"/>
      <c r="J624" s="816">
        <v>183000</v>
      </c>
      <c r="K624" s="816"/>
      <c r="L624" s="816"/>
      <c r="M624" s="816"/>
      <c r="N624" s="816"/>
      <c r="O624" s="1437"/>
    </row>
    <row r="625" spans="1:15" s="1411" customFormat="1" ht="9">
      <c r="A625" s="1440">
        <v>43994</v>
      </c>
      <c r="B625" s="819" t="s">
        <v>1309</v>
      </c>
      <c r="C625" s="820"/>
      <c r="D625" s="820"/>
      <c r="E625" s="820"/>
      <c r="F625" s="820"/>
      <c r="G625" s="816"/>
      <c r="H625" s="816"/>
      <c r="I625" s="816"/>
      <c r="J625" s="816">
        <v>50000</v>
      </c>
      <c r="K625" s="816"/>
      <c r="L625" s="816"/>
      <c r="M625" s="816"/>
      <c r="N625" s="816"/>
      <c r="O625" s="1437"/>
    </row>
    <row r="626" spans="1:15" s="1411" customFormat="1" ht="18">
      <c r="A626" s="1440">
        <v>44024</v>
      </c>
      <c r="B626" s="819" t="s">
        <v>1310</v>
      </c>
      <c r="C626" s="820"/>
      <c r="D626" s="820"/>
      <c r="E626" s="820"/>
      <c r="F626" s="820"/>
      <c r="G626" s="816"/>
      <c r="H626" s="816"/>
      <c r="I626" s="816"/>
      <c r="J626" s="816">
        <v>625000</v>
      </c>
      <c r="K626" s="816"/>
      <c r="L626" s="816"/>
      <c r="M626" s="816"/>
      <c r="N626" s="816"/>
      <c r="O626" s="1437"/>
    </row>
    <row r="627" spans="1:15" s="1411" customFormat="1" ht="9">
      <c r="A627" s="1440">
        <v>44024</v>
      </c>
      <c r="B627" s="819" t="s">
        <v>1311</v>
      </c>
      <c r="C627" s="820"/>
      <c r="D627" s="820"/>
      <c r="E627" s="820"/>
      <c r="F627" s="820"/>
      <c r="G627" s="816"/>
      <c r="H627" s="816"/>
      <c r="I627" s="816"/>
      <c r="J627" s="816">
        <v>300000</v>
      </c>
      <c r="K627" s="816"/>
      <c r="L627" s="816"/>
      <c r="M627" s="816"/>
      <c r="N627" s="816"/>
      <c r="O627" s="1437"/>
    </row>
    <row r="628" spans="1:15" s="1411" customFormat="1" ht="18">
      <c r="A628" s="1440">
        <v>44013</v>
      </c>
      <c r="B628" s="819" t="s">
        <v>1312</v>
      </c>
      <c r="C628" s="820"/>
      <c r="D628" s="820"/>
      <c r="E628" s="820"/>
      <c r="F628" s="820"/>
      <c r="G628" s="816"/>
      <c r="H628" s="816"/>
      <c r="I628" s="816"/>
      <c r="J628" s="816">
        <v>765000</v>
      </c>
      <c r="K628" s="816"/>
      <c r="L628" s="816"/>
      <c r="M628" s="816"/>
      <c r="N628" s="816"/>
      <c r="O628" s="1437"/>
    </row>
    <row r="629" spans="1:15" s="1411" customFormat="1" ht="9">
      <c r="A629" s="1440">
        <v>44013</v>
      </c>
      <c r="B629" s="819" t="s">
        <v>1302</v>
      </c>
      <c r="C629" s="820"/>
      <c r="D629" s="820"/>
      <c r="E629" s="820"/>
      <c r="F629" s="820"/>
      <c r="G629" s="816"/>
      <c r="H629" s="816"/>
      <c r="I629" s="816"/>
      <c r="J629" s="816">
        <v>270000</v>
      </c>
      <c r="K629" s="816"/>
      <c r="L629" s="816"/>
      <c r="M629" s="816"/>
      <c r="N629" s="816"/>
      <c r="O629" s="1437"/>
    </row>
    <row r="630" spans="1:15" s="1411" customFormat="1" ht="9">
      <c r="A630" s="1440">
        <v>44024</v>
      </c>
      <c r="B630" s="819" t="s">
        <v>1287</v>
      </c>
      <c r="C630" s="820"/>
      <c r="D630" s="820"/>
      <c r="E630" s="820"/>
      <c r="F630" s="820"/>
      <c r="G630" s="816"/>
      <c r="H630" s="816"/>
      <c r="I630" s="816"/>
      <c r="J630" s="816">
        <v>367000</v>
      </c>
      <c r="K630" s="816"/>
      <c r="L630" s="816"/>
      <c r="M630" s="816"/>
      <c r="N630" s="816"/>
      <c r="O630" s="1437"/>
    </row>
    <row r="631" spans="1:15" s="1411" customFormat="1" ht="27">
      <c r="A631" s="1440">
        <v>44055</v>
      </c>
      <c r="B631" s="819" t="s">
        <v>1313</v>
      </c>
      <c r="C631" s="820"/>
      <c r="D631" s="820"/>
      <c r="E631" s="820"/>
      <c r="F631" s="820"/>
      <c r="G631" s="816"/>
      <c r="H631" s="816"/>
      <c r="I631" s="816"/>
      <c r="J631" s="816">
        <v>500000</v>
      </c>
      <c r="K631" s="816"/>
      <c r="L631" s="816"/>
      <c r="M631" s="816"/>
      <c r="N631" s="816"/>
      <c r="O631" s="1437"/>
    </row>
    <row r="632" spans="1:15" s="1411" customFormat="1" ht="9">
      <c r="A632" s="1440">
        <v>44055</v>
      </c>
      <c r="B632" s="819" t="s">
        <v>1297</v>
      </c>
      <c r="C632" s="820"/>
      <c r="D632" s="820"/>
      <c r="E632" s="820"/>
      <c r="F632" s="820"/>
      <c r="G632" s="816"/>
      <c r="H632" s="816"/>
      <c r="I632" s="816"/>
      <c r="J632" s="816">
        <v>15000</v>
      </c>
      <c r="K632" s="816"/>
      <c r="L632" s="816"/>
      <c r="M632" s="816"/>
      <c r="N632" s="816"/>
      <c r="O632" s="1437"/>
    </row>
    <row r="633" spans="1:15" s="1426" customFormat="1" ht="9">
      <c r="A633" s="1443">
        <v>44116</v>
      </c>
      <c r="B633" s="1444" t="s">
        <v>1314</v>
      </c>
      <c r="C633" s="1445"/>
      <c r="D633" s="1445"/>
      <c r="E633" s="1445"/>
      <c r="F633" s="1445"/>
      <c r="G633" s="1101"/>
      <c r="H633" s="1101"/>
      <c r="I633" s="1101"/>
      <c r="J633" s="1101">
        <v>84000</v>
      </c>
      <c r="K633" s="1101"/>
      <c r="L633" s="1101"/>
      <c r="M633" s="1101"/>
      <c r="N633" s="1101"/>
      <c r="O633" s="1438"/>
    </row>
    <row r="634" spans="1:15" s="1411" customFormat="1" ht="9">
      <c r="A634" s="1440">
        <v>44116</v>
      </c>
      <c r="B634" s="1446" t="s">
        <v>1288</v>
      </c>
      <c r="C634" s="820"/>
      <c r="D634" s="820"/>
      <c r="E634" s="820"/>
      <c r="F634" s="820"/>
      <c r="G634" s="816"/>
      <c r="H634" s="816"/>
      <c r="I634" s="816"/>
      <c r="J634" s="816">
        <v>800000</v>
      </c>
      <c r="K634" s="816"/>
      <c r="L634" s="816"/>
      <c r="M634" s="816"/>
      <c r="N634" s="816"/>
      <c r="O634" s="1437" t="s">
        <v>1307</v>
      </c>
    </row>
    <row r="635" spans="1:15" s="1411" customFormat="1" ht="18">
      <c r="A635" s="1440">
        <v>44116</v>
      </c>
      <c r="B635" s="1446" t="s">
        <v>1577</v>
      </c>
      <c r="C635" s="820"/>
      <c r="D635" s="820"/>
      <c r="E635" s="820"/>
      <c r="F635" s="820"/>
      <c r="G635" s="816"/>
      <c r="H635" s="816"/>
      <c r="I635" s="816"/>
      <c r="J635" s="816">
        <v>1800000</v>
      </c>
      <c r="K635" s="816"/>
      <c r="L635" s="816"/>
      <c r="M635" s="816"/>
      <c r="N635" s="816"/>
      <c r="O635" s="1437"/>
    </row>
    <row r="636" spans="1:15" s="1411" customFormat="1" ht="27">
      <c r="A636" s="1440">
        <v>44116</v>
      </c>
      <c r="B636" s="1446" t="s">
        <v>1315</v>
      </c>
      <c r="C636" s="820"/>
      <c r="D636" s="820"/>
      <c r="E636" s="820"/>
      <c r="F636" s="820"/>
      <c r="G636" s="816"/>
      <c r="H636" s="816"/>
      <c r="I636" s="816"/>
      <c r="J636" s="816">
        <v>10500000</v>
      </c>
      <c r="K636" s="816"/>
      <c r="L636" s="816"/>
      <c r="M636" s="816"/>
      <c r="N636" s="816"/>
      <c r="O636" s="1437"/>
    </row>
    <row r="637" spans="1:15" s="1411" customFormat="1" ht="9">
      <c r="A637" s="1440">
        <v>44147</v>
      </c>
      <c r="B637" s="1446" t="s">
        <v>1316</v>
      </c>
      <c r="C637" s="820"/>
      <c r="D637" s="820"/>
      <c r="E637" s="820"/>
      <c r="F637" s="820"/>
      <c r="G637" s="816"/>
      <c r="H637" s="816"/>
      <c r="I637" s="816"/>
      <c r="J637" s="816">
        <v>9500</v>
      </c>
      <c r="K637" s="816"/>
      <c r="L637" s="816"/>
      <c r="M637" s="816"/>
      <c r="N637" s="816"/>
      <c r="O637" s="1437"/>
    </row>
    <row r="638" spans="1:15" s="1411" customFormat="1" ht="18">
      <c r="A638" s="1440">
        <v>44147</v>
      </c>
      <c r="B638" s="1446" t="s">
        <v>1317</v>
      </c>
      <c r="C638" s="820"/>
      <c r="D638" s="820"/>
      <c r="E638" s="820"/>
      <c r="F638" s="820"/>
      <c r="G638" s="816"/>
      <c r="H638" s="816"/>
      <c r="I638" s="816"/>
      <c r="J638" s="816">
        <v>332000</v>
      </c>
      <c r="K638" s="816"/>
      <c r="L638" s="816"/>
      <c r="M638" s="816"/>
      <c r="N638" s="816"/>
      <c r="O638" s="1437"/>
    </row>
    <row r="639" spans="1:15" s="1411" customFormat="1" ht="9">
      <c r="A639" s="1440">
        <v>44147</v>
      </c>
      <c r="B639" s="1446" t="s">
        <v>1318</v>
      </c>
      <c r="C639" s="820"/>
      <c r="D639" s="820"/>
      <c r="E639" s="820"/>
      <c r="F639" s="820"/>
      <c r="G639" s="816"/>
      <c r="H639" s="816"/>
      <c r="I639" s="816"/>
      <c r="J639" s="816">
        <v>15000</v>
      </c>
      <c r="K639" s="816"/>
      <c r="L639" s="816"/>
      <c r="M639" s="816"/>
      <c r="N639" s="816"/>
      <c r="O639" s="1437"/>
    </row>
    <row r="640" spans="1:15" s="1411" customFormat="1" ht="9">
      <c r="A640" s="1440">
        <v>44147</v>
      </c>
      <c r="B640" s="1446" t="s">
        <v>1319</v>
      </c>
      <c r="C640" s="820"/>
      <c r="D640" s="820"/>
      <c r="E640" s="820"/>
      <c r="F640" s="820"/>
      <c r="G640" s="816"/>
      <c r="H640" s="816"/>
      <c r="I640" s="816"/>
      <c r="J640" s="816">
        <v>10000</v>
      </c>
      <c r="K640" s="816"/>
      <c r="L640" s="816"/>
      <c r="M640" s="816"/>
      <c r="N640" s="816"/>
      <c r="O640" s="1437"/>
    </row>
    <row r="641" spans="1:15" s="1411" customFormat="1" ht="9">
      <c r="A641" s="1440">
        <v>44147</v>
      </c>
      <c r="B641" s="1446" t="s">
        <v>1319</v>
      </c>
      <c r="C641" s="820"/>
      <c r="D641" s="820"/>
      <c r="E641" s="820"/>
      <c r="F641" s="820"/>
      <c r="G641" s="816"/>
      <c r="H641" s="816"/>
      <c r="I641" s="816"/>
      <c r="J641" s="816">
        <v>30000</v>
      </c>
      <c r="K641" s="816"/>
      <c r="L641" s="816"/>
      <c r="M641" s="816"/>
      <c r="N641" s="816"/>
      <c r="O641" s="1437"/>
    </row>
    <row r="642" spans="1:15" s="1411" customFormat="1" ht="18">
      <c r="A642" s="1440">
        <v>44177</v>
      </c>
      <c r="B642" s="1446" t="s">
        <v>1320</v>
      </c>
      <c r="C642" s="820"/>
      <c r="D642" s="820"/>
      <c r="E642" s="820"/>
      <c r="F642" s="820"/>
      <c r="G642" s="816"/>
      <c r="H642" s="816"/>
      <c r="I642" s="816"/>
      <c r="J642" s="816">
        <v>992000</v>
      </c>
      <c r="K642" s="816"/>
      <c r="L642" s="816"/>
      <c r="M642" s="816"/>
      <c r="N642" s="816"/>
      <c r="O642" s="1437"/>
    </row>
    <row r="643" spans="1:15" s="1411" customFormat="1" ht="9">
      <c r="A643" s="1440">
        <v>44177</v>
      </c>
      <c r="B643" s="1446" t="s">
        <v>1321</v>
      </c>
      <c r="C643" s="820"/>
      <c r="D643" s="820"/>
      <c r="E643" s="820"/>
      <c r="F643" s="820"/>
      <c r="G643" s="816"/>
      <c r="H643" s="816"/>
      <c r="I643" s="816"/>
      <c r="J643" s="816">
        <v>20000</v>
      </c>
      <c r="K643" s="816"/>
      <c r="L643" s="816"/>
      <c r="M643" s="816"/>
      <c r="N643" s="816"/>
      <c r="O643" s="1437"/>
    </row>
    <row r="644" spans="1:15" s="1411" customFormat="1" ht="9">
      <c r="A644" s="1442" t="s">
        <v>538</v>
      </c>
      <c r="B644" s="1446" t="s">
        <v>1322</v>
      </c>
      <c r="C644" s="820"/>
      <c r="D644" s="820"/>
      <c r="E644" s="820"/>
      <c r="F644" s="820"/>
      <c r="G644" s="816"/>
      <c r="H644" s="816"/>
      <c r="I644" s="816"/>
      <c r="J644" s="816">
        <v>235000</v>
      </c>
      <c r="K644" s="816"/>
      <c r="L644" s="816"/>
      <c r="M644" s="816"/>
      <c r="N644" s="816"/>
      <c r="O644" s="1437"/>
    </row>
    <row r="645" spans="1:15" s="1411" customFormat="1" ht="9">
      <c r="A645" s="1442" t="s">
        <v>538</v>
      </c>
      <c r="B645" s="1446" t="s">
        <v>1323</v>
      </c>
      <c r="C645" s="820"/>
      <c r="D645" s="820"/>
      <c r="E645" s="820"/>
      <c r="F645" s="820"/>
      <c r="G645" s="816"/>
      <c r="H645" s="816"/>
      <c r="I645" s="816"/>
      <c r="J645" s="816">
        <v>95000</v>
      </c>
      <c r="K645" s="816"/>
      <c r="L645" s="816"/>
      <c r="M645" s="816"/>
      <c r="N645" s="816"/>
      <c r="O645" s="1437"/>
    </row>
    <row r="646" spans="1:15" s="1411" customFormat="1" ht="9">
      <c r="A646" s="1442" t="s">
        <v>538</v>
      </c>
      <c r="B646" s="1446" t="s">
        <v>1324</v>
      </c>
      <c r="C646" s="820"/>
      <c r="D646" s="820"/>
      <c r="E646" s="820"/>
      <c r="F646" s="820"/>
      <c r="G646" s="816"/>
      <c r="H646" s="816"/>
      <c r="I646" s="816"/>
      <c r="J646" s="816">
        <v>1140000</v>
      </c>
      <c r="K646" s="816"/>
      <c r="L646" s="816"/>
      <c r="M646" s="816"/>
      <c r="N646" s="816"/>
      <c r="O646" s="1437"/>
    </row>
    <row r="647" spans="1:15" s="1411" customFormat="1" ht="9">
      <c r="A647" s="1442" t="s">
        <v>538</v>
      </c>
      <c r="B647" s="1446" t="s">
        <v>1288</v>
      </c>
      <c r="C647" s="820"/>
      <c r="D647" s="820"/>
      <c r="E647" s="820"/>
      <c r="F647" s="820"/>
      <c r="G647" s="816"/>
      <c r="H647" s="816"/>
      <c r="I647" s="816"/>
      <c r="J647" s="816">
        <v>1001360</v>
      </c>
      <c r="K647" s="816"/>
      <c r="L647" s="816"/>
      <c r="M647" s="816"/>
      <c r="N647" s="816"/>
      <c r="O647" s="1437" t="s">
        <v>1307</v>
      </c>
    </row>
    <row r="648" spans="1:15" s="1411" customFormat="1" ht="9">
      <c r="A648" s="1442" t="s">
        <v>538</v>
      </c>
      <c r="B648" s="1446" t="s">
        <v>1325</v>
      </c>
      <c r="C648" s="820"/>
      <c r="D648" s="820"/>
      <c r="E648" s="820"/>
      <c r="F648" s="820"/>
      <c r="G648" s="816"/>
      <c r="H648" s="816"/>
      <c r="I648" s="816"/>
      <c r="J648" s="816">
        <v>1143000</v>
      </c>
      <c r="K648" s="816"/>
      <c r="L648" s="816"/>
      <c r="M648" s="816"/>
      <c r="N648" s="816"/>
      <c r="O648" s="1437"/>
    </row>
    <row r="649" spans="1:15" s="1411" customFormat="1" ht="9">
      <c r="A649" s="1442" t="s">
        <v>538</v>
      </c>
      <c r="B649" s="1446" t="s">
        <v>1326</v>
      </c>
      <c r="C649" s="820"/>
      <c r="D649" s="820"/>
      <c r="E649" s="820"/>
      <c r="F649" s="820"/>
      <c r="G649" s="816"/>
      <c r="H649" s="816"/>
      <c r="I649" s="816"/>
      <c r="J649" s="816">
        <v>9750</v>
      </c>
      <c r="K649" s="816"/>
      <c r="L649" s="816"/>
      <c r="M649" s="816"/>
      <c r="N649" s="816"/>
      <c r="O649" s="1437"/>
    </row>
    <row r="650" spans="1:15" s="1411" customFormat="1" ht="18">
      <c r="A650" s="1442" t="s">
        <v>538</v>
      </c>
      <c r="B650" s="1446" t="s">
        <v>1317</v>
      </c>
      <c r="C650" s="820"/>
      <c r="D650" s="820"/>
      <c r="E650" s="820"/>
      <c r="F650" s="820"/>
      <c r="G650" s="816"/>
      <c r="H650" s="816"/>
      <c r="I650" s="816"/>
      <c r="J650" s="816">
        <v>350000</v>
      </c>
      <c r="K650" s="816"/>
      <c r="L650" s="816"/>
      <c r="M650" s="816"/>
      <c r="N650" s="816"/>
      <c r="O650" s="1437"/>
    </row>
    <row r="651" spans="1:15" s="1411" customFormat="1" ht="18">
      <c r="A651" s="1442" t="s">
        <v>541</v>
      </c>
      <c r="B651" s="1446" t="s">
        <v>1327</v>
      </c>
      <c r="C651" s="820"/>
      <c r="D651" s="820"/>
      <c r="E651" s="820"/>
      <c r="F651" s="820"/>
      <c r="G651" s="816"/>
      <c r="H651" s="816"/>
      <c r="I651" s="816"/>
      <c r="J651" s="816">
        <v>2000000</v>
      </c>
      <c r="K651" s="816"/>
      <c r="L651" s="816"/>
      <c r="M651" s="816"/>
      <c r="N651" s="816"/>
      <c r="O651" s="1437"/>
    </row>
    <row r="652" spans="1:15" s="1411" customFormat="1" ht="9">
      <c r="A652" s="1442" t="s">
        <v>543</v>
      </c>
      <c r="B652" s="1446" t="s">
        <v>1288</v>
      </c>
      <c r="C652" s="820"/>
      <c r="D652" s="820"/>
      <c r="E652" s="820"/>
      <c r="F652" s="820"/>
      <c r="G652" s="816"/>
      <c r="H652" s="816"/>
      <c r="I652" s="816"/>
      <c r="J652" s="816">
        <v>500000</v>
      </c>
      <c r="K652" s="816"/>
      <c r="L652" s="816"/>
      <c r="M652" s="816"/>
      <c r="N652" s="816"/>
      <c r="O652" s="1437" t="s">
        <v>1307</v>
      </c>
    </row>
    <row r="653" spans="1:15" s="1411" customFormat="1" ht="18">
      <c r="A653" s="1442" t="s">
        <v>546</v>
      </c>
      <c r="B653" s="1446" t="s">
        <v>1328</v>
      </c>
      <c r="C653" s="820"/>
      <c r="D653" s="820"/>
      <c r="E653" s="820"/>
      <c r="F653" s="820">
        <v>2000000</v>
      </c>
      <c r="G653" s="816"/>
      <c r="H653" s="816"/>
      <c r="I653" s="816"/>
      <c r="J653" s="816"/>
      <c r="K653" s="816"/>
      <c r="L653" s="816"/>
      <c r="M653" s="816"/>
      <c r="N653" s="816"/>
      <c r="O653" s="1437"/>
    </row>
    <row r="654" spans="1:15" s="1411" customFormat="1" ht="18">
      <c r="A654" s="1442" t="s">
        <v>546</v>
      </c>
      <c r="B654" s="1446" t="s">
        <v>1329</v>
      </c>
      <c r="C654" s="820"/>
      <c r="D654" s="820"/>
      <c r="E654" s="820"/>
      <c r="F654" s="820"/>
      <c r="G654" s="816"/>
      <c r="H654" s="816"/>
      <c r="I654" s="816"/>
      <c r="J654" s="816">
        <v>240000</v>
      </c>
      <c r="K654" s="816"/>
      <c r="L654" s="816"/>
      <c r="M654" s="816"/>
      <c r="N654" s="816"/>
      <c r="O654" s="1437"/>
    </row>
    <row r="655" spans="1:15" s="1411" customFormat="1" ht="18">
      <c r="A655" s="1442" t="s">
        <v>546</v>
      </c>
      <c r="B655" s="1446" t="s">
        <v>1330</v>
      </c>
      <c r="C655" s="820"/>
      <c r="D655" s="820"/>
      <c r="E655" s="820"/>
      <c r="F655" s="820"/>
      <c r="G655" s="816"/>
      <c r="H655" s="816"/>
      <c r="I655" s="816"/>
      <c r="J655" s="816">
        <v>267000</v>
      </c>
      <c r="K655" s="816"/>
      <c r="L655" s="816"/>
      <c r="M655" s="816"/>
      <c r="N655" s="816"/>
      <c r="O655" s="1437"/>
    </row>
    <row r="656" spans="1:15" s="1411" customFormat="1" ht="18">
      <c r="A656" s="1442" t="s">
        <v>549</v>
      </c>
      <c r="B656" s="1446" t="s">
        <v>1331</v>
      </c>
      <c r="C656" s="820"/>
      <c r="D656" s="820"/>
      <c r="E656" s="820"/>
      <c r="F656" s="820"/>
      <c r="G656" s="816"/>
      <c r="H656" s="816"/>
      <c r="I656" s="816"/>
      <c r="J656" s="816">
        <v>1730000</v>
      </c>
      <c r="K656" s="816"/>
      <c r="L656" s="816"/>
      <c r="M656" s="816"/>
      <c r="N656" s="816"/>
      <c r="O656" s="1437" t="s">
        <v>1307</v>
      </c>
    </row>
    <row r="657" spans="1:15" s="1411" customFormat="1" ht="18">
      <c r="A657" s="1442" t="s">
        <v>549</v>
      </c>
      <c r="B657" s="1446" t="s">
        <v>1332</v>
      </c>
      <c r="C657" s="820"/>
      <c r="D657" s="820"/>
      <c r="E657" s="820"/>
      <c r="F657" s="820">
        <v>7458000</v>
      </c>
      <c r="G657" s="816"/>
      <c r="H657" s="816"/>
      <c r="I657" s="816"/>
      <c r="J657" s="816"/>
      <c r="K657" s="816"/>
      <c r="L657" s="816"/>
      <c r="M657" s="816"/>
      <c r="N657" s="816"/>
      <c r="O657" s="1437"/>
    </row>
    <row r="658" spans="1:15" s="1411" customFormat="1" ht="9">
      <c r="A658" s="1442" t="s">
        <v>549</v>
      </c>
      <c r="B658" s="1446" t="s">
        <v>1288</v>
      </c>
      <c r="C658" s="820"/>
      <c r="D658" s="820"/>
      <c r="E658" s="820"/>
      <c r="F658" s="820"/>
      <c r="G658" s="816"/>
      <c r="H658" s="816"/>
      <c r="I658" s="816"/>
      <c r="J658" s="816">
        <v>500000</v>
      </c>
      <c r="K658" s="816"/>
      <c r="L658" s="816"/>
      <c r="M658" s="816"/>
      <c r="N658" s="816"/>
      <c r="O658" s="1437"/>
    </row>
    <row r="659" spans="1:15" s="1411" customFormat="1" ht="9">
      <c r="A659" s="1442" t="s">
        <v>549</v>
      </c>
      <c r="B659" s="1446" t="s">
        <v>1298</v>
      </c>
      <c r="C659" s="820"/>
      <c r="D659" s="820"/>
      <c r="E659" s="820"/>
      <c r="F659" s="820"/>
      <c r="G659" s="816"/>
      <c r="H659" s="816"/>
      <c r="I659" s="816"/>
      <c r="J659" s="816">
        <v>470000</v>
      </c>
      <c r="K659" s="816"/>
      <c r="L659" s="816"/>
      <c r="M659" s="816"/>
      <c r="N659" s="816"/>
      <c r="O659" s="1437"/>
    </row>
    <row r="660" spans="1:15" s="1411" customFormat="1" ht="9">
      <c r="A660" s="1442" t="s">
        <v>549</v>
      </c>
      <c r="B660" s="1446" t="s">
        <v>1333</v>
      </c>
      <c r="C660" s="820"/>
      <c r="D660" s="820"/>
      <c r="E660" s="820"/>
      <c r="F660" s="820"/>
      <c r="G660" s="816"/>
      <c r="H660" s="816"/>
      <c r="I660" s="816"/>
      <c r="J660" s="816">
        <v>205000</v>
      </c>
      <c r="K660" s="816"/>
      <c r="L660" s="816"/>
      <c r="M660" s="816"/>
      <c r="N660" s="816"/>
      <c r="O660" s="1437"/>
    </row>
    <row r="661" spans="1:15" s="1411" customFormat="1" ht="9">
      <c r="A661" s="1442" t="s">
        <v>549</v>
      </c>
      <c r="B661" s="1446" t="s">
        <v>1334</v>
      </c>
      <c r="C661" s="820"/>
      <c r="D661" s="820"/>
      <c r="E661" s="820"/>
      <c r="F661" s="820"/>
      <c r="G661" s="816"/>
      <c r="H661" s="816"/>
      <c r="I661" s="816"/>
      <c r="J661" s="816">
        <v>205000</v>
      </c>
      <c r="K661" s="816"/>
      <c r="L661" s="816"/>
      <c r="M661" s="816"/>
      <c r="N661" s="816"/>
      <c r="O661" s="1437"/>
    </row>
    <row r="662" spans="1:15" s="1411" customFormat="1" ht="27">
      <c r="A662" s="1447" t="s">
        <v>549</v>
      </c>
      <c r="B662" s="1446" t="s">
        <v>1335</v>
      </c>
      <c r="C662" s="820"/>
      <c r="D662" s="820"/>
      <c r="E662" s="820"/>
      <c r="F662" s="820"/>
      <c r="G662" s="816"/>
      <c r="H662" s="816"/>
      <c r="I662" s="816"/>
      <c r="J662" s="816">
        <v>2000000</v>
      </c>
      <c r="K662" s="816"/>
      <c r="L662" s="816"/>
      <c r="M662" s="816"/>
      <c r="N662" s="816"/>
      <c r="O662" s="1437"/>
    </row>
    <row r="663" spans="1:15" s="1411" customFormat="1" ht="18">
      <c r="A663" s="1447" t="s">
        <v>549</v>
      </c>
      <c r="B663" s="1446" t="s">
        <v>1336</v>
      </c>
      <c r="C663" s="820"/>
      <c r="D663" s="820"/>
      <c r="E663" s="820"/>
      <c r="F663" s="820"/>
      <c r="G663" s="816"/>
      <c r="H663" s="816"/>
      <c r="I663" s="816"/>
      <c r="J663" s="816">
        <v>1730000</v>
      </c>
      <c r="K663" s="816"/>
      <c r="L663" s="816"/>
      <c r="M663" s="816"/>
      <c r="N663" s="816"/>
      <c r="O663" s="1437"/>
    </row>
    <row r="664" spans="1:15" s="1411" customFormat="1" ht="18">
      <c r="A664" s="1442" t="s">
        <v>550</v>
      </c>
      <c r="B664" s="1446" t="s">
        <v>1337</v>
      </c>
      <c r="C664" s="820"/>
      <c r="D664" s="820"/>
      <c r="E664" s="820"/>
      <c r="F664" s="820"/>
      <c r="G664" s="816"/>
      <c r="H664" s="816"/>
      <c r="I664" s="816"/>
      <c r="J664" s="816">
        <v>540000</v>
      </c>
      <c r="K664" s="816"/>
      <c r="L664" s="816"/>
      <c r="M664" s="816"/>
      <c r="N664" s="816"/>
      <c r="O664" s="1437"/>
    </row>
    <row r="665" spans="1:15" s="1411" customFormat="1" ht="18">
      <c r="A665" s="1442" t="s">
        <v>550</v>
      </c>
      <c r="B665" s="1446" t="s">
        <v>1338</v>
      </c>
      <c r="C665" s="820"/>
      <c r="D665" s="820"/>
      <c r="E665" s="820"/>
      <c r="F665" s="820"/>
      <c r="G665" s="816"/>
      <c r="H665" s="816"/>
      <c r="I665" s="816"/>
      <c r="J665" s="816">
        <v>1000000</v>
      </c>
      <c r="K665" s="816"/>
      <c r="L665" s="816"/>
      <c r="M665" s="816"/>
      <c r="N665" s="816"/>
      <c r="O665" s="1437"/>
    </row>
    <row r="666" spans="1:15" s="1411" customFormat="1" ht="27">
      <c r="A666" s="1442" t="s">
        <v>1339</v>
      </c>
      <c r="B666" s="1446" t="s">
        <v>1340</v>
      </c>
      <c r="C666" s="820"/>
      <c r="D666" s="820"/>
      <c r="E666" s="820"/>
      <c r="F666" s="820">
        <v>4030000</v>
      </c>
      <c r="G666" s="816"/>
      <c r="H666" s="816"/>
      <c r="I666" s="816"/>
      <c r="J666" s="816"/>
      <c r="K666" s="816"/>
      <c r="L666" s="816"/>
      <c r="M666" s="816"/>
      <c r="N666" s="816"/>
      <c r="O666" s="1437"/>
    </row>
    <row r="667" spans="1:15" s="1411" customFormat="1" ht="27">
      <c r="A667" s="1442" t="s">
        <v>1339</v>
      </c>
      <c r="B667" s="1446" t="s">
        <v>1341</v>
      </c>
      <c r="C667" s="820"/>
      <c r="D667" s="820"/>
      <c r="E667" s="820"/>
      <c r="F667" s="820"/>
      <c r="G667" s="816"/>
      <c r="H667" s="816"/>
      <c r="I667" s="816"/>
      <c r="J667" s="816">
        <v>250000</v>
      </c>
      <c r="K667" s="816"/>
      <c r="L667" s="816"/>
      <c r="M667" s="816"/>
      <c r="N667" s="816"/>
      <c r="O667" s="1437"/>
    </row>
    <row r="668" spans="1:15" s="1411" customFormat="1" ht="18">
      <c r="A668" s="1442" t="s">
        <v>1342</v>
      </c>
      <c r="B668" s="1446" t="s">
        <v>1343</v>
      </c>
      <c r="C668" s="820"/>
      <c r="D668" s="820"/>
      <c r="E668" s="820"/>
      <c r="F668" s="820"/>
      <c r="G668" s="816"/>
      <c r="H668" s="816"/>
      <c r="I668" s="816"/>
      <c r="J668" s="816">
        <v>70000</v>
      </c>
      <c r="K668" s="816"/>
      <c r="L668" s="816"/>
      <c r="M668" s="816"/>
      <c r="N668" s="816"/>
      <c r="O668" s="1437"/>
    </row>
    <row r="669" spans="1:15" s="1411" customFormat="1" ht="9">
      <c r="A669" s="1442" t="s">
        <v>1344</v>
      </c>
      <c r="B669" s="1446" t="s">
        <v>1288</v>
      </c>
      <c r="C669" s="820"/>
      <c r="D669" s="820"/>
      <c r="E669" s="820"/>
      <c r="F669" s="820"/>
      <c r="G669" s="816"/>
      <c r="H669" s="816"/>
      <c r="I669" s="816"/>
      <c r="J669" s="816">
        <v>1000000</v>
      </c>
      <c r="K669" s="816"/>
      <c r="L669" s="816"/>
      <c r="M669" s="816"/>
      <c r="N669" s="816"/>
      <c r="O669" s="1437" t="s">
        <v>1286</v>
      </c>
    </row>
    <row r="670" spans="1:15" s="1411" customFormat="1" ht="18">
      <c r="A670" s="1442" t="s">
        <v>553</v>
      </c>
      <c r="B670" s="1446" t="s">
        <v>1345</v>
      </c>
      <c r="C670" s="820"/>
      <c r="D670" s="820"/>
      <c r="E670" s="820"/>
      <c r="F670" s="820">
        <v>3070000</v>
      </c>
      <c r="G670" s="816"/>
      <c r="H670" s="816"/>
      <c r="I670" s="816"/>
      <c r="J670" s="816"/>
      <c r="K670" s="816"/>
      <c r="L670" s="816"/>
      <c r="M670" s="816"/>
      <c r="N670" s="816"/>
      <c r="O670" s="1437"/>
    </row>
    <row r="671" spans="1:15" s="1411" customFormat="1" ht="18">
      <c r="A671" s="1442" t="s">
        <v>553</v>
      </c>
      <c r="B671" s="1446" t="s">
        <v>1346</v>
      </c>
      <c r="C671" s="820"/>
      <c r="D671" s="820"/>
      <c r="E671" s="820"/>
      <c r="F671" s="820"/>
      <c r="G671" s="816"/>
      <c r="H671" s="816"/>
      <c r="I671" s="816"/>
      <c r="J671" s="816">
        <v>2600000</v>
      </c>
      <c r="K671" s="816"/>
      <c r="L671" s="816"/>
      <c r="M671" s="816"/>
      <c r="N671" s="816"/>
      <c r="O671" s="1437"/>
    </row>
    <row r="672" spans="1:15" s="1411" customFormat="1" ht="18">
      <c r="A672" s="1442" t="s">
        <v>553</v>
      </c>
      <c r="B672" s="1446" t="s">
        <v>1347</v>
      </c>
      <c r="C672" s="820"/>
      <c r="D672" s="820"/>
      <c r="E672" s="820"/>
      <c r="F672" s="820"/>
      <c r="G672" s="816"/>
      <c r="H672" s="816"/>
      <c r="I672" s="816"/>
      <c r="J672" s="816">
        <v>421000</v>
      </c>
      <c r="K672" s="816"/>
      <c r="L672" s="816"/>
      <c r="M672" s="816"/>
      <c r="N672" s="816"/>
      <c r="O672" s="1437"/>
    </row>
    <row r="673" spans="1:15" s="1411" customFormat="1" ht="36">
      <c r="A673" s="1442" t="s">
        <v>553</v>
      </c>
      <c r="B673" s="1446" t="s">
        <v>1348</v>
      </c>
      <c r="C673" s="820"/>
      <c r="D673" s="820"/>
      <c r="E673" s="820"/>
      <c r="F673" s="820"/>
      <c r="G673" s="816"/>
      <c r="H673" s="816"/>
      <c r="I673" s="816"/>
      <c r="J673" s="816">
        <v>3616000</v>
      </c>
      <c r="K673" s="816"/>
      <c r="L673" s="816"/>
      <c r="M673" s="816"/>
      <c r="N673" s="816"/>
      <c r="O673" s="1437"/>
    </row>
    <row r="674" spans="1:15" s="1411" customFormat="1" ht="18">
      <c r="A674" s="1442" t="s">
        <v>553</v>
      </c>
      <c r="B674" s="1446" t="s">
        <v>1338</v>
      </c>
      <c r="C674" s="820"/>
      <c r="D674" s="820"/>
      <c r="E674" s="820"/>
      <c r="F674" s="820"/>
      <c r="G674" s="816"/>
      <c r="H674" s="816"/>
      <c r="I674" s="816"/>
      <c r="J674" s="816">
        <v>300000</v>
      </c>
      <c r="K674" s="816"/>
      <c r="L674" s="816"/>
      <c r="M674" s="816"/>
      <c r="N674" s="816"/>
      <c r="O674" s="1437"/>
    </row>
    <row r="675" spans="1:15" s="1411" customFormat="1" ht="9">
      <c r="A675" s="1442" t="s">
        <v>553</v>
      </c>
      <c r="B675" s="1446" t="s">
        <v>1334</v>
      </c>
      <c r="C675" s="820"/>
      <c r="D675" s="820"/>
      <c r="E675" s="820"/>
      <c r="F675" s="820"/>
      <c r="G675" s="816"/>
      <c r="H675" s="816"/>
      <c r="I675" s="816"/>
      <c r="J675" s="816">
        <v>331661</v>
      </c>
      <c r="K675" s="816"/>
      <c r="L675" s="816"/>
      <c r="M675" s="816"/>
      <c r="N675" s="816"/>
      <c r="O675" s="1437"/>
    </row>
    <row r="676" spans="1:15" s="1411" customFormat="1" ht="18">
      <c r="A676" s="1442" t="s">
        <v>554</v>
      </c>
      <c r="B676" s="1446" t="s">
        <v>1349</v>
      </c>
      <c r="C676" s="820"/>
      <c r="D676" s="820"/>
      <c r="E676" s="820"/>
      <c r="F676" s="820"/>
      <c r="G676" s="816"/>
      <c r="H676" s="816"/>
      <c r="I676" s="816"/>
      <c r="J676" s="816">
        <v>1580000</v>
      </c>
      <c r="K676" s="816"/>
      <c r="L676" s="816"/>
      <c r="M676" s="816"/>
      <c r="N676" s="816"/>
      <c r="O676" s="1437"/>
    </row>
    <row r="677" spans="1:15" s="1411" customFormat="1" ht="9">
      <c r="A677" s="1442" t="s">
        <v>554</v>
      </c>
      <c r="B677" s="1446" t="s">
        <v>1288</v>
      </c>
      <c r="C677" s="820"/>
      <c r="D677" s="820"/>
      <c r="E677" s="820"/>
      <c r="F677" s="820"/>
      <c r="G677" s="816"/>
      <c r="H677" s="816"/>
      <c r="I677" s="816"/>
      <c r="J677" s="816">
        <v>1026720</v>
      </c>
      <c r="K677" s="816"/>
      <c r="L677" s="816"/>
      <c r="M677" s="816"/>
      <c r="N677" s="816"/>
      <c r="O677" s="1437" t="s">
        <v>1286</v>
      </c>
    </row>
    <row r="678" spans="1:15" s="1411" customFormat="1" ht="18">
      <c r="A678" s="1442" t="s">
        <v>554</v>
      </c>
      <c r="B678" s="1446" t="s">
        <v>1350</v>
      </c>
      <c r="C678" s="820"/>
      <c r="D678" s="820"/>
      <c r="E678" s="820"/>
      <c r="F678" s="820"/>
      <c r="G678" s="816"/>
      <c r="H678" s="816"/>
      <c r="I678" s="816"/>
      <c r="J678" s="816">
        <v>1350000</v>
      </c>
      <c r="K678" s="816"/>
      <c r="L678" s="816"/>
      <c r="M678" s="816"/>
      <c r="N678" s="816"/>
      <c r="O678" s="1437"/>
    </row>
    <row r="679" spans="1:15" s="1411" customFormat="1" ht="18">
      <c r="A679" s="1442" t="s">
        <v>555</v>
      </c>
      <c r="B679" s="1446" t="s">
        <v>1351</v>
      </c>
      <c r="C679" s="820"/>
      <c r="D679" s="820"/>
      <c r="E679" s="820"/>
      <c r="F679" s="820"/>
      <c r="G679" s="816"/>
      <c r="H679" s="816"/>
      <c r="I679" s="816"/>
      <c r="J679" s="816">
        <v>115000</v>
      </c>
      <c r="K679" s="816"/>
      <c r="L679" s="816"/>
      <c r="M679" s="816"/>
      <c r="N679" s="816"/>
      <c r="O679" s="1437"/>
    </row>
    <row r="680" spans="1:15" s="1411" customFormat="1" ht="18">
      <c r="A680" s="1442" t="s">
        <v>555</v>
      </c>
      <c r="B680" s="1446" t="s">
        <v>1352</v>
      </c>
      <c r="C680" s="820"/>
      <c r="D680" s="820"/>
      <c r="E680" s="820"/>
      <c r="F680" s="820"/>
      <c r="G680" s="816"/>
      <c r="H680" s="816"/>
      <c r="I680" s="816"/>
      <c r="J680" s="816">
        <v>4000000</v>
      </c>
      <c r="K680" s="816"/>
      <c r="L680" s="816"/>
      <c r="M680" s="816"/>
      <c r="N680" s="816"/>
      <c r="O680" s="1437"/>
    </row>
    <row r="681" spans="1:15" s="1411" customFormat="1" ht="9">
      <c r="A681" s="1442" t="s">
        <v>555</v>
      </c>
      <c r="B681" s="1446" t="s">
        <v>1288</v>
      </c>
      <c r="C681" s="820"/>
      <c r="D681" s="820"/>
      <c r="E681" s="820"/>
      <c r="F681" s="820"/>
      <c r="G681" s="816"/>
      <c r="H681" s="816"/>
      <c r="I681" s="816"/>
      <c r="J681" s="816">
        <v>1000000</v>
      </c>
      <c r="K681" s="816"/>
      <c r="L681" s="816"/>
      <c r="M681" s="816"/>
      <c r="N681" s="816"/>
      <c r="O681" s="1437" t="s">
        <v>1286</v>
      </c>
    </row>
    <row r="682" spans="1:15" s="1411" customFormat="1" ht="9">
      <c r="A682" s="1442" t="s">
        <v>1353</v>
      </c>
      <c r="B682" s="1446" t="s">
        <v>1354</v>
      </c>
      <c r="C682" s="820"/>
      <c r="D682" s="820"/>
      <c r="E682" s="820"/>
      <c r="F682" s="820"/>
      <c r="G682" s="816"/>
      <c r="H682" s="816"/>
      <c r="I682" s="816"/>
      <c r="J682" s="816">
        <v>91339</v>
      </c>
      <c r="K682" s="816"/>
      <c r="L682" s="816"/>
      <c r="M682" s="816"/>
      <c r="N682" s="816"/>
      <c r="O682" s="1437"/>
    </row>
    <row r="683" spans="1:15" s="1411" customFormat="1" ht="9">
      <c r="A683" s="1442" t="s">
        <v>1353</v>
      </c>
      <c r="B683" s="1446" t="s">
        <v>1355</v>
      </c>
      <c r="C683" s="820"/>
      <c r="D683" s="820"/>
      <c r="E683" s="820"/>
      <c r="F683" s="820"/>
      <c r="G683" s="816"/>
      <c r="H683" s="816"/>
      <c r="I683" s="816"/>
      <c r="J683" s="816">
        <v>37400</v>
      </c>
      <c r="K683" s="816"/>
      <c r="L683" s="816"/>
      <c r="M683" s="816"/>
      <c r="N683" s="816"/>
      <c r="O683" s="1437"/>
    </row>
    <row r="684" spans="1:15" s="1411" customFormat="1" ht="18">
      <c r="A684" s="1442" t="s">
        <v>1353</v>
      </c>
      <c r="B684" s="1446" t="s">
        <v>1338</v>
      </c>
      <c r="C684" s="820"/>
      <c r="D684" s="820"/>
      <c r="E684" s="820"/>
      <c r="F684" s="820"/>
      <c r="G684" s="816"/>
      <c r="H684" s="816"/>
      <c r="I684" s="816"/>
      <c r="J684" s="816">
        <v>5000000</v>
      </c>
      <c r="K684" s="816"/>
      <c r="L684" s="816"/>
      <c r="M684" s="816"/>
      <c r="N684" s="816"/>
      <c r="O684" s="1437"/>
    </row>
    <row r="685" spans="1:15" s="1411" customFormat="1" ht="9">
      <c r="A685" s="1442" t="s">
        <v>1356</v>
      </c>
      <c r="B685" s="1446" t="s">
        <v>1295</v>
      </c>
      <c r="C685" s="820"/>
      <c r="D685" s="820"/>
      <c r="E685" s="820"/>
      <c r="F685" s="820"/>
      <c r="G685" s="816"/>
      <c r="H685" s="816"/>
      <c r="I685" s="816"/>
      <c r="J685" s="816">
        <v>120000</v>
      </c>
      <c r="K685" s="816"/>
      <c r="L685" s="816"/>
      <c r="M685" s="816"/>
      <c r="N685" s="816"/>
      <c r="O685" s="1437"/>
    </row>
    <row r="686" spans="1:15" s="1411" customFormat="1" ht="18">
      <c r="A686" s="1442" t="s">
        <v>1356</v>
      </c>
      <c r="B686" s="1446" t="s">
        <v>1357</v>
      </c>
      <c r="C686" s="820"/>
      <c r="D686" s="820"/>
      <c r="E686" s="820"/>
      <c r="F686" s="820">
        <v>20000000</v>
      </c>
      <c r="G686" s="816"/>
      <c r="H686" s="816"/>
      <c r="I686" s="816"/>
      <c r="J686" s="816"/>
      <c r="K686" s="816"/>
      <c r="L686" s="816"/>
      <c r="M686" s="816"/>
      <c r="N686" s="816"/>
      <c r="O686" s="1437"/>
    </row>
    <row r="687" spans="1:15" s="1411" customFormat="1" ht="9">
      <c r="A687" s="1442" t="s">
        <v>557</v>
      </c>
      <c r="B687" s="1446" t="s">
        <v>1288</v>
      </c>
      <c r="C687" s="820"/>
      <c r="D687" s="820"/>
      <c r="E687" s="820"/>
      <c r="F687" s="820"/>
      <c r="G687" s="816"/>
      <c r="H687" s="816"/>
      <c r="I687" s="816"/>
      <c r="J687" s="816">
        <v>1064000</v>
      </c>
      <c r="K687" s="816"/>
      <c r="L687" s="816"/>
      <c r="M687" s="816"/>
      <c r="N687" s="816"/>
      <c r="O687" s="1437" t="s">
        <v>1307</v>
      </c>
    </row>
    <row r="688" spans="1:15" s="1411" customFormat="1" ht="18">
      <c r="A688" s="1442" t="s">
        <v>557</v>
      </c>
      <c r="B688" s="1446" t="s">
        <v>1358</v>
      </c>
      <c r="C688" s="820"/>
      <c r="D688" s="820"/>
      <c r="E688" s="820"/>
      <c r="F688" s="820">
        <v>10160000</v>
      </c>
      <c r="G688" s="816"/>
      <c r="H688" s="816"/>
      <c r="I688" s="816"/>
      <c r="J688" s="816"/>
      <c r="K688" s="816"/>
      <c r="L688" s="816"/>
      <c r="M688" s="816"/>
      <c r="N688" s="816"/>
      <c r="O688" s="1437"/>
    </row>
    <row r="689" spans="1:15" s="1411" customFormat="1" ht="18">
      <c r="A689" s="1442" t="s">
        <v>558</v>
      </c>
      <c r="B689" s="1446" t="s">
        <v>1359</v>
      </c>
      <c r="C689" s="820"/>
      <c r="D689" s="820"/>
      <c r="E689" s="820"/>
      <c r="F689" s="820"/>
      <c r="G689" s="816"/>
      <c r="H689" s="816"/>
      <c r="I689" s="816"/>
      <c r="J689" s="816">
        <v>180000</v>
      </c>
      <c r="K689" s="816"/>
      <c r="L689" s="816"/>
      <c r="M689" s="816"/>
      <c r="N689" s="816"/>
      <c r="O689" s="1437"/>
    </row>
    <row r="690" spans="1:15" s="1411" customFormat="1" ht="9">
      <c r="A690" s="1442" t="s">
        <v>558</v>
      </c>
      <c r="B690" s="1446" t="s">
        <v>1288</v>
      </c>
      <c r="C690" s="820"/>
      <c r="D690" s="820"/>
      <c r="E690" s="820"/>
      <c r="F690" s="820"/>
      <c r="G690" s="816"/>
      <c r="H690" s="816"/>
      <c r="I690" s="816"/>
      <c r="J690" s="816">
        <v>1005720</v>
      </c>
      <c r="K690" s="816"/>
      <c r="L690" s="816"/>
      <c r="M690" s="816"/>
      <c r="N690" s="816"/>
      <c r="O690" s="1437" t="s">
        <v>1286</v>
      </c>
    </row>
    <row r="691" spans="1:15" s="1411" customFormat="1" ht="18">
      <c r="A691" s="1442" t="s">
        <v>1360</v>
      </c>
      <c r="B691" s="1446" t="s">
        <v>1361</v>
      </c>
      <c r="C691" s="820"/>
      <c r="D691" s="820"/>
      <c r="E691" s="820"/>
      <c r="F691" s="820"/>
      <c r="G691" s="816"/>
      <c r="H691" s="816"/>
      <c r="I691" s="816"/>
      <c r="J691" s="816">
        <v>600000</v>
      </c>
      <c r="K691" s="816"/>
      <c r="L691" s="816"/>
      <c r="M691" s="816"/>
      <c r="N691" s="816"/>
      <c r="O691" s="1437"/>
    </row>
    <row r="692" spans="1:15" s="1411" customFormat="1" ht="18">
      <c r="A692" s="1442" t="s">
        <v>1360</v>
      </c>
      <c r="B692" s="819" t="s">
        <v>1362</v>
      </c>
      <c r="C692" s="820"/>
      <c r="D692" s="820"/>
      <c r="E692" s="820"/>
      <c r="F692" s="820"/>
      <c r="G692" s="816"/>
      <c r="H692" s="816"/>
      <c r="I692" s="816"/>
      <c r="J692" s="816">
        <v>11200000</v>
      </c>
      <c r="K692" s="816"/>
      <c r="L692" s="816"/>
      <c r="M692" s="816"/>
      <c r="N692" s="816"/>
      <c r="O692" s="1437"/>
    </row>
    <row r="693" spans="1:15" s="1411" customFormat="1" ht="18">
      <c r="A693" s="1442" t="s">
        <v>1360</v>
      </c>
      <c r="B693" s="819" t="s">
        <v>1363</v>
      </c>
      <c r="C693" s="820"/>
      <c r="D693" s="820"/>
      <c r="E693" s="820"/>
      <c r="F693" s="820"/>
      <c r="G693" s="816"/>
      <c r="H693" s="816"/>
      <c r="I693" s="816"/>
      <c r="J693" s="816">
        <v>4700000</v>
      </c>
      <c r="K693" s="816"/>
      <c r="L693" s="816"/>
      <c r="M693" s="816"/>
      <c r="N693" s="816"/>
      <c r="O693" s="1437"/>
    </row>
    <row r="694" spans="1:15" s="1411" customFormat="1" ht="9">
      <c r="A694" s="1442" t="s">
        <v>1360</v>
      </c>
      <c r="B694" s="819" t="s">
        <v>1364</v>
      </c>
      <c r="C694" s="820"/>
      <c r="D694" s="820"/>
      <c r="E694" s="820"/>
      <c r="F694" s="820"/>
      <c r="G694" s="816"/>
      <c r="H694" s="816"/>
      <c r="I694" s="816"/>
      <c r="J694" s="816">
        <v>50000000</v>
      </c>
      <c r="K694" s="816"/>
      <c r="L694" s="816"/>
      <c r="M694" s="816"/>
      <c r="N694" s="816"/>
      <c r="O694" s="1437"/>
    </row>
    <row r="695" spans="1:15" s="1411" customFormat="1" ht="18">
      <c r="A695" s="1442" t="s">
        <v>560</v>
      </c>
      <c r="B695" s="819" t="s">
        <v>1365</v>
      </c>
      <c r="C695" s="820"/>
      <c r="D695" s="820"/>
      <c r="E695" s="820"/>
      <c r="F695" s="820">
        <v>10000000</v>
      </c>
      <c r="G695" s="816"/>
      <c r="H695" s="816"/>
      <c r="I695" s="816"/>
      <c r="J695" s="816"/>
      <c r="K695" s="816"/>
      <c r="L695" s="816"/>
      <c r="M695" s="816"/>
      <c r="N695" s="816"/>
      <c r="O695" s="1437"/>
    </row>
    <row r="696" spans="1:15" s="1411" customFormat="1" ht="18">
      <c r="A696" s="1442" t="s">
        <v>560</v>
      </c>
      <c r="B696" s="819" t="s">
        <v>1365</v>
      </c>
      <c r="C696" s="820"/>
      <c r="D696" s="820"/>
      <c r="E696" s="820"/>
      <c r="F696" s="820">
        <v>40000000</v>
      </c>
      <c r="G696" s="816"/>
      <c r="H696" s="816"/>
      <c r="I696" s="816"/>
      <c r="J696" s="816"/>
      <c r="K696" s="816"/>
      <c r="L696" s="816"/>
      <c r="M696" s="816"/>
      <c r="N696" s="816"/>
      <c r="O696" s="1437"/>
    </row>
    <row r="697" spans="1:15" s="1411" customFormat="1" ht="9">
      <c r="A697" s="1442" t="s">
        <v>560</v>
      </c>
      <c r="B697" s="819" t="s">
        <v>1288</v>
      </c>
      <c r="C697" s="820"/>
      <c r="D697" s="820"/>
      <c r="E697" s="820"/>
      <c r="F697" s="820"/>
      <c r="G697" s="816"/>
      <c r="H697" s="816"/>
      <c r="I697" s="816"/>
      <c r="J697" s="816">
        <v>760000</v>
      </c>
      <c r="K697" s="816"/>
      <c r="L697" s="816"/>
      <c r="M697" s="816"/>
      <c r="N697" s="816"/>
      <c r="O697" s="1437" t="s">
        <v>1286</v>
      </c>
    </row>
    <row r="698" spans="1:15" s="1411" customFormat="1" ht="18">
      <c r="A698" s="1442" t="s">
        <v>560</v>
      </c>
      <c r="B698" s="1446" t="s">
        <v>1366</v>
      </c>
      <c r="C698" s="820"/>
      <c r="D698" s="820"/>
      <c r="E698" s="820"/>
      <c r="F698" s="820"/>
      <c r="G698" s="816"/>
      <c r="H698" s="816"/>
      <c r="I698" s="816"/>
      <c r="J698" s="816">
        <v>148000000</v>
      </c>
      <c r="K698" s="816"/>
      <c r="L698" s="816"/>
      <c r="M698" s="816"/>
      <c r="N698" s="816"/>
      <c r="O698" s="1437"/>
    </row>
    <row r="699" spans="1:15" s="1411" customFormat="1" ht="9">
      <c r="A699" s="1442" t="s">
        <v>560</v>
      </c>
      <c r="B699" s="1446" t="s">
        <v>1295</v>
      </c>
      <c r="C699" s="820"/>
      <c r="D699" s="820"/>
      <c r="E699" s="820"/>
      <c r="F699" s="820"/>
      <c r="G699" s="816"/>
      <c r="H699" s="816"/>
      <c r="I699" s="816"/>
      <c r="J699" s="816">
        <v>109000</v>
      </c>
      <c r="K699" s="816"/>
      <c r="L699" s="816"/>
      <c r="M699" s="816"/>
      <c r="N699" s="816"/>
      <c r="O699" s="1437"/>
    </row>
    <row r="700" spans="1:15" s="1411" customFormat="1" ht="9">
      <c r="A700" s="799"/>
      <c r="B700" s="800"/>
      <c r="C700" s="1425"/>
      <c r="D700" s="1425"/>
      <c r="E700" s="1425"/>
      <c r="F700" s="1425"/>
      <c r="G700" s="801"/>
      <c r="H700" s="801"/>
      <c r="I700" s="801"/>
      <c r="J700" s="801"/>
      <c r="K700" s="801"/>
      <c r="L700" s="801"/>
      <c r="M700" s="809"/>
      <c r="N700" s="809"/>
      <c r="O700" s="1437"/>
    </row>
    <row r="701" spans="1:15" s="1411" customFormat="1" ht="9">
      <c r="A701" s="1769" t="s">
        <v>1367</v>
      </c>
      <c r="B701" s="1769"/>
      <c r="C701" s="1427">
        <f>SUM(C262:C700)</f>
        <v>0</v>
      </c>
      <c r="D701" s="1427">
        <f t="shared" ref="D701:F701" si="1">SUM(D262:D700)</f>
        <v>352861750</v>
      </c>
      <c r="E701" s="1427">
        <f t="shared" si="1"/>
        <v>45000000</v>
      </c>
      <c r="F701" s="1427">
        <f t="shared" si="1"/>
        <v>1216019050</v>
      </c>
      <c r="G701" s="811">
        <f>SUM(G262:G700)</f>
        <v>300000</v>
      </c>
      <c r="H701" s="811">
        <f t="shared" ref="H701:N701" si="2">SUM(H262:H700)</f>
        <v>457714000</v>
      </c>
      <c r="I701" s="811">
        <f t="shared" si="2"/>
        <v>45270000</v>
      </c>
      <c r="J701" s="811">
        <f t="shared" si="2"/>
        <v>1150408720</v>
      </c>
      <c r="K701" s="811">
        <f t="shared" si="2"/>
        <v>4030000</v>
      </c>
      <c r="L701" s="811">
        <f t="shared" si="2"/>
        <v>15505000</v>
      </c>
      <c r="M701" s="811">
        <f t="shared" si="2"/>
        <v>0</v>
      </c>
      <c r="N701" s="811">
        <f t="shared" si="2"/>
        <v>0</v>
      </c>
      <c r="O701" s="810"/>
    </row>
    <row r="702" spans="1:15" s="1411" customFormat="1" ht="9">
      <c r="A702" s="1768" t="s">
        <v>1368</v>
      </c>
      <c r="B702" s="1768"/>
      <c r="C702" s="1427"/>
      <c r="D702" s="1427"/>
      <c r="E702" s="1427"/>
      <c r="F702" s="1427">
        <f>SUM(C701:F701)</f>
        <v>1613880800</v>
      </c>
      <c r="G702" s="811"/>
      <c r="H702" s="811"/>
      <c r="I702" s="811"/>
      <c r="J702" s="811"/>
      <c r="K702" s="811"/>
      <c r="L702" s="811"/>
      <c r="M702" s="811"/>
      <c r="N702" s="811"/>
      <c r="O702" s="810"/>
    </row>
    <row r="703" spans="1:15" s="1411" customFormat="1" ht="9">
      <c r="A703" s="1768" t="s">
        <v>1369</v>
      </c>
      <c r="B703" s="1768"/>
      <c r="C703" s="1427"/>
      <c r="D703" s="1427"/>
      <c r="E703" s="1427"/>
      <c r="F703" s="1427">
        <f>SUM(G701:N701)</f>
        <v>1673227720</v>
      </c>
      <c r="G703" s="811"/>
      <c r="H703" s="811"/>
      <c r="I703" s="811"/>
      <c r="J703" s="811"/>
      <c r="K703" s="811"/>
      <c r="L703" s="811"/>
      <c r="M703" s="811"/>
      <c r="N703" s="811"/>
      <c r="O703" s="810"/>
    </row>
    <row r="704" spans="1:15" s="1411" customFormat="1" ht="9">
      <c r="A704" s="1768" t="s">
        <v>1370</v>
      </c>
      <c r="B704" s="1768"/>
      <c r="C704" s="1427"/>
      <c r="D704" s="1427"/>
      <c r="E704" s="1427"/>
      <c r="F704" s="1427">
        <f>F702-F703</f>
        <v>-59346920</v>
      </c>
      <c r="G704" s="811"/>
      <c r="H704" s="811"/>
      <c r="I704" s="811"/>
      <c r="J704" s="811"/>
      <c r="K704" s="811"/>
      <c r="L704" s="811"/>
      <c r="M704" s="811"/>
      <c r="N704" s="811"/>
      <c r="O704" s="810"/>
    </row>
    <row r="705" spans="1:15" s="1411" customFormat="1" ht="11.25">
      <c r="A705" s="1767" t="s">
        <v>1371</v>
      </c>
      <c r="B705" s="1767"/>
      <c r="C705" s="1427"/>
      <c r="D705" s="1427"/>
      <c r="E705" s="1427"/>
      <c r="F705" s="1428">
        <f>F704+C260</f>
        <v>-302259550</v>
      </c>
      <c r="G705" s="811"/>
      <c r="H705" s="811"/>
      <c r="I705" s="811"/>
      <c r="J705" s="811"/>
      <c r="K705" s="811"/>
      <c r="L705" s="811"/>
      <c r="M705" s="811"/>
      <c r="N705" s="811"/>
      <c r="O705" s="810"/>
    </row>
    <row r="706" spans="1:15" s="1411" customFormat="1" ht="9">
      <c r="A706" s="1090"/>
      <c r="B706" s="1087"/>
      <c r="C706" s="1429"/>
      <c r="D706" s="1429"/>
      <c r="E706" s="1429"/>
      <c r="F706" s="1429"/>
      <c r="G706" s="807"/>
      <c r="H706" s="807"/>
      <c r="I706" s="807"/>
      <c r="J706" s="807"/>
      <c r="K706" s="807"/>
      <c r="L706" s="807"/>
      <c r="M706" s="807"/>
      <c r="N706" s="807"/>
      <c r="O706" s="1089"/>
    </row>
    <row r="707" spans="1:15" s="1411" customFormat="1" ht="9">
      <c r="A707" s="1090"/>
      <c r="B707" s="1087"/>
      <c r="C707" s="1429"/>
      <c r="D707" s="1429"/>
      <c r="E707" s="1429"/>
      <c r="F707" s="1429"/>
      <c r="G707" s="807"/>
      <c r="H707" s="807"/>
      <c r="I707" s="807"/>
      <c r="J707" s="807"/>
      <c r="K707" s="807"/>
      <c r="L707" s="807"/>
      <c r="M707" s="807"/>
      <c r="N707" s="807"/>
      <c r="O707" s="1089"/>
    </row>
    <row r="708" spans="1:15" s="1411" customFormat="1" ht="9">
      <c r="A708" s="1090"/>
      <c r="B708" s="1087"/>
      <c r="C708" s="1429"/>
      <c r="D708" s="1429"/>
      <c r="E708" s="1429"/>
      <c r="F708" s="1429"/>
      <c r="G708" s="807"/>
      <c r="H708" s="807"/>
      <c r="I708" s="807"/>
      <c r="J708" s="807"/>
      <c r="K708" s="807"/>
      <c r="L708" s="807"/>
      <c r="M708" s="807"/>
      <c r="N708" s="807"/>
      <c r="O708" s="1089"/>
    </row>
    <row r="709" spans="1:15" s="1411" customFormat="1" ht="9">
      <c r="A709" s="1090"/>
      <c r="B709" s="1087"/>
      <c r="C709" s="1429"/>
      <c r="D709" s="1429"/>
      <c r="E709" s="1429"/>
      <c r="F709" s="1429"/>
      <c r="G709" s="807"/>
      <c r="H709" s="807"/>
      <c r="I709" s="807"/>
      <c r="J709" s="807"/>
      <c r="K709" s="807"/>
      <c r="L709" s="807"/>
      <c r="M709" s="807"/>
      <c r="N709" s="807"/>
      <c r="O709" s="1089"/>
    </row>
    <row r="710" spans="1:15" s="1411" customFormat="1" ht="9">
      <c r="A710" s="1090"/>
      <c r="B710" s="1087"/>
      <c r="C710" s="1429"/>
      <c r="D710" s="1429"/>
      <c r="E710" s="1429"/>
      <c r="F710" s="1429"/>
      <c r="G710" s="807"/>
      <c r="H710" s="807"/>
      <c r="I710" s="807"/>
      <c r="J710" s="807"/>
      <c r="K710" s="807"/>
      <c r="L710" s="807"/>
      <c r="M710" s="807"/>
      <c r="N710" s="807"/>
      <c r="O710" s="1089"/>
    </row>
    <row r="711" spans="1:15" s="1411" customFormat="1" ht="9">
      <c r="A711" s="1090"/>
      <c r="B711" s="1087"/>
      <c r="C711" s="1429"/>
      <c r="D711" s="1429"/>
      <c r="E711" s="1429"/>
      <c r="F711" s="1429"/>
      <c r="G711" s="807"/>
      <c r="H711" s="807"/>
      <c r="I711" s="807"/>
      <c r="J711" s="807"/>
      <c r="K711" s="807"/>
      <c r="L711" s="807"/>
      <c r="M711" s="807"/>
      <c r="N711" s="807"/>
      <c r="O711" s="1089"/>
    </row>
    <row r="712" spans="1:15" s="1411" customFormat="1" ht="9">
      <c r="A712" s="1090"/>
      <c r="B712" s="1087"/>
      <c r="C712" s="1429"/>
      <c r="D712" s="1429"/>
      <c r="E712" s="1429"/>
      <c r="F712" s="1429"/>
      <c r="G712" s="807"/>
      <c r="H712" s="807"/>
      <c r="I712" s="807"/>
      <c r="J712" s="807"/>
      <c r="K712" s="807"/>
      <c r="L712" s="807"/>
      <c r="M712" s="807"/>
      <c r="N712" s="807"/>
      <c r="O712" s="1089"/>
    </row>
    <row r="713" spans="1:15" s="1411" customFormat="1" ht="9">
      <c r="A713" s="1090"/>
      <c r="B713" s="1087"/>
      <c r="C713" s="1429"/>
      <c r="D713" s="1429"/>
      <c r="E713" s="1429"/>
      <c r="F713" s="1429"/>
      <c r="G713" s="807"/>
      <c r="H713" s="807"/>
      <c r="I713" s="807"/>
      <c r="J713" s="807"/>
      <c r="K713" s="807"/>
      <c r="L713" s="807"/>
      <c r="M713" s="807"/>
      <c r="N713" s="807"/>
      <c r="O713" s="1089"/>
    </row>
    <row r="714" spans="1:15" s="1411" customFormat="1" ht="9">
      <c r="A714" s="1090"/>
      <c r="B714" s="1087"/>
      <c r="C714" s="1429"/>
      <c r="D714" s="1429"/>
      <c r="E714" s="1429"/>
      <c r="F714" s="1429"/>
      <c r="G714" s="807"/>
      <c r="H714" s="807"/>
      <c r="I714" s="807"/>
      <c r="J714" s="807"/>
      <c r="K714" s="807"/>
      <c r="L714" s="807"/>
      <c r="M714" s="807"/>
      <c r="N714" s="807"/>
      <c r="O714" s="1089"/>
    </row>
    <row r="715" spans="1:15" s="1411" customFormat="1" ht="9">
      <c r="A715" s="1090"/>
      <c r="B715" s="1087"/>
      <c r="C715" s="1429"/>
      <c r="D715" s="1429"/>
      <c r="E715" s="1429"/>
      <c r="F715" s="1429"/>
      <c r="G715" s="807"/>
      <c r="H715" s="807"/>
      <c r="I715" s="807"/>
      <c r="J715" s="807"/>
      <c r="K715" s="807"/>
      <c r="L715" s="807"/>
      <c r="M715" s="807"/>
      <c r="N715" s="807"/>
      <c r="O715" s="1089"/>
    </row>
    <row r="716" spans="1:15" s="1411" customFormat="1" ht="9">
      <c r="A716" s="1090"/>
      <c r="B716" s="1087"/>
      <c r="C716" s="1429"/>
      <c r="D716" s="1429"/>
      <c r="E716" s="1429"/>
      <c r="F716" s="1429"/>
      <c r="G716" s="807"/>
      <c r="H716" s="807"/>
      <c r="I716" s="807"/>
      <c r="J716" s="807"/>
      <c r="K716" s="807"/>
      <c r="L716" s="807"/>
      <c r="M716" s="807"/>
      <c r="N716" s="807"/>
      <c r="O716" s="1089"/>
    </row>
    <row r="717" spans="1:15" s="1411" customFormat="1" ht="9">
      <c r="A717" s="1090"/>
      <c r="B717" s="1087"/>
      <c r="C717" s="1429"/>
      <c r="D717" s="1429"/>
      <c r="E717" s="1429"/>
      <c r="F717" s="1429"/>
      <c r="G717" s="807"/>
      <c r="H717" s="807"/>
      <c r="I717" s="807"/>
      <c r="J717" s="807"/>
      <c r="K717" s="807"/>
      <c r="L717" s="807"/>
      <c r="M717" s="807"/>
      <c r="N717" s="807"/>
      <c r="O717" s="1089"/>
    </row>
    <row r="718" spans="1:15" s="1411" customFormat="1" ht="9">
      <c r="A718" s="1090"/>
      <c r="B718" s="1087"/>
      <c r="C718" s="1429"/>
      <c r="D718" s="1429"/>
      <c r="E718" s="1429"/>
      <c r="F718" s="1429"/>
      <c r="G718" s="807"/>
      <c r="H718" s="807"/>
      <c r="I718" s="807"/>
      <c r="J718" s="807"/>
      <c r="K718" s="807"/>
      <c r="L718" s="807"/>
      <c r="M718" s="807"/>
      <c r="N718" s="807"/>
      <c r="O718" s="1089"/>
    </row>
    <row r="719" spans="1:15" s="1411" customFormat="1" ht="9">
      <c r="A719" s="1090"/>
      <c r="B719" s="1087"/>
      <c r="C719" s="1429"/>
      <c r="D719" s="1429"/>
      <c r="E719" s="1429"/>
      <c r="F719" s="1429"/>
      <c r="G719" s="807"/>
      <c r="H719" s="807"/>
      <c r="I719" s="807"/>
      <c r="J719" s="807"/>
      <c r="K719" s="807"/>
      <c r="L719" s="807"/>
      <c r="M719" s="807"/>
      <c r="N719" s="807"/>
      <c r="O719" s="1089"/>
    </row>
    <row r="720" spans="1:15" s="1411" customFormat="1" ht="9">
      <c r="A720" s="1090"/>
      <c r="B720" s="1087"/>
      <c r="C720" s="1429"/>
      <c r="D720" s="1429"/>
      <c r="E720" s="1429"/>
      <c r="F720" s="1429"/>
      <c r="G720" s="807"/>
      <c r="H720" s="807"/>
      <c r="I720" s="807"/>
      <c r="J720" s="807"/>
      <c r="K720" s="807"/>
      <c r="L720" s="807"/>
      <c r="M720" s="807"/>
      <c r="N720" s="807"/>
      <c r="O720" s="1089"/>
    </row>
    <row r="721" spans="1:15" s="1411" customFormat="1" ht="9">
      <c r="A721" s="1090"/>
      <c r="B721" s="1087"/>
      <c r="C721" s="1429"/>
      <c r="D721" s="1429"/>
      <c r="E721" s="1429"/>
      <c r="F721" s="1429"/>
      <c r="G721" s="807"/>
      <c r="H721" s="807"/>
      <c r="I721" s="807"/>
      <c r="J721" s="807"/>
      <c r="K721" s="807"/>
      <c r="L721" s="807"/>
      <c r="M721" s="807"/>
      <c r="N721" s="807"/>
      <c r="O721" s="1089"/>
    </row>
    <row r="722" spans="1:15" s="1411" customFormat="1" ht="9">
      <c r="A722" s="1090"/>
      <c r="B722" s="1087"/>
      <c r="C722" s="1429"/>
      <c r="D722" s="1429"/>
      <c r="E722" s="1429"/>
      <c r="F722" s="1429"/>
      <c r="G722" s="807"/>
      <c r="H722" s="807"/>
      <c r="I722" s="807"/>
      <c r="J722" s="807"/>
      <c r="K722" s="807"/>
      <c r="L722" s="807"/>
      <c r="M722" s="807"/>
      <c r="N722" s="807"/>
      <c r="O722" s="1089"/>
    </row>
    <row r="723" spans="1:15" s="1411" customFormat="1" ht="9">
      <c r="A723" s="1090"/>
      <c r="B723" s="1087"/>
      <c r="C723" s="1429"/>
      <c r="D723" s="1429"/>
      <c r="E723" s="1429"/>
      <c r="F723" s="1429"/>
      <c r="G723" s="807"/>
      <c r="H723" s="807"/>
      <c r="I723" s="807"/>
      <c r="J723" s="807"/>
      <c r="K723" s="807"/>
      <c r="L723" s="807"/>
      <c r="M723" s="807"/>
      <c r="N723" s="807"/>
      <c r="O723" s="1089"/>
    </row>
    <row r="724" spans="1:15" s="1411" customFormat="1" ht="9">
      <c r="A724" s="1090"/>
      <c r="B724" s="1087"/>
      <c r="C724" s="1429"/>
      <c r="D724" s="1429"/>
      <c r="E724" s="1429"/>
      <c r="F724" s="1429"/>
      <c r="G724" s="807"/>
      <c r="H724" s="807"/>
      <c r="I724" s="807"/>
      <c r="J724" s="807"/>
      <c r="K724" s="807"/>
      <c r="L724" s="807"/>
      <c r="M724" s="807"/>
      <c r="N724" s="807"/>
      <c r="O724" s="1089"/>
    </row>
    <row r="725" spans="1:15" s="1411" customFormat="1" ht="9">
      <c r="A725" s="1090"/>
      <c r="B725" s="1087"/>
      <c r="C725" s="1429"/>
      <c r="D725" s="1429"/>
      <c r="E725" s="1429"/>
      <c r="F725" s="1429"/>
      <c r="G725" s="807"/>
      <c r="H725" s="807"/>
      <c r="I725" s="807"/>
      <c r="J725" s="807"/>
      <c r="K725" s="807"/>
      <c r="L725" s="807"/>
      <c r="M725" s="807"/>
      <c r="N725" s="807"/>
      <c r="O725" s="1089"/>
    </row>
    <row r="726" spans="1:15" s="1411" customFormat="1" ht="9">
      <c r="A726" s="1090"/>
      <c r="B726" s="1087"/>
      <c r="C726" s="1429"/>
      <c r="D726" s="1429"/>
      <c r="E726" s="1429"/>
      <c r="F726" s="1429"/>
      <c r="G726" s="807"/>
      <c r="H726" s="807"/>
      <c r="I726" s="807"/>
      <c r="J726" s="807"/>
      <c r="K726" s="807"/>
      <c r="L726" s="807"/>
      <c r="M726" s="807"/>
      <c r="N726" s="807"/>
      <c r="O726" s="1089"/>
    </row>
    <row r="727" spans="1:15" s="1411" customFormat="1" ht="9">
      <c r="A727" s="1090"/>
      <c r="B727" s="1087"/>
      <c r="C727" s="1429"/>
      <c r="D727" s="1429"/>
      <c r="E727" s="1429"/>
      <c r="F727" s="1429"/>
      <c r="G727" s="807"/>
      <c r="H727" s="807"/>
      <c r="I727" s="807"/>
      <c r="J727" s="807"/>
      <c r="K727" s="807"/>
      <c r="L727" s="807"/>
      <c r="M727" s="807"/>
      <c r="N727" s="807"/>
      <c r="O727" s="1089"/>
    </row>
    <row r="728" spans="1:15" s="1411" customFormat="1" ht="9">
      <c r="A728" s="1090"/>
      <c r="B728" s="1087"/>
      <c r="C728" s="1429"/>
      <c r="D728" s="1429"/>
      <c r="E728" s="1429"/>
      <c r="F728" s="1429"/>
      <c r="G728" s="807"/>
      <c r="H728" s="807"/>
      <c r="I728" s="807"/>
      <c r="J728" s="807"/>
      <c r="K728" s="807"/>
      <c r="L728" s="807"/>
      <c r="M728" s="807"/>
      <c r="N728" s="807"/>
      <c r="O728" s="1089"/>
    </row>
    <row r="729" spans="1:15" s="1411" customFormat="1" ht="9">
      <c r="A729" s="1090"/>
      <c r="B729" s="1087"/>
      <c r="C729" s="1429"/>
      <c r="D729" s="1429"/>
      <c r="E729" s="1429"/>
      <c r="F729" s="1429"/>
      <c r="G729" s="807"/>
      <c r="H729" s="807"/>
      <c r="I729" s="807"/>
      <c r="J729" s="807"/>
      <c r="K729" s="807"/>
      <c r="L729" s="807"/>
      <c r="M729" s="807"/>
      <c r="N729" s="807"/>
      <c r="O729" s="1089"/>
    </row>
    <row r="730" spans="1:15" s="1411" customFormat="1" ht="9">
      <c r="A730" s="1091"/>
      <c r="B730" s="1087"/>
      <c r="C730" s="1429"/>
      <c r="D730" s="1429"/>
      <c r="E730" s="1429"/>
      <c r="F730" s="1429"/>
      <c r="G730" s="807"/>
      <c r="H730" s="807"/>
      <c r="I730" s="807"/>
      <c r="J730" s="807"/>
      <c r="K730" s="807"/>
      <c r="L730" s="807"/>
      <c r="M730" s="807"/>
      <c r="N730" s="807"/>
      <c r="O730" s="1089"/>
    </row>
    <row r="731" spans="1:15" s="1411" customFormat="1" ht="9">
      <c r="A731" s="1091"/>
      <c r="B731" s="1087"/>
      <c r="C731" s="1429"/>
      <c r="D731" s="1429"/>
      <c r="E731" s="1429"/>
      <c r="F731" s="1429"/>
      <c r="G731" s="807"/>
      <c r="H731" s="807"/>
      <c r="I731" s="807"/>
      <c r="J731" s="807"/>
      <c r="K731" s="807"/>
      <c r="L731" s="807"/>
      <c r="M731" s="807"/>
      <c r="N731" s="807"/>
      <c r="O731" s="1089"/>
    </row>
    <row r="732" spans="1:15" s="1411" customFormat="1" ht="9">
      <c r="A732" s="1091"/>
      <c r="B732" s="1087"/>
      <c r="C732" s="1429"/>
      <c r="D732" s="1429"/>
      <c r="E732" s="1429"/>
      <c r="F732" s="1429"/>
      <c r="G732" s="807"/>
      <c r="H732" s="807"/>
      <c r="I732" s="807"/>
      <c r="J732" s="807"/>
      <c r="K732" s="807"/>
      <c r="L732" s="807"/>
      <c r="M732" s="807"/>
      <c r="N732" s="807"/>
      <c r="O732" s="1089"/>
    </row>
    <row r="733" spans="1:15" s="1411" customFormat="1" ht="9">
      <c r="A733" s="1091"/>
      <c r="B733" s="1087"/>
      <c r="C733" s="1429"/>
      <c r="D733" s="1429"/>
      <c r="E733" s="1429"/>
      <c r="F733" s="1429"/>
      <c r="G733" s="807"/>
      <c r="H733" s="807"/>
      <c r="I733" s="807"/>
      <c r="J733" s="807"/>
      <c r="K733" s="807"/>
      <c r="L733" s="807"/>
      <c r="M733" s="807"/>
      <c r="N733" s="807"/>
      <c r="O733" s="1089"/>
    </row>
    <row r="734" spans="1:15" s="1411" customFormat="1" ht="9">
      <c r="A734" s="1091"/>
      <c r="B734" s="1087"/>
      <c r="C734" s="1429"/>
      <c r="D734" s="1429"/>
      <c r="E734" s="1429"/>
      <c r="F734" s="1429"/>
      <c r="G734" s="807"/>
      <c r="H734" s="807"/>
      <c r="I734" s="807"/>
      <c r="J734" s="807"/>
      <c r="K734" s="807"/>
      <c r="L734" s="807"/>
      <c r="M734" s="807"/>
      <c r="N734" s="807"/>
      <c r="O734" s="1089"/>
    </row>
    <row r="735" spans="1:15" s="1411" customFormat="1" ht="9">
      <c r="A735" s="1091"/>
      <c r="B735" s="1087"/>
      <c r="C735" s="1429"/>
      <c r="D735" s="1429"/>
      <c r="E735" s="1429"/>
      <c r="F735" s="1429"/>
      <c r="G735" s="807"/>
      <c r="H735" s="807"/>
      <c r="I735" s="807"/>
      <c r="J735" s="807"/>
      <c r="K735" s="807"/>
      <c r="L735" s="807"/>
      <c r="M735" s="807"/>
      <c r="N735" s="807"/>
      <c r="O735" s="1089"/>
    </row>
    <row r="736" spans="1:15" s="1411" customFormat="1" ht="9">
      <c r="A736" s="1091"/>
      <c r="B736" s="1087"/>
      <c r="C736" s="1429"/>
      <c r="D736" s="1429"/>
      <c r="E736" s="1429"/>
      <c r="F736" s="1429"/>
      <c r="G736" s="807"/>
      <c r="H736" s="807"/>
      <c r="I736" s="807"/>
      <c r="J736" s="807"/>
      <c r="K736" s="807"/>
      <c r="L736" s="807"/>
      <c r="M736" s="807"/>
      <c r="N736" s="807"/>
      <c r="O736" s="1089"/>
    </row>
    <row r="737" spans="1:15" s="1411" customFormat="1" ht="9">
      <c r="A737" s="1091"/>
      <c r="B737" s="1087"/>
      <c r="C737" s="1429"/>
      <c r="D737" s="1429"/>
      <c r="E737" s="1429"/>
      <c r="F737" s="1429"/>
      <c r="G737" s="807"/>
      <c r="H737" s="807"/>
      <c r="I737" s="807"/>
      <c r="J737" s="807"/>
      <c r="K737" s="807"/>
      <c r="L737" s="807"/>
      <c r="M737" s="807"/>
      <c r="N737" s="807"/>
      <c r="O737" s="1089"/>
    </row>
    <row r="738" spans="1:15" s="1411" customFormat="1" ht="9">
      <c r="A738" s="1091"/>
      <c r="B738" s="1087"/>
      <c r="C738" s="1429"/>
      <c r="D738" s="1429"/>
      <c r="E738" s="1429"/>
      <c r="F738" s="1429"/>
      <c r="G738" s="807"/>
      <c r="H738" s="807"/>
      <c r="I738" s="807"/>
      <c r="J738" s="807"/>
      <c r="K738" s="807"/>
      <c r="L738" s="807"/>
      <c r="M738" s="807"/>
      <c r="N738" s="807"/>
      <c r="O738" s="1089"/>
    </row>
    <row r="739" spans="1:15" s="1411" customFormat="1" ht="9">
      <c r="A739" s="1091"/>
      <c r="B739" s="1087"/>
      <c r="C739" s="1429"/>
      <c r="D739" s="1429"/>
      <c r="E739" s="1429"/>
      <c r="F739" s="1429"/>
      <c r="G739" s="807"/>
      <c r="H739" s="807"/>
      <c r="I739" s="807"/>
      <c r="J739" s="807"/>
      <c r="K739" s="807"/>
      <c r="L739" s="807"/>
      <c r="M739" s="807"/>
      <c r="N739" s="807"/>
      <c r="O739" s="1089"/>
    </row>
    <row r="740" spans="1:15" s="1411" customFormat="1" ht="9">
      <c r="A740" s="1091"/>
      <c r="B740" s="1087"/>
      <c r="C740" s="1429"/>
      <c r="D740" s="1429"/>
      <c r="E740" s="1429"/>
      <c r="F740" s="1429"/>
      <c r="G740" s="807"/>
      <c r="H740" s="807"/>
      <c r="I740" s="807"/>
      <c r="J740" s="807"/>
      <c r="K740" s="807"/>
      <c r="L740" s="807"/>
      <c r="M740" s="807"/>
      <c r="N740" s="807"/>
      <c r="O740" s="1089"/>
    </row>
    <row r="741" spans="1:15" s="1411" customFormat="1" ht="9">
      <c r="A741" s="1091"/>
      <c r="B741" s="1087"/>
      <c r="C741" s="1429"/>
      <c r="D741" s="1429"/>
      <c r="E741" s="1429"/>
      <c r="F741" s="1429"/>
      <c r="G741" s="807"/>
      <c r="H741" s="807"/>
      <c r="I741" s="807"/>
      <c r="J741" s="807"/>
      <c r="K741" s="807"/>
      <c r="L741" s="807"/>
      <c r="M741" s="807"/>
      <c r="N741" s="807"/>
      <c r="O741" s="1089"/>
    </row>
    <row r="742" spans="1:15" s="1411" customFormat="1" ht="9">
      <c r="A742" s="1090"/>
      <c r="B742" s="1087"/>
      <c r="C742" s="1429"/>
      <c r="D742" s="1429"/>
      <c r="E742" s="1429"/>
      <c r="F742" s="1429"/>
      <c r="G742" s="807"/>
      <c r="H742" s="807"/>
      <c r="I742" s="807"/>
      <c r="J742" s="807"/>
      <c r="K742" s="807"/>
      <c r="L742" s="807"/>
      <c r="M742" s="807"/>
      <c r="N742" s="807"/>
      <c r="O742" s="1089"/>
    </row>
    <row r="743" spans="1:15" s="1411" customFormat="1" ht="9">
      <c r="A743" s="1090"/>
      <c r="B743" s="1087"/>
      <c r="C743" s="1429"/>
      <c r="D743" s="1429"/>
      <c r="E743" s="1429"/>
      <c r="F743" s="1429"/>
      <c r="G743" s="807"/>
      <c r="H743" s="807"/>
      <c r="I743" s="807"/>
      <c r="J743" s="807"/>
      <c r="K743" s="807"/>
      <c r="L743" s="807"/>
      <c r="M743" s="807"/>
      <c r="N743" s="807"/>
      <c r="O743" s="1089"/>
    </row>
    <row r="744" spans="1:15" s="1411" customFormat="1" ht="9">
      <c r="A744" s="1090"/>
      <c r="B744" s="1087"/>
      <c r="C744" s="1429"/>
      <c r="D744" s="1429"/>
      <c r="E744" s="1429"/>
      <c r="F744" s="1429"/>
      <c r="G744" s="807"/>
      <c r="H744" s="807"/>
      <c r="I744" s="807"/>
      <c r="J744" s="807"/>
      <c r="K744" s="807"/>
      <c r="L744" s="807"/>
      <c r="M744" s="807"/>
      <c r="N744" s="807"/>
      <c r="O744" s="1089"/>
    </row>
    <row r="745" spans="1:15" s="1411" customFormat="1" ht="9">
      <c r="A745" s="1090"/>
      <c r="B745" s="1087"/>
      <c r="C745" s="1429"/>
      <c r="D745" s="1429"/>
      <c r="E745" s="1429"/>
      <c r="F745" s="1429"/>
      <c r="G745" s="807"/>
      <c r="H745" s="807"/>
      <c r="I745" s="807"/>
      <c r="J745" s="807"/>
      <c r="K745" s="807"/>
      <c r="L745" s="807"/>
      <c r="M745" s="807"/>
      <c r="N745" s="807"/>
      <c r="O745" s="1089"/>
    </row>
    <row r="746" spans="1:15" s="1411" customFormat="1" ht="9">
      <c r="A746" s="1090"/>
      <c r="B746" s="1087"/>
      <c r="C746" s="1429"/>
      <c r="D746" s="1429"/>
      <c r="E746" s="1429"/>
      <c r="F746" s="1429"/>
      <c r="G746" s="807"/>
      <c r="H746" s="807"/>
      <c r="I746" s="807"/>
      <c r="J746" s="807"/>
      <c r="K746" s="807"/>
      <c r="L746" s="807"/>
      <c r="M746" s="807"/>
      <c r="N746" s="807"/>
      <c r="O746" s="1089"/>
    </row>
    <row r="747" spans="1:15" s="1411" customFormat="1" ht="9">
      <c r="A747" s="1090"/>
      <c r="B747" s="1087"/>
      <c r="C747" s="1429"/>
      <c r="D747" s="1429"/>
      <c r="E747" s="1429"/>
      <c r="F747" s="1429"/>
      <c r="G747" s="807"/>
      <c r="H747" s="807"/>
      <c r="I747" s="807"/>
      <c r="J747" s="807"/>
      <c r="K747" s="807"/>
      <c r="L747" s="807"/>
      <c r="M747" s="807"/>
      <c r="N747" s="807"/>
      <c r="O747" s="1089"/>
    </row>
    <row r="748" spans="1:15" s="1411" customFormat="1" ht="9">
      <c r="A748" s="1090"/>
      <c r="B748" s="1087"/>
      <c r="C748" s="1429"/>
      <c r="D748" s="1429"/>
      <c r="E748" s="1429"/>
      <c r="F748" s="1429"/>
      <c r="G748" s="807"/>
      <c r="H748" s="807"/>
      <c r="I748" s="807"/>
      <c r="J748" s="807"/>
      <c r="K748" s="807"/>
      <c r="L748" s="807"/>
      <c r="M748" s="807"/>
      <c r="N748" s="807"/>
      <c r="O748" s="1089"/>
    </row>
    <row r="749" spans="1:15" s="1411" customFormat="1" ht="9">
      <c r="A749" s="1090"/>
      <c r="B749" s="1087"/>
      <c r="C749" s="1429"/>
      <c r="D749" s="1429"/>
      <c r="E749" s="1429"/>
      <c r="F749" s="1429"/>
      <c r="G749" s="807"/>
      <c r="H749" s="807"/>
      <c r="I749" s="807"/>
      <c r="J749" s="807"/>
      <c r="K749" s="807"/>
      <c r="L749" s="807"/>
      <c r="M749" s="807"/>
      <c r="N749" s="807"/>
      <c r="O749" s="1089"/>
    </row>
    <row r="750" spans="1:15" s="1411" customFormat="1" ht="9">
      <c r="A750" s="1090"/>
      <c r="B750" s="1087"/>
      <c r="C750" s="1429"/>
      <c r="D750" s="1429"/>
      <c r="E750" s="1429"/>
      <c r="F750" s="1429"/>
      <c r="G750" s="807"/>
      <c r="H750" s="807"/>
      <c r="I750" s="807"/>
      <c r="J750" s="807"/>
      <c r="K750" s="807"/>
      <c r="L750" s="807"/>
      <c r="M750" s="807"/>
      <c r="N750" s="807"/>
      <c r="O750" s="1089"/>
    </row>
    <row r="751" spans="1:15" s="1411" customFormat="1" ht="9">
      <c r="A751" s="1090"/>
      <c r="B751" s="1087"/>
      <c r="C751" s="1429"/>
      <c r="D751" s="1429"/>
      <c r="E751" s="1429"/>
      <c r="F751" s="1429"/>
      <c r="G751" s="807"/>
      <c r="H751" s="807"/>
      <c r="I751" s="807"/>
      <c r="J751" s="807"/>
      <c r="K751" s="807"/>
      <c r="L751" s="807"/>
      <c r="M751" s="807"/>
      <c r="N751" s="807"/>
      <c r="O751" s="1089"/>
    </row>
    <row r="752" spans="1:15" s="1411" customFormat="1" ht="9">
      <c r="A752" s="1090"/>
      <c r="B752" s="1087"/>
      <c r="C752" s="1429"/>
      <c r="D752" s="1429"/>
      <c r="E752" s="1429"/>
      <c r="F752" s="1429"/>
      <c r="G752" s="807"/>
      <c r="H752" s="807"/>
      <c r="I752" s="807"/>
      <c r="J752" s="807"/>
      <c r="K752" s="807"/>
      <c r="L752" s="807"/>
      <c r="M752" s="807"/>
      <c r="N752" s="807"/>
      <c r="O752" s="1089"/>
    </row>
    <row r="753" spans="1:15" s="1411" customFormat="1" ht="9">
      <c r="A753" s="1090"/>
      <c r="B753" s="1087"/>
      <c r="C753" s="1429"/>
      <c r="D753" s="1429"/>
      <c r="E753" s="1429"/>
      <c r="F753" s="1429"/>
      <c r="G753" s="807"/>
      <c r="H753" s="807"/>
      <c r="I753" s="807"/>
      <c r="J753" s="807"/>
      <c r="K753" s="807"/>
      <c r="L753" s="807"/>
      <c r="M753" s="807"/>
      <c r="N753" s="807"/>
      <c r="O753" s="1089"/>
    </row>
    <row r="754" spans="1:15" s="1411" customFormat="1" ht="9">
      <c r="A754" s="1090"/>
      <c r="B754" s="1087"/>
      <c r="C754" s="1429"/>
      <c r="D754" s="1429"/>
      <c r="E754" s="1429"/>
      <c r="F754" s="1429"/>
      <c r="G754" s="807"/>
      <c r="H754" s="807"/>
      <c r="I754" s="807"/>
      <c r="J754" s="807"/>
      <c r="K754" s="807"/>
      <c r="L754" s="807"/>
      <c r="M754" s="807"/>
      <c r="N754" s="807"/>
      <c r="O754" s="1089"/>
    </row>
    <row r="755" spans="1:15" s="1411" customFormat="1" ht="9">
      <c r="A755" s="1090"/>
      <c r="B755" s="1087"/>
      <c r="C755" s="1429"/>
      <c r="D755" s="1429"/>
      <c r="E755" s="1429"/>
      <c r="F755" s="1429"/>
      <c r="G755" s="807"/>
      <c r="H755" s="807"/>
      <c r="I755" s="807"/>
      <c r="J755" s="807"/>
      <c r="K755" s="807"/>
      <c r="L755" s="807"/>
      <c r="M755" s="807"/>
      <c r="N755" s="807"/>
      <c r="O755" s="1089"/>
    </row>
    <row r="756" spans="1:15" s="1411" customFormat="1" ht="9">
      <c r="A756" s="1090"/>
      <c r="B756" s="1087"/>
      <c r="C756" s="1429"/>
      <c r="D756" s="1429"/>
      <c r="E756" s="1429"/>
      <c r="F756" s="1429"/>
      <c r="G756" s="807"/>
      <c r="H756" s="807"/>
      <c r="I756" s="807"/>
      <c r="J756" s="807"/>
      <c r="K756" s="807"/>
      <c r="L756" s="807"/>
      <c r="M756" s="807"/>
      <c r="N756" s="807"/>
      <c r="O756" s="1089"/>
    </row>
    <row r="757" spans="1:15" s="1411" customFormat="1" ht="9">
      <c r="A757" s="1090"/>
      <c r="B757" s="1087"/>
      <c r="C757" s="1429"/>
      <c r="D757" s="1429"/>
      <c r="E757" s="1429"/>
      <c r="F757" s="1429"/>
      <c r="G757" s="807"/>
      <c r="H757" s="807"/>
      <c r="I757" s="807"/>
      <c r="J757" s="807"/>
      <c r="K757" s="807"/>
      <c r="L757" s="807"/>
      <c r="M757" s="807"/>
      <c r="N757" s="807"/>
      <c r="O757" s="1089"/>
    </row>
    <row r="758" spans="1:15" s="1411" customFormat="1" ht="9">
      <c r="A758" s="1090"/>
      <c r="B758" s="1087"/>
      <c r="C758" s="1429"/>
      <c r="D758" s="1429"/>
      <c r="E758" s="1429"/>
      <c r="F758" s="1429"/>
      <c r="G758" s="807"/>
      <c r="H758" s="807"/>
      <c r="I758" s="807"/>
      <c r="J758" s="807"/>
      <c r="K758" s="807"/>
      <c r="L758" s="807"/>
      <c r="M758" s="807"/>
      <c r="N758" s="807"/>
      <c r="O758" s="1089"/>
    </row>
    <row r="759" spans="1:15" s="1411" customFormat="1" ht="9">
      <c r="A759" s="1090"/>
      <c r="B759" s="1087"/>
      <c r="C759" s="1429"/>
      <c r="D759" s="1429"/>
      <c r="E759" s="1429"/>
      <c r="F759" s="1429"/>
      <c r="G759" s="807"/>
      <c r="H759" s="807"/>
      <c r="I759" s="807"/>
      <c r="J759" s="807"/>
      <c r="K759" s="807"/>
      <c r="L759" s="807"/>
      <c r="M759" s="807"/>
      <c r="N759" s="807"/>
      <c r="O759" s="1089"/>
    </row>
    <row r="760" spans="1:15" s="1411" customFormat="1" ht="9">
      <c r="A760" s="1090"/>
      <c r="B760" s="1087"/>
      <c r="C760" s="1429"/>
      <c r="D760" s="1429"/>
      <c r="E760" s="1429"/>
      <c r="F760" s="1429"/>
      <c r="G760" s="807"/>
      <c r="H760" s="807"/>
      <c r="I760" s="807"/>
      <c r="J760" s="807"/>
      <c r="K760" s="807"/>
      <c r="L760" s="807"/>
      <c r="M760" s="807"/>
      <c r="N760" s="807"/>
      <c r="O760" s="1089"/>
    </row>
    <row r="761" spans="1:15" s="1411" customFormat="1" ht="9">
      <c r="A761" s="1090"/>
      <c r="B761" s="1087"/>
      <c r="C761" s="1429"/>
      <c r="D761" s="1429"/>
      <c r="E761" s="1429"/>
      <c r="F761" s="1429"/>
      <c r="G761" s="807"/>
      <c r="H761" s="807"/>
      <c r="I761" s="807"/>
      <c r="J761" s="807"/>
      <c r="K761" s="807"/>
      <c r="L761" s="807"/>
      <c r="M761" s="807"/>
      <c r="N761" s="807"/>
      <c r="O761" s="1089"/>
    </row>
    <row r="762" spans="1:15" s="1411" customFormat="1" ht="9">
      <c r="A762" s="1090"/>
      <c r="B762" s="1087"/>
      <c r="C762" s="1429"/>
      <c r="D762" s="1429"/>
      <c r="E762" s="1429"/>
      <c r="F762" s="1429"/>
      <c r="G762" s="807"/>
      <c r="H762" s="807"/>
      <c r="I762" s="807"/>
      <c r="J762" s="807"/>
      <c r="K762" s="807"/>
      <c r="L762" s="807"/>
      <c r="M762" s="807"/>
      <c r="N762" s="807"/>
      <c r="O762" s="1089"/>
    </row>
    <row r="763" spans="1:15" s="1411" customFormat="1" ht="9">
      <c r="A763" s="1090"/>
      <c r="B763" s="1087"/>
      <c r="C763" s="1429"/>
      <c r="D763" s="1429"/>
      <c r="E763" s="1429"/>
      <c r="F763" s="1429"/>
      <c r="G763" s="807"/>
      <c r="H763" s="807"/>
      <c r="I763" s="807"/>
      <c r="J763" s="807"/>
      <c r="K763" s="807"/>
      <c r="L763" s="807"/>
      <c r="M763" s="807"/>
      <c r="N763" s="807"/>
      <c r="O763" s="1089"/>
    </row>
    <row r="764" spans="1:15" s="1411" customFormat="1" ht="9">
      <c r="A764" s="1090"/>
      <c r="B764" s="1087"/>
      <c r="C764" s="1429"/>
      <c r="D764" s="1429"/>
      <c r="E764" s="1429"/>
      <c r="F764" s="1429"/>
      <c r="G764" s="807"/>
      <c r="H764" s="807"/>
      <c r="I764" s="807"/>
      <c r="J764" s="807"/>
      <c r="K764" s="807"/>
      <c r="L764" s="807"/>
      <c r="M764" s="807"/>
      <c r="N764" s="807"/>
      <c r="O764" s="1089"/>
    </row>
    <row r="765" spans="1:15" s="1411" customFormat="1" ht="9">
      <c r="A765" s="1090"/>
      <c r="B765" s="1087"/>
      <c r="C765" s="1429"/>
      <c r="D765" s="1429"/>
      <c r="E765" s="1429"/>
      <c r="F765" s="1429"/>
      <c r="G765" s="807"/>
      <c r="H765" s="807"/>
      <c r="I765" s="807"/>
      <c r="J765" s="807"/>
      <c r="K765" s="807"/>
      <c r="L765" s="807"/>
      <c r="M765" s="807"/>
      <c r="N765" s="807"/>
      <c r="O765" s="1089"/>
    </row>
    <row r="766" spans="1:15" s="1411" customFormat="1" ht="9">
      <c r="A766" s="1090"/>
      <c r="B766" s="1087"/>
      <c r="C766" s="1429"/>
      <c r="D766" s="1429"/>
      <c r="E766" s="1429"/>
      <c r="F766" s="1429"/>
      <c r="G766" s="807"/>
      <c r="H766" s="807"/>
      <c r="I766" s="807"/>
      <c r="J766" s="807"/>
      <c r="K766" s="807"/>
      <c r="L766" s="807"/>
      <c r="M766" s="807"/>
      <c r="N766" s="807"/>
      <c r="O766" s="1089"/>
    </row>
    <row r="767" spans="1:15" s="1411" customFormat="1" ht="9">
      <c r="A767" s="1090"/>
      <c r="B767" s="1087"/>
      <c r="C767" s="1429"/>
      <c r="D767" s="1429"/>
      <c r="E767" s="1429"/>
      <c r="F767" s="1429"/>
      <c r="G767" s="807"/>
      <c r="H767" s="807"/>
      <c r="I767" s="807"/>
      <c r="J767" s="807"/>
      <c r="K767" s="807"/>
      <c r="L767" s="807"/>
      <c r="M767" s="807"/>
      <c r="N767" s="807"/>
      <c r="O767" s="1089"/>
    </row>
    <row r="768" spans="1:15" s="1411" customFormat="1" ht="9">
      <c r="A768" s="1090"/>
      <c r="B768" s="1087"/>
      <c r="C768" s="1429"/>
      <c r="D768" s="1429"/>
      <c r="E768" s="1429"/>
      <c r="F768" s="1429"/>
      <c r="G768" s="807"/>
      <c r="H768" s="807"/>
      <c r="I768" s="807"/>
      <c r="J768" s="807"/>
      <c r="K768" s="807"/>
      <c r="L768" s="807"/>
      <c r="M768" s="807"/>
      <c r="N768" s="807"/>
      <c r="O768" s="1089"/>
    </row>
    <row r="769" spans="1:15" s="1411" customFormat="1" ht="9">
      <c r="A769" s="1090"/>
      <c r="B769" s="1092"/>
      <c r="C769" s="1429"/>
      <c r="D769" s="1429"/>
      <c r="E769" s="1429"/>
      <c r="F769" s="1429"/>
      <c r="G769" s="807"/>
      <c r="H769" s="807"/>
      <c r="I769" s="807"/>
      <c r="J769" s="807"/>
      <c r="K769" s="807"/>
      <c r="L769" s="807"/>
      <c r="M769" s="807"/>
      <c r="N769" s="807"/>
      <c r="O769" s="1089"/>
    </row>
    <row r="770" spans="1:15" s="1411" customFormat="1" ht="9">
      <c r="A770" s="1090"/>
      <c r="B770" s="1087"/>
      <c r="C770" s="1429"/>
      <c r="D770" s="1429"/>
      <c r="E770" s="1429"/>
      <c r="F770" s="1429"/>
      <c r="G770" s="807"/>
      <c r="H770" s="807"/>
      <c r="I770" s="807"/>
      <c r="J770" s="807"/>
      <c r="K770" s="807"/>
      <c r="L770" s="807"/>
      <c r="M770" s="807"/>
      <c r="N770" s="807"/>
      <c r="O770" s="1089"/>
    </row>
    <row r="771" spans="1:15" s="1411" customFormat="1" ht="9">
      <c r="A771" s="1090"/>
      <c r="B771" s="1087"/>
      <c r="C771" s="1429"/>
      <c r="D771" s="1429"/>
      <c r="E771" s="1429"/>
      <c r="F771" s="1429"/>
      <c r="G771" s="807"/>
      <c r="H771" s="807"/>
      <c r="I771" s="807"/>
      <c r="J771" s="807"/>
      <c r="K771" s="807"/>
      <c r="L771" s="807"/>
      <c r="M771" s="807"/>
      <c r="N771" s="807"/>
      <c r="O771" s="1089"/>
    </row>
    <row r="772" spans="1:15" s="1411" customFormat="1" ht="9">
      <c r="A772" s="1090"/>
      <c r="B772" s="1087"/>
      <c r="C772" s="1429"/>
      <c r="D772" s="1429"/>
      <c r="E772" s="1429"/>
      <c r="F772" s="1429"/>
      <c r="G772" s="807"/>
      <c r="H772" s="807"/>
      <c r="I772" s="807"/>
      <c r="J772" s="807"/>
      <c r="K772" s="807"/>
      <c r="L772" s="807"/>
      <c r="M772" s="807"/>
      <c r="N772" s="807"/>
      <c r="O772" s="1089"/>
    </row>
    <row r="773" spans="1:15" s="1411" customFormat="1" ht="9">
      <c r="A773" s="1090"/>
      <c r="B773" s="1087"/>
      <c r="C773" s="1429"/>
      <c r="D773" s="1429"/>
      <c r="E773" s="1429"/>
      <c r="F773" s="1429"/>
      <c r="G773" s="807"/>
      <c r="H773" s="807"/>
      <c r="I773" s="807"/>
      <c r="J773" s="807"/>
      <c r="K773" s="807"/>
      <c r="L773" s="807"/>
      <c r="M773" s="807"/>
      <c r="N773" s="807"/>
      <c r="O773" s="1089"/>
    </row>
    <row r="774" spans="1:15" s="1411" customFormat="1" ht="9">
      <c r="A774" s="1090"/>
      <c r="B774" s="1087"/>
      <c r="C774" s="1429"/>
      <c r="D774" s="1429"/>
      <c r="E774" s="1429"/>
      <c r="F774" s="1429"/>
      <c r="G774" s="807"/>
      <c r="H774" s="807"/>
      <c r="I774" s="807"/>
      <c r="J774" s="807"/>
      <c r="K774" s="807"/>
      <c r="L774" s="807"/>
      <c r="M774" s="807"/>
      <c r="N774" s="807"/>
      <c r="O774" s="1089"/>
    </row>
    <row r="775" spans="1:15" s="1411" customFormat="1" ht="9">
      <c r="A775" s="1090"/>
      <c r="B775" s="1087"/>
      <c r="C775" s="1429"/>
      <c r="D775" s="1429"/>
      <c r="E775" s="1429"/>
      <c r="F775" s="1429"/>
      <c r="G775" s="807"/>
      <c r="H775" s="807"/>
      <c r="I775" s="807"/>
      <c r="J775" s="807"/>
      <c r="K775" s="807"/>
      <c r="L775" s="807"/>
      <c r="M775" s="807"/>
      <c r="N775" s="807"/>
      <c r="O775" s="1089"/>
    </row>
    <row r="776" spans="1:15" s="1411" customFormat="1" ht="9">
      <c r="A776" s="1090"/>
      <c r="B776" s="1087"/>
      <c r="C776" s="1429"/>
      <c r="D776" s="1429"/>
      <c r="E776" s="1429"/>
      <c r="F776" s="1429"/>
      <c r="G776" s="807"/>
      <c r="H776" s="807"/>
      <c r="I776" s="807"/>
      <c r="J776" s="807"/>
      <c r="K776" s="807"/>
      <c r="L776" s="807"/>
      <c r="M776" s="807"/>
      <c r="N776" s="807"/>
      <c r="O776" s="1089"/>
    </row>
    <row r="777" spans="1:15" s="1411" customFormat="1" ht="9">
      <c r="A777" s="1090"/>
      <c r="B777" s="1087"/>
      <c r="C777" s="1429"/>
      <c r="D777" s="1429"/>
      <c r="E777" s="1429"/>
      <c r="F777" s="1429"/>
      <c r="G777" s="807"/>
      <c r="H777" s="807"/>
      <c r="I777" s="807"/>
      <c r="J777" s="807"/>
      <c r="K777" s="807"/>
      <c r="L777" s="807"/>
      <c r="M777" s="807"/>
      <c r="N777" s="807"/>
      <c r="O777" s="1089"/>
    </row>
    <row r="778" spans="1:15" s="1411" customFormat="1" ht="9">
      <c r="A778" s="1090"/>
      <c r="B778" s="1087"/>
      <c r="C778" s="1429"/>
      <c r="D778" s="1429"/>
      <c r="E778" s="1429"/>
      <c r="F778" s="1429"/>
      <c r="G778" s="807"/>
      <c r="H778" s="807"/>
      <c r="I778" s="807"/>
      <c r="J778" s="807"/>
      <c r="K778" s="807"/>
      <c r="L778" s="807"/>
      <c r="M778" s="807"/>
      <c r="N778" s="807"/>
      <c r="O778" s="1089"/>
    </row>
    <row r="779" spans="1:15" s="1411" customFormat="1" ht="9">
      <c r="A779" s="1090"/>
      <c r="B779" s="1087"/>
      <c r="C779" s="1429"/>
      <c r="D779" s="1429"/>
      <c r="E779" s="1429"/>
      <c r="F779" s="1429"/>
      <c r="G779" s="807"/>
      <c r="H779" s="807"/>
      <c r="I779" s="807"/>
      <c r="J779" s="807"/>
      <c r="K779" s="807"/>
      <c r="L779" s="807"/>
      <c r="M779" s="807"/>
      <c r="N779" s="807"/>
      <c r="O779" s="1089"/>
    </row>
    <row r="780" spans="1:15" s="1411" customFormat="1" ht="9">
      <c r="A780" s="1090"/>
      <c r="B780" s="1087"/>
      <c r="C780" s="1429"/>
      <c r="D780" s="1429"/>
      <c r="E780" s="1429"/>
      <c r="F780" s="1429"/>
      <c r="G780" s="807"/>
      <c r="H780" s="807"/>
      <c r="I780" s="807"/>
      <c r="J780" s="807"/>
      <c r="K780" s="807"/>
      <c r="L780" s="807"/>
      <c r="M780" s="807"/>
      <c r="N780" s="807"/>
      <c r="O780" s="1089"/>
    </row>
    <row r="781" spans="1:15" s="1411" customFormat="1" ht="9">
      <c r="A781" s="1090"/>
      <c r="B781" s="1087"/>
      <c r="C781" s="1429"/>
      <c r="D781" s="1429"/>
      <c r="E781" s="1429"/>
      <c r="F781" s="1429"/>
      <c r="G781" s="807"/>
      <c r="H781" s="807"/>
      <c r="I781" s="807"/>
      <c r="J781" s="807"/>
      <c r="K781" s="807"/>
      <c r="L781" s="807"/>
      <c r="M781" s="807"/>
      <c r="N781" s="807"/>
      <c r="O781" s="1089"/>
    </row>
    <row r="782" spans="1:15" s="1411" customFormat="1" ht="9">
      <c r="A782" s="1090"/>
      <c r="B782" s="1087"/>
      <c r="C782" s="1429"/>
      <c r="D782" s="1429"/>
      <c r="E782" s="1429"/>
      <c r="F782" s="1429"/>
      <c r="G782" s="807"/>
      <c r="H782" s="807"/>
      <c r="I782" s="807"/>
      <c r="J782" s="807"/>
      <c r="K782" s="807"/>
      <c r="L782" s="807"/>
      <c r="M782" s="807"/>
      <c r="N782" s="807"/>
      <c r="O782" s="1089"/>
    </row>
    <row r="783" spans="1:15" s="1411" customFormat="1" ht="9">
      <c r="A783" s="1090"/>
      <c r="B783" s="1087"/>
      <c r="C783" s="1429"/>
      <c r="D783" s="1429"/>
      <c r="E783" s="1429"/>
      <c r="F783" s="1429"/>
      <c r="G783" s="807"/>
      <c r="H783" s="807"/>
      <c r="I783" s="807"/>
      <c r="J783" s="807"/>
      <c r="K783" s="807"/>
      <c r="L783" s="807"/>
      <c r="M783" s="807"/>
      <c r="N783" s="807"/>
      <c r="O783" s="1089"/>
    </row>
    <row r="784" spans="1:15" s="1411" customFormat="1" ht="9">
      <c r="A784" s="1090"/>
      <c r="B784" s="1087"/>
      <c r="C784" s="1429"/>
      <c r="D784" s="1429"/>
      <c r="E784" s="1429"/>
      <c r="F784" s="1429"/>
      <c r="G784" s="807"/>
      <c r="H784" s="807"/>
      <c r="I784" s="807"/>
      <c r="J784" s="807"/>
      <c r="K784" s="807"/>
      <c r="L784" s="807"/>
      <c r="M784" s="807"/>
      <c r="N784" s="807"/>
      <c r="O784" s="1089"/>
    </row>
    <row r="785" spans="1:15" s="1411" customFormat="1" ht="9">
      <c r="A785" s="1090"/>
      <c r="B785" s="1087"/>
      <c r="C785" s="1429"/>
      <c r="D785" s="1429"/>
      <c r="E785" s="1429"/>
      <c r="F785" s="1429"/>
      <c r="G785" s="807"/>
      <c r="H785" s="807"/>
      <c r="I785" s="807"/>
      <c r="J785" s="807"/>
      <c r="K785" s="807"/>
      <c r="L785" s="807"/>
      <c r="M785" s="807"/>
      <c r="N785" s="807"/>
      <c r="O785" s="1089"/>
    </row>
    <row r="786" spans="1:15" s="1411" customFormat="1" ht="9">
      <c r="A786" s="1090"/>
      <c r="B786" s="1087"/>
      <c r="C786" s="1429"/>
      <c r="D786" s="1429"/>
      <c r="E786" s="1429"/>
      <c r="F786" s="1429"/>
      <c r="G786" s="807"/>
      <c r="H786" s="807"/>
      <c r="I786" s="807"/>
      <c r="J786" s="807"/>
      <c r="K786" s="807"/>
      <c r="L786" s="807"/>
      <c r="M786" s="807"/>
      <c r="N786" s="807"/>
      <c r="O786" s="1089"/>
    </row>
    <row r="787" spans="1:15" s="1411" customFormat="1" ht="9">
      <c r="A787" s="1090"/>
      <c r="B787" s="1087"/>
      <c r="C787" s="1429"/>
      <c r="D787" s="1429"/>
      <c r="E787" s="1429"/>
      <c r="F787" s="1429"/>
      <c r="G787" s="807"/>
      <c r="H787" s="807"/>
      <c r="I787" s="807"/>
      <c r="J787" s="807"/>
      <c r="K787" s="807"/>
      <c r="L787" s="807"/>
      <c r="M787" s="807"/>
      <c r="N787" s="807"/>
      <c r="O787" s="1089"/>
    </row>
    <row r="788" spans="1:15" s="1411" customFormat="1" ht="9">
      <c r="A788" s="1090"/>
      <c r="B788" s="1087"/>
      <c r="C788" s="1429"/>
      <c r="D788" s="1429"/>
      <c r="E788" s="1429"/>
      <c r="F788" s="1429"/>
      <c r="G788" s="807"/>
      <c r="H788" s="807"/>
      <c r="I788" s="807"/>
      <c r="J788" s="807"/>
      <c r="K788" s="807"/>
      <c r="L788" s="807"/>
      <c r="M788" s="807"/>
      <c r="N788" s="807"/>
      <c r="O788" s="1089"/>
    </row>
    <row r="789" spans="1:15" s="1411" customFormat="1" ht="9">
      <c r="A789" s="1090"/>
      <c r="B789" s="1087"/>
      <c r="C789" s="1429"/>
      <c r="D789" s="1429"/>
      <c r="E789" s="1429"/>
      <c r="F789" s="1429"/>
      <c r="G789" s="807"/>
      <c r="H789" s="807"/>
      <c r="I789" s="807"/>
      <c r="J789" s="807"/>
      <c r="K789" s="807"/>
      <c r="L789" s="807"/>
      <c r="M789" s="807"/>
      <c r="N789" s="807"/>
      <c r="O789" s="1089"/>
    </row>
    <row r="790" spans="1:15" s="1411" customFormat="1" ht="9">
      <c r="A790" s="1090"/>
      <c r="B790" s="1087"/>
      <c r="C790" s="1429"/>
      <c r="D790" s="1429"/>
      <c r="E790" s="1429"/>
      <c r="F790" s="1429"/>
      <c r="G790" s="807"/>
      <c r="H790" s="807"/>
      <c r="I790" s="807"/>
      <c r="J790" s="807"/>
      <c r="K790" s="807"/>
      <c r="L790" s="807"/>
      <c r="M790" s="807"/>
      <c r="N790" s="807"/>
      <c r="O790" s="1089"/>
    </row>
    <row r="791" spans="1:15" s="1411" customFormat="1" ht="9">
      <c r="A791" s="1090"/>
      <c r="B791" s="1087"/>
      <c r="C791" s="1429"/>
      <c r="D791" s="1429"/>
      <c r="E791" s="1429"/>
      <c r="F791" s="1429"/>
      <c r="G791" s="807"/>
      <c r="H791" s="807"/>
      <c r="I791" s="807"/>
      <c r="J791" s="807"/>
      <c r="K791" s="807"/>
      <c r="L791" s="807"/>
      <c r="M791" s="807"/>
      <c r="N791" s="807"/>
      <c r="O791" s="1089"/>
    </row>
    <row r="792" spans="1:15" s="1411" customFormat="1" ht="9">
      <c r="A792" s="1090"/>
      <c r="B792" s="1087"/>
      <c r="C792" s="1429"/>
      <c r="D792" s="1429"/>
      <c r="E792" s="1429"/>
      <c r="F792" s="1429"/>
      <c r="G792" s="807"/>
      <c r="H792" s="807"/>
      <c r="I792" s="807"/>
      <c r="J792" s="807"/>
      <c r="K792" s="807"/>
      <c r="L792" s="807"/>
      <c r="M792" s="807"/>
      <c r="N792" s="807"/>
      <c r="O792" s="1089"/>
    </row>
    <row r="793" spans="1:15" s="1411" customFormat="1" ht="9">
      <c r="A793" s="1090"/>
      <c r="B793" s="1087"/>
      <c r="C793" s="1429"/>
      <c r="D793" s="1429"/>
      <c r="E793" s="1429"/>
      <c r="F793" s="1429"/>
      <c r="G793" s="807"/>
      <c r="H793" s="807"/>
      <c r="I793" s="807"/>
      <c r="J793" s="807"/>
      <c r="K793" s="807"/>
      <c r="L793" s="807"/>
      <c r="M793" s="807"/>
      <c r="N793" s="807"/>
      <c r="O793" s="1089"/>
    </row>
    <row r="794" spans="1:15" s="1411" customFormat="1" ht="9">
      <c r="A794" s="1090"/>
      <c r="B794" s="1087"/>
      <c r="C794" s="1429"/>
      <c r="D794" s="1429"/>
      <c r="E794" s="1429"/>
      <c r="F794" s="1429"/>
      <c r="G794" s="807"/>
      <c r="H794" s="807"/>
      <c r="I794" s="807"/>
      <c r="J794" s="807"/>
      <c r="K794" s="807"/>
      <c r="L794" s="807"/>
      <c r="M794" s="807"/>
      <c r="N794" s="807"/>
      <c r="O794" s="1089"/>
    </row>
    <row r="795" spans="1:15" s="1411" customFormat="1" ht="9">
      <c r="A795" s="1090"/>
      <c r="B795" s="1087"/>
      <c r="C795" s="1429"/>
      <c r="D795" s="1429"/>
      <c r="E795" s="1429"/>
      <c r="F795" s="1429"/>
      <c r="G795" s="807"/>
      <c r="H795" s="807"/>
      <c r="I795" s="807"/>
      <c r="J795" s="807"/>
      <c r="K795" s="807"/>
      <c r="L795" s="807"/>
      <c r="M795" s="807"/>
      <c r="N795" s="807"/>
      <c r="O795" s="1089"/>
    </row>
    <row r="796" spans="1:15" s="1411" customFormat="1" ht="9">
      <c r="A796" s="1090"/>
      <c r="B796" s="1087"/>
      <c r="C796" s="1429"/>
      <c r="D796" s="1429"/>
      <c r="E796" s="1429"/>
      <c r="F796" s="1429"/>
      <c r="G796" s="807"/>
      <c r="H796" s="807"/>
      <c r="I796" s="807"/>
      <c r="J796" s="807"/>
      <c r="K796" s="807"/>
      <c r="L796" s="807"/>
      <c r="M796" s="807"/>
      <c r="N796" s="807"/>
      <c r="O796" s="1089"/>
    </row>
    <row r="797" spans="1:15" s="1411" customFormat="1" ht="9">
      <c r="A797" s="1090"/>
      <c r="B797" s="1087"/>
      <c r="C797" s="1429"/>
      <c r="D797" s="1429"/>
      <c r="E797" s="1429"/>
      <c r="F797" s="1429"/>
      <c r="G797" s="807"/>
      <c r="H797" s="807"/>
      <c r="I797" s="807"/>
      <c r="J797" s="807"/>
      <c r="K797" s="807"/>
      <c r="L797" s="807"/>
      <c r="M797" s="807"/>
      <c r="N797" s="807"/>
      <c r="O797" s="1089"/>
    </row>
    <row r="798" spans="1:15" s="1411" customFormat="1" ht="9">
      <c r="A798" s="1091"/>
      <c r="B798" s="1087"/>
      <c r="C798" s="1429"/>
      <c r="D798" s="1429"/>
      <c r="E798" s="1429"/>
      <c r="F798" s="1429"/>
      <c r="G798" s="807"/>
      <c r="H798" s="807"/>
      <c r="I798" s="807"/>
      <c r="J798" s="807"/>
      <c r="K798" s="807"/>
      <c r="L798" s="807"/>
      <c r="M798" s="807"/>
      <c r="N798" s="807"/>
      <c r="O798" s="1089"/>
    </row>
    <row r="799" spans="1:15" s="1411" customFormat="1" ht="9">
      <c r="A799" s="1091"/>
      <c r="B799" s="1087"/>
      <c r="C799" s="1429"/>
      <c r="D799" s="1429"/>
      <c r="E799" s="1429"/>
      <c r="F799" s="1429"/>
      <c r="G799" s="807"/>
      <c r="H799" s="807"/>
      <c r="I799" s="807"/>
      <c r="J799" s="807"/>
      <c r="K799" s="807"/>
      <c r="L799" s="807"/>
      <c r="M799" s="807"/>
      <c r="N799" s="807"/>
      <c r="O799" s="1089"/>
    </row>
    <row r="800" spans="1:15" s="1411" customFormat="1" ht="9">
      <c r="A800" s="1091"/>
      <c r="B800" s="1087"/>
      <c r="C800" s="1429"/>
      <c r="D800" s="1429"/>
      <c r="E800" s="1429"/>
      <c r="F800" s="1429"/>
      <c r="G800" s="807"/>
      <c r="H800" s="807"/>
      <c r="I800" s="807"/>
      <c r="J800" s="807"/>
      <c r="K800" s="807"/>
      <c r="L800" s="807"/>
      <c r="M800" s="807"/>
      <c r="N800" s="807"/>
      <c r="O800" s="1089"/>
    </row>
    <row r="801" spans="1:15" s="1411" customFormat="1" ht="9">
      <c r="A801" s="1091"/>
      <c r="B801" s="1087"/>
      <c r="C801" s="1429"/>
      <c r="D801" s="1429"/>
      <c r="E801" s="1429"/>
      <c r="F801" s="1429"/>
      <c r="G801" s="807"/>
      <c r="H801" s="807"/>
      <c r="I801" s="807"/>
      <c r="J801" s="807"/>
      <c r="K801" s="807"/>
      <c r="L801" s="807"/>
      <c r="M801" s="807"/>
      <c r="N801" s="807"/>
      <c r="O801" s="1089"/>
    </row>
    <row r="802" spans="1:15" s="1411" customFormat="1" ht="9">
      <c r="A802" s="1091"/>
      <c r="B802" s="1087"/>
      <c r="C802" s="1429"/>
      <c r="D802" s="1429"/>
      <c r="E802" s="1429"/>
      <c r="F802" s="1429"/>
      <c r="G802" s="807"/>
      <c r="H802" s="807"/>
      <c r="I802" s="807"/>
      <c r="J802" s="807"/>
      <c r="K802" s="807"/>
      <c r="L802" s="807"/>
      <c r="M802" s="807"/>
      <c r="N802" s="807"/>
      <c r="O802" s="1089"/>
    </row>
    <row r="803" spans="1:15" s="1411" customFormat="1" ht="9">
      <c r="A803" s="1091"/>
      <c r="B803" s="1087"/>
      <c r="C803" s="1429"/>
      <c r="D803" s="1429"/>
      <c r="E803" s="1429"/>
      <c r="F803" s="1429"/>
      <c r="G803" s="807"/>
      <c r="H803" s="807"/>
      <c r="I803" s="807"/>
      <c r="J803" s="807"/>
      <c r="K803" s="807"/>
      <c r="L803" s="807"/>
      <c r="M803" s="807"/>
      <c r="N803" s="807"/>
      <c r="O803" s="1089"/>
    </row>
    <row r="804" spans="1:15" s="1411" customFormat="1" ht="9">
      <c r="A804" s="1091"/>
      <c r="B804" s="1087"/>
      <c r="C804" s="1429"/>
      <c r="D804" s="1429"/>
      <c r="E804" s="1429"/>
      <c r="F804" s="1429"/>
      <c r="G804" s="807"/>
      <c r="H804" s="807"/>
      <c r="I804" s="807"/>
      <c r="J804" s="807"/>
      <c r="K804" s="807"/>
      <c r="L804" s="807"/>
      <c r="M804" s="807"/>
      <c r="N804" s="807"/>
      <c r="O804" s="1089"/>
    </row>
    <row r="805" spans="1:15" s="1411" customFormat="1" ht="9">
      <c r="A805" s="1091"/>
      <c r="B805" s="1087"/>
      <c r="C805" s="1429"/>
      <c r="D805" s="1429"/>
      <c r="E805" s="1429"/>
      <c r="F805" s="1429"/>
      <c r="G805" s="807"/>
      <c r="H805" s="807"/>
      <c r="I805" s="807"/>
      <c r="J805" s="807"/>
      <c r="K805" s="807"/>
      <c r="L805" s="807"/>
      <c r="M805" s="807"/>
      <c r="N805" s="807"/>
      <c r="O805" s="1089"/>
    </row>
    <row r="806" spans="1:15" s="1411" customFormat="1" ht="9">
      <c r="A806" s="1091"/>
      <c r="B806" s="1087"/>
      <c r="C806" s="1429"/>
      <c r="D806" s="1429"/>
      <c r="E806" s="1429"/>
      <c r="F806" s="1429"/>
      <c r="G806" s="807"/>
      <c r="H806" s="807"/>
      <c r="I806" s="807"/>
      <c r="J806" s="807"/>
      <c r="K806" s="807"/>
      <c r="L806" s="807"/>
      <c r="M806" s="807"/>
      <c r="N806" s="807"/>
      <c r="O806" s="1089"/>
    </row>
    <row r="807" spans="1:15" s="1411" customFormat="1" ht="9">
      <c r="A807" s="1091"/>
      <c r="B807" s="1087"/>
      <c r="C807" s="1429"/>
      <c r="D807" s="1429"/>
      <c r="E807" s="1429"/>
      <c r="F807" s="1429"/>
      <c r="G807" s="807"/>
      <c r="H807" s="807"/>
      <c r="I807" s="807"/>
      <c r="J807" s="807"/>
      <c r="K807" s="807"/>
      <c r="L807" s="807"/>
      <c r="M807" s="807"/>
      <c r="N807" s="807"/>
      <c r="O807" s="1089"/>
    </row>
    <row r="808" spans="1:15" s="1411" customFormat="1" ht="9">
      <c r="A808" s="1091"/>
      <c r="B808" s="1087"/>
      <c r="C808" s="1429"/>
      <c r="D808" s="1429"/>
      <c r="E808" s="1429"/>
      <c r="F808" s="1429"/>
      <c r="G808" s="807"/>
      <c r="H808" s="807"/>
      <c r="I808" s="807"/>
      <c r="J808" s="807"/>
      <c r="K808" s="807"/>
      <c r="L808" s="807"/>
      <c r="M808" s="807"/>
      <c r="N808" s="807"/>
      <c r="O808" s="1089"/>
    </row>
    <row r="809" spans="1:15" s="1411" customFormat="1" ht="9">
      <c r="A809" s="1091"/>
      <c r="B809" s="1087"/>
      <c r="C809" s="1429"/>
      <c r="D809" s="1429"/>
      <c r="E809" s="1429"/>
      <c r="F809" s="1429"/>
      <c r="G809" s="807"/>
      <c r="H809" s="807"/>
      <c r="I809" s="807"/>
      <c r="J809" s="807"/>
      <c r="K809" s="807"/>
      <c r="L809" s="807"/>
      <c r="M809" s="807"/>
      <c r="N809" s="807"/>
      <c r="O809" s="1089"/>
    </row>
    <row r="810" spans="1:15" s="1411" customFormat="1" ht="9">
      <c r="A810" s="1091"/>
      <c r="B810" s="1087"/>
      <c r="C810" s="1429"/>
      <c r="D810" s="1429"/>
      <c r="E810" s="1429"/>
      <c r="F810" s="1429"/>
      <c r="G810" s="807"/>
      <c r="H810" s="807"/>
      <c r="I810" s="807"/>
      <c r="J810" s="807"/>
      <c r="K810" s="807"/>
      <c r="L810" s="807"/>
      <c r="M810" s="807"/>
      <c r="N810" s="807"/>
      <c r="O810" s="1089"/>
    </row>
    <row r="811" spans="1:15" s="1411" customFormat="1" ht="9">
      <c r="A811" s="1091"/>
      <c r="B811" s="1087"/>
      <c r="C811" s="1429"/>
      <c r="D811" s="1429"/>
      <c r="E811" s="1429"/>
      <c r="F811" s="1429"/>
      <c r="G811" s="807"/>
      <c r="H811" s="807"/>
      <c r="I811" s="807"/>
      <c r="J811" s="807"/>
      <c r="K811" s="807"/>
      <c r="L811" s="807"/>
      <c r="M811" s="807"/>
      <c r="N811" s="807"/>
      <c r="O811" s="1089"/>
    </row>
    <row r="812" spans="1:15" s="1411" customFormat="1" ht="9">
      <c r="A812" s="1091"/>
      <c r="B812" s="1087"/>
      <c r="C812" s="1429"/>
      <c r="D812" s="1429"/>
      <c r="E812" s="1429"/>
      <c r="F812" s="1429"/>
      <c r="G812" s="807"/>
      <c r="H812" s="807"/>
      <c r="I812" s="807"/>
      <c r="J812" s="807"/>
      <c r="K812" s="807"/>
      <c r="L812" s="807"/>
      <c r="M812" s="807"/>
      <c r="N812" s="807"/>
      <c r="O812" s="1089"/>
    </row>
    <row r="813" spans="1:15" s="1411" customFormat="1" ht="9">
      <c r="A813" s="1091"/>
      <c r="B813" s="1087"/>
      <c r="C813" s="1429"/>
      <c r="D813" s="1429"/>
      <c r="E813" s="1429"/>
      <c r="F813" s="1429"/>
      <c r="G813" s="807"/>
      <c r="H813" s="807"/>
      <c r="I813" s="807"/>
      <c r="J813" s="807"/>
      <c r="K813" s="807"/>
      <c r="L813" s="807"/>
      <c r="M813" s="807"/>
      <c r="N813" s="807"/>
      <c r="O813" s="1089"/>
    </row>
    <row r="814" spans="1:15" s="1411" customFormat="1" ht="9">
      <c r="A814" s="1091"/>
      <c r="B814" s="1087"/>
      <c r="C814" s="1429"/>
      <c r="D814" s="1429"/>
      <c r="E814" s="1429"/>
      <c r="F814" s="1429"/>
      <c r="G814" s="807"/>
      <c r="H814" s="807"/>
      <c r="I814" s="807"/>
      <c r="J814" s="807"/>
      <c r="K814" s="807"/>
      <c r="L814" s="807"/>
      <c r="M814" s="807"/>
      <c r="N814" s="807"/>
      <c r="O814" s="1089"/>
    </row>
    <row r="815" spans="1:15" s="1411" customFormat="1" ht="9">
      <c r="A815" s="1090"/>
      <c r="B815" s="1087"/>
      <c r="C815" s="1429"/>
      <c r="D815" s="1429"/>
      <c r="E815" s="1429"/>
      <c r="F815" s="1429"/>
      <c r="G815" s="807"/>
      <c r="H815" s="807"/>
      <c r="I815" s="807"/>
      <c r="J815" s="807"/>
      <c r="K815" s="807"/>
      <c r="L815" s="807"/>
      <c r="M815" s="807"/>
      <c r="N815" s="807"/>
      <c r="O815" s="1089"/>
    </row>
    <row r="816" spans="1:15" s="1411" customFormat="1" ht="9">
      <c r="A816" s="1090"/>
      <c r="B816" s="1087"/>
      <c r="C816" s="1429"/>
      <c r="D816" s="1429"/>
      <c r="E816" s="1429"/>
      <c r="F816" s="1429"/>
      <c r="G816" s="807"/>
      <c r="H816" s="807"/>
      <c r="I816" s="807"/>
      <c r="J816" s="807"/>
      <c r="K816" s="807"/>
      <c r="L816" s="807"/>
      <c r="M816" s="807"/>
      <c r="N816" s="807"/>
      <c r="O816" s="1089"/>
    </row>
    <row r="817" spans="1:15" s="1411" customFormat="1" ht="9">
      <c r="A817" s="1090"/>
      <c r="B817" s="1087"/>
      <c r="C817" s="1429"/>
      <c r="D817" s="1429"/>
      <c r="E817" s="1429"/>
      <c r="F817" s="1429"/>
      <c r="G817" s="807"/>
      <c r="H817" s="807"/>
      <c r="I817" s="807"/>
      <c r="J817" s="807"/>
      <c r="K817" s="807"/>
      <c r="L817" s="807"/>
      <c r="M817" s="807"/>
      <c r="N817" s="807"/>
      <c r="O817" s="1089"/>
    </row>
    <row r="818" spans="1:15" s="1411" customFormat="1" ht="9">
      <c r="A818" s="1090"/>
      <c r="B818" s="1087"/>
      <c r="C818" s="1429"/>
      <c r="D818" s="1429"/>
      <c r="E818" s="1429"/>
      <c r="F818" s="1429"/>
      <c r="G818" s="807"/>
      <c r="H818" s="807"/>
      <c r="I818" s="807"/>
      <c r="J818" s="807"/>
      <c r="K818" s="807"/>
      <c r="L818" s="807"/>
      <c r="M818" s="807"/>
      <c r="N818" s="807"/>
      <c r="O818" s="1089"/>
    </row>
    <row r="819" spans="1:15" s="1411" customFormat="1" ht="9">
      <c r="A819" s="1090"/>
      <c r="B819" s="1087"/>
      <c r="C819" s="1429"/>
      <c r="D819" s="1429"/>
      <c r="E819" s="1429"/>
      <c r="F819" s="1429"/>
      <c r="G819" s="807"/>
      <c r="H819" s="807"/>
      <c r="I819" s="807"/>
      <c r="J819" s="807"/>
      <c r="K819" s="807"/>
      <c r="L819" s="807"/>
      <c r="M819" s="807"/>
      <c r="N819" s="807"/>
      <c r="O819" s="1089"/>
    </row>
    <row r="820" spans="1:15" s="1411" customFormat="1" ht="9">
      <c r="A820" s="1090"/>
      <c r="B820" s="1087"/>
      <c r="C820" s="1429"/>
      <c r="D820" s="1429"/>
      <c r="E820" s="1429"/>
      <c r="F820" s="1429"/>
      <c r="G820" s="807"/>
      <c r="H820" s="807"/>
      <c r="I820" s="807"/>
      <c r="J820" s="807"/>
      <c r="K820" s="807"/>
      <c r="L820" s="807"/>
      <c r="M820" s="807"/>
      <c r="N820" s="807"/>
      <c r="O820" s="1089"/>
    </row>
    <row r="821" spans="1:15" s="1411" customFormat="1" ht="9">
      <c r="A821" s="1090"/>
      <c r="B821" s="1087"/>
      <c r="C821" s="1429"/>
      <c r="D821" s="1429"/>
      <c r="E821" s="1429"/>
      <c r="F821" s="1429"/>
      <c r="G821" s="807"/>
      <c r="H821" s="807"/>
      <c r="I821" s="807"/>
      <c r="J821" s="807"/>
      <c r="K821" s="807"/>
      <c r="L821" s="807"/>
      <c r="M821" s="807"/>
      <c r="N821" s="807"/>
      <c r="O821" s="1089"/>
    </row>
    <row r="822" spans="1:15" s="1411" customFormat="1" ht="9">
      <c r="A822" s="1090"/>
      <c r="B822" s="1087"/>
      <c r="C822" s="1429"/>
      <c r="D822" s="1429"/>
      <c r="E822" s="1429"/>
      <c r="F822" s="1429"/>
      <c r="G822" s="807"/>
      <c r="H822" s="807"/>
      <c r="I822" s="807"/>
      <c r="J822" s="807"/>
      <c r="K822" s="807"/>
      <c r="L822" s="807"/>
      <c r="M822" s="807"/>
      <c r="N822" s="807"/>
      <c r="O822" s="1089"/>
    </row>
    <row r="823" spans="1:15" s="1411" customFormat="1" ht="9">
      <c r="A823" s="1090"/>
      <c r="B823" s="1087"/>
      <c r="C823" s="1429"/>
      <c r="D823" s="1429"/>
      <c r="E823" s="1429"/>
      <c r="F823" s="1429"/>
      <c r="G823" s="807"/>
      <c r="H823" s="807"/>
      <c r="I823" s="807"/>
      <c r="J823" s="807"/>
      <c r="K823" s="807"/>
      <c r="L823" s="807"/>
      <c r="M823" s="807"/>
      <c r="N823" s="807"/>
      <c r="O823" s="1089"/>
    </row>
    <row r="824" spans="1:15" s="1411" customFormat="1" ht="9">
      <c r="A824" s="1090"/>
      <c r="B824" s="1087"/>
      <c r="C824" s="1429"/>
      <c r="D824" s="1429"/>
      <c r="E824" s="1429"/>
      <c r="F824" s="1429"/>
      <c r="G824" s="807"/>
      <c r="H824" s="807"/>
      <c r="I824" s="807"/>
      <c r="J824" s="807"/>
      <c r="K824" s="807"/>
      <c r="L824" s="807"/>
      <c r="M824" s="807"/>
      <c r="N824" s="807"/>
      <c r="O824" s="1089"/>
    </row>
    <row r="825" spans="1:15" s="1411" customFormat="1" ht="9">
      <c r="A825" s="1090"/>
      <c r="B825" s="1087"/>
      <c r="C825" s="1429"/>
      <c r="D825" s="1429"/>
      <c r="E825" s="1429"/>
      <c r="F825" s="1429"/>
      <c r="G825" s="807"/>
      <c r="H825" s="807"/>
      <c r="I825" s="807"/>
      <c r="J825" s="807"/>
      <c r="K825" s="807"/>
      <c r="L825" s="807"/>
      <c r="M825" s="807"/>
      <c r="N825" s="807"/>
      <c r="O825" s="1089"/>
    </row>
    <row r="826" spans="1:15" s="1411" customFormat="1" ht="9">
      <c r="A826" s="1090"/>
      <c r="B826" s="1087"/>
      <c r="C826" s="1429"/>
      <c r="D826" s="1429"/>
      <c r="E826" s="1429"/>
      <c r="F826" s="1429"/>
      <c r="G826" s="807"/>
      <c r="H826" s="807"/>
      <c r="I826" s="807"/>
      <c r="J826" s="807"/>
      <c r="K826" s="807"/>
      <c r="L826" s="807"/>
      <c r="M826" s="807"/>
      <c r="N826" s="807"/>
      <c r="O826" s="1089"/>
    </row>
    <row r="827" spans="1:15" s="1411" customFormat="1" ht="9">
      <c r="A827" s="1090"/>
      <c r="B827" s="1087"/>
      <c r="C827" s="1429"/>
      <c r="D827" s="1429"/>
      <c r="E827" s="1429"/>
      <c r="F827" s="1429"/>
      <c r="G827" s="807"/>
      <c r="H827" s="807"/>
      <c r="I827" s="807"/>
      <c r="J827" s="807"/>
      <c r="K827" s="807"/>
      <c r="L827" s="807"/>
      <c r="M827" s="807"/>
      <c r="N827" s="807"/>
      <c r="O827" s="1089"/>
    </row>
    <row r="828" spans="1:15" s="1411" customFormat="1" ht="9">
      <c r="A828" s="1090"/>
      <c r="B828" s="1087"/>
      <c r="C828" s="1429"/>
      <c r="D828" s="1429"/>
      <c r="E828" s="1429"/>
      <c r="F828" s="1429"/>
      <c r="G828" s="807"/>
      <c r="H828" s="807"/>
      <c r="I828" s="807"/>
      <c r="J828" s="807"/>
      <c r="K828" s="807"/>
      <c r="L828" s="807"/>
      <c r="M828" s="807"/>
      <c r="N828" s="807"/>
      <c r="O828" s="1089"/>
    </row>
    <row r="829" spans="1:15" s="1411" customFormat="1" ht="9">
      <c r="A829" s="1090"/>
      <c r="B829" s="1087"/>
      <c r="C829" s="1429"/>
      <c r="D829" s="1429"/>
      <c r="E829" s="1429"/>
      <c r="F829" s="1429"/>
      <c r="G829" s="807"/>
      <c r="H829" s="807"/>
      <c r="I829" s="807"/>
      <c r="J829" s="807"/>
      <c r="K829" s="807"/>
      <c r="L829" s="807"/>
      <c r="M829" s="807"/>
      <c r="N829" s="807"/>
      <c r="O829" s="1089"/>
    </row>
    <row r="830" spans="1:15" s="1411" customFormat="1" ht="9">
      <c r="A830" s="1090"/>
      <c r="B830" s="1087"/>
      <c r="C830" s="1429"/>
      <c r="D830" s="1429"/>
      <c r="E830" s="1429"/>
      <c r="F830" s="1429"/>
      <c r="G830" s="807"/>
      <c r="H830" s="807"/>
      <c r="I830" s="807"/>
      <c r="J830" s="807"/>
      <c r="K830" s="807"/>
      <c r="L830" s="807"/>
      <c r="M830" s="807"/>
      <c r="N830" s="807"/>
      <c r="O830" s="1089"/>
    </row>
    <row r="831" spans="1:15" s="1411" customFormat="1" ht="9">
      <c r="A831" s="1091"/>
      <c r="B831" s="1087"/>
      <c r="C831" s="1429"/>
      <c r="D831" s="1429"/>
      <c r="E831" s="1429"/>
      <c r="F831" s="1429"/>
      <c r="G831" s="807"/>
      <c r="H831" s="807"/>
      <c r="I831" s="807"/>
      <c r="J831" s="807"/>
      <c r="K831" s="807"/>
      <c r="L831" s="807"/>
      <c r="M831" s="807"/>
      <c r="N831" s="807"/>
      <c r="O831" s="1089"/>
    </row>
    <row r="832" spans="1:15" s="1411" customFormat="1" ht="9">
      <c r="A832" s="1091"/>
      <c r="B832" s="1087"/>
      <c r="C832" s="1429"/>
      <c r="D832" s="1429"/>
      <c r="E832" s="1429"/>
      <c r="F832" s="1429"/>
      <c r="G832" s="807"/>
      <c r="H832" s="807"/>
      <c r="I832" s="807"/>
      <c r="J832" s="807"/>
      <c r="K832" s="807"/>
      <c r="L832" s="807"/>
      <c r="M832" s="807"/>
      <c r="N832" s="807"/>
      <c r="O832" s="1089"/>
    </row>
    <row r="833" spans="1:15" s="1411" customFormat="1" ht="9">
      <c r="A833" s="1091"/>
      <c r="B833" s="1087"/>
      <c r="C833" s="1429"/>
      <c r="D833" s="1429"/>
      <c r="E833" s="1429"/>
      <c r="F833" s="1429"/>
      <c r="G833" s="807"/>
      <c r="H833" s="807"/>
      <c r="I833" s="807"/>
      <c r="J833" s="807"/>
      <c r="K833" s="807"/>
      <c r="L833" s="807"/>
      <c r="M833" s="807"/>
      <c r="N833" s="807"/>
      <c r="O833" s="1089"/>
    </row>
    <row r="834" spans="1:15" s="1411" customFormat="1" ht="9">
      <c r="A834" s="1091"/>
      <c r="B834" s="1087"/>
      <c r="C834" s="1429"/>
      <c r="D834" s="1429"/>
      <c r="E834" s="1429"/>
      <c r="F834" s="1429"/>
      <c r="G834" s="807"/>
      <c r="H834" s="807"/>
      <c r="I834" s="807"/>
      <c r="J834" s="807"/>
      <c r="K834" s="807"/>
      <c r="L834" s="807"/>
      <c r="M834" s="807"/>
      <c r="N834" s="807"/>
      <c r="O834" s="1089"/>
    </row>
    <row r="835" spans="1:15" s="1411" customFormat="1" ht="9">
      <c r="A835" s="1091"/>
      <c r="B835" s="1087"/>
      <c r="C835" s="1429"/>
      <c r="D835" s="1429"/>
      <c r="E835" s="1429"/>
      <c r="F835" s="1429"/>
      <c r="G835" s="807"/>
      <c r="H835" s="807"/>
      <c r="I835" s="807"/>
      <c r="J835" s="807"/>
      <c r="K835" s="807"/>
      <c r="L835" s="807"/>
      <c r="M835" s="807"/>
      <c r="N835" s="807"/>
      <c r="O835" s="1089"/>
    </row>
    <row r="836" spans="1:15" s="1411" customFormat="1" ht="9">
      <c r="A836" s="1091"/>
      <c r="B836" s="1087"/>
      <c r="C836" s="1429"/>
      <c r="D836" s="1429"/>
      <c r="E836" s="1429"/>
      <c r="F836" s="1429"/>
      <c r="G836" s="807"/>
      <c r="H836" s="807"/>
      <c r="I836" s="807"/>
      <c r="J836" s="807"/>
      <c r="K836" s="807"/>
      <c r="L836" s="807"/>
      <c r="M836" s="807"/>
      <c r="N836" s="807"/>
      <c r="O836" s="1089"/>
    </row>
    <row r="837" spans="1:15" s="1411" customFormat="1" ht="9">
      <c r="A837" s="1091"/>
      <c r="B837" s="1087"/>
      <c r="C837" s="1429"/>
      <c r="D837" s="1429"/>
      <c r="E837" s="1429"/>
      <c r="F837" s="1429"/>
      <c r="G837" s="807"/>
      <c r="H837" s="807"/>
      <c r="I837" s="807"/>
      <c r="J837" s="807"/>
      <c r="K837" s="807"/>
      <c r="L837" s="807"/>
      <c r="M837" s="807"/>
      <c r="N837" s="807"/>
      <c r="O837" s="1089"/>
    </row>
    <row r="838" spans="1:15" s="1411" customFormat="1" ht="9">
      <c r="A838" s="1091"/>
      <c r="B838" s="1087"/>
      <c r="C838" s="1429"/>
      <c r="D838" s="1429"/>
      <c r="E838" s="1429"/>
      <c r="F838" s="1429"/>
      <c r="G838" s="807"/>
      <c r="H838" s="807"/>
      <c r="I838" s="807"/>
      <c r="J838" s="807"/>
      <c r="K838" s="807"/>
      <c r="L838" s="807"/>
      <c r="M838" s="807"/>
      <c r="N838" s="807"/>
      <c r="O838" s="1089"/>
    </row>
    <row r="839" spans="1:15" s="1411" customFormat="1" ht="9">
      <c r="A839" s="1091"/>
      <c r="B839" s="1087"/>
      <c r="C839" s="1429"/>
      <c r="D839" s="1429"/>
      <c r="E839" s="1429"/>
      <c r="F839" s="1429"/>
      <c r="G839" s="807"/>
      <c r="H839" s="807"/>
      <c r="I839" s="807"/>
      <c r="J839" s="807"/>
      <c r="K839" s="807"/>
      <c r="L839" s="807"/>
      <c r="M839" s="807"/>
      <c r="N839" s="807"/>
      <c r="O839" s="1089"/>
    </row>
    <row r="840" spans="1:15" s="1411" customFormat="1" ht="9">
      <c r="A840" s="1091"/>
      <c r="B840" s="1087"/>
      <c r="C840" s="1429"/>
      <c r="D840" s="1429"/>
      <c r="E840" s="1429"/>
      <c r="F840" s="1429"/>
      <c r="G840" s="807"/>
      <c r="H840" s="807"/>
      <c r="I840" s="807"/>
      <c r="J840" s="807"/>
      <c r="K840" s="807"/>
      <c r="L840" s="807"/>
      <c r="M840" s="807"/>
      <c r="N840" s="807"/>
      <c r="O840" s="1089"/>
    </row>
    <row r="841" spans="1:15" s="1411" customFormat="1" ht="9">
      <c r="A841" s="1091"/>
      <c r="B841" s="1087"/>
      <c r="C841" s="1429"/>
      <c r="D841" s="1429"/>
      <c r="E841" s="1429"/>
      <c r="F841" s="1429"/>
      <c r="G841" s="807"/>
      <c r="H841" s="807"/>
      <c r="I841" s="807"/>
      <c r="J841" s="807"/>
      <c r="K841" s="807"/>
      <c r="L841" s="807"/>
      <c r="M841" s="807"/>
      <c r="N841" s="807"/>
      <c r="O841" s="1089"/>
    </row>
    <row r="842" spans="1:15" s="1411" customFormat="1" ht="9">
      <c r="A842" s="1091"/>
      <c r="B842" s="1087"/>
      <c r="C842" s="1429"/>
      <c r="D842" s="1429"/>
      <c r="E842" s="1429"/>
      <c r="F842" s="1429"/>
      <c r="G842" s="807"/>
      <c r="H842" s="807"/>
      <c r="I842" s="807"/>
      <c r="J842" s="807"/>
      <c r="K842" s="807"/>
      <c r="L842" s="807"/>
      <c r="M842" s="807"/>
      <c r="N842" s="807"/>
      <c r="O842" s="1089"/>
    </row>
    <row r="843" spans="1:15" s="1411" customFormat="1" ht="9">
      <c r="A843" s="1091"/>
      <c r="B843" s="1087"/>
      <c r="C843" s="1429"/>
      <c r="D843" s="1429"/>
      <c r="E843" s="1429"/>
      <c r="F843" s="1429"/>
      <c r="G843" s="807"/>
      <c r="H843" s="807"/>
      <c r="I843" s="807"/>
      <c r="J843" s="807"/>
      <c r="K843" s="807"/>
      <c r="L843" s="807"/>
      <c r="M843" s="807"/>
      <c r="N843" s="807"/>
      <c r="O843" s="1089"/>
    </row>
    <row r="844" spans="1:15" s="1411" customFormat="1" ht="9">
      <c r="A844" s="1091"/>
      <c r="B844" s="1087"/>
      <c r="C844" s="1429"/>
      <c r="D844" s="1429"/>
      <c r="E844" s="1429"/>
      <c r="F844" s="1429"/>
      <c r="G844" s="807"/>
      <c r="H844" s="807"/>
      <c r="I844" s="807"/>
      <c r="J844" s="807"/>
      <c r="K844" s="807"/>
      <c r="L844" s="807"/>
      <c r="M844" s="807"/>
      <c r="N844" s="807"/>
      <c r="O844" s="1089"/>
    </row>
    <row r="845" spans="1:15" s="1411" customFormat="1" ht="9">
      <c r="A845" s="1091"/>
      <c r="B845" s="1087"/>
      <c r="C845" s="1429"/>
      <c r="D845" s="1429"/>
      <c r="E845" s="1429"/>
      <c r="F845" s="1429"/>
      <c r="G845" s="807"/>
      <c r="H845" s="807"/>
      <c r="I845" s="807"/>
      <c r="J845" s="807"/>
      <c r="K845" s="807"/>
      <c r="L845" s="807"/>
      <c r="M845" s="807"/>
      <c r="N845" s="807"/>
      <c r="O845" s="1089"/>
    </row>
    <row r="846" spans="1:15" s="1411" customFormat="1" ht="9">
      <c r="A846" s="1091"/>
      <c r="B846" s="1087"/>
      <c r="C846" s="1429"/>
      <c r="D846" s="1429"/>
      <c r="E846" s="1429"/>
      <c r="F846" s="1429"/>
      <c r="G846" s="807"/>
      <c r="H846" s="807"/>
      <c r="I846" s="807"/>
      <c r="J846" s="807"/>
      <c r="K846" s="807"/>
      <c r="L846" s="807"/>
      <c r="M846" s="807"/>
      <c r="N846" s="807"/>
      <c r="O846" s="1089"/>
    </row>
    <row r="847" spans="1:15" s="1411" customFormat="1" ht="9">
      <c r="A847" s="1091"/>
      <c r="B847" s="1087"/>
      <c r="C847" s="1429"/>
      <c r="D847" s="1429"/>
      <c r="E847" s="1429"/>
      <c r="F847" s="1429"/>
      <c r="G847" s="807"/>
      <c r="H847" s="807"/>
      <c r="I847" s="807"/>
      <c r="J847" s="807"/>
      <c r="K847" s="807"/>
      <c r="L847" s="807"/>
      <c r="M847" s="807"/>
      <c r="N847" s="807"/>
      <c r="O847" s="1089"/>
    </row>
    <row r="848" spans="1:15" s="1411" customFormat="1" ht="9">
      <c r="A848" s="1091"/>
      <c r="B848" s="1087"/>
      <c r="C848" s="1429"/>
      <c r="D848" s="1429"/>
      <c r="E848" s="1429"/>
      <c r="F848" s="1429"/>
      <c r="G848" s="807"/>
      <c r="H848" s="807"/>
      <c r="I848" s="807"/>
      <c r="J848" s="807"/>
      <c r="K848" s="807"/>
      <c r="L848" s="807"/>
      <c r="M848" s="807"/>
      <c r="N848" s="807"/>
      <c r="O848" s="1089"/>
    </row>
    <row r="849" spans="1:15" s="1411" customFormat="1" ht="9">
      <c r="A849" s="1091"/>
      <c r="B849" s="1087"/>
      <c r="C849" s="1429"/>
      <c r="D849" s="1429"/>
      <c r="E849" s="1429"/>
      <c r="F849" s="1429"/>
      <c r="G849" s="807"/>
      <c r="H849" s="807"/>
      <c r="I849" s="807"/>
      <c r="J849" s="807"/>
      <c r="K849" s="807"/>
      <c r="L849" s="807"/>
      <c r="M849" s="807"/>
      <c r="N849" s="807"/>
      <c r="O849" s="1089"/>
    </row>
    <row r="850" spans="1:15" s="1411" customFormat="1" ht="9">
      <c r="A850" s="1091"/>
      <c r="B850" s="1087"/>
      <c r="C850" s="1429"/>
      <c r="D850" s="1429"/>
      <c r="E850" s="1429"/>
      <c r="F850" s="1429"/>
      <c r="G850" s="807"/>
      <c r="H850" s="807"/>
      <c r="I850" s="807"/>
      <c r="J850" s="807"/>
      <c r="K850" s="807"/>
      <c r="L850" s="807"/>
      <c r="M850" s="807"/>
      <c r="N850" s="807"/>
      <c r="O850" s="1089"/>
    </row>
    <row r="851" spans="1:15" s="1411" customFormat="1" ht="9">
      <c r="A851" s="1091"/>
      <c r="B851" s="1087"/>
      <c r="C851" s="1429"/>
      <c r="D851" s="1429"/>
      <c r="E851" s="1429"/>
      <c r="F851" s="1429"/>
      <c r="G851" s="807"/>
      <c r="H851" s="807"/>
      <c r="I851" s="807"/>
      <c r="J851" s="807"/>
      <c r="K851" s="807"/>
      <c r="L851" s="807"/>
      <c r="M851" s="807"/>
      <c r="N851" s="807"/>
      <c r="O851" s="1089"/>
    </row>
    <row r="852" spans="1:15" s="1411" customFormat="1" ht="9">
      <c r="A852" s="1091"/>
      <c r="B852" s="1087"/>
      <c r="C852" s="1429"/>
      <c r="D852" s="1429"/>
      <c r="E852" s="1429"/>
      <c r="F852" s="1429"/>
      <c r="G852" s="807"/>
      <c r="H852" s="807"/>
      <c r="I852" s="807"/>
      <c r="J852" s="807"/>
      <c r="K852" s="807"/>
      <c r="L852" s="807"/>
      <c r="M852" s="807"/>
      <c r="N852" s="807"/>
      <c r="O852" s="1089"/>
    </row>
    <row r="853" spans="1:15" s="972" customFormat="1" ht="0.75" customHeight="1">
      <c r="A853" s="1091"/>
      <c r="B853" s="1087"/>
      <c r="C853" s="1088"/>
      <c r="D853" s="1088"/>
      <c r="E853" s="1088"/>
      <c r="F853" s="1088"/>
      <c r="G853" s="1086"/>
      <c r="H853" s="1086"/>
      <c r="I853" s="1086"/>
      <c r="J853" s="807"/>
      <c r="K853" s="807"/>
      <c r="L853" s="807"/>
      <c r="M853" s="807"/>
      <c r="N853" s="807"/>
      <c r="O853" s="1089"/>
    </row>
    <row r="854" spans="1:15" s="972" customFormat="1" ht="9">
      <c r="A854" s="1770"/>
      <c r="B854" s="1770"/>
      <c r="C854" s="1093"/>
      <c r="D854" s="1093"/>
      <c r="E854" s="1093"/>
      <c r="F854" s="1093"/>
      <c r="G854" s="1093"/>
      <c r="H854" s="1093"/>
      <c r="I854" s="1093"/>
      <c r="J854" s="1093"/>
      <c r="K854" s="1093"/>
      <c r="L854" s="1093"/>
      <c r="M854" s="1093"/>
      <c r="N854" s="1093"/>
      <c r="O854" s="1085"/>
    </row>
    <row r="855" spans="1:15" s="972" customFormat="1" ht="9">
      <c r="A855" s="1762"/>
      <c r="B855" s="1762"/>
      <c r="C855" s="1763"/>
      <c r="D855" s="1763"/>
      <c r="E855" s="1763"/>
      <c r="F855" s="1763"/>
      <c r="G855" s="1094"/>
      <c r="H855" s="1094"/>
      <c r="I855" s="1094"/>
      <c r="J855" s="1094"/>
      <c r="K855" s="1094"/>
      <c r="L855" s="1094"/>
      <c r="M855" s="1094"/>
      <c r="N855" s="1094"/>
      <c r="O855" s="1085"/>
    </row>
    <row r="856" spans="1:15" s="972" customFormat="1" ht="9">
      <c r="A856" s="1762"/>
      <c r="B856" s="1762"/>
      <c r="C856" s="1763"/>
      <c r="D856" s="1763"/>
      <c r="E856" s="1763"/>
      <c r="F856" s="1763"/>
      <c r="G856" s="1086"/>
      <c r="H856" s="1086"/>
      <c r="I856" s="1086"/>
      <c r="J856" s="1086"/>
      <c r="K856" s="1086"/>
      <c r="L856" s="1086"/>
      <c r="M856" s="1086"/>
      <c r="N856" s="1086"/>
      <c r="O856" s="1085"/>
    </row>
    <row r="857" spans="1:15" s="972" customFormat="1" ht="9">
      <c r="A857" s="1762"/>
      <c r="B857" s="1762"/>
      <c r="C857" s="1763"/>
      <c r="D857" s="1763"/>
      <c r="E857" s="1763"/>
      <c r="F857" s="1763"/>
      <c r="G857" s="1086"/>
      <c r="H857" s="1086"/>
      <c r="I857" s="1086"/>
      <c r="J857" s="1086"/>
      <c r="K857" s="1086"/>
      <c r="L857" s="1086"/>
      <c r="M857" s="1086"/>
      <c r="N857" s="1086"/>
      <c r="O857" s="1085"/>
    </row>
    <row r="858" spans="1:15" s="1083" customFormat="1" ht="26.25" customHeight="1">
      <c r="A858" s="1764"/>
      <c r="B858" s="1765"/>
      <c r="C858" s="1766"/>
      <c r="D858" s="1766"/>
      <c r="E858" s="1766"/>
      <c r="F858" s="1766"/>
      <c r="G858" s="1095"/>
      <c r="H858" s="1095"/>
      <c r="I858" s="1095"/>
      <c r="J858" s="1095"/>
      <c r="K858" s="1095"/>
      <c r="L858" s="1095"/>
      <c r="M858" s="1095"/>
      <c r="N858" s="1095"/>
      <c r="O858" s="1084"/>
    </row>
    <row r="859" spans="1:15" s="1083" customFormat="1">
      <c r="B859" s="1084"/>
      <c r="C859" s="1097"/>
      <c r="D859" s="1097"/>
      <c r="E859" s="1097"/>
      <c r="F859" s="1097"/>
      <c r="G859" s="1095"/>
      <c r="H859" s="1095"/>
      <c r="I859" s="1095"/>
      <c r="J859" s="1095"/>
      <c r="K859" s="1095"/>
      <c r="L859" s="1095"/>
      <c r="M859" s="1095"/>
      <c r="N859" s="1095"/>
      <c r="O859" s="1084"/>
    </row>
    <row r="860" spans="1:15" s="1083" customFormat="1">
      <c r="B860" s="1084"/>
      <c r="C860" s="1097"/>
      <c r="D860" s="1097"/>
      <c r="E860" s="1097"/>
      <c r="F860" s="1097"/>
      <c r="G860" s="1095"/>
      <c r="H860" s="1095"/>
      <c r="I860" s="1095"/>
      <c r="J860" s="1095"/>
      <c r="K860" s="1095"/>
      <c r="L860" s="1095"/>
      <c r="M860" s="1095"/>
      <c r="N860" s="1095"/>
      <c r="O860" s="1084"/>
    </row>
  </sheetData>
  <mergeCells count="26">
    <mergeCell ref="A3:O3"/>
    <mergeCell ref="A4:O4"/>
    <mergeCell ref="A5:A6"/>
    <mergeCell ref="B5:B6"/>
    <mergeCell ref="C5:F5"/>
    <mergeCell ref="G5:L5"/>
    <mergeCell ref="O5:O6"/>
    <mergeCell ref="A257:B257"/>
    <mergeCell ref="A258:B258"/>
    <mergeCell ref="A259:B259"/>
    <mergeCell ref="A260:B260"/>
    <mergeCell ref="O271:O273"/>
    <mergeCell ref="A702:B702"/>
    <mergeCell ref="A703:B703"/>
    <mergeCell ref="A704:B704"/>
    <mergeCell ref="A701:B701"/>
    <mergeCell ref="A854:B854"/>
    <mergeCell ref="A857:B857"/>
    <mergeCell ref="C857:F857"/>
    <mergeCell ref="A858:B858"/>
    <mergeCell ref="C858:F858"/>
    <mergeCell ref="A705:B705"/>
    <mergeCell ref="A855:B855"/>
    <mergeCell ref="C855:F855"/>
    <mergeCell ref="A856:B856"/>
    <mergeCell ref="C856:F856"/>
  </mergeCells>
  <pageMargins left="0.7" right="0.7" top="0.75" bottom="0.75" header="0.3" footer="0.3"/>
  <pageSetup paperSize="9" scale="65" orientation="landscape" verticalDpi="0" r:id="rId1"/>
  <rowBreaks count="1" manualBreakCount="1">
    <brk id="834" max="18" man="1"/>
  </rowBreaks>
  <colBreaks count="1" manualBreakCount="1">
    <brk id="1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B1:AC320"/>
  <sheetViews>
    <sheetView topLeftCell="A298" workbookViewId="0">
      <selection activeCell="C323" sqref="C323"/>
    </sheetView>
  </sheetViews>
  <sheetFormatPr defaultRowHeight="15"/>
  <cols>
    <col min="1" max="2" width="9.140625" style="706"/>
    <col min="3" max="3" width="29.85546875" style="706" customWidth="1"/>
    <col min="4" max="4" width="13.85546875" style="706" customWidth="1"/>
    <col min="5" max="5" width="9.140625" style="706"/>
    <col min="6" max="6" width="13" style="706" customWidth="1"/>
    <col min="7" max="8" width="9.140625" style="706"/>
    <col min="9" max="9" width="13.28515625" style="706" bestFit="1" customWidth="1"/>
    <col min="10" max="16384" width="9.140625" style="706"/>
  </cols>
  <sheetData>
    <row r="1" spans="2:29" ht="30" customHeight="1">
      <c r="B1" s="1543" t="s">
        <v>0</v>
      </c>
      <c r="C1" s="1544"/>
      <c r="D1" s="1545"/>
      <c r="E1" s="1811" t="s">
        <v>1728</v>
      </c>
      <c r="F1" s="1811"/>
      <c r="G1" s="1811"/>
      <c r="H1" s="1811"/>
      <c r="I1" s="1811"/>
      <c r="J1" s="1811"/>
      <c r="K1" s="703"/>
    </row>
    <row r="2" spans="2:29" ht="15.75" customHeight="1">
      <c r="B2" s="676" t="s">
        <v>2</v>
      </c>
      <c r="C2" s="1546"/>
      <c r="D2" s="1547"/>
      <c r="E2" s="1801" t="s">
        <v>1729</v>
      </c>
      <c r="F2" s="1801"/>
      <c r="G2" s="1801"/>
      <c r="H2" s="1801"/>
      <c r="I2" s="1801"/>
      <c r="J2" s="1801"/>
      <c r="K2" s="703"/>
    </row>
    <row r="3" spans="2:29">
      <c r="B3" s="676"/>
      <c r="C3" s="1546"/>
      <c r="D3" s="1547"/>
      <c r="E3" s="1547"/>
      <c r="F3" s="1547"/>
      <c r="K3" s="703"/>
    </row>
    <row r="4" spans="2:29" ht="20.25">
      <c r="B4" s="1756" t="s">
        <v>1762</v>
      </c>
      <c r="C4" s="1756"/>
      <c r="D4" s="1756"/>
      <c r="E4" s="1756"/>
      <c r="F4" s="1756"/>
      <c r="G4" s="1756"/>
      <c r="H4" s="1756"/>
      <c r="I4" s="1756"/>
      <c r="J4" s="1756"/>
      <c r="K4" s="1756"/>
    </row>
    <row r="5" spans="2:29" ht="15.75" thickBot="1">
      <c r="B5" s="1802" t="s">
        <v>647</v>
      </c>
      <c r="C5" s="1802"/>
      <c r="D5" s="1802"/>
      <c r="E5" s="1802"/>
      <c r="F5" s="1802"/>
      <c r="G5" s="1802"/>
      <c r="H5" s="1802"/>
      <c r="I5" s="1802"/>
      <c r="J5" s="1802"/>
      <c r="K5" s="1790"/>
    </row>
    <row r="6" spans="2:29" ht="15.75" thickTop="1">
      <c r="B6" s="1809" t="s">
        <v>118</v>
      </c>
      <c r="C6" s="1803" t="s">
        <v>616</v>
      </c>
      <c r="D6" s="1805" t="s">
        <v>1578</v>
      </c>
      <c r="E6" s="1805"/>
      <c r="F6" s="1805"/>
      <c r="G6" s="1806" t="s">
        <v>649</v>
      </c>
      <c r="H6" s="1806"/>
      <c r="I6" s="1806"/>
      <c r="J6" s="1807" t="s">
        <v>13</v>
      </c>
      <c r="K6" s="722"/>
      <c r="L6" s="649"/>
      <c r="M6" s="649"/>
      <c r="N6" s="649"/>
      <c r="O6" s="649"/>
      <c r="P6" s="649"/>
      <c r="Q6" s="649"/>
      <c r="R6" s="649"/>
      <c r="S6" s="649"/>
      <c r="T6" s="649"/>
      <c r="U6" s="649"/>
      <c r="V6" s="649"/>
      <c r="W6" s="649"/>
      <c r="X6" s="649"/>
      <c r="Y6" s="649"/>
      <c r="Z6" s="649"/>
      <c r="AA6" s="649"/>
      <c r="AB6" s="649"/>
      <c r="AC6" s="649"/>
    </row>
    <row r="7" spans="2:29" ht="21.75" thickBot="1">
      <c r="B7" s="1810"/>
      <c r="C7" s="1804"/>
      <c r="D7" s="1548" t="s">
        <v>651</v>
      </c>
      <c r="E7" s="1548" t="s">
        <v>652</v>
      </c>
      <c r="F7" s="1548" t="s">
        <v>653</v>
      </c>
      <c r="G7" s="1549" t="s">
        <v>651</v>
      </c>
      <c r="H7" s="1549" t="s">
        <v>652</v>
      </c>
      <c r="I7" s="1549" t="s">
        <v>654</v>
      </c>
      <c r="J7" s="1808"/>
      <c r="L7" s="649"/>
      <c r="M7" s="649"/>
      <c r="N7" s="649"/>
      <c r="O7" s="649"/>
      <c r="P7" s="649"/>
      <c r="Q7" s="649"/>
      <c r="R7" s="649"/>
      <c r="S7" s="649"/>
      <c r="T7" s="649"/>
      <c r="U7" s="649"/>
      <c r="V7" s="649"/>
      <c r="W7" s="649"/>
      <c r="X7" s="649"/>
      <c r="Y7" s="649"/>
      <c r="Z7" s="649"/>
      <c r="AA7" s="649"/>
      <c r="AB7" s="649"/>
      <c r="AC7" s="649"/>
    </row>
    <row r="8" spans="2:29" s="1499" customFormat="1" ht="12" customHeight="1" thickTop="1">
      <c r="B8" s="1550">
        <v>43831</v>
      </c>
      <c r="C8" s="1551" t="s">
        <v>1730</v>
      </c>
      <c r="D8" s="1552"/>
      <c r="E8" s="1552"/>
      <c r="F8" s="1552"/>
      <c r="G8" s="1553"/>
      <c r="H8" s="1553"/>
      <c r="I8" s="1553">
        <v>21000000</v>
      </c>
      <c r="J8" s="1554"/>
    </row>
    <row r="9" spans="2:29" ht="12" customHeight="1">
      <c r="B9" s="1555">
        <v>43831</v>
      </c>
      <c r="C9" s="1500" t="s">
        <v>1372</v>
      </c>
      <c r="D9" s="1556"/>
      <c r="E9" s="1557"/>
      <c r="F9" s="1501"/>
      <c r="G9" s="1558"/>
      <c r="H9" s="1558"/>
      <c r="I9" s="1110">
        <v>530000</v>
      </c>
      <c r="J9" s="678"/>
    </row>
    <row r="10" spans="2:29" ht="12" customHeight="1">
      <c r="B10" s="1555">
        <v>43831</v>
      </c>
      <c r="C10" s="1500" t="s">
        <v>1373</v>
      </c>
      <c r="D10" s="1556"/>
      <c r="E10" s="1557"/>
      <c r="F10" s="1501"/>
      <c r="G10" s="1558"/>
      <c r="H10" s="1558"/>
      <c r="I10" s="1110">
        <v>580000</v>
      </c>
      <c r="J10" s="678"/>
    </row>
    <row r="11" spans="2:29" ht="12" customHeight="1">
      <c r="B11" s="1555">
        <v>43831</v>
      </c>
      <c r="C11" s="1500" t="s">
        <v>1374</v>
      </c>
      <c r="D11" s="1556"/>
      <c r="E11" s="1557"/>
      <c r="F11" s="1501"/>
      <c r="G11" s="1558"/>
      <c r="H11" s="1558"/>
      <c r="I11" s="1110">
        <v>103143</v>
      </c>
      <c r="J11" s="678"/>
    </row>
    <row r="12" spans="2:29" ht="12" customHeight="1">
      <c r="B12" s="1555">
        <v>43862</v>
      </c>
      <c r="C12" s="1500" t="s">
        <v>1375</v>
      </c>
      <c r="D12" s="1556"/>
      <c r="E12" s="1557"/>
      <c r="F12" s="1501"/>
      <c r="G12" s="1558"/>
      <c r="H12" s="1558"/>
      <c r="I12" s="1110">
        <v>709830</v>
      </c>
      <c r="J12" s="678"/>
    </row>
    <row r="13" spans="2:29" ht="12" customHeight="1">
      <c r="B13" s="1555">
        <v>43862</v>
      </c>
      <c r="C13" s="1500" t="s">
        <v>1376</v>
      </c>
      <c r="D13" s="1556"/>
      <c r="E13" s="1557"/>
      <c r="F13" s="1501"/>
      <c r="G13" s="1558"/>
      <c r="H13" s="1558"/>
      <c r="I13" s="1110">
        <v>900000</v>
      </c>
      <c r="J13" s="678"/>
    </row>
    <row r="14" spans="2:29" ht="12" customHeight="1">
      <c r="B14" s="1555">
        <v>43891</v>
      </c>
      <c r="C14" s="1500" t="s">
        <v>1377</v>
      </c>
      <c r="D14" s="1556"/>
      <c r="E14" s="1557"/>
      <c r="F14" s="1501"/>
      <c r="G14" s="1558"/>
      <c r="H14" s="1558"/>
      <c r="I14" s="1110">
        <v>1075500</v>
      </c>
      <c r="J14" s="678"/>
    </row>
    <row r="15" spans="2:29" s="1559" customFormat="1" ht="12" customHeight="1">
      <c r="B15" s="1555">
        <v>43891</v>
      </c>
      <c r="C15" s="1500" t="s">
        <v>1378</v>
      </c>
      <c r="D15" s="1560"/>
      <c r="E15" s="1561"/>
      <c r="F15" s="1562"/>
      <c r="G15" s="1563"/>
      <c r="H15" s="1563"/>
      <c r="I15" s="1110">
        <v>10000000</v>
      </c>
      <c r="J15" s="1564"/>
    </row>
    <row r="16" spans="2:29" ht="12" customHeight="1">
      <c r="B16" s="1555">
        <v>43922</v>
      </c>
      <c r="C16" s="1500" t="s">
        <v>1379</v>
      </c>
      <c r="D16" s="1556"/>
      <c r="E16" s="1557"/>
      <c r="F16" s="1501"/>
      <c r="G16" s="1558"/>
      <c r="H16" s="1558"/>
      <c r="I16" s="1110">
        <v>600000</v>
      </c>
      <c r="J16" s="678"/>
    </row>
    <row r="17" spans="2:10" ht="12" customHeight="1">
      <c r="B17" s="1555">
        <v>43952</v>
      </c>
      <c r="C17" s="1500" t="s">
        <v>1380</v>
      </c>
      <c r="D17" s="1556"/>
      <c r="E17" s="1557"/>
      <c r="F17" s="1501"/>
      <c r="G17" s="1558"/>
      <c r="H17" s="1558"/>
      <c r="I17" s="1110">
        <v>516240</v>
      </c>
      <c r="J17" s="678"/>
    </row>
    <row r="18" spans="2:10" ht="12" customHeight="1">
      <c r="B18" s="1555">
        <v>43952</v>
      </c>
      <c r="C18" s="1500" t="s">
        <v>1381</v>
      </c>
      <c r="D18" s="1556"/>
      <c r="E18" s="1557"/>
      <c r="F18" s="1501"/>
      <c r="G18" s="1557"/>
      <c r="H18" s="1558"/>
      <c r="I18" s="1110">
        <v>275000</v>
      </c>
      <c r="J18" s="678"/>
    </row>
    <row r="19" spans="2:10" ht="12" customHeight="1">
      <c r="B19" s="1555">
        <v>43983</v>
      </c>
      <c r="C19" s="1500" t="s">
        <v>1382</v>
      </c>
      <c r="D19" s="1556"/>
      <c r="E19" s="1557"/>
      <c r="F19" s="1501">
        <v>649000</v>
      </c>
      <c r="G19" s="1557"/>
      <c r="H19" s="1558"/>
      <c r="I19" s="1110"/>
      <c r="J19" s="678"/>
    </row>
    <row r="20" spans="2:10" ht="12" customHeight="1">
      <c r="B20" s="1555">
        <v>43983</v>
      </c>
      <c r="C20" s="1500" t="s">
        <v>1383</v>
      </c>
      <c r="D20" s="1556"/>
      <c r="E20" s="1557"/>
      <c r="F20" s="1501">
        <v>268000</v>
      </c>
      <c r="G20" s="1557"/>
      <c r="H20" s="1557"/>
      <c r="I20" s="1110"/>
      <c r="J20" s="678"/>
    </row>
    <row r="21" spans="2:10" ht="12" customHeight="1">
      <c r="B21" s="1555">
        <v>43983</v>
      </c>
      <c r="C21" s="1500" t="s">
        <v>1384</v>
      </c>
      <c r="D21" s="1565"/>
      <c r="E21" s="1557"/>
      <c r="F21" s="1501"/>
      <c r="G21" s="1557"/>
      <c r="H21" s="1557"/>
      <c r="I21" s="1110">
        <v>1042000</v>
      </c>
      <c r="J21" s="678"/>
    </row>
    <row r="22" spans="2:10" ht="12" customHeight="1">
      <c r="B22" s="1555">
        <v>43983</v>
      </c>
      <c r="C22" s="1500" t="s">
        <v>1385</v>
      </c>
      <c r="D22" s="1565"/>
      <c r="E22" s="1557"/>
      <c r="F22" s="1501"/>
      <c r="G22" s="1557"/>
      <c r="H22" s="1557"/>
      <c r="I22" s="1110">
        <v>285000</v>
      </c>
      <c r="J22" s="678"/>
    </row>
    <row r="23" spans="2:10" ht="12" customHeight="1">
      <c r="B23" s="1555">
        <v>43983</v>
      </c>
      <c r="C23" s="1500" t="s">
        <v>1386</v>
      </c>
      <c r="D23" s="1565"/>
      <c r="E23" s="1557"/>
      <c r="F23" s="1501"/>
      <c r="G23" s="1557"/>
      <c r="H23" s="1557"/>
      <c r="I23" s="1110">
        <v>360000</v>
      </c>
      <c r="J23" s="678"/>
    </row>
    <row r="24" spans="2:10" ht="12" customHeight="1">
      <c r="B24" s="1555">
        <v>43983</v>
      </c>
      <c r="C24" s="1500" t="s">
        <v>1387</v>
      </c>
      <c r="D24" s="1565"/>
      <c r="E24" s="1557"/>
      <c r="F24" s="1501"/>
      <c r="G24" s="1557"/>
      <c r="H24" s="1557"/>
      <c r="I24" s="1110">
        <v>15000000</v>
      </c>
      <c r="J24" s="678"/>
    </row>
    <row r="25" spans="2:10" ht="12" customHeight="1">
      <c r="B25" s="1555">
        <v>43983</v>
      </c>
      <c r="C25" s="1500" t="s">
        <v>1388</v>
      </c>
      <c r="D25" s="1557"/>
      <c r="E25" s="1557"/>
      <c r="F25" s="1501"/>
      <c r="G25" s="1557"/>
      <c r="H25" s="1557"/>
      <c r="I25" s="1110">
        <v>195000</v>
      </c>
      <c r="J25" s="678"/>
    </row>
    <row r="26" spans="2:10" ht="12" customHeight="1">
      <c r="B26" s="1555">
        <v>43983</v>
      </c>
      <c r="C26" s="1500" t="s">
        <v>1389</v>
      </c>
      <c r="D26" s="1557"/>
      <c r="E26" s="1557"/>
      <c r="F26" s="1501"/>
      <c r="G26" s="1557"/>
      <c r="H26" s="1557"/>
      <c r="I26" s="1110">
        <v>8000000</v>
      </c>
      <c r="J26" s="678"/>
    </row>
    <row r="27" spans="2:10" ht="12" customHeight="1">
      <c r="B27" s="1555">
        <v>43983</v>
      </c>
      <c r="C27" s="1500" t="s">
        <v>1390</v>
      </c>
      <c r="D27" s="1557"/>
      <c r="E27" s="1557"/>
      <c r="F27" s="1501"/>
      <c r="G27" s="1557"/>
      <c r="H27" s="1557"/>
      <c r="I27" s="1110">
        <v>4000000</v>
      </c>
      <c r="J27" s="678"/>
    </row>
    <row r="28" spans="2:10" ht="12" customHeight="1">
      <c r="B28" s="1555">
        <v>44013</v>
      </c>
      <c r="C28" s="1500" t="s">
        <v>1391</v>
      </c>
      <c r="D28" s="1557"/>
      <c r="E28" s="1557"/>
      <c r="F28" s="1501"/>
      <c r="G28" s="1557"/>
      <c r="H28" s="1557"/>
      <c r="I28" s="1110">
        <v>608710</v>
      </c>
      <c r="J28" s="678"/>
    </row>
    <row r="29" spans="2:10" ht="12" customHeight="1">
      <c r="B29" s="1555">
        <v>44075</v>
      </c>
      <c r="C29" s="1500" t="s">
        <v>1392</v>
      </c>
      <c r="D29" s="1557"/>
      <c r="E29" s="1557"/>
      <c r="F29" s="1501"/>
      <c r="G29" s="1557"/>
      <c r="H29" s="1557"/>
      <c r="I29" s="1110">
        <v>11000000</v>
      </c>
      <c r="J29" s="678"/>
    </row>
    <row r="30" spans="2:10" ht="12" customHeight="1">
      <c r="B30" s="1555">
        <v>44166</v>
      </c>
      <c r="C30" s="1500" t="s">
        <v>1393</v>
      </c>
      <c r="D30" s="1557"/>
      <c r="E30" s="1557"/>
      <c r="F30" s="1501"/>
      <c r="G30" s="1557"/>
      <c r="H30" s="1557"/>
      <c r="I30" s="1110">
        <v>500000</v>
      </c>
      <c r="J30" s="678"/>
    </row>
    <row r="31" spans="2:10" ht="12" customHeight="1">
      <c r="B31" s="1555">
        <v>44136</v>
      </c>
      <c r="C31" s="1500" t="s">
        <v>1394</v>
      </c>
      <c r="D31" s="1557"/>
      <c r="E31" s="1557"/>
      <c r="F31" s="1501"/>
      <c r="G31" s="1557"/>
      <c r="H31" s="1557"/>
      <c r="I31" s="1110">
        <v>500000</v>
      </c>
      <c r="J31" s="678"/>
    </row>
    <row r="32" spans="2:10" ht="12" customHeight="1">
      <c r="B32" s="1108" t="s">
        <v>586</v>
      </c>
      <c r="C32" s="1500" t="s">
        <v>1374</v>
      </c>
      <c r="D32" s="1557"/>
      <c r="E32" s="1557"/>
      <c r="F32" s="1501"/>
      <c r="G32" s="1557"/>
      <c r="H32" s="1557"/>
      <c r="I32" s="1110">
        <v>29900</v>
      </c>
      <c r="J32" s="678"/>
    </row>
    <row r="33" spans="2:10" ht="12" customHeight="1">
      <c r="B33" s="1108" t="s">
        <v>586</v>
      </c>
      <c r="C33" s="1500" t="s">
        <v>1374</v>
      </c>
      <c r="D33" s="1557"/>
      <c r="E33" s="1557"/>
      <c r="F33" s="1501"/>
      <c r="G33" s="1557"/>
      <c r="H33" s="1557"/>
      <c r="I33" s="1110">
        <v>187696</v>
      </c>
      <c r="J33" s="678"/>
    </row>
    <row r="34" spans="2:10" ht="12" customHeight="1">
      <c r="B34" s="1108" t="s">
        <v>586</v>
      </c>
      <c r="C34" s="1500" t="s">
        <v>1374</v>
      </c>
      <c r="D34" s="1557"/>
      <c r="E34" s="1557"/>
      <c r="F34" s="1501"/>
      <c r="G34" s="1557"/>
      <c r="H34" s="1557"/>
      <c r="I34" s="1110">
        <v>9500</v>
      </c>
      <c r="J34" s="678"/>
    </row>
    <row r="35" spans="2:10" ht="12" customHeight="1">
      <c r="B35" s="1108" t="s">
        <v>586</v>
      </c>
      <c r="C35" s="1500" t="s">
        <v>1395</v>
      </c>
      <c r="D35" s="1557"/>
      <c r="E35" s="1557"/>
      <c r="F35" s="1501">
        <v>1592000</v>
      </c>
      <c r="G35" s="1557"/>
      <c r="H35" s="1557"/>
      <c r="I35" s="1110"/>
      <c r="J35" s="678"/>
    </row>
    <row r="36" spans="2:10" ht="12" customHeight="1">
      <c r="B36" s="1108" t="s">
        <v>586</v>
      </c>
      <c r="C36" s="1500" t="s">
        <v>1396</v>
      </c>
      <c r="D36" s="1557"/>
      <c r="E36" s="1557"/>
      <c r="F36" s="1501">
        <v>5000000</v>
      </c>
      <c r="G36" s="1557"/>
      <c r="H36" s="1557"/>
      <c r="I36" s="1110"/>
      <c r="J36" s="678"/>
    </row>
    <row r="37" spans="2:10" ht="12" customHeight="1">
      <c r="B37" s="1108" t="s">
        <v>588</v>
      </c>
      <c r="C37" s="1500" t="s">
        <v>1397</v>
      </c>
      <c r="D37" s="1557"/>
      <c r="E37" s="1557"/>
      <c r="F37" s="1501">
        <v>2861000</v>
      </c>
      <c r="G37" s="1557"/>
      <c r="H37" s="1557"/>
      <c r="I37" s="1110"/>
      <c r="J37" s="678"/>
    </row>
    <row r="38" spans="2:10" ht="12" customHeight="1">
      <c r="B38" s="1108" t="s">
        <v>588</v>
      </c>
      <c r="C38" s="1500" t="s">
        <v>1579</v>
      </c>
      <c r="D38" s="1102">
        <v>49500000</v>
      </c>
      <c r="E38" s="1557"/>
      <c r="F38" s="1501"/>
      <c r="G38" s="1557"/>
      <c r="H38" s="1557"/>
      <c r="I38" s="1110"/>
      <c r="J38" s="678"/>
    </row>
    <row r="39" spans="2:10" ht="12" customHeight="1">
      <c r="B39" s="1108" t="s">
        <v>1398</v>
      </c>
      <c r="C39" s="1500" t="s">
        <v>1374</v>
      </c>
      <c r="D39" s="1557"/>
      <c r="E39" s="1557"/>
      <c r="F39" s="1501"/>
      <c r="G39" s="1557"/>
      <c r="H39" s="1557"/>
      <c r="I39" s="1110">
        <v>43500</v>
      </c>
      <c r="J39" s="678"/>
    </row>
    <row r="40" spans="2:10" ht="12" customHeight="1">
      <c r="B40" s="1108" t="s">
        <v>1398</v>
      </c>
      <c r="C40" s="1500" t="s">
        <v>1374</v>
      </c>
      <c r="D40" s="1557"/>
      <c r="E40" s="1557"/>
      <c r="F40" s="1501"/>
      <c r="G40" s="1557"/>
      <c r="H40" s="1557"/>
      <c r="I40" s="1110">
        <v>13000</v>
      </c>
      <c r="J40" s="678"/>
    </row>
    <row r="41" spans="2:10" ht="12" customHeight="1">
      <c r="B41" s="1108" t="s">
        <v>1398</v>
      </c>
      <c r="C41" s="1500" t="s">
        <v>1288</v>
      </c>
      <c r="D41" s="1557"/>
      <c r="E41" s="1557"/>
      <c r="F41" s="1501"/>
      <c r="G41" s="1557"/>
      <c r="H41" s="1557"/>
      <c r="I41" s="1110">
        <v>1000000</v>
      </c>
      <c r="J41" s="678"/>
    </row>
    <row r="42" spans="2:10" ht="12" customHeight="1">
      <c r="B42" s="1108" t="s">
        <v>612</v>
      </c>
      <c r="C42" s="1500" t="s">
        <v>1374</v>
      </c>
      <c r="D42" s="1557"/>
      <c r="E42" s="1557"/>
      <c r="F42" s="1501"/>
      <c r="G42" s="1557"/>
      <c r="H42" s="1557"/>
      <c r="I42" s="1110">
        <v>93814</v>
      </c>
      <c r="J42" s="678"/>
    </row>
    <row r="43" spans="2:10" ht="12" customHeight="1">
      <c r="B43" s="1555">
        <v>44136</v>
      </c>
      <c r="C43" s="1500" t="s">
        <v>1399</v>
      </c>
      <c r="D43" s="1557"/>
      <c r="E43" s="1557"/>
      <c r="F43" s="1501"/>
      <c r="G43" s="1557"/>
      <c r="H43" s="1557"/>
      <c r="I43" s="1110">
        <v>372000</v>
      </c>
      <c r="J43" s="678"/>
    </row>
    <row r="44" spans="2:10" ht="12" customHeight="1">
      <c r="B44" s="1555">
        <v>43862</v>
      </c>
      <c r="C44" s="1500" t="s">
        <v>1400</v>
      </c>
      <c r="D44" s="1557"/>
      <c r="E44" s="1557"/>
      <c r="F44" s="1501"/>
      <c r="G44" s="1557"/>
      <c r="H44" s="1557"/>
      <c r="I44" s="1110">
        <v>220000</v>
      </c>
      <c r="J44" s="678"/>
    </row>
    <row r="45" spans="2:10" ht="12" customHeight="1">
      <c r="B45" s="1555">
        <v>43891</v>
      </c>
      <c r="C45" s="1500" t="s">
        <v>1580</v>
      </c>
      <c r="D45" s="1557"/>
      <c r="E45" s="1557"/>
      <c r="F45" s="1501"/>
      <c r="G45" s="1557"/>
      <c r="H45" s="1557"/>
      <c r="I45" s="1110">
        <v>80000</v>
      </c>
      <c r="J45" s="678"/>
    </row>
    <row r="46" spans="2:10" ht="12" customHeight="1">
      <c r="B46" s="1555">
        <v>43892</v>
      </c>
      <c r="C46" s="1500" t="s">
        <v>1311</v>
      </c>
      <c r="D46" s="1557"/>
      <c r="E46" s="1557"/>
      <c r="F46" s="1501"/>
      <c r="G46" s="1557"/>
      <c r="H46" s="1557"/>
      <c r="I46" s="1110">
        <v>370000</v>
      </c>
      <c r="J46" s="678"/>
    </row>
    <row r="47" spans="2:10" ht="12" customHeight="1">
      <c r="B47" s="1555">
        <v>43893</v>
      </c>
      <c r="C47" s="1500" t="s">
        <v>1401</v>
      </c>
      <c r="D47" s="1557"/>
      <c r="E47" s="1557"/>
      <c r="F47" s="1501"/>
      <c r="G47" s="1557"/>
      <c r="H47" s="1557"/>
      <c r="I47" s="1110">
        <v>160000</v>
      </c>
      <c r="J47" s="678"/>
    </row>
    <row r="48" spans="2:10" ht="12" customHeight="1">
      <c r="B48" s="1555">
        <v>43894</v>
      </c>
      <c r="C48" s="1500" t="s">
        <v>1402</v>
      </c>
      <c r="D48" s="1557"/>
      <c r="E48" s="1557"/>
      <c r="F48" s="1501"/>
      <c r="G48" s="1557"/>
      <c r="H48" s="1557"/>
      <c r="I48" s="1110">
        <v>140000</v>
      </c>
      <c r="J48" s="678"/>
    </row>
    <row r="49" spans="2:10" ht="12" customHeight="1">
      <c r="B49" s="1555">
        <v>43895</v>
      </c>
      <c r="C49" s="1500" t="s">
        <v>1403</v>
      </c>
      <c r="D49" s="1557"/>
      <c r="E49" s="1557"/>
      <c r="F49" s="1501"/>
      <c r="G49" s="1557"/>
      <c r="H49" s="1557"/>
      <c r="I49" s="1110">
        <v>130000</v>
      </c>
      <c r="J49" s="678"/>
    </row>
    <row r="50" spans="2:10" ht="12" customHeight="1">
      <c r="B50" s="1555">
        <v>43891</v>
      </c>
      <c r="C50" s="1500" t="s">
        <v>1404</v>
      </c>
      <c r="D50" s="1557"/>
      <c r="E50" s="1557"/>
      <c r="F50" s="1501"/>
      <c r="G50" s="1557"/>
      <c r="H50" s="1557"/>
      <c r="I50" s="1110">
        <v>500000</v>
      </c>
      <c r="J50" s="678"/>
    </row>
    <row r="51" spans="2:10" ht="12" customHeight="1">
      <c r="B51" s="1555"/>
      <c r="C51" s="1500" t="s">
        <v>1405</v>
      </c>
      <c r="D51" s="1557"/>
      <c r="E51" s="1557"/>
      <c r="F51" s="1501"/>
      <c r="G51" s="1557"/>
      <c r="H51" s="1557"/>
      <c r="I51" s="1110">
        <v>850000</v>
      </c>
      <c r="J51" s="678"/>
    </row>
    <row r="52" spans="2:10" ht="12" customHeight="1">
      <c r="B52" s="1555"/>
      <c r="C52" s="1500" t="s">
        <v>1285</v>
      </c>
      <c r="D52" s="1557"/>
      <c r="E52" s="1557"/>
      <c r="F52" s="1501"/>
      <c r="G52" s="1557"/>
      <c r="H52" s="1557"/>
      <c r="I52" s="1110">
        <v>15000</v>
      </c>
      <c r="J52" s="678"/>
    </row>
    <row r="53" spans="2:10" ht="12" customHeight="1">
      <c r="B53" s="1555"/>
      <c r="C53" s="1500" t="s">
        <v>1285</v>
      </c>
      <c r="D53" s="1557"/>
      <c r="E53" s="1557"/>
      <c r="F53" s="1501"/>
      <c r="G53" s="1557"/>
      <c r="H53" s="1557"/>
      <c r="I53" s="1110">
        <v>10000</v>
      </c>
      <c r="J53" s="678"/>
    </row>
    <row r="54" spans="2:10" ht="12" customHeight="1">
      <c r="B54" s="1555"/>
      <c r="C54" s="1500" t="s">
        <v>1285</v>
      </c>
      <c r="D54" s="1557"/>
      <c r="E54" s="1557"/>
      <c r="F54" s="1501"/>
      <c r="G54" s="1557"/>
      <c r="H54" s="1557"/>
      <c r="I54" s="1110">
        <v>15000</v>
      </c>
      <c r="J54" s="678"/>
    </row>
    <row r="55" spans="2:10" ht="12" customHeight="1">
      <c r="B55" s="1555"/>
      <c r="C55" s="1500" t="s">
        <v>1285</v>
      </c>
      <c r="D55" s="1557"/>
      <c r="E55" s="1557"/>
      <c r="F55" s="1501"/>
      <c r="G55" s="1557"/>
      <c r="H55" s="1557"/>
      <c r="I55" s="1110">
        <v>40000</v>
      </c>
      <c r="J55" s="678"/>
    </row>
    <row r="56" spans="2:10" ht="12" customHeight="1">
      <c r="B56" s="1555"/>
      <c r="C56" s="1500" t="s">
        <v>1285</v>
      </c>
      <c r="D56" s="1557"/>
      <c r="E56" s="1557"/>
      <c r="F56" s="1501"/>
      <c r="G56" s="1557"/>
      <c r="H56" s="1557"/>
      <c r="I56" s="1110">
        <v>90000</v>
      </c>
      <c r="J56" s="678"/>
    </row>
    <row r="57" spans="2:10" ht="12" customHeight="1">
      <c r="B57" s="1555"/>
      <c r="C57" s="1500" t="s">
        <v>1285</v>
      </c>
      <c r="D57" s="1557"/>
      <c r="E57" s="1557"/>
      <c r="F57" s="1501"/>
      <c r="G57" s="1557"/>
      <c r="H57" s="1557"/>
      <c r="I57" s="1110">
        <v>60000</v>
      </c>
      <c r="J57" s="678"/>
    </row>
    <row r="58" spans="2:10" ht="12" customHeight="1">
      <c r="B58" s="1555"/>
      <c r="C58" s="1500" t="s">
        <v>1285</v>
      </c>
      <c r="D58" s="1557"/>
      <c r="E58" s="1557"/>
      <c r="F58" s="1501"/>
      <c r="G58" s="1557"/>
      <c r="H58" s="1557"/>
      <c r="I58" s="1110">
        <v>40000</v>
      </c>
      <c r="J58" s="678"/>
    </row>
    <row r="59" spans="2:10" ht="12" customHeight="1">
      <c r="B59" s="1555"/>
      <c r="C59" s="1500" t="s">
        <v>1285</v>
      </c>
      <c r="D59" s="1557"/>
      <c r="E59" s="1557"/>
      <c r="F59" s="1501"/>
      <c r="G59" s="1557"/>
      <c r="H59" s="1557"/>
      <c r="I59" s="1110">
        <v>90000</v>
      </c>
      <c r="J59" s="678"/>
    </row>
    <row r="60" spans="2:10" ht="12" customHeight="1">
      <c r="B60" s="1555"/>
      <c r="C60" s="1500" t="s">
        <v>1285</v>
      </c>
      <c r="D60" s="1557"/>
      <c r="E60" s="1557"/>
      <c r="F60" s="1501"/>
      <c r="G60" s="1557"/>
      <c r="H60" s="1557"/>
      <c r="I60" s="1110">
        <v>90000</v>
      </c>
      <c r="J60" s="678"/>
    </row>
    <row r="61" spans="2:10" ht="12" customHeight="1">
      <c r="B61" s="1555"/>
      <c r="C61" s="1500" t="s">
        <v>1285</v>
      </c>
      <c r="D61" s="1557"/>
      <c r="E61" s="1557"/>
      <c r="F61" s="1501"/>
      <c r="G61" s="1557"/>
      <c r="H61" s="1557"/>
      <c r="I61" s="1110">
        <v>150000</v>
      </c>
      <c r="J61" s="678"/>
    </row>
    <row r="62" spans="2:10" ht="12" customHeight="1">
      <c r="B62" s="1555"/>
      <c r="C62" s="1500" t="s">
        <v>1285</v>
      </c>
      <c r="D62" s="1557"/>
      <c r="E62" s="1557"/>
      <c r="F62" s="1501"/>
      <c r="G62" s="1557"/>
      <c r="H62" s="1557"/>
      <c r="I62" s="1110">
        <v>35000</v>
      </c>
      <c r="J62" s="678"/>
    </row>
    <row r="63" spans="2:10" ht="12" customHeight="1">
      <c r="B63" s="1555"/>
      <c r="C63" s="1500" t="s">
        <v>1285</v>
      </c>
      <c r="D63" s="1557"/>
      <c r="E63" s="1557"/>
      <c r="F63" s="1501"/>
      <c r="G63" s="1557"/>
      <c r="H63" s="1557"/>
      <c r="I63" s="1110">
        <v>40000</v>
      </c>
      <c r="J63" s="678"/>
    </row>
    <row r="64" spans="2:10" ht="12" customHeight="1">
      <c r="B64" s="1555"/>
      <c r="C64" s="1500" t="s">
        <v>1285</v>
      </c>
      <c r="D64" s="1557"/>
      <c r="E64" s="1557"/>
      <c r="F64" s="1501"/>
      <c r="G64" s="1557"/>
      <c r="H64" s="1557"/>
      <c r="I64" s="1110">
        <v>65000</v>
      </c>
      <c r="J64" s="678"/>
    </row>
    <row r="65" spans="2:10" ht="12" customHeight="1">
      <c r="B65" s="1555">
        <v>44013</v>
      </c>
      <c r="C65" s="1500" t="s">
        <v>1406</v>
      </c>
      <c r="D65" s="1557"/>
      <c r="E65" s="1557"/>
      <c r="F65" s="1501"/>
      <c r="G65" s="1557"/>
      <c r="H65" s="1557"/>
      <c r="I65" s="1110">
        <v>179000</v>
      </c>
      <c r="J65" s="678"/>
    </row>
    <row r="66" spans="2:10" ht="12" customHeight="1">
      <c r="B66" s="1555"/>
      <c r="C66" s="1500" t="s">
        <v>1407</v>
      </c>
      <c r="D66" s="1557"/>
      <c r="E66" s="1557"/>
      <c r="F66" s="1501"/>
      <c r="G66" s="1557"/>
      <c r="H66" s="1557"/>
      <c r="I66" s="1110">
        <v>69031</v>
      </c>
      <c r="J66" s="678"/>
    </row>
    <row r="67" spans="2:10" ht="12" customHeight="1">
      <c r="B67" s="1555">
        <v>43922</v>
      </c>
      <c r="C67" s="1500" t="s">
        <v>1408</v>
      </c>
      <c r="D67" s="1557"/>
      <c r="E67" s="1557"/>
      <c r="F67" s="1501"/>
      <c r="G67" s="1557"/>
      <c r="H67" s="1557"/>
      <c r="I67" s="1110">
        <f>4018000+1154000</f>
        <v>5172000</v>
      </c>
      <c r="J67" s="678"/>
    </row>
    <row r="68" spans="2:10" s="1559" customFormat="1" ht="12" customHeight="1">
      <c r="B68" s="1555">
        <v>44044</v>
      </c>
      <c r="C68" s="1500" t="s">
        <v>1409</v>
      </c>
      <c r="D68" s="1561"/>
      <c r="E68" s="1561"/>
      <c r="F68" s="1562"/>
      <c r="G68" s="1561"/>
      <c r="H68" s="1561"/>
      <c r="I68" s="1110">
        <v>3158000</v>
      </c>
      <c r="J68" s="1564"/>
    </row>
    <row r="69" spans="2:10" ht="12" customHeight="1">
      <c r="B69" s="1555">
        <v>44013</v>
      </c>
      <c r="C69" s="1500" t="s">
        <v>1581</v>
      </c>
      <c r="D69" s="1557"/>
      <c r="E69" s="1557"/>
      <c r="F69" s="1501"/>
      <c r="G69" s="1557"/>
      <c r="H69" s="1557"/>
      <c r="I69" s="1110">
        <v>55000</v>
      </c>
      <c r="J69" s="678"/>
    </row>
    <row r="70" spans="2:10" ht="12" customHeight="1">
      <c r="B70" s="1555">
        <v>44044</v>
      </c>
      <c r="C70" s="1500" t="s">
        <v>1410</v>
      </c>
      <c r="D70" s="1557"/>
      <c r="E70" s="1557"/>
      <c r="F70" s="1501"/>
      <c r="G70" s="1557"/>
      <c r="H70" s="1557"/>
      <c r="I70" s="1110">
        <v>35000</v>
      </c>
      <c r="J70" s="678"/>
    </row>
    <row r="71" spans="2:10" ht="12" customHeight="1">
      <c r="B71" s="1555">
        <v>44044</v>
      </c>
      <c r="C71" s="1500" t="s">
        <v>1411</v>
      </c>
      <c r="D71" s="1557"/>
      <c r="E71" s="1557"/>
      <c r="F71" s="1501"/>
      <c r="G71" s="1557"/>
      <c r="H71" s="1557"/>
      <c r="I71" s="1110">
        <v>156000</v>
      </c>
      <c r="J71" s="678"/>
    </row>
    <row r="72" spans="2:10" ht="12" customHeight="1">
      <c r="B72" s="1555">
        <v>44044</v>
      </c>
      <c r="C72" s="1500" t="s">
        <v>1412</v>
      </c>
      <c r="D72" s="1557"/>
      <c r="E72" s="1557"/>
      <c r="F72" s="1501"/>
      <c r="G72" s="1557"/>
      <c r="H72" s="1557"/>
      <c r="I72" s="1110">
        <v>172000</v>
      </c>
      <c r="J72" s="678"/>
    </row>
    <row r="73" spans="2:10" ht="12" customHeight="1">
      <c r="B73" s="1555">
        <v>44044</v>
      </c>
      <c r="C73" s="1500" t="s">
        <v>1413</v>
      </c>
      <c r="D73" s="1557"/>
      <c r="E73" s="1557"/>
      <c r="F73" s="1501"/>
      <c r="G73" s="1557"/>
      <c r="H73" s="1557"/>
      <c r="I73" s="1110">
        <v>391000</v>
      </c>
      <c r="J73" s="678"/>
    </row>
    <row r="74" spans="2:10" ht="12" customHeight="1">
      <c r="B74" s="1555">
        <v>44044</v>
      </c>
      <c r="C74" s="1500" t="s">
        <v>1414</v>
      </c>
      <c r="D74" s="1557"/>
      <c r="E74" s="1557"/>
      <c r="F74" s="1501"/>
      <c r="G74" s="1557"/>
      <c r="H74" s="1557"/>
      <c r="I74" s="1110">
        <v>70000</v>
      </c>
      <c r="J74" s="678"/>
    </row>
    <row r="75" spans="2:10" ht="12" customHeight="1">
      <c r="B75" s="1555">
        <v>44044</v>
      </c>
      <c r="C75" s="1500" t="s">
        <v>1415</v>
      </c>
      <c r="D75" s="1557"/>
      <c r="E75" s="1557"/>
      <c r="F75" s="1501"/>
      <c r="G75" s="1557"/>
      <c r="H75" s="1557"/>
      <c r="I75" s="1110">
        <v>70000</v>
      </c>
      <c r="J75" s="678"/>
    </row>
    <row r="76" spans="2:10" ht="12" customHeight="1">
      <c r="B76" s="1555">
        <v>44044</v>
      </c>
      <c r="C76" s="1500" t="s">
        <v>1311</v>
      </c>
      <c r="D76" s="1557"/>
      <c r="E76" s="1557"/>
      <c r="F76" s="1501"/>
      <c r="G76" s="1557"/>
      <c r="H76" s="1557"/>
      <c r="I76" s="1110">
        <v>425000</v>
      </c>
      <c r="J76" s="678"/>
    </row>
    <row r="77" spans="2:10" ht="12" customHeight="1">
      <c r="B77" s="1555">
        <v>44075</v>
      </c>
      <c r="C77" s="1500" t="s">
        <v>1416</v>
      </c>
      <c r="D77" s="1557"/>
      <c r="E77" s="1557"/>
      <c r="F77" s="1501"/>
      <c r="G77" s="1557"/>
      <c r="H77" s="1557"/>
      <c r="I77" s="1110">
        <v>225000</v>
      </c>
      <c r="J77" s="678"/>
    </row>
    <row r="78" spans="2:10" ht="12" customHeight="1">
      <c r="B78" s="1555">
        <v>44075</v>
      </c>
      <c r="C78" s="1500" t="s">
        <v>1417</v>
      </c>
      <c r="D78" s="1557"/>
      <c r="E78" s="1557"/>
      <c r="F78" s="1501"/>
      <c r="G78" s="1557"/>
      <c r="H78" s="1557"/>
      <c r="I78" s="1110">
        <v>95000</v>
      </c>
      <c r="J78" s="678"/>
    </row>
    <row r="79" spans="2:10" ht="12" customHeight="1">
      <c r="B79" s="1555">
        <v>44075</v>
      </c>
      <c r="C79" s="1500" t="s">
        <v>1418</v>
      </c>
      <c r="D79" s="1557"/>
      <c r="E79" s="1557"/>
      <c r="F79" s="1501"/>
      <c r="G79" s="1557"/>
      <c r="H79" s="1557"/>
      <c r="I79" s="1110">
        <v>190000</v>
      </c>
      <c r="J79" s="678"/>
    </row>
    <row r="80" spans="2:10" ht="12" customHeight="1">
      <c r="B80" s="1555">
        <v>44075</v>
      </c>
      <c r="C80" s="1500" t="s">
        <v>1287</v>
      </c>
      <c r="D80" s="1557"/>
      <c r="E80" s="1557"/>
      <c r="F80" s="1501"/>
      <c r="G80" s="1557"/>
      <c r="H80" s="1557"/>
      <c r="I80" s="1110">
        <v>181000</v>
      </c>
      <c r="J80" s="678"/>
    </row>
    <row r="81" spans="2:10" ht="12" customHeight="1">
      <c r="B81" s="1555">
        <v>44075</v>
      </c>
      <c r="C81" s="1500" t="s">
        <v>1419</v>
      </c>
      <c r="D81" s="1557"/>
      <c r="E81" s="1557"/>
      <c r="F81" s="1501"/>
      <c r="G81" s="1557"/>
      <c r="H81" s="1557"/>
      <c r="I81" s="1110">
        <v>642000</v>
      </c>
      <c r="J81" s="678"/>
    </row>
    <row r="82" spans="2:10" ht="12" customHeight="1">
      <c r="B82" s="1555">
        <v>44105</v>
      </c>
      <c r="C82" s="1500" t="s">
        <v>1416</v>
      </c>
      <c r="D82" s="1557"/>
      <c r="E82" s="1557"/>
      <c r="F82" s="1501"/>
      <c r="G82" s="1557"/>
      <c r="H82" s="1557"/>
      <c r="I82" s="1110">
        <v>255000</v>
      </c>
      <c r="J82" s="678"/>
    </row>
    <row r="83" spans="2:10" ht="12" customHeight="1">
      <c r="B83" s="1555">
        <v>44105</v>
      </c>
      <c r="C83" s="1500" t="s">
        <v>1287</v>
      </c>
      <c r="D83" s="1557"/>
      <c r="E83" s="1557"/>
      <c r="F83" s="1501"/>
      <c r="G83" s="1557"/>
      <c r="H83" s="1557"/>
      <c r="I83" s="1110">
        <v>35000</v>
      </c>
      <c r="J83" s="678"/>
    </row>
    <row r="84" spans="2:10" ht="12" customHeight="1">
      <c r="B84" s="1555">
        <v>44105</v>
      </c>
      <c r="C84" s="1500" t="s">
        <v>1420</v>
      </c>
      <c r="D84" s="1557"/>
      <c r="E84" s="1557"/>
      <c r="F84" s="1501"/>
      <c r="G84" s="1557"/>
      <c r="H84" s="1557"/>
      <c r="I84" s="1110">
        <v>550000</v>
      </c>
      <c r="J84" s="678"/>
    </row>
    <row r="85" spans="2:10" ht="12" customHeight="1">
      <c r="B85" s="1555">
        <v>44105</v>
      </c>
      <c r="C85" s="1500" t="s">
        <v>1287</v>
      </c>
      <c r="D85" s="1557"/>
      <c r="E85" s="1557"/>
      <c r="F85" s="1501"/>
      <c r="G85" s="1557"/>
      <c r="H85" s="1557"/>
      <c r="I85" s="1110">
        <v>84000</v>
      </c>
      <c r="J85" s="678"/>
    </row>
    <row r="86" spans="2:10" ht="12" customHeight="1">
      <c r="B86" s="1555">
        <v>44105</v>
      </c>
      <c r="C86" s="1500" t="s">
        <v>1582</v>
      </c>
      <c r="D86" s="1557"/>
      <c r="E86" s="1557"/>
      <c r="F86" s="1501"/>
      <c r="G86" s="1557"/>
      <c r="H86" s="1557"/>
      <c r="I86" s="1110">
        <v>900000</v>
      </c>
      <c r="J86" s="678"/>
    </row>
    <row r="87" spans="2:10" ht="12" customHeight="1">
      <c r="B87" s="1555">
        <v>44105</v>
      </c>
      <c r="C87" s="1500" t="s">
        <v>1421</v>
      </c>
      <c r="D87" s="1557"/>
      <c r="E87" s="1557"/>
      <c r="F87" s="1501"/>
      <c r="G87" s="1557"/>
      <c r="H87" s="1557"/>
      <c r="I87" s="1110">
        <v>100000</v>
      </c>
      <c r="J87" s="678"/>
    </row>
    <row r="88" spans="2:10" ht="12" customHeight="1">
      <c r="B88" s="1555">
        <v>44136</v>
      </c>
      <c r="C88" s="1500" t="s">
        <v>1422</v>
      </c>
      <c r="D88" s="1557"/>
      <c r="E88" s="1557"/>
      <c r="F88" s="1501"/>
      <c r="G88" s="1557"/>
      <c r="H88" s="1557"/>
      <c r="I88" s="1110">
        <v>40000</v>
      </c>
      <c r="J88" s="678"/>
    </row>
    <row r="89" spans="2:10" ht="12" customHeight="1">
      <c r="B89" s="1555">
        <v>44136</v>
      </c>
      <c r="C89" s="1500" t="s">
        <v>1423</v>
      </c>
      <c r="D89" s="1557"/>
      <c r="E89" s="1557"/>
      <c r="F89" s="1501"/>
      <c r="G89" s="1557"/>
      <c r="H89" s="1557"/>
      <c r="I89" s="1110">
        <v>599000</v>
      </c>
      <c r="J89" s="678"/>
    </row>
    <row r="90" spans="2:10" ht="12" customHeight="1">
      <c r="B90" s="1555">
        <v>44136</v>
      </c>
      <c r="C90" s="1500" t="s">
        <v>1424</v>
      </c>
      <c r="D90" s="1557"/>
      <c r="E90" s="1557"/>
      <c r="F90" s="1501"/>
      <c r="G90" s="1557"/>
      <c r="H90" s="1557"/>
      <c r="I90" s="1110">
        <v>430000</v>
      </c>
      <c r="J90" s="678"/>
    </row>
    <row r="91" spans="2:10" ht="12" customHeight="1">
      <c r="B91" s="1555">
        <v>44136</v>
      </c>
      <c r="C91" s="1500" t="s">
        <v>1416</v>
      </c>
      <c r="D91" s="1557"/>
      <c r="E91" s="1557"/>
      <c r="F91" s="1501"/>
      <c r="G91" s="1557"/>
      <c r="H91" s="1557"/>
      <c r="I91" s="1110">
        <v>210000</v>
      </c>
      <c r="J91" s="678"/>
    </row>
    <row r="92" spans="2:10" ht="12" customHeight="1">
      <c r="B92" s="1555">
        <v>44136</v>
      </c>
      <c r="C92" s="1500" t="s">
        <v>1425</v>
      </c>
      <c r="D92" s="1557"/>
      <c r="E92" s="1557"/>
      <c r="F92" s="1501"/>
      <c r="G92" s="1557"/>
      <c r="H92" s="1557"/>
      <c r="I92" s="1110">
        <v>1000000</v>
      </c>
      <c r="J92" s="678"/>
    </row>
    <row r="93" spans="2:10" ht="12" customHeight="1">
      <c r="B93" s="1555">
        <v>44136</v>
      </c>
      <c r="C93" s="1500" t="s">
        <v>1426</v>
      </c>
      <c r="D93" s="1557"/>
      <c r="E93" s="1557"/>
      <c r="F93" s="1501"/>
      <c r="G93" s="1557"/>
      <c r="H93" s="1557"/>
      <c r="I93" s="1110">
        <v>165000</v>
      </c>
      <c r="J93" s="678"/>
    </row>
    <row r="94" spans="2:10" ht="12" customHeight="1">
      <c r="B94" s="1555">
        <v>44136</v>
      </c>
      <c r="C94" s="1500" t="s">
        <v>1427</v>
      </c>
      <c r="D94" s="1557"/>
      <c r="E94" s="1557"/>
      <c r="F94" s="1501"/>
      <c r="G94" s="1557"/>
      <c r="H94" s="1557"/>
      <c r="I94" s="1110">
        <v>62000</v>
      </c>
      <c r="J94" s="678"/>
    </row>
    <row r="95" spans="2:10" ht="12" customHeight="1">
      <c r="B95" s="1555">
        <v>44136</v>
      </c>
      <c r="C95" s="1500" t="s">
        <v>1428</v>
      </c>
      <c r="D95" s="1557"/>
      <c r="E95" s="1557"/>
      <c r="F95" s="1501"/>
      <c r="G95" s="1557"/>
      <c r="H95" s="1557"/>
      <c r="I95" s="1110">
        <v>100000</v>
      </c>
      <c r="J95" s="678"/>
    </row>
    <row r="96" spans="2:10" ht="12" customHeight="1">
      <c r="B96" s="1555">
        <v>44136</v>
      </c>
      <c r="C96" s="1500" t="s">
        <v>1429</v>
      </c>
      <c r="D96" s="1557"/>
      <c r="E96" s="1557"/>
      <c r="F96" s="1501"/>
      <c r="G96" s="1557"/>
      <c r="H96" s="1557"/>
      <c r="I96" s="1110">
        <v>70000</v>
      </c>
      <c r="J96" s="678"/>
    </row>
    <row r="97" spans="2:10" ht="12" customHeight="1">
      <c r="B97" s="1555">
        <v>44166</v>
      </c>
      <c r="C97" s="1500" t="s">
        <v>1430</v>
      </c>
      <c r="D97" s="1557"/>
      <c r="E97" s="1557"/>
      <c r="F97" s="1501"/>
      <c r="G97" s="1557"/>
      <c r="H97" s="1557"/>
      <c r="I97" s="1110">
        <v>330000</v>
      </c>
      <c r="J97" s="678"/>
    </row>
    <row r="98" spans="2:10" ht="12" customHeight="1">
      <c r="B98" s="1555">
        <v>44166</v>
      </c>
      <c r="C98" s="1500" t="s">
        <v>1431</v>
      </c>
      <c r="D98" s="1557"/>
      <c r="E98" s="1557"/>
      <c r="F98" s="1501"/>
      <c r="G98" s="1557"/>
      <c r="H98" s="1557"/>
      <c r="I98" s="1110">
        <v>472000</v>
      </c>
      <c r="J98" s="678"/>
    </row>
    <row r="99" spans="2:10" ht="12" customHeight="1">
      <c r="B99" s="1555">
        <v>44044</v>
      </c>
      <c r="C99" s="1500" t="s">
        <v>1432</v>
      </c>
      <c r="D99" s="1557"/>
      <c r="E99" s="1557"/>
      <c r="F99" s="1501"/>
      <c r="G99" s="1557"/>
      <c r="H99" s="1557"/>
      <c r="I99" s="1110">
        <v>300000</v>
      </c>
      <c r="J99" s="678"/>
    </row>
    <row r="100" spans="2:10" ht="12" customHeight="1">
      <c r="B100" s="1108" t="s">
        <v>586</v>
      </c>
      <c r="C100" s="1500" t="s">
        <v>1433</v>
      </c>
      <c r="D100" s="1557"/>
      <c r="E100" s="1557"/>
      <c r="F100" s="1501"/>
      <c r="G100" s="1557"/>
      <c r="H100" s="1557"/>
      <c r="I100" s="1110">
        <v>55000</v>
      </c>
      <c r="J100" s="678"/>
    </row>
    <row r="101" spans="2:10" ht="12" customHeight="1">
      <c r="B101" s="1108" t="s">
        <v>586</v>
      </c>
      <c r="C101" s="1500" t="s">
        <v>1433</v>
      </c>
      <c r="D101" s="1557"/>
      <c r="E101" s="1557"/>
      <c r="F101" s="1501"/>
      <c r="G101" s="1557"/>
      <c r="H101" s="1557"/>
      <c r="I101" s="1110">
        <v>56000</v>
      </c>
      <c r="J101" s="678"/>
    </row>
    <row r="102" spans="2:10" ht="12" customHeight="1">
      <c r="B102" s="1108" t="s">
        <v>605</v>
      </c>
      <c r="C102" s="1500" t="s">
        <v>1434</v>
      </c>
      <c r="D102" s="1557"/>
      <c r="E102" s="1557"/>
      <c r="F102" s="1501"/>
      <c r="G102" s="1557"/>
      <c r="H102" s="1557"/>
      <c r="I102" s="1110">
        <v>4122000</v>
      </c>
      <c r="J102" s="678"/>
    </row>
    <row r="103" spans="2:10" ht="12" customHeight="1">
      <c r="B103" s="1108" t="s">
        <v>607</v>
      </c>
      <c r="C103" s="1500" t="s">
        <v>1435</v>
      </c>
      <c r="D103" s="1557"/>
      <c r="E103" s="1557"/>
      <c r="F103" s="1501"/>
      <c r="G103" s="1557"/>
      <c r="H103" s="1557"/>
      <c r="I103" s="1110">
        <v>140000</v>
      </c>
      <c r="J103" s="678"/>
    </row>
    <row r="104" spans="2:10" ht="12" customHeight="1">
      <c r="B104" s="1108" t="s">
        <v>607</v>
      </c>
      <c r="C104" s="1500" t="s">
        <v>1435</v>
      </c>
      <c r="D104" s="1557"/>
      <c r="E104" s="1557"/>
      <c r="F104" s="1501"/>
      <c r="G104" s="1557"/>
      <c r="H104" s="1557"/>
      <c r="I104" s="1110">
        <v>147100</v>
      </c>
      <c r="J104" s="678"/>
    </row>
    <row r="105" spans="2:10" ht="12" customHeight="1">
      <c r="B105" s="1108" t="s">
        <v>607</v>
      </c>
      <c r="C105" s="1500" t="s">
        <v>1435</v>
      </c>
      <c r="D105" s="1557"/>
      <c r="E105" s="1557"/>
      <c r="F105" s="1501"/>
      <c r="G105" s="1557"/>
      <c r="H105" s="1557"/>
      <c r="I105" s="1110">
        <v>66800</v>
      </c>
      <c r="J105" s="678"/>
    </row>
    <row r="106" spans="2:10" ht="12" customHeight="1">
      <c r="B106" s="1108" t="s">
        <v>611</v>
      </c>
      <c r="C106" s="1500" t="s">
        <v>1436</v>
      </c>
      <c r="D106" s="1557"/>
      <c r="E106" s="1557"/>
      <c r="F106" s="1501"/>
      <c r="G106" s="1557"/>
      <c r="H106" s="1557"/>
      <c r="I106" s="1110">
        <v>241000</v>
      </c>
      <c r="J106" s="678"/>
    </row>
    <row r="107" spans="2:10" ht="12" customHeight="1">
      <c r="B107" s="1108" t="s">
        <v>586</v>
      </c>
      <c r="C107" s="1500" t="s">
        <v>1437</v>
      </c>
      <c r="D107" s="1557"/>
      <c r="E107" s="1557"/>
      <c r="F107" s="1501"/>
      <c r="G107" s="1557"/>
      <c r="H107" s="1557"/>
      <c r="I107" s="1110">
        <v>713660</v>
      </c>
      <c r="J107" s="678"/>
    </row>
    <row r="108" spans="2:10" ht="12" customHeight="1">
      <c r="B108" s="1108" t="s">
        <v>1398</v>
      </c>
      <c r="C108" s="1500" t="s">
        <v>1437</v>
      </c>
      <c r="D108" s="1557"/>
      <c r="E108" s="1557"/>
      <c r="F108" s="1501"/>
      <c r="G108" s="1557"/>
      <c r="H108" s="1557"/>
      <c r="I108" s="1110">
        <v>1023359</v>
      </c>
      <c r="J108" s="678"/>
    </row>
    <row r="109" spans="2:10" ht="12" customHeight="1">
      <c r="B109" s="1108" t="s">
        <v>603</v>
      </c>
      <c r="C109" s="1500" t="s">
        <v>1438</v>
      </c>
      <c r="D109" s="1557"/>
      <c r="E109" s="1557"/>
      <c r="F109" s="1501"/>
      <c r="G109" s="1557"/>
      <c r="H109" s="1557"/>
      <c r="I109" s="1110">
        <v>6000000</v>
      </c>
      <c r="J109" s="678"/>
    </row>
    <row r="110" spans="2:10" ht="12" customHeight="1">
      <c r="B110" s="1108" t="s">
        <v>603</v>
      </c>
      <c r="C110" s="1500" t="s">
        <v>1439</v>
      </c>
      <c r="D110" s="1557"/>
      <c r="E110" s="1557"/>
      <c r="F110" s="1501"/>
      <c r="G110" s="1557"/>
      <c r="H110" s="1557"/>
      <c r="I110" s="1110">
        <v>1000000</v>
      </c>
      <c r="J110" s="678"/>
    </row>
    <row r="111" spans="2:10" ht="12" customHeight="1">
      <c r="B111" s="1108" t="s">
        <v>603</v>
      </c>
      <c r="C111" s="1500" t="s">
        <v>1440</v>
      </c>
      <c r="D111" s="1557"/>
      <c r="E111" s="1557"/>
      <c r="F111" s="1501"/>
      <c r="G111" s="1557"/>
      <c r="H111" s="1557"/>
      <c r="I111" s="1110">
        <v>15000</v>
      </c>
      <c r="J111" s="678"/>
    </row>
    <row r="112" spans="2:10" ht="12" customHeight="1">
      <c r="B112" s="1108"/>
      <c r="C112" s="1500" t="s">
        <v>1440</v>
      </c>
      <c r="D112" s="1557"/>
      <c r="E112" s="1557"/>
      <c r="F112" s="1501"/>
      <c r="G112" s="1557"/>
      <c r="H112" s="1557"/>
      <c r="I112" s="1110">
        <v>15000</v>
      </c>
      <c r="J112" s="678"/>
    </row>
    <row r="113" spans="2:10" ht="12" customHeight="1">
      <c r="B113" s="1108"/>
      <c r="C113" s="1500" t="s">
        <v>1440</v>
      </c>
      <c r="D113" s="1557"/>
      <c r="E113" s="1557"/>
      <c r="F113" s="1501"/>
      <c r="G113" s="1557"/>
      <c r="H113" s="1557"/>
      <c r="I113" s="1110">
        <v>10000</v>
      </c>
      <c r="J113" s="678"/>
    </row>
    <row r="114" spans="2:10" ht="12" customHeight="1">
      <c r="B114" s="1108"/>
      <c r="C114" s="1500" t="s">
        <v>1440</v>
      </c>
      <c r="D114" s="1557"/>
      <c r="E114" s="1557"/>
      <c r="F114" s="1501"/>
      <c r="G114" s="1557"/>
      <c r="H114" s="1557"/>
      <c r="I114" s="1110">
        <v>10000</v>
      </c>
      <c r="J114" s="678"/>
    </row>
    <row r="115" spans="2:10" ht="12" customHeight="1">
      <c r="B115" s="1108"/>
      <c r="C115" s="1500" t="s">
        <v>1440</v>
      </c>
      <c r="D115" s="1557"/>
      <c r="E115" s="1557"/>
      <c r="F115" s="1501"/>
      <c r="G115" s="1557"/>
      <c r="H115" s="1557"/>
      <c r="I115" s="1110">
        <v>35000</v>
      </c>
      <c r="J115" s="678"/>
    </row>
    <row r="116" spans="2:10" ht="12" customHeight="1">
      <c r="B116" s="1555"/>
      <c r="C116" s="1500" t="s">
        <v>1440</v>
      </c>
      <c r="D116" s="1557"/>
      <c r="E116" s="1557"/>
      <c r="F116" s="1501"/>
      <c r="G116" s="1557"/>
      <c r="H116" s="1557"/>
      <c r="I116" s="1110">
        <v>35000</v>
      </c>
      <c r="J116" s="678"/>
    </row>
    <row r="117" spans="2:10" ht="12" customHeight="1">
      <c r="B117" s="1555"/>
      <c r="C117" s="1500" t="s">
        <v>1440</v>
      </c>
      <c r="D117" s="1557"/>
      <c r="E117" s="1557"/>
      <c r="F117" s="1501"/>
      <c r="G117" s="1557"/>
      <c r="H117" s="1557"/>
      <c r="I117" s="1110">
        <v>10000</v>
      </c>
      <c r="J117" s="678"/>
    </row>
    <row r="118" spans="2:10" ht="12" customHeight="1">
      <c r="B118" s="1555"/>
      <c r="C118" s="1500" t="s">
        <v>1440</v>
      </c>
      <c r="D118" s="1557"/>
      <c r="E118" s="1557"/>
      <c r="F118" s="1501"/>
      <c r="G118" s="1557"/>
      <c r="H118" s="1557"/>
      <c r="I118" s="1110">
        <v>35000</v>
      </c>
      <c r="J118" s="678"/>
    </row>
    <row r="119" spans="2:10" ht="12" customHeight="1">
      <c r="B119" s="1555"/>
      <c r="C119" s="1500" t="s">
        <v>1440</v>
      </c>
      <c r="D119" s="1557"/>
      <c r="E119" s="1557"/>
      <c r="F119" s="1501"/>
      <c r="G119" s="1557"/>
      <c r="H119" s="1557"/>
      <c r="I119" s="1110">
        <v>15000</v>
      </c>
      <c r="J119" s="678"/>
    </row>
    <row r="120" spans="2:10" ht="12" customHeight="1">
      <c r="B120" s="1555"/>
      <c r="C120" s="1500" t="s">
        <v>1440</v>
      </c>
      <c r="D120" s="1557"/>
      <c r="E120" s="1557"/>
      <c r="F120" s="1501"/>
      <c r="G120" s="1557"/>
      <c r="H120" s="1557"/>
      <c r="I120" s="1110">
        <v>40000</v>
      </c>
      <c r="J120" s="678"/>
    </row>
    <row r="121" spans="2:10" ht="12" customHeight="1">
      <c r="B121" s="1555"/>
      <c r="C121" s="1500" t="s">
        <v>1440</v>
      </c>
      <c r="D121" s="1557"/>
      <c r="E121" s="1557"/>
      <c r="F121" s="1501"/>
      <c r="G121" s="1557"/>
      <c r="H121" s="1557"/>
      <c r="I121" s="1110">
        <v>60000</v>
      </c>
      <c r="J121" s="678"/>
    </row>
    <row r="122" spans="2:10" ht="12" customHeight="1">
      <c r="B122" s="1555"/>
      <c r="C122" s="1500" t="s">
        <v>1440</v>
      </c>
      <c r="D122" s="1557"/>
      <c r="E122" s="1557"/>
      <c r="F122" s="1501"/>
      <c r="G122" s="1557"/>
      <c r="H122" s="1557"/>
      <c r="I122" s="1110">
        <v>90000</v>
      </c>
      <c r="J122" s="678"/>
    </row>
    <row r="123" spans="2:10" ht="12" customHeight="1">
      <c r="B123" s="1555"/>
      <c r="C123" s="1500" t="s">
        <v>1440</v>
      </c>
      <c r="D123" s="1557"/>
      <c r="E123" s="1557"/>
      <c r="F123" s="1501"/>
      <c r="G123" s="1557"/>
      <c r="H123" s="1557"/>
      <c r="I123" s="1110">
        <v>60000</v>
      </c>
      <c r="J123" s="678"/>
    </row>
    <row r="124" spans="2:10" ht="12" customHeight="1">
      <c r="B124" s="1555"/>
      <c r="C124" s="1500" t="s">
        <v>1440</v>
      </c>
      <c r="D124" s="1557"/>
      <c r="E124" s="1557"/>
      <c r="F124" s="1501"/>
      <c r="G124" s="1557"/>
      <c r="H124" s="1557"/>
      <c r="I124" s="1110">
        <v>90000</v>
      </c>
      <c r="J124" s="678"/>
    </row>
    <row r="125" spans="2:10" ht="12" customHeight="1">
      <c r="B125" s="1555"/>
      <c r="C125" s="1500" t="s">
        <v>1440</v>
      </c>
      <c r="D125" s="1557"/>
      <c r="E125" s="1557"/>
      <c r="F125" s="1501"/>
      <c r="G125" s="1557"/>
      <c r="H125" s="1557"/>
      <c r="I125" s="1110">
        <v>60000</v>
      </c>
      <c r="J125" s="678"/>
    </row>
    <row r="126" spans="2:10" ht="12" customHeight="1">
      <c r="B126" s="1555"/>
      <c r="C126" s="1500" t="s">
        <v>1440</v>
      </c>
      <c r="D126" s="1557"/>
      <c r="E126" s="1557"/>
      <c r="F126" s="1501"/>
      <c r="G126" s="1557"/>
      <c r="H126" s="1557"/>
      <c r="I126" s="1110">
        <v>60000</v>
      </c>
      <c r="J126" s="678"/>
    </row>
    <row r="127" spans="2:10" ht="12" customHeight="1">
      <c r="B127" s="1555"/>
      <c r="C127" s="1500" t="s">
        <v>1440</v>
      </c>
      <c r="D127" s="1557"/>
      <c r="E127" s="1557"/>
      <c r="F127" s="1501"/>
      <c r="G127" s="1557"/>
      <c r="H127" s="1557"/>
      <c r="I127" s="1110">
        <v>90000</v>
      </c>
      <c r="J127" s="678"/>
    </row>
    <row r="128" spans="2:10" ht="12" customHeight="1">
      <c r="B128" s="1555"/>
      <c r="C128" s="1500" t="s">
        <v>1440</v>
      </c>
      <c r="D128" s="1557"/>
      <c r="E128" s="1557"/>
      <c r="F128" s="1501"/>
      <c r="G128" s="1557"/>
      <c r="H128" s="1557"/>
      <c r="I128" s="1110">
        <v>40000</v>
      </c>
      <c r="J128" s="678"/>
    </row>
    <row r="129" spans="2:10" ht="12" customHeight="1">
      <c r="B129" s="1555"/>
      <c r="C129" s="1500" t="s">
        <v>1440</v>
      </c>
      <c r="D129" s="1557"/>
      <c r="E129" s="1557"/>
      <c r="F129" s="1501"/>
      <c r="G129" s="1557"/>
      <c r="H129" s="1557"/>
      <c r="I129" s="1110">
        <v>40000</v>
      </c>
      <c r="J129" s="678"/>
    </row>
    <row r="130" spans="2:10" ht="12" customHeight="1">
      <c r="B130" s="1555"/>
      <c r="C130" s="1500" t="s">
        <v>1440</v>
      </c>
      <c r="D130" s="1557"/>
      <c r="E130" s="1557"/>
      <c r="F130" s="1501"/>
      <c r="G130" s="1557"/>
      <c r="H130" s="1557"/>
      <c r="I130" s="1110">
        <v>40000</v>
      </c>
      <c r="J130" s="678"/>
    </row>
    <row r="131" spans="2:10" ht="12" customHeight="1">
      <c r="B131" s="1555"/>
      <c r="C131" s="1500" t="s">
        <v>1440</v>
      </c>
      <c r="D131" s="1557"/>
      <c r="E131" s="1557"/>
      <c r="F131" s="1501"/>
      <c r="G131" s="1557"/>
      <c r="H131" s="1557"/>
      <c r="I131" s="1110">
        <v>90000</v>
      </c>
      <c r="J131" s="678"/>
    </row>
    <row r="132" spans="2:10" ht="12" customHeight="1">
      <c r="B132" s="1108" t="s">
        <v>607</v>
      </c>
      <c r="C132" s="1500" t="s">
        <v>1437</v>
      </c>
      <c r="D132" s="1557"/>
      <c r="E132" s="1557"/>
      <c r="F132" s="1501"/>
      <c r="G132" s="1557"/>
      <c r="H132" s="1557"/>
      <c r="I132" s="1110">
        <v>857200</v>
      </c>
      <c r="J132" s="678"/>
    </row>
    <row r="133" spans="2:10" ht="12" customHeight="1">
      <c r="B133" s="1108" t="s">
        <v>607</v>
      </c>
      <c r="C133" s="1500" t="s">
        <v>1441</v>
      </c>
      <c r="D133" s="1557"/>
      <c r="E133" s="1557"/>
      <c r="F133" s="1501"/>
      <c r="G133" s="1557"/>
      <c r="H133" s="1557"/>
      <c r="I133" s="1110">
        <v>10000000</v>
      </c>
      <c r="J133" s="678"/>
    </row>
    <row r="134" spans="2:10" s="1559" customFormat="1" ht="12" customHeight="1">
      <c r="B134" s="1108" t="s">
        <v>607</v>
      </c>
      <c r="C134" s="1500" t="s">
        <v>1442</v>
      </c>
      <c r="D134" s="1561"/>
      <c r="E134" s="1561"/>
      <c r="F134" s="1562"/>
      <c r="G134" s="1561"/>
      <c r="H134" s="1561"/>
      <c r="I134" s="1110">
        <v>5000000</v>
      </c>
      <c r="J134" s="1564"/>
    </row>
    <row r="135" spans="2:10" ht="12" customHeight="1">
      <c r="B135" s="1108" t="s">
        <v>607</v>
      </c>
      <c r="C135" s="1500" t="s">
        <v>1443</v>
      </c>
      <c r="D135" s="1557"/>
      <c r="E135" s="1557"/>
      <c r="F135" s="1501">
        <v>100000000</v>
      </c>
      <c r="G135" s="1557"/>
      <c r="H135" s="1557"/>
      <c r="I135" s="1110"/>
      <c r="J135" s="678"/>
    </row>
    <row r="136" spans="2:10" ht="12" customHeight="1">
      <c r="B136" s="1108" t="s">
        <v>607</v>
      </c>
      <c r="C136" s="1500" t="s">
        <v>1444</v>
      </c>
      <c r="D136" s="1557"/>
      <c r="E136" s="1557"/>
      <c r="F136" s="1501">
        <v>1670000</v>
      </c>
      <c r="G136" s="1557"/>
      <c r="H136" s="1557"/>
      <c r="I136" s="1110"/>
      <c r="J136" s="678"/>
    </row>
    <row r="137" spans="2:10" ht="12" customHeight="1">
      <c r="B137" s="1108" t="s">
        <v>611</v>
      </c>
      <c r="C137" s="1500" t="s">
        <v>1445</v>
      </c>
      <c r="D137" s="1557"/>
      <c r="E137" s="1557"/>
      <c r="F137" s="1501"/>
      <c r="G137" s="1557"/>
      <c r="H137" s="1557"/>
      <c r="I137" s="1110">
        <v>500000</v>
      </c>
      <c r="J137" s="678"/>
    </row>
    <row r="138" spans="2:10" ht="12" customHeight="1">
      <c r="B138" s="1108" t="s">
        <v>611</v>
      </c>
      <c r="C138" s="1500" t="s">
        <v>1446</v>
      </c>
      <c r="D138" s="1557"/>
      <c r="E138" s="1557"/>
      <c r="F138" s="1501">
        <v>682000</v>
      </c>
      <c r="G138" s="1557"/>
      <c r="H138" s="1557"/>
      <c r="I138" s="1110"/>
      <c r="J138" s="678"/>
    </row>
    <row r="139" spans="2:10" ht="12" customHeight="1">
      <c r="B139" s="1108" t="s">
        <v>611</v>
      </c>
      <c r="C139" s="1500" t="s">
        <v>1447</v>
      </c>
      <c r="D139" s="1557"/>
      <c r="E139" s="1557"/>
      <c r="F139" s="1501">
        <v>20000000</v>
      </c>
      <c r="G139" s="1557"/>
      <c r="H139" s="1557"/>
      <c r="I139" s="1110"/>
      <c r="J139" s="678"/>
    </row>
    <row r="140" spans="2:10" ht="12" customHeight="1">
      <c r="B140" s="1108" t="s">
        <v>612</v>
      </c>
      <c r="C140" s="1500" t="s">
        <v>1448</v>
      </c>
      <c r="D140" s="1557"/>
      <c r="E140" s="1557"/>
      <c r="F140" s="1501"/>
      <c r="G140" s="1557"/>
      <c r="H140" s="1557"/>
      <c r="I140" s="1110">
        <v>20000000</v>
      </c>
      <c r="J140" s="678"/>
    </row>
    <row r="141" spans="2:10" ht="12" customHeight="1">
      <c r="B141" s="1108" t="s">
        <v>612</v>
      </c>
      <c r="C141" s="1500" t="s">
        <v>1449</v>
      </c>
      <c r="D141" s="1557"/>
      <c r="E141" s="1557"/>
      <c r="F141" s="1501"/>
      <c r="G141" s="1557"/>
      <c r="H141" s="1557"/>
      <c r="I141" s="1110">
        <v>2350000</v>
      </c>
      <c r="J141" s="678"/>
    </row>
    <row r="142" spans="2:10" ht="12" customHeight="1">
      <c r="B142" s="1108" t="s">
        <v>612</v>
      </c>
      <c r="C142" s="1500" t="s">
        <v>1450</v>
      </c>
      <c r="D142" s="1557"/>
      <c r="E142" s="1557"/>
      <c r="F142" s="1501">
        <v>20000000</v>
      </c>
      <c r="G142" s="1557"/>
      <c r="H142" s="1557"/>
      <c r="I142" s="1110"/>
      <c r="J142" s="678"/>
    </row>
    <row r="143" spans="2:10" ht="12" customHeight="1">
      <c r="B143" s="1108" t="s">
        <v>1451</v>
      </c>
      <c r="C143" s="1500" t="s">
        <v>1437</v>
      </c>
      <c r="D143" s="1557"/>
      <c r="E143" s="1557"/>
      <c r="F143" s="1501"/>
      <c r="G143" s="1557"/>
      <c r="H143" s="1557"/>
      <c r="I143" s="1110">
        <v>700000</v>
      </c>
      <c r="J143" s="678"/>
    </row>
    <row r="144" spans="2:10" ht="12" customHeight="1">
      <c r="B144" s="1108" t="s">
        <v>1451</v>
      </c>
      <c r="C144" s="1500" t="s">
        <v>1583</v>
      </c>
      <c r="D144" s="1557"/>
      <c r="E144" s="1557"/>
      <c r="F144" s="1501"/>
      <c r="G144" s="1557"/>
      <c r="H144" s="1557"/>
      <c r="I144" s="1110">
        <v>4860000</v>
      </c>
      <c r="J144" s="678"/>
    </row>
    <row r="145" spans="2:10" ht="12" customHeight="1">
      <c r="B145" s="1108" t="s">
        <v>1451</v>
      </c>
      <c r="C145" s="1500" t="s">
        <v>1452</v>
      </c>
      <c r="D145" s="1557"/>
      <c r="E145" s="1557"/>
      <c r="F145" s="1501">
        <v>1182000</v>
      </c>
      <c r="G145" s="1557"/>
      <c r="H145" s="1557"/>
      <c r="I145" s="1110"/>
      <c r="J145" s="678"/>
    </row>
    <row r="146" spans="2:10" ht="12" customHeight="1">
      <c r="B146" s="1108" t="s">
        <v>1453</v>
      </c>
      <c r="C146" s="1500" t="s">
        <v>1437</v>
      </c>
      <c r="D146" s="1557"/>
      <c r="E146" s="1557"/>
      <c r="F146" s="1501"/>
      <c r="G146" s="1557"/>
      <c r="H146" s="1557"/>
      <c r="I146" s="1110">
        <v>1003680</v>
      </c>
      <c r="J146" s="678"/>
    </row>
    <row r="147" spans="2:10" ht="12" customHeight="1">
      <c r="B147" s="1108" t="s">
        <v>1453</v>
      </c>
      <c r="C147" s="1500" t="s">
        <v>1454</v>
      </c>
      <c r="D147" s="1557"/>
      <c r="E147" s="1557"/>
      <c r="F147" s="1501"/>
      <c r="G147" s="1557"/>
      <c r="H147" s="1557"/>
      <c r="I147" s="1110">
        <v>2000000</v>
      </c>
      <c r="J147" s="678"/>
    </row>
    <row r="148" spans="2:10" ht="12" customHeight="1">
      <c r="B148" s="1108" t="s">
        <v>1455</v>
      </c>
      <c r="C148" s="1500" t="s">
        <v>1454</v>
      </c>
      <c r="D148" s="1557"/>
      <c r="E148" s="1557"/>
      <c r="F148" s="1501"/>
      <c r="G148" s="1557"/>
      <c r="H148" s="1557"/>
      <c r="I148" s="1110">
        <v>10000000</v>
      </c>
      <c r="J148" s="678"/>
    </row>
    <row r="149" spans="2:10" ht="12" customHeight="1">
      <c r="B149" s="1108" t="s">
        <v>1456</v>
      </c>
      <c r="C149" s="1500" t="s">
        <v>1457</v>
      </c>
      <c r="D149" s="1557"/>
      <c r="E149" s="1557"/>
      <c r="F149" s="1501"/>
      <c r="G149" s="1557"/>
      <c r="H149" s="1557"/>
      <c r="I149" s="1110">
        <v>2000000</v>
      </c>
      <c r="J149" s="678"/>
    </row>
    <row r="150" spans="2:10" ht="12" customHeight="1">
      <c r="B150" s="1108" t="s">
        <v>1456</v>
      </c>
      <c r="C150" s="1500" t="s">
        <v>1458</v>
      </c>
      <c r="D150" s="1557"/>
      <c r="E150" s="1557"/>
      <c r="F150" s="1501"/>
      <c r="G150" s="1557"/>
      <c r="H150" s="1557"/>
      <c r="I150" s="1110">
        <v>2000000</v>
      </c>
      <c r="J150" s="678"/>
    </row>
    <row r="151" spans="2:10" ht="12" customHeight="1">
      <c r="B151" s="1108" t="s">
        <v>1456</v>
      </c>
      <c r="C151" s="1500" t="s">
        <v>1459</v>
      </c>
      <c r="D151" s="1557"/>
      <c r="E151" s="1557"/>
      <c r="F151" s="1501"/>
      <c r="G151" s="1557"/>
      <c r="H151" s="1557"/>
      <c r="I151" s="1110">
        <v>6000000</v>
      </c>
      <c r="J151" s="678"/>
    </row>
    <row r="152" spans="2:10" ht="12" customHeight="1">
      <c r="B152" s="1108" t="s">
        <v>613</v>
      </c>
      <c r="C152" s="1500" t="s">
        <v>1460</v>
      </c>
      <c r="D152" s="1557"/>
      <c r="E152" s="1557"/>
      <c r="F152" s="1501"/>
      <c r="G152" s="1557"/>
      <c r="H152" s="1557"/>
      <c r="I152" s="1110">
        <v>31000000</v>
      </c>
      <c r="J152" s="678"/>
    </row>
    <row r="153" spans="2:10" ht="12" customHeight="1">
      <c r="B153" s="1108" t="s">
        <v>613</v>
      </c>
      <c r="C153" s="1500" t="s">
        <v>1461</v>
      </c>
      <c r="D153" s="1557"/>
      <c r="E153" s="1557"/>
      <c r="F153" s="1501"/>
      <c r="G153" s="1557"/>
      <c r="H153" s="1557"/>
      <c r="I153" s="1110">
        <v>13000000</v>
      </c>
      <c r="J153" s="678"/>
    </row>
    <row r="154" spans="2:10" ht="12" customHeight="1">
      <c r="B154" s="1566" t="s">
        <v>613</v>
      </c>
      <c r="C154" s="1567" t="s">
        <v>1731</v>
      </c>
      <c r="D154" s="1568"/>
      <c r="E154" s="1568"/>
      <c r="F154" s="1569"/>
      <c r="G154" s="1568"/>
      <c r="H154" s="1568"/>
      <c r="I154" s="1570">
        <v>1300000</v>
      </c>
      <c r="J154" s="1571"/>
    </row>
    <row r="155" spans="2:10" ht="15" customHeight="1">
      <c r="B155" s="1797" t="s">
        <v>1462</v>
      </c>
      <c r="C155" s="1798"/>
      <c r="D155" s="1125">
        <f>SUM(D8:D154)</f>
        <v>49500000</v>
      </c>
      <c r="E155" s="1124">
        <f>SUM(E8:E154)</f>
        <v>0</v>
      </c>
      <c r="F155" s="1572">
        <f>SUM(F8:F154)</f>
        <v>153904000</v>
      </c>
      <c r="G155" s="1123"/>
      <c r="H155" s="1123"/>
      <c r="I155" s="1572">
        <f>SUM(I8:I154)</f>
        <v>226782663</v>
      </c>
      <c r="J155" s="1573"/>
    </row>
    <row r="156" spans="2:10" ht="15" customHeight="1">
      <c r="B156" s="1797" t="s">
        <v>1463</v>
      </c>
      <c r="C156" s="1798"/>
      <c r="D156" s="1123"/>
      <c r="E156" s="1123"/>
      <c r="F156" s="1122">
        <f>SUM(D155:F155)</f>
        <v>203404000</v>
      </c>
      <c r="G156" s="1123"/>
      <c r="H156" s="1123"/>
      <c r="I156" s="1122"/>
      <c r="J156" s="1573"/>
    </row>
    <row r="157" spans="2:10" ht="15" customHeight="1">
      <c r="B157" s="1797" t="s">
        <v>1464</v>
      </c>
      <c r="C157" s="1798"/>
      <c r="D157" s="1123"/>
      <c r="E157" s="1123"/>
      <c r="F157" s="1122">
        <f>SUM(G155:I155)</f>
        <v>226782663</v>
      </c>
      <c r="G157" s="1123"/>
      <c r="H157" s="1123"/>
      <c r="I157" s="1122"/>
      <c r="J157" s="1573"/>
    </row>
    <row r="158" spans="2:10" ht="15" customHeight="1">
      <c r="B158" s="1797" t="s">
        <v>1465</v>
      </c>
      <c r="C158" s="1798"/>
      <c r="D158" s="1123"/>
      <c r="E158" s="1123"/>
      <c r="F158" s="1121">
        <f>F156-F157</f>
        <v>-23378663</v>
      </c>
      <c r="G158" s="1123"/>
      <c r="H158" s="1123"/>
      <c r="I158" s="1122"/>
      <c r="J158" s="1574" t="s">
        <v>1732</v>
      </c>
    </row>
    <row r="159" spans="2:10" ht="12" customHeight="1">
      <c r="B159" s="1575"/>
      <c r="C159" s="1576" t="s">
        <v>1733</v>
      </c>
      <c r="D159" s="1577"/>
      <c r="E159" s="1577"/>
      <c r="F159" s="1578">
        <v>40000000</v>
      </c>
      <c r="G159" s="1577"/>
      <c r="H159" s="1577"/>
      <c r="I159" s="1578"/>
      <c r="J159" s="1579"/>
    </row>
    <row r="160" spans="2:10" ht="12" customHeight="1">
      <c r="B160" s="1503">
        <v>43832</v>
      </c>
      <c r="C160" s="1502" t="s">
        <v>1584</v>
      </c>
      <c r="D160" s="1102">
        <v>2000000</v>
      </c>
      <c r="E160" s="1104"/>
      <c r="F160" s="1102"/>
      <c r="G160" s="1104"/>
      <c r="H160" s="1104"/>
      <c r="I160" s="1102"/>
      <c r="J160" s="1105"/>
    </row>
    <row r="161" spans="2:10" s="649" customFormat="1" ht="12" customHeight="1">
      <c r="B161" s="1103" t="s">
        <v>603</v>
      </c>
      <c r="C161" s="1104" t="s">
        <v>1585</v>
      </c>
      <c r="D161" s="1104"/>
      <c r="E161" s="1104"/>
      <c r="F161" s="1102"/>
      <c r="G161" s="1104"/>
      <c r="H161" s="1104"/>
      <c r="I161" s="1102">
        <v>50000</v>
      </c>
      <c r="J161" s="1105"/>
    </row>
    <row r="162" spans="2:10" s="649" customFormat="1" ht="12" customHeight="1">
      <c r="B162" s="1103" t="s">
        <v>605</v>
      </c>
      <c r="C162" s="1104" t="s">
        <v>1586</v>
      </c>
      <c r="D162" s="1104"/>
      <c r="E162" s="1104"/>
      <c r="F162" s="1102"/>
      <c r="G162" s="1104"/>
      <c r="H162" s="1104"/>
      <c r="I162" s="1102">
        <v>3672000</v>
      </c>
      <c r="J162" s="1105"/>
    </row>
    <row r="163" spans="2:10" s="649" customFormat="1" ht="12" customHeight="1">
      <c r="B163" s="1103"/>
      <c r="C163" s="1104" t="s">
        <v>1587</v>
      </c>
      <c r="D163" s="1104"/>
      <c r="E163" s="1104"/>
      <c r="F163" s="1102">
        <v>100000000</v>
      </c>
      <c r="G163" s="1104"/>
      <c r="H163" s="1104"/>
      <c r="I163" s="1102"/>
      <c r="J163" s="1105"/>
    </row>
    <row r="164" spans="2:10" s="649" customFormat="1" ht="12" customHeight="1">
      <c r="B164" s="1106">
        <v>43863</v>
      </c>
      <c r="C164" s="1104" t="s">
        <v>1288</v>
      </c>
      <c r="D164" s="1104"/>
      <c r="E164" s="1104"/>
      <c r="F164" s="1102"/>
      <c r="G164" s="1104"/>
      <c r="H164" s="1104"/>
      <c r="I164" s="1102">
        <v>515000</v>
      </c>
      <c r="J164" s="1105"/>
    </row>
    <row r="165" spans="2:10" ht="12" customHeight="1">
      <c r="B165" s="1106">
        <v>43892</v>
      </c>
      <c r="C165" s="1104" t="s">
        <v>1588</v>
      </c>
      <c r="D165" s="1102"/>
      <c r="E165" s="1104"/>
      <c r="F165" s="1102"/>
      <c r="G165" s="1107"/>
      <c r="H165" s="1107"/>
      <c r="I165" s="1102">
        <v>635000</v>
      </c>
      <c r="J165" s="1105"/>
    </row>
    <row r="166" spans="2:10" ht="12" customHeight="1">
      <c r="B166" s="1106"/>
      <c r="C166" s="1104" t="s">
        <v>1589</v>
      </c>
      <c r="D166" s="1102"/>
      <c r="E166" s="1104"/>
      <c r="F166" s="1102"/>
      <c r="G166" s="1107"/>
      <c r="H166" s="1107"/>
      <c r="I166" s="1102">
        <v>7700</v>
      </c>
      <c r="J166" s="1105"/>
    </row>
    <row r="167" spans="2:10" ht="12" customHeight="1">
      <c r="B167" s="1106">
        <v>43953</v>
      </c>
      <c r="C167" s="1104" t="s">
        <v>1288</v>
      </c>
      <c r="D167" s="1102"/>
      <c r="E167" s="1104"/>
      <c r="F167" s="1102"/>
      <c r="G167" s="1107"/>
      <c r="H167" s="1107"/>
      <c r="I167" s="1102">
        <v>1006000</v>
      </c>
      <c r="J167" s="1105"/>
    </row>
    <row r="168" spans="2:10" ht="12" customHeight="1">
      <c r="B168" s="1106">
        <v>43953</v>
      </c>
      <c r="C168" s="1104" t="s">
        <v>1590</v>
      </c>
      <c r="D168" s="1102">
        <v>20000000</v>
      </c>
      <c r="E168" s="1104"/>
      <c r="F168" s="1102"/>
      <c r="G168" s="1107"/>
      <c r="H168" s="1107"/>
      <c r="I168" s="1102"/>
      <c r="J168" s="1105"/>
    </row>
    <row r="169" spans="2:10" ht="12" customHeight="1">
      <c r="B169" s="1106">
        <v>43953</v>
      </c>
      <c r="C169" s="1104" t="s">
        <v>1591</v>
      </c>
      <c r="D169" s="1102"/>
      <c r="E169" s="1104"/>
      <c r="F169" s="1102"/>
      <c r="G169" s="1107"/>
      <c r="H169" s="1107"/>
      <c r="I169" s="1102">
        <v>11200000</v>
      </c>
      <c r="J169" s="1105"/>
    </row>
    <row r="170" spans="2:10" ht="12" customHeight="1">
      <c r="B170" s="1106"/>
      <c r="C170" s="1104" t="s">
        <v>1589</v>
      </c>
      <c r="D170" s="1102"/>
      <c r="E170" s="1104"/>
      <c r="F170" s="1102"/>
      <c r="G170" s="1107"/>
      <c r="H170" s="1107"/>
      <c r="I170" s="1102">
        <v>22000</v>
      </c>
      <c r="J170" s="1105"/>
    </row>
    <row r="171" spans="2:10" ht="12" customHeight="1">
      <c r="B171" s="1106">
        <v>43953</v>
      </c>
      <c r="C171" s="1104" t="s">
        <v>1592</v>
      </c>
      <c r="D171" s="1102"/>
      <c r="E171" s="1104"/>
      <c r="F171" s="1102"/>
      <c r="G171" s="1107"/>
      <c r="H171" s="1107"/>
      <c r="I171" s="1102">
        <v>2000000</v>
      </c>
      <c r="J171" s="1105"/>
    </row>
    <row r="172" spans="2:10" ht="12" customHeight="1">
      <c r="B172" s="1106"/>
      <c r="C172" s="1104" t="s">
        <v>1589</v>
      </c>
      <c r="D172" s="1102"/>
      <c r="E172" s="1104"/>
      <c r="F172" s="1102"/>
      <c r="G172" s="1107"/>
      <c r="H172" s="1107"/>
      <c r="I172" s="1102">
        <v>11000</v>
      </c>
      <c r="J172" s="1105"/>
    </row>
    <row r="173" spans="2:10" ht="12" customHeight="1">
      <c r="B173" s="1106">
        <v>44045</v>
      </c>
      <c r="C173" s="1104" t="s">
        <v>1287</v>
      </c>
      <c r="D173" s="1102"/>
      <c r="E173" s="1104"/>
      <c r="F173" s="1102"/>
      <c r="G173" s="1107"/>
      <c r="H173" s="1107"/>
      <c r="I173" s="1102">
        <v>118000</v>
      </c>
      <c r="J173" s="1105"/>
    </row>
    <row r="174" spans="2:10" ht="12" customHeight="1">
      <c r="B174" s="1106">
        <v>44045</v>
      </c>
      <c r="C174" s="1104" t="s">
        <v>1593</v>
      </c>
      <c r="D174" s="1102"/>
      <c r="E174" s="1104"/>
      <c r="F174" s="1102"/>
      <c r="G174" s="1107"/>
      <c r="H174" s="1107"/>
      <c r="I174" s="1102">
        <v>748000</v>
      </c>
      <c r="J174" s="1105"/>
    </row>
    <row r="175" spans="2:10" ht="12" customHeight="1">
      <c r="B175" s="1106">
        <v>44045</v>
      </c>
      <c r="C175" s="1104" t="s">
        <v>1288</v>
      </c>
      <c r="D175" s="1102"/>
      <c r="E175" s="1104"/>
      <c r="F175" s="1102"/>
      <c r="G175" s="1107"/>
      <c r="H175" s="1107"/>
      <c r="I175" s="1102">
        <v>1000000</v>
      </c>
      <c r="J175" s="1105"/>
    </row>
    <row r="176" spans="2:10" ht="12" customHeight="1">
      <c r="B176" s="1106">
        <v>44076</v>
      </c>
      <c r="C176" s="1104" t="s">
        <v>1287</v>
      </c>
      <c r="D176" s="1102"/>
      <c r="E176" s="1104"/>
      <c r="F176" s="1102"/>
      <c r="G176" s="1107"/>
      <c r="H176" s="1107"/>
      <c r="I176" s="1102">
        <v>175000</v>
      </c>
      <c r="J176" s="1105"/>
    </row>
    <row r="177" spans="2:10" ht="12" customHeight="1">
      <c r="B177" s="1106">
        <v>44076</v>
      </c>
      <c r="C177" s="1104" t="s">
        <v>1594</v>
      </c>
      <c r="D177" s="1102"/>
      <c r="E177" s="1104"/>
      <c r="F177" s="1102"/>
      <c r="G177" s="1107"/>
      <c r="H177" s="1107"/>
      <c r="I177" s="1102">
        <v>673900</v>
      </c>
      <c r="J177" s="1105"/>
    </row>
    <row r="178" spans="2:10" ht="12" customHeight="1">
      <c r="B178" s="1106">
        <v>44106</v>
      </c>
      <c r="C178" s="1104" t="s">
        <v>1595</v>
      </c>
      <c r="D178" s="1102"/>
      <c r="E178" s="1104"/>
      <c r="F178" s="1102"/>
      <c r="G178" s="1107"/>
      <c r="H178" s="1107"/>
      <c r="I178" s="1102">
        <v>75000</v>
      </c>
      <c r="J178" s="1105"/>
    </row>
    <row r="179" spans="2:10" ht="12" customHeight="1">
      <c r="B179" s="1106">
        <v>44106</v>
      </c>
      <c r="C179" s="1104" t="s">
        <v>1287</v>
      </c>
      <c r="D179" s="1102"/>
      <c r="E179" s="1104"/>
      <c r="F179" s="1102"/>
      <c r="G179" s="1107"/>
      <c r="H179" s="1107"/>
      <c r="I179" s="1102">
        <v>93000</v>
      </c>
      <c r="J179" s="1105"/>
    </row>
    <row r="180" spans="2:10" ht="12" customHeight="1">
      <c r="B180" s="1106">
        <v>44106</v>
      </c>
      <c r="C180" s="1580" t="s">
        <v>1596</v>
      </c>
      <c r="D180" s="1102"/>
      <c r="E180" s="1104"/>
      <c r="F180" s="1102"/>
      <c r="G180" s="1107"/>
      <c r="H180" s="1107"/>
      <c r="I180" s="1102">
        <v>725000</v>
      </c>
      <c r="J180" s="1105"/>
    </row>
    <row r="181" spans="2:10" ht="12" customHeight="1">
      <c r="B181" s="1106">
        <v>44137</v>
      </c>
      <c r="C181" s="1104" t="s">
        <v>1597</v>
      </c>
      <c r="D181" s="1102"/>
      <c r="E181" s="1104"/>
      <c r="F181" s="1102"/>
      <c r="G181" s="1107"/>
      <c r="H181" s="1107"/>
      <c r="I181" s="1102">
        <v>605000</v>
      </c>
      <c r="J181" s="1105"/>
    </row>
    <row r="182" spans="2:10" ht="12" customHeight="1">
      <c r="B182" s="1106" t="s">
        <v>1598</v>
      </c>
      <c r="C182" s="1104" t="s">
        <v>1599</v>
      </c>
      <c r="D182" s="1102"/>
      <c r="E182" s="1104"/>
      <c r="F182" s="1102">
        <v>200000000</v>
      </c>
      <c r="G182" s="1107"/>
      <c r="H182" s="1107"/>
      <c r="I182" s="1102"/>
      <c r="J182" s="1105"/>
    </row>
    <row r="183" spans="2:10" ht="12" customHeight="1">
      <c r="B183" s="1106" t="s">
        <v>1598</v>
      </c>
      <c r="C183" s="1104" t="s">
        <v>1287</v>
      </c>
      <c r="D183" s="1102"/>
      <c r="E183" s="1104"/>
      <c r="F183" s="1102"/>
      <c r="G183" s="1107"/>
      <c r="H183" s="1107"/>
      <c r="I183" s="1102">
        <v>20000</v>
      </c>
      <c r="J183" s="1105"/>
    </row>
    <row r="184" spans="2:10" ht="12" customHeight="1">
      <c r="B184" s="1106" t="s">
        <v>1598</v>
      </c>
      <c r="C184" s="1104" t="s">
        <v>1287</v>
      </c>
      <c r="D184" s="1102"/>
      <c r="E184" s="1104"/>
      <c r="F184" s="1102"/>
      <c r="G184" s="1107"/>
      <c r="H184" s="1107"/>
      <c r="I184" s="1102">
        <v>230000</v>
      </c>
      <c r="J184" s="1105"/>
    </row>
    <row r="185" spans="2:10" ht="12" customHeight="1">
      <c r="B185" s="1106" t="s">
        <v>1600</v>
      </c>
      <c r="C185" s="1104" t="s">
        <v>1288</v>
      </c>
      <c r="D185" s="1102"/>
      <c r="E185" s="1104"/>
      <c r="F185" s="1102"/>
      <c r="G185" s="1107"/>
      <c r="H185" s="1107"/>
      <c r="I185" s="1102">
        <v>1059300</v>
      </c>
      <c r="J185" s="1105"/>
    </row>
    <row r="186" spans="2:10" ht="12" customHeight="1">
      <c r="B186" s="1106" t="s">
        <v>1600</v>
      </c>
      <c r="C186" s="1104" t="s">
        <v>1601</v>
      </c>
      <c r="D186" s="1102"/>
      <c r="E186" s="1104"/>
      <c r="F186" s="1102"/>
      <c r="G186" s="1107"/>
      <c r="H186" s="1107"/>
      <c r="I186" s="1102">
        <f>1080000+955000</f>
        <v>2035000</v>
      </c>
      <c r="J186" s="1105"/>
    </row>
    <row r="187" spans="2:10" ht="12" customHeight="1">
      <c r="B187" s="1106" t="s">
        <v>1600</v>
      </c>
      <c r="C187" s="1104" t="s">
        <v>1602</v>
      </c>
      <c r="D187" s="1102"/>
      <c r="E187" s="1104"/>
      <c r="F187" s="1102"/>
      <c r="G187" s="1107"/>
      <c r="H187" s="1107"/>
      <c r="I187" s="1102">
        <v>5000000</v>
      </c>
      <c r="J187" s="1105"/>
    </row>
    <row r="188" spans="2:10" s="1559" customFormat="1" ht="12" customHeight="1">
      <c r="B188" s="1108" t="s">
        <v>1600</v>
      </c>
      <c r="C188" s="1109" t="s">
        <v>1603</v>
      </c>
      <c r="D188" s="1110"/>
      <c r="E188" s="1109"/>
      <c r="F188" s="1110"/>
      <c r="G188" s="1111"/>
      <c r="H188" s="1111"/>
      <c r="I188" s="1110">
        <v>10000000</v>
      </c>
      <c r="J188" s="1112"/>
    </row>
    <row r="189" spans="2:10" s="649" customFormat="1" ht="12" customHeight="1">
      <c r="B189" s="1113" t="s">
        <v>1600</v>
      </c>
      <c r="C189" s="1114" t="s">
        <v>1604</v>
      </c>
      <c r="D189" s="1102"/>
      <c r="E189" s="1102"/>
      <c r="F189" s="1102"/>
      <c r="G189" s="1102"/>
      <c r="H189" s="1102"/>
      <c r="I189" s="1114">
        <v>6000000</v>
      </c>
      <c r="J189" s="1115"/>
    </row>
    <row r="190" spans="2:10" s="649" customFormat="1" ht="12" customHeight="1">
      <c r="B190" s="1113" t="s">
        <v>1605</v>
      </c>
      <c r="C190" s="1114" t="s">
        <v>1606</v>
      </c>
      <c r="D190" s="1102"/>
      <c r="E190" s="1102"/>
      <c r="F190" s="1102"/>
      <c r="G190" s="1102"/>
      <c r="H190" s="1102"/>
      <c r="I190" s="1114">
        <v>166650000</v>
      </c>
      <c r="J190" s="1115"/>
    </row>
    <row r="191" spans="2:10" s="649" customFormat="1" ht="12" customHeight="1">
      <c r="B191" s="1113" t="s">
        <v>1605</v>
      </c>
      <c r="C191" s="1114" t="s">
        <v>1287</v>
      </c>
      <c r="D191" s="1102"/>
      <c r="E191" s="1102"/>
      <c r="F191" s="1102"/>
      <c r="G191" s="1102"/>
      <c r="H191" s="1102"/>
      <c r="I191" s="1114">
        <v>120000</v>
      </c>
      <c r="J191" s="1115"/>
    </row>
    <row r="192" spans="2:10" s="649" customFormat="1" ht="12" customHeight="1">
      <c r="B192" s="1113" t="s">
        <v>1607</v>
      </c>
      <c r="C192" s="1114" t="s">
        <v>1287</v>
      </c>
      <c r="D192" s="1102"/>
      <c r="E192" s="1102"/>
      <c r="F192" s="1102"/>
      <c r="G192" s="1102"/>
      <c r="H192" s="1102"/>
      <c r="I192" s="1114">
        <v>140000</v>
      </c>
      <c r="J192" s="1115"/>
    </row>
    <row r="193" spans="2:10" s="649" customFormat="1" ht="12" customHeight="1">
      <c r="B193" s="1113" t="s">
        <v>1608</v>
      </c>
      <c r="C193" s="1114" t="s">
        <v>1609</v>
      </c>
      <c r="D193" s="1102"/>
      <c r="E193" s="1102"/>
      <c r="F193" s="1102"/>
      <c r="G193" s="1102"/>
      <c r="H193" s="1102"/>
      <c r="I193" s="1114">
        <v>2312000</v>
      </c>
      <c r="J193" s="1115"/>
    </row>
    <row r="194" spans="2:10" s="649" customFormat="1" ht="12" customHeight="1">
      <c r="B194" s="1113" t="s">
        <v>1610</v>
      </c>
      <c r="C194" s="1114" t="s">
        <v>1288</v>
      </c>
      <c r="D194" s="1102"/>
      <c r="E194" s="1102"/>
      <c r="F194" s="1102"/>
      <c r="G194" s="1102"/>
      <c r="H194" s="1102"/>
      <c r="I194" s="1114">
        <v>1007760</v>
      </c>
      <c r="J194" s="1115"/>
    </row>
    <row r="195" spans="2:10" s="649" customFormat="1" ht="12" customHeight="1">
      <c r="B195" s="1113" t="s">
        <v>1610</v>
      </c>
      <c r="C195" s="1114" t="s">
        <v>1287</v>
      </c>
      <c r="D195" s="1102"/>
      <c r="E195" s="1102"/>
      <c r="F195" s="1102"/>
      <c r="G195" s="1102"/>
      <c r="H195" s="1102"/>
      <c r="I195" s="1114">
        <v>115000</v>
      </c>
      <c r="J195" s="1115"/>
    </row>
    <row r="196" spans="2:10" s="649" customFormat="1" ht="12" customHeight="1">
      <c r="B196" s="1113" t="s">
        <v>1611</v>
      </c>
      <c r="C196" s="1114" t="s">
        <v>1612</v>
      </c>
      <c r="D196" s="1102"/>
      <c r="E196" s="1102"/>
      <c r="F196" s="1102"/>
      <c r="G196" s="1102"/>
      <c r="H196" s="1102"/>
      <c r="I196" s="1114">
        <v>50000</v>
      </c>
      <c r="J196" s="1115"/>
    </row>
    <row r="197" spans="2:10" s="649" customFormat="1" ht="12" customHeight="1">
      <c r="B197" s="1113" t="s">
        <v>1611</v>
      </c>
      <c r="C197" s="1114" t="s">
        <v>1613</v>
      </c>
      <c r="D197" s="1102"/>
      <c r="E197" s="1102"/>
      <c r="F197" s="1102"/>
      <c r="G197" s="1102"/>
      <c r="H197" s="1102"/>
      <c r="I197" s="1114">
        <v>970000</v>
      </c>
      <c r="J197" s="1115"/>
    </row>
    <row r="198" spans="2:10" s="649" customFormat="1" ht="12" customHeight="1">
      <c r="B198" s="1113" t="s">
        <v>1614</v>
      </c>
      <c r="C198" s="1114" t="s">
        <v>1615</v>
      </c>
      <c r="D198" s="1102">
        <v>60000000</v>
      </c>
      <c r="E198" s="1102"/>
      <c r="F198" s="1102"/>
      <c r="G198" s="1102"/>
      <c r="H198" s="1102"/>
      <c r="I198" s="1114"/>
      <c r="J198" s="1115"/>
    </row>
    <row r="199" spans="2:10" s="649" customFormat="1" ht="12" customHeight="1">
      <c r="B199" s="1113" t="s">
        <v>1614</v>
      </c>
      <c r="C199" s="1114" t="s">
        <v>1288</v>
      </c>
      <c r="D199" s="1102"/>
      <c r="E199" s="1102"/>
      <c r="F199" s="1102"/>
      <c r="G199" s="1102"/>
      <c r="H199" s="1102"/>
      <c r="I199" s="1114">
        <v>1007760</v>
      </c>
      <c r="J199" s="1115"/>
    </row>
    <row r="200" spans="2:10" s="649" customFormat="1" ht="12" customHeight="1">
      <c r="B200" s="1113" t="s">
        <v>1614</v>
      </c>
      <c r="C200" s="1114" t="s">
        <v>1616</v>
      </c>
      <c r="D200" s="1102"/>
      <c r="E200" s="1102"/>
      <c r="F200" s="1102"/>
      <c r="G200" s="1102"/>
      <c r="H200" s="1102"/>
      <c r="I200" s="1114">
        <v>3005200</v>
      </c>
      <c r="J200" s="1115"/>
    </row>
    <row r="201" spans="2:10" s="649" customFormat="1" ht="12" customHeight="1">
      <c r="B201" s="1113" t="s">
        <v>1617</v>
      </c>
      <c r="C201" s="1114" t="s">
        <v>1618</v>
      </c>
      <c r="D201" s="1102"/>
      <c r="E201" s="1102"/>
      <c r="F201" s="1102"/>
      <c r="G201" s="1102"/>
      <c r="H201" s="1102"/>
      <c r="I201" s="1114">
        <v>700000</v>
      </c>
      <c r="J201" s="1115"/>
    </row>
    <row r="202" spans="2:10" s="649" customFormat="1" ht="12" customHeight="1">
      <c r="B202" s="1116" t="s">
        <v>1617</v>
      </c>
      <c r="C202" s="1114" t="s">
        <v>1619</v>
      </c>
      <c r="D202" s="1102"/>
      <c r="E202" s="1102"/>
      <c r="F202" s="1102">
        <v>20000000</v>
      </c>
      <c r="G202" s="1102"/>
      <c r="H202" s="1102"/>
      <c r="I202" s="1102"/>
      <c r="J202" s="1115"/>
    </row>
    <row r="203" spans="2:10" s="649" customFormat="1" ht="12" customHeight="1">
      <c r="B203" s="1117" t="s">
        <v>1620</v>
      </c>
      <c r="C203" s="1114" t="s">
        <v>1621</v>
      </c>
      <c r="D203" s="1102"/>
      <c r="E203" s="1102"/>
      <c r="F203" s="1102"/>
      <c r="G203" s="1102"/>
      <c r="H203" s="1102"/>
      <c r="I203" s="1102">
        <v>40000</v>
      </c>
      <c r="J203" s="1115"/>
    </row>
    <row r="204" spans="2:10" s="649" customFormat="1" ht="12" customHeight="1">
      <c r="B204" s="1113" t="s">
        <v>1620</v>
      </c>
      <c r="C204" s="1102" t="s">
        <v>1622</v>
      </c>
      <c r="D204" s="1102"/>
      <c r="E204" s="1102"/>
      <c r="F204" s="1102">
        <v>6600000</v>
      </c>
      <c r="G204" s="1102"/>
      <c r="H204" s="1102"/>
      <c r="I204" s="1102"/>
      <c r="J204" s="1115"/>
    </row>
    <row r="205" spans="2:10" s="649" customFormat="1" ht="12" customHeight="1">
      <c r="B205" s="1113" t="s">
        <v>1620</v>
      </c>
      <c r="C205" s="1102" t="s">
        <v>1623</v>
      </c>
      <c r="D205" s="1102"/>
      <c r="E205" s="1102"/>
      <c r="F205" s="1102"/>
      <c r="G205" s="1102"/>
      <c r="H205" s="1102"/>
      <c r="I205" s="1102">
        <v>1500000</v>
      </c>
      <c r="J205" s="1115"/>
    </row>
    <row r="206" spans="2:10" s="649" customFormat="1" ht="12" customHeight="1">
      <c r="B206" s="1113" t="s">
        <v>1620</v>
      </c>
      <c r="C206" s="1102" t="s">
        <v>1288</v>
      </c>
      <c r="D206" s="1102"/>
      <c r="E206" s="1102"/>
      <c r="F206" s="1102"/>
      <c r="G206" s="1102"/>
      <c r="H206" s="1102"/>
      <c r="I206" s="1102">
        <v>1012960</v>
      </c>
      <c r="J206" s="1115"/>
    </row>
    <row r="207" spans="2:10" s="649" customFormat="1" ht="12" customHeight="1">
      <c r="B207" s="1113" t="s">
        <v>1624</v>
      </c>
      <c r="C207" s="1102" t="s">
        <v>1625</v>
      </c>
      <c r="D207" s="1102"/>
      <c r="E207" s="1102"/>
      <c r="F207" s="1102"/>
      <c r="G207" s="1102"/>
      <c r="H207" s="1102"/>
      <c r="I207" s="1102">
        <v>1710000</v>
      </c>
      <c r="J207" s="1115"/>
    </row>
    <row r="208" spans="2:10" s="649" customFormat="1" ht="12" customHeight="1">
      <c r="B208" s="1113" t="s">
        <v>1624</v>
      </c>
      <c r="C208" s="1102" t="s">
        <v>1626</v>
      </c>
      <c r="D208" s="1102"/>
      <c r="E208" s="1102"/>
      <c r="F208" s="1102"/>
      <c r="G208" s="1102"/>
      <c r="H208" s="1102"/>
      <c r="I208" s="1102">
        <v>6842000</v>
      </c>
      <c r="J208" s="1115"/>
    </row>
    <row r="209" spans="2:10" s="649" customFormat="1" ht="12" customHeight="1">
      <c r="B209" s="1113" t="s">
        <v>1627</v>
      </c>
      <c r="C209" s="1114" t="s">
        <v>1604</v>
      </c>
      <c r="D209" s="1102"/>
      <c r="E209" s="1102"/>
      <c r="F209" s="1102"/>
      <c r="G209" s="1102"/>
      <c r="H209" s="1102"/>
      <c r="I209" s="1102">
        <v>1000000</v>
      </c>
      <c r="J209" s="1115"/>
    </row>
    <row r="210" spans="2:10" s="649" customFormat="1" ht="12" customHeight="1">
      <c r="B210" s="1113" t="s">
        <v>1627</v>
      </c>
      <c r="C210" s="1102" t="s">
        <v>1628</v>
      </c>
      <c r="D210" s="1102"/>
      <c r="E210" s="1102"/>
      <c r="F210" s="1102"/>
      <c r="G210" s="1102"/>
      <c r="H210" s="1102"/>
      <c r="I210" s="1102">
        <v>10000000</v>
      </c>
      <c r="J210" s="1115"/>
    </row>
    <row r="211" spans="2:10" s="649" customFormat="1" ht="12" customHeight="1">
      <c r="B211" s="1113" t="s">
        <v>1627</v>
      </c>
      <c r="C211" s="1102" t="s">
        <v>1629</v>
      </c>
      <c r="D211" s="1102"/>
      <c r="E211" s="1102"/>
      <c r="F211" s="1102">
        <v>100000000</v>
      </c>
      <c r="G211" s="1102"/>
      <c r="H211" s="1102"/>
      <c r="I211" s="1102"/>
      <c r="J211" s="1115"/>
    </row>
    <row r="212" spans="2:10" s="649" customFormat="1" ht="12" customHeight="1">
      <c r="B212" s="1113" t="s">
        <v>1627</v>
      </c>
      <c r="C212" s="1102" t="s">
        <v>1734</v>
      </c>
      <c r="D212" s="1102"/>
      <c r="E212" s="1102"/>
      <c r="F212" s="1102"/>
      <c r="G212" s="1102"/>
      <c r="H212" s="1102"/>
      <c r="I212" s="1102">
        <v>100000000</v>
      </c>
      <c r="J212" s="1115"/>
    </row>
    <row r="213" spans="2:10" s="649" customFormat="1" ht="12" customHeight="1">
      <c r="B213" s="1113" t="s">
        <v>1627</v>
      </c>
      <c r="C213" s="1102" t="s">
        <v>1735</v>
      </c>
      <c r="D213" s="1102"/>
      <c r="E213" s="1102"/>
      <c r="F213" s="1102"/>
      <c r="G213" s="1102"/>
      <c r="H213" s="1102"/>
      <c r="I213" s="1102">
        <v>5000000</v>
      </c>
      <c r="J213" s="1115"/>
    </row>
    <row r="214" spans="2:10" s="649" customFormat="1" ht="12" customHeight="1">
      <c r="B214" s="1113" t="s">
        <v>1627</v>
      </c>
      <c r="C214" s="1102" t="s">
        <v>1630</v>
      </c>
      <c r="D214" s="1102"/>
      <c r="E214" s="1102"/>
      <c r="F214" s="1102"/>
      <c r="G214" s="1102"/>
      <c r="H214" s="1102"/>
      <c r="I214" s="1102">
        <v>400000</v>
      </c>
      <c r="J214" s="1115"/>
    </row>
    <row r="215" spans="2:10" s="649" customFormat="1" ht="12" customHeight="1">
      <c r="B215" s="1113" t="s">
        <v>1627</v>
      </c>
      <c r="C215" s="1102" t="s">
        <v>1631</v>
      </c>
      <c r="D215" s="1102"/>
      <c r="E215" s="1102"/>
      <c r="F215" s="1102"/>
      <c r="G215" s="1102"/>
      <c r="H215" s="1102"/>
      <c r="I215" s="1102">
        <v>450000</v>
      </c>
      <c r="J215" s="1115"/>
    </row>
    <row r="216" spans="2:10" s="649" customFormat="1" ht="12" customHeight="1">
      <c r="B216" s="1113" t="s">
        <v>1627</v>
      </c>
      <c r="C216" s="1102" t="s">
        <v>1632</v>
      </c>
      <c r="D216" s="1102"/>
      <c r="E216" s="1102"/>
      <c r="F216" s="1102"/>
      <c r="G216" s="1102"/>
      <c r="H216" s="1102"/>
      <c r="I216" s="1102">
        <v>520000</v>
      </c>
      <c r="J216" s="1115"/>
    </row>
    <row r="217" spans="2:10" s="649" customFormat="1" ht="12" customHeight="1">
      <c r="B217" s="1113" t="s">
        <v>1627</v>
      </c>
      <c r="C217" s="1102" t="s">
        <v>1633</v>
      </c>
      <c r="D217" s="1102"/>
      <c r="E217" s="1102"/>
      <c r="F217" s="1102"/>
      <c r="G217" s="1102"/>
      <c r="H217" s="1102"/>
      <c r="I217" s="1102">
        <v>88000</v>
      </c>
      <c r="J217" s="1115"/>
    </row>
    <row r="218" spans="2:10" s="649" customFormat="1" ht="12" customHeight="1">
      <c r="B218" s="1113" t="s">
        <v>1627</v>
      </c>
      <c r="C218" s="1102" t="s">
        <v>1634</v>
      </c>
      <c r="D218" s="1102"/>
      <c r="E218" s="1102"/>
      <c r="F218" s="1102"/>
      <c r="G218" s="1102"/>
      <c r="H218" s="1102"/>
      <c r="I218" s="1102">
        <v>10000</v>
      </c>
      <c r="J218" s="1115"/>
    </row>
    <row r="219" spans="2:10" s="649" customFormat="1" ht="12" customHeight="1">
      <c r="B219" s="1113" t="s">
        <v>1627</v>
      </c>
      <c r="C219" s="1102" t="s">
        <v>1288</v>
      </c>
      <c r="D219" s="1102"/>
      <c r="E219" s="1102"/>
      <c r="F219" s="1102"/>
      <c r="G219" s="1102"/>
      <c r="H219" s="1102"/>
      <c r="I219" s="1102">
        <v>1017500</v>
      </c>
      <c r="J219" s="1115"/>
    </row>
    <row r="220" spans="2:10" s="649" customFormat="1" ht="12" customHeight="1">
      <c r="B220" s="1113" t="s">
        <v>1635</v>
      </c>
      <c r="C220" s="1102" t="s">
        <v>1636</v>
      </c>
      <c r="D220" s="1102"/>
      <c r="E220" s="1102"/>
      <c r="F220" s="1102"/>
      <c r="G220" s="1102"/>
      <c r="H220" s="1102"/>
      <c r="I220" s="1102">
        <v>100000</v>
      </c>
      <c r="J220" s="1115"/>
    </row>
    <row r="221" spans="2:10" s="649" customFormat="1" ht="12" customHeight="1">
      <c r="B221" s="1113" t="s">
        <v>1637</v>
      </c>
      <c r="C221" s="1102" t="s">
        <v>1638</v>
      </c>
      <c r="D221" s="1102"/>
      <c r="E221" s="1102"/>
      <c r="F221" s="1102"/>
      <c r="G221" s="1102"/>
      <c r="H221" s="1102"/>
      <c r="I221" s="1102">
        <v>900000</v>
      </c>
      <c r="J221" s="1115"/>
    </row>
    <row r="222" spans="2:10" s="649" customFormat="1" ht="12" customHeight="1">
      <c r="B222" s="1113" t="s">
        <v>1637</v>
      </c>
      <c r="C222" s="1102" t="s">
        <v>1639</v>
      </c>
      <c r="D222" s="1102"/>
      <c r="E222" s="1102"/>
      <c r="F222" s="1102"/>
      <c r="G222" s="1102"/>
      <c r="H222" s="1102"/>
      <c r="I222" s="1102">
        <v>10000000</v>
      </c>
      <c r="J222" s="1115"/>
    </row>
    <row r="223" spans="2:10" s="649" customFormat="1" ht="12" customHeight="1">
      <c r="B223" s="1113" t="s">
        <v>1637</v>
      </c>
      <c r="C223" s="1102" t="s">
        <v>1640</v>
      </c>
      <c r="D223" s="1102"/>
      <c r="E223" s="1102"/>
      <c r="F223" s="1102"/>
      <c r="G223" s="1102"/>
      <c r="H223" s="1102"/>
      <c r="I223" s="1102">
        <v>4800000</v>
      </c>
      <c r="J223" s="1115"/>
    </row>
    <row r="224" spans="2:10" s="649" customFormat="1" ht="12" customHeight="1">
      <c r="B224" s="1113" t="s">
        <v>1637</v>
      </c>
      <c r="C224" s="1102" t="s">
        <v>1641</v>
      </c>
      <c r="D224" s="1102"/>
      <c r="E224" s="1102"/>
      <c r="F224" s="1102"/>
      <c r="G224" s="1102"/>
      <c r="H224" s="1102"/>
      <c r="I224" s="1102">
        <f>15000+15000+15000+15000+15000+15000+15000+15000+15000+15000+90000+70000+150000+60000+90000+60000+150000+40000+60000+15000</f>
        <v>935000</v>
      </c>
      <c r="J224" s="1115"/>
    </row>
    <row r="225" spans="2:10" s="649" customFormat="1" ht="12" customHeight="1">
      <c r="B225" s="1113" t="s">
        <v>1637</v>
      </c>
      <c r="C225" s="1102" t="s">
        <v>1736</v>
      </c>
      <c r="D225" s="1102"/>
      <c r="E225" s="1102"/>
      <c r="F225" s="1102"/>
      <c r="G225" s="1102"/>
      <c r="H225" s="1102"/>
      <c r="I225" s="1102">
        <v>1300000</v>
      </c>
      <c r="J225" s="1115"/>
    </row>
    <row r="226" spans="2:10" s="649" customFormat="1" ht="12" customHeight="1">
      <c r="B226" s="1113" t="s">
        <v>1637</v>
      </c>
      <c r="C226" s="1102" t="s">
        <v>1763</v>
      </c>
      <c r="D226" s="1102"/>
      <c r="E226" s="1102"/>
      <c r="F226" s="1102"/>
      <c r="G226" s="1102"/>
      <c r="H226" s="1102"/>
      <c r="I226" s="1102">
        <v>1840800</v>
      </c>
      <c r="J226" s="1115"/>
    </row>
    <row r="227" spans="2:10" s="649" customFormat="1" ht="12" customHeight="1">
      <c r="B227" s="1113" t="s">
        <v>1637</v>
      </c>
      <c r="C227" s="1102" t="s">
        <v>1764</v>
      </c>
      <c r="D227" s="1102"/>
      <c r="E227" s="1102"/>
      <c r="F227" s="1102"/>
      <c r="G227" s="1102"/>
      <c r="H227" s="1102"/>
      <c r="I227" s="1102">
        <v>1377650</v>
      </c>
      <c r="J227" s="1115"/>
    </row>
    <row r="228" spans="2:10" s="649" customFormat="1" ht="12" customHeight="1">
      <c r="B228" s="1113" t="s">
        <v>1637</v>
      </c>
      <c r="C228" s="1102" t="s">
        <v>1765</v>
      </c>
      <c r="D228" s="1102"/>
      <c r="E228" s="1102"/>
      <c r="F228" s="1102"/>
      <c r="G228" s="1102"/>
      <c r="H228" s="1102"/>
      <c r="I228" s="1102">
        <v>1939000</v>
      </c>
      <c r="J228" s="1115"/>
    </row>
    <row r="229" spans="2:10" s="649" customFormat="1" ht="12" customHeight="1">
      <c r="B229" s="1113" t="s">
        <v>1637</v>
      </c>
      <c r="C229" s="1102" t="s">
        <v>1766</v>
      </c>
      <c r="D229" s="1102"/>
      <c r="E229" s="1102"/>
      <c r="F229" s="1102"/>
      <c r="G229" s="1102"/>
      <c r="H229" s="1102"/>
      <c r="I229" s="1102">
        <v>16422350</v>
      </c>
      <c r="J229" s="1115"/>
    </row>
    <row r="230" spans="2:10" s="649" customFormat="1" ht="12" customHeight="1">
      <c r="B230" s="1118" t="s">
        <v>1637</v>
      </c>
      <c r="C230" s="1119" t="s">
        <v>1737</v>
      </c>
      <c r="D230" s="1119"/>
      <c r="E230" s="1119"/>
      <c r="F230" s="1119"/>
      <c r="G230" s="1119"/>
      <c r="H230" s="1119"/>
      <c r="I230" s="1119">
        <v>121730000</v>
      </c>
      <c r="J230" s="1120"/>
    </row>
    <row r="231" spans="2:10" s="649" customFormat="1" ht="15" customHeight="1">
      <c r="B231" s="1799" t="s">
        <v>1642</v>
      </c>
      <c r="C231" s="1800"/>
      <c r="D231" s="1121">
        <f>SUM(D159:D224)</f>
        <v>82000000</v>
      </c>
      <c r="E231" s="1122">
        <f>SUM(E159:E225)</f>
        <v>0</v>
      </c>
      <c r="F231" s="1121">
        <f>SUM(F159:F225)</f>
        <v>466600000</v>
      </c>
      <c r="G231" s="1122"/>
      <c r="H231" s="1122"/>
      <c r="I231" s="1121">
        <f>SUM(I159:I230)</f>
        <v>514688880</v>
      </c>
      <c r="J231" s="1581"/>
    </row>
    <row r="232" spans="2:10" s="649" customFormat="1" ht="15" customHeight="1">
      <c r="B232" s="1812" t="s">
        <v>1643</v>
      </c>
      <c r="C232" s="1813"/>
      <c r="D232" s="1122"/>
      <c r="E232" s="1122"/>
      <c r="F232" s="1122">
        <f>SUM(D231:F231)</f>
        <v>548600000</v>
      </c>
      <c r="G232" s="1122"/>
      <c r="H232" s="1122"/>
      <c r="I232" s="1122"/>
      <c r="J232" s="1581"/>
    </row>
    <row r="233" spans="2:10" s="649" customFormat="1" ht="15" customHeight="1">
      <c r="B233" s="1814" t="s">
        <v>1644</v>
      </c>
      <c r="C233" s="1815"/>
      <c r="D233" s="1123"/>
      <c r="E233" s="1123"/>
      <c r="F233" s="1124">
        <f>I231</f>
        <v>514688880</v>
      </c>
      <c r="G233" s="1123"/>
      <c r="H233" s="1123"/>
      <c r="I233" s="1123"/>
      <c r="J233" s="1573"/>
    </row>
    <row r="234" spans="2:10" s="649" customFormat="1" ht="15" customHeight="1">
      <c r="B234" s="1797" t="s">
        <v>1645</v>
      </c>
      <c r="C234" s="1798"/>
      <c r="D234" s="1123"/>
      <c r="E234" s="1123"/>
      <c r="F234" s="1125">
        <f>F232-F233</f>
        <v>33911120</v>
      </c>
      <c r="G234" s="1123"/>
      <c r="H234" s="1123"/>
      <c r="I234" s="1123"/>
      <c r="J234" s="1582" t="s">
        <v>1738</v>
      </c>
    </row>
    <row r="235" spans="2:10" s="649" customFormat="1" ht="12" customHeight="1">
      <c r="B235" s="1816"/>
      <c r="C235" s="1817"/>
      <c r="D235" s="1577"/>
      <c r="E235" s="1577"/>
      <c r="F235" s="1583"/>
      <c r="G235" s="1577"/>
      <c r="H235" s="1577"/>
      <c r="I235" s="1577"/>
      <c r="J235" s="1579"/>
    </row>
    <row r="236" spans="2:10" s="649" customFormat="1" ht="12" customHeight="1">
      <c r="B236" s="1584">
        <v>43774</v>
      </c>
      <c r="C236" s="1585" t="s">
        <v>1767</v>
      </c>
      <c r="D236" s="1104"/>
      <c r="E236" s="1104"/>
      <c r="F236" s="1586"/>
      <c r="G236" s="1104"/>
      <c r="H236" s="1104"/>
      <c r="I236" s="1586">
        <v>7750000</v>
      </c>
      <c r="J236" s="1105"/>
    </row>
    <row r="237" spans="2:10" s="649" customFormat="1" ht="12" customHeight="1">
      <c r="B237" s="1584">
        <v>43867</v>
      </c>
      <c r="C237" s="1585" t="s">
        <v>1021</v>
      </c>
      <c r="D237" s="1104"/>
      <c r="E237" s="1104"/>
      <c r="F237" s="1586"/>
      <c r="G237" s="1104"/>
      <c r="H237" s="1104"/>
      <c r="I237" s="1586">
        <v>433000</v>
      </c>
      <c r="J237" s="1105"/>
    </row>
    <row r="238" spans="2:10" s="649" customFormat="1" ht="12" customHeight="1">
      <c r="B238" s="1584">
        <v>43867</v>
      </c>
      <c r="C238" s="1585" t="s">
        <v>1768</v>
      </c>
      <c r="D238" s="1104"/>
      <c r="E238" s="1104"/>
      <c r="F238" s="1586"/>
      <c r="G238" s="1104"/>
      <c r="H238" s="1104"/>
      <c r="I238" s="1586">
        <v>1100000</v>
      </c>
      <c r="J238" s="1105"/>
    </row>
    <row r="239" spans="2:10" s="649" customFormat="1" ht="12" customHeight="1">
      <c r="B239" s="1584">
        <v>43870</v>
      </c>
      <c r="C239" s="1585" t="s">
        <v>1021</v>
      </c>
      <c r="D239" s="1104"/>
      <c r="E239" s="1104"/>
      <c r="F239" s="1586"/>
      <c r="G239" s="1104"/>
      <c r="H239" s="1104"/>
      <c r="I239" s="1586">
        <v>3560000</v>
      </c>
      <c r="J239" s="1105"/>
    </row>
    <row r="240" spans="2:10" s="649" customFormat="1" ht="12" customHeight="1">
      <c r="B240" s="1584">
        <v>43886</v>
      </c>
      <c r="C240" s="1585" t="s">
        <v>1769</v>
      </c>
      <c r="D240" s="1104"/>
      <c r="E240" s="1104"/>
      <c r="F240" s="1586"/>
      <c r="G240" s="1104"/>
      <c r="H240" s="1104"/>
      <c r="I240" s="1586">
        <v>60000</v>
      </c>
      <c r="J240" s="1105"/>
    </row>
    <row r="241" spans="2:10" s="649" customFormat="1" ht="12" customHeight="1">
      <c r="B241" s="1584">
        <v>43886</v>
      </c>
      <c r="C241" s="1585" t="s">
        <v>1769</v>
      </c>
      <c r="D241" s="1104"/>
      <c r="E241" s="1104"/>
      <c r="F241" s="1586"/>
      <c r="G241" s="1104"/>
      <c r="H241" s="1104"/>
      <c r="I241" s="1586">
        <v>40000</v>
      </c>
      <c r="J241" s="1105"/>
    </row>
    <row r="242" spans="2:10" s="649" customFormat="1" ht="12" customHeight="1">
      <c r="B242" s="1584">
        <v>43891</v>
      </c>
      <c r="C242" s="1585" t="s">
        <v>1021</v>
      </c>
      <c r="D242" s="1104"/>
      <c r="E242" s="1104"/>
      <c r="F242" s="1586"/>
      <c r="G242" s="1104"/>
      <c r="H242" s="1104"/>
      <c r="I242" s="1586">
        <v>6500000</v>
      </c>
      <c r="J242" s="1105"/>
    </row>
    <row r="243" spans="2:10" s="649" customFormat="1" ht="12" customHeight="1">
      <c r="B243" s="1584">
        <v>43892</v>
      </c>
      <c r="C243" s="1585" t="s">
        <v>1021</v>
      </c>
      <c r="D243" s="1104"/>
      <c r="E243" s="1104"/>
      <c r="F243" s="1586"/>
      <c r="G243" s="1104"/>
      <c r="H243" s="1104"/>
      <c r="I243" s="1587">
        <v>118000</v>
      </c>
      <c r="J243" s="1105"/>
    </row>
    <row r="244" spans="2:10" s="649" customFormat="1" ht="12" customHeight="1">
      <c r="B244" s="1584">
        <v>43893</v>
      </c>
      <c r="C244" s="1585" t="s">
        <v>1770</v>
      </c>
      <c r="D244" s="1104"/>
      <c r="E244" s="1104"/>
      <c r="F244" s="1586"/>
      <c r="G244" s="1104"/>
      <c r="H244" s="1104"/>
      <c r="I244" s="1587">
        <v>1153846</v>
      </c>
      <c r="J244" s="1105"/>
    </row>
    <row r="245" spans="2:10" s="649" customFormat="1" ht="12" customHeight="1">
      <c r="B245" s="1584">
        <v>43893</v>
      </c>
      <c r="C245" s="1585" t="s">
        <v>1771</v>
      </c>
      <c r="D245" s="1104"/>
      <c r="E245" s="1104"/>
      <c r="F245" s="1586"/>
      <c r="G245" s="1104"/>
      <c r="H245" s="1104"/>
      <c r="I245" s="1587">
        <v>846154</v>
      </c>
      <c r="J245" s="1105"/>
    </row>
    <row r="246" spans="2:10" s="649" customFormat="1" ht="12" customHeight="1">
      <c r="B246" s="1584">
        <v>43893</v>
      </c>
      <c r="C246" s="1585" t="s">
        <v>1021</v>
      </c>
      <c r="D246" s="1104"/>
      <c r="E246" s="1104"/>
      <c r="F246" s="1586"/>
      <c r="G246" s="1104"/>
      <c r="H246" s="1104"/>
      <c r="I246" s="1587">
        <v>426000</v>
      </c>
      <c r="J246" s="1105"/>
    </row>
    <row r="247" spans="2:10" s="649" customFormat="1" ht="12" customHeight="1">
      <c r="B247" s="1584">
        <v>43894</v>
      </c>
      <c r="C247" s="1585" t="s">
        <v>1769</v>
      </c>
      <c r="D247" s="1104"/>
      <c r="E247" s="1104"/>
      <c r="F247" s="1586"/>
      <c r="G247" s="1104"/>
      <c r="H247" s="1104"/>
      <c r="I247" s="1587">
        <v>40000</v>
      </c>
      <c r="J247" s="1105"/>
    </row>
    <row r="248" spans="2:10" s="649" customFormat="1" ht="12" customHeight="1">
      <c r="B248" s="1584">
        <v>43894</v>
      </c>
      <c r="C248" s="1585" t="s">
        <v>1772</v>
      </c>
      <c r="D248" s="1104"/>
      <c r="E248" s="1104"/>
      <c r="F248" s="1586"/>
      <c r="G248" s="1104"/>
      <c r="H248" s="1104"/>
      <c r="I248" s="1587">
        <v>11200000</v>
      </c>
      <c r="J248" s="1105"/>
    </row>
    <row r="249" spans="2:10" s="649" customFormat="1" ht="12" customHeight="1">
      <c r="B249" s="1584">
        <v>43895</v>
      </c>
      <c r="C249" s="1588" t="s">
        <v>1773</v>
      </c>
      <c r="D249" s="1104"/>
      <c r="E249" s="1104"/>
      <c r="F249" s="1586"/>
      <c r="G249" s="1104"/>
      <c r="H249" s="1104"/>
      <c r="I249" s="1587">
        <v>1013359.59879</v>
      </c>
      <c r="J249" s="1105"/>
    </row>
    <row r="250" spans="2:10" s="649" customFormat="1" ht="12" customHeight="1">
      <c r="B250" s="1584">
        <v>43895</v>
      </c>
      <c r="C250" s="1585" t="s">
        <v>1768</v>
      </c>
      <c r="D250" s="1104"/>
      <c r="E250" s="1104"/>
      <c r="F250" s="1586"/>
      <c r="G250" s="1104"/>
      <c r="H250" s="1104"/>
      <c r="I250" s="1587">
        <v>500000</v>
      </c>
      <c r="J250" s="1105"/>
    </row>
    <row r="251" spans="2:10" s="649" customFormat="1" ht="12" customHeight="1">
      <c r="B251" s="1584">
        <v>43895</v>
      </c>
      <c r="C251" s="1585" t="s">
        <v>1021</v>
      </c>
      <c r="D251" s="1104"/>
      <c r="E251" s="1104"/>
      <c r="F251" s="1586"/>
      <c r="G251" s="1104"/>
      <c r="H251" s="1104"/>
      <c r="I251" s="1587">
        <v>1273000</v>
      </c>
      <c r="J251" s="1105"/>
    </row>
    <row r="252" spans="2:10" s="649" customFormat="1" ht="12" customHeight="1">
      <c r="B252" s="1584">
        <v>43895</v>
      </c>
      <c r="C252" s="1585" t="s">
        <v>1774</v>
      </c>
      <c r="D252" s="1104"/>
      <c r="E252" s="1104"/>
      <c r="F252" s="1586"/>
      <c r="G252" s="1104"/>
      <c r="H252" s="1104"/>
      <c r="I252" s="1587">
        <v>1761800</v>
      </c>
      <c r="J252" s="1105"/>
    </row>
    <row r="253" spans="2:10" s="649" customFormat="1" ht="12" customHeight="1">
      <c r="B253" s="1584">
        <v>43895</v>
      </c>
      <c r="C253" s="1585" t="s">
        <v>1769</v>
      </c>
      <c r="D253" s="1104"/>
      <c r="E253" s="1104"/>
      <c r="F253" s="1586"/>
      <c r="G253" s="1104"/>
      <c r="H253" s="1104"/>
      <c r="I253" s="1587">
        <v>35000</v>
      </c>
      <c r="J253" s="1105"/>
    </row>
    <row r="254" spans="2:10" s="649" customFormat="1" ht="12" customHeight="1">
      <c r="B254" s="1584">
        <v>43895</v>
      </c>
      <c r="C254" s="1585" t="s">
        <v>1021</v>
      </c>
      <c r="D254" s="1104"/>
      <c r="E254" s="1104"/>
      <c r="F254" s="1586"/>
      <c r="G254" s="1104"/>
      <c r="H254" s="1104"/>
      <c r="I254" s="1587">
        <v>60000</v>
      </c>
      <c r="J254" s="1105"/>
    </row>
    <row r="255" spans="2:10" s="649" customFormat="1" ht="12" customHeight="1">
      <c r="B255" s="1584">
        <v>43897</v>
      </c>
      <c r="C255" s="1585" t="s">
        <v>1769</v>
      </c>
      <c r="D255" s="1104"/>
      <c r="E255" s="1104"/>
      <c r="F255" s="1586"/>
      <c r="G255" s="1104"/>
      <c r="H255" s="1104"/>
      <c r="I255" s="1587">
        <v>40000</v>
      </c>
      <c r="J255" s="1105"/>
    </row>
    <row r="256" spans="2:10" s="649" customFormat="1" ht="12" customHeight="1">
      <c r="B256" s="1584">
        <v>43898</v>
      </c>
      <c r="C256" s="1585" t="s">
        <v>1775</v>
      </c>
      <c r="D256" s="1104"/>
      <c r="E256" s="1104"/>
      <c r="F256" s="1586"/>
      <c r="G256" s="1104"/>
      <c r="H256" s="1104"/>
      <c r="I256" s="1587">
        <v>950000</v>
      </c>
      <c r="J256" s="1105"/>
    </row>
    <row r="257" spans="2:10" s="649" customFormat="1" ht="12" customHeight="1">
      <c r="B257" s="1584">
        <v>43898</v>
      </c>
      <c r="C257" s="1585" t="s">
        <v>1769</v>
      </c>
      <c r="D257" s="1104"/>
      <c r="E257" s="1104"/>
      <c r="F257" s="1586"/>
      <c r="G257" s="1104"/>
      <c r="H257" s="1104"/>
      <c r="I257" s="1587">
        <v>70000</v>
      </c>
      <c r="J257" s="1105"/>
    </row>
    <row r="258" spans="2:10" s="649" customFormat="1" ht="12" customHeight="1">
      <c r="B258" s="1584">
        <v>43898</v>
      </c>
      <c r="C258" s="1585" t="s">
        <v>1769</v>
      </c>
      <c r="D258" s="1104"/>
      <c r="E258" s="1104"/>
      <c r="F258" s="1586"/>
      <c r="G258" s="1104"/>
      <c r="H258" s="1104"/>
      <c r="I258" s="1587">
        <v>40000</v>
      </c>
      <c r="J258" s="1105"/>
    </row>
    <row r="259" spans="2:10" s="649" customFormat="1" ht="12" customHeight="1">
      <c r="B259" s="1584">
        <v>43899</v>
      </c>
      <c r="C259" s="1589" t="s">
        <v>1021</v>
      </c>
      <c r="D259" s="1104"/>
      <c r="E259" s="1104"/>
      <c r="F259" s="1586"/>
      <c r="G259" s="1104"/>
      <c r="H259" s="1104"/>
      <c r="I259" s="1587">
        <v>300000</v>
      </c>
      <c r="J259" s="1105"/>
    </row>
    <row r="260" spans="2:10" s="649" customFormat="1" ht="12" customHeight="1">
      <c r="B260" s="1584">
        <v>43900</v>
      </c>
      <c r="C260" s="1589" t="s">
        <v>1768</v>
      </c>
      <c r="D260" s="1104"/>
      <c r="E260" s="1104"/>
      <c r="F260" s="1586"/>
      <c r="G260" s="1104"/>
      <c r="H260" s="1104"/>
      <c r="I260" s="1587">
        <v>450000.1</v>
      </c>
      <c r="J260" s="1105"/>
    </row>
    <row r="261" spans="2:10" s="649" customFormat="1" ht="12" customHeight="1">
      <c r="B261" s="1584">
        <v>43900</v>
      </c>
      <c r="C261" s="1589" t="s">
        <v>1776</v>
      </c>
      <c r="D261" s="1104"/>
      <c r="E261" s="1104"/>
      <c r="F261" s="1586"/>
      <c r="G261" s="1104"/>
      <c r="H261" s="1104"/>
      <c r="I261" s="1587">
        <v>8000000</v>
      </c>
      <c r="J261" s="1105"/>
    </row>
    <row r="262" spans="2:10" s="649" customFormat="1" ht="12" customHeight="1">
      <c r="B262" s="1584">
        <v>43900</v>
      </c>
      <c r="C262" s="1585" t="s">
        <v>1777</v>
      </c>
      <c r="D262" s="1104"/>
      <c r="E262" s="1104"/>
      <c r="F262" s="1586"/>
      <c r="G262" s="1104"/>
      <c r="H262" s="1104"/>
      <c r="I262" s="1587">
        <v>2255600</v>
      </c>
      <c r="J262" s="1105"/>
    </row>
    <row r="263" spans="2:10" s="649" customFormat="1" ht="12" customHeight="1">
      <c r="B263" s="1584">
        <v>43901</v>
      </c>
      <c r="C263" s="1585" t="s">
        <v>1769</v>
      </c>
      <c r="D263" s="1104"/>
      <c r="E263" s="1104"/>
      <c r="F263" s="1586"/>
      <c r="G263" s="1104"/>
      <c r="H263" s="1104"/>
      <c r="I263" s="1587">
        <v>15000</v>
      </c>
      <c r="J263" s="1105"/>
    </row>
    <row r="264" spans="2:10" s="649" customFormat="1" ht="12" customHeight="1">
      <c r="B264" s="1584">
        <v>43901</v>
      </c>
      <c r="C264" s="1585" t="s">
        <v>1778</v>
      </c>
      <c r="D264" s="1104"/>
      <c r="E264" s="1104"/>
      <c r="F264" s="1586"/>
      <c r="G264" s="1104"/>
      <c r="H264" s="1104"/>
      <c r="I264" s="1587">
        <v>3000000</v>
      </c>
      <c r="J264" s="1105"/>
    </row>
    <row r="265" spans="2:10" s="649" customFormat="1" ht="12" customHeight="1">
      <c r="B265" s="1584">
        <v>43901</v>
      </c>
      <c r="C265" s="1585" t="s">
        <v>1779</v>
      </c>
      <c r="D265" s="1104"/>
      <c r="E265" s="1104"/>
      <c r="F265" s="1586"/>
      <c r="G265" s="1104"/>
      <c r="H265" s="1104"/>
      <c r="I265" s="1587">
        <v>11000000</v>
      </c>
      <c r="J265" s="1105"/>
    </row>
    <row r="266" spans="2:10" s="649" customFormat="1" ht="12" customHeight="1">
      <c r="B266" s="1584">
        <v>43901</v>
      </c>
      <c r="C266" s="1585" t="s">
        <v>1780</v>
      </c>
      <c r="D266" s="1104"/>
      <c r="E266" s="1104"/>
      <c r="F266" s="1586"/>
      <c r="G266" s="1104"/>
      <c r="H266" s="1104"/>
      <c r="I266" s="1587">
        <v>200000</v>
      </c>
      <c r="J266" s="1105"/>
    </row>
    <row r="267" spans="2:10" s="649" customFormat="1" ht="12" customHeight="1">
      <c r="B267" s="1584">
        <v>43901</v>
      </c>
      <c r="C267" s="1585" t="s">
        <v>1781</v>
      </c>
      <c r="D267" s="1104"/>
      <c r="E267" s="1104"/>
      <c r="F267" s="1586"/>
      <c r="G267" s="1104"/>
      <c r="H267" s="1104"/>
      <c r="I267" s="1587">
        <v>3740000</v>
      </c>
      <c r="J267" s="1105"/>
    </row>
    <row r="268" spans="2:10" s="649" customFormat="1" ht="12" customHeight="1">
      <c r="B268" s="1584">
        <v>43901</v>
      </c>
      <c r="C268" s="1585" t="s">
        <v>1782</v>
      </c>
      <c r="D268" s="1104"/>
      <c r="E268" s="1104"/>
      <c r="F268" s="1586"/>
      <c r="G268" s="1104"/>
      <c r="H268" s="1104"/>
      <c r="I268" s="1587">
        <v>2750000</v>
      </c>
      <c r="J268" s="1105"/>
    </row>
    <row r="269" spans="2:10" s="649" customFormat="1" ht="12" customHeight="1">
      <c r="B269" s="1584">
        <v>44138</v>
      </c>
      <c r="C269" s="1585" t="s">
        <v>1819</v>
      </c>
      <c r="D269" s="1104"/>
      <c r="E269" s="1104"/>
      <c r="F269" s="1586"/>
      <c r="G269" s="1104"/>
      <c r="H269" s="1104"/>
      <c r="I269" s="1587">
        <v>9450000</v>
      </c>
      <c r="J269" s="1105"/>
    </row>
    <row r="270" spans="2:10" s="649" customFormat="1" ht="12" customHeight="1">
      <c r="B270" s="1584">
        <v>43902</v>
      </c>
      <c r="C270" s="1585" t="s">
        <v>1783</v>
      </c>
      <c r="D270" s="1104"/>
      <c r="E270" s="1104"/>
      <c r="F270" s="1586"/>
      <c r="G270" s="1104"/>
      <c r="H270" s="1104"/>
      <c r="I270" s="1587">
        <v>9000000</v>
      </c>
      <c r="J270" s="1105"/>
    </row>
    <row r="271" spans="2:10" s="649" customFormat="1" ht="12" customHeight="1">
      <c r="B271" s="1584">
        <v>43902</v>
      </c>
      <c r="C271" s="1585" t="s">
        <v>1021</v>
      </c>
      <c r="D271" s="1104"/>
      <c r="E271" s="1104"/>
      <c r="F271" s="1586"/>
      <c r="G271" s="1104"/>
      <c r="H271" s="1104"/>
      <c r="I271" s="1587">
        <v>195000</v>
      </c>
      <c r="J271" s="1105"/>
    </row>
    <row r="272" spans="2:10" s="649" customFormat="1" ht="12" customHeight="1">
      <c r="B272" s="1584">
        <v>43902</v>
      </c>
      <c r="C272" s="1585" t="s">
        <v>1021</v>
      </c>
      <c r="D272" s="1104"/>
      <c r="E272" s="1104"/>
      <c r="F272" s="1586"/>
      <c r="G272" s="1104"/>
      <c r="H272" s="1104"/>
      <c r="I272" s="1587">
        <v>487000</v>
      </c>
      <c r="J272" s="1105"/>
    </row>
    <row r="273" spans="2:10" s="649" customFormat="1" ht="12" customHeight="1">
      <c r="B273" s="1584">
        <v>43902</v>
      </c>
      <c r="C273" s="1585" t="s">
        <v>1773</v>
      </c>
      <c r="D273" s="1104"/>
      <c r="E273" s="1104"/>
      <c r="F273" s="1586"/>
      <c r="G273" s="1104"/>
      <c r="H273" s="1104"/>
      <c r="I273" s="1587">
        <v>516240</v>
      </c>
      <c r="J273" s="1105"/>
    </row>
    <row r="274" spans="2:10" s="649" customFormat="1" ht="12" customHeight="1">
      <c r="B274" s="1584">
        <v>43903</v>
      </c>
      <c r="C274" s="1585" t="s">
        <v>1784</v>
      </c>
      <c r="D274" s="1104"/>
      <c r="E274" s="1104"/>
      <c r="F274" s="1586">
        <v>11874000</v>
      </c>
      <c r="G274" s="1104"/>
      <c r="H274" s="1104"/>
      <c r="I274" s="1587">
        <v>0</v>
      </c>
      <c r="J274" s="1105"/>
    </row>
    <row r="275" spans="2:10" s="649" customFormat="1" ht="12" customHeight="1">
      <c r="B275" s="1584">
        <v>43903</v>
      </c>
      <c r="C275" s="1585" t="s">
        <v>1785</v>
      </c>
      <c r="D275" s="1104"/>
      <c r="E275" s="1104"/>
      <c r="F275" s="1586">
        <v>9480000</v>
      </c>
      <c r="G275" s="1104"/>
      <c r="H275" s="1104"/>
      <c r="I275" s="1587">
        <v>0</v>
      </c>
      <c r="J275" s="1105"/>
    </row>
    <row r="276" spans="2:10" s="649" customFormat="1" ht="12" customHeight="1">
      <c r="B276" s="1584">
        <v>43903</v>
      </c>
      <c r="C276" s="1585" t="s">
        <v>1768</v>
      </c>
      <c r="D276" s="1104"/>
      <c r="E276" s="1104"/>
      <c r="F276" s="1586"/>
      <c r="G276" s="1104"/>
      <c r="H276" s="1104"/>
      <c r="I276" s="1587">
        <v>450000</v>
      </c>
      <c r="J276" s="1105"/>
    </row>
    <row r="277" spans="2:10" s="649" customFormat="1" ht="12" customHeight="1">
      <c r="B277" s="1584">
        <v>43903</v>
      </c>
      <c r="C277" s="1585" t="s">
        <v>1021</v>
      </c>
      <c r="D277" s="1104"/>
      <c r="E277" s="1104"/>
      <c r="F277" s="1586"/>
      <c r="G277" s="1104"/>
      <c r="H277" s="1104"/>
      <c r="I277" s="1587">
        <v>532000</v>
      </c>
      <c r="J277" s="1105"/>
    </row>
    <row r="278" spans="2:10" s="649" customFormat="1" ht="12" customHeight="1">
      <c r="B278" s="1584">
        <v>43903</v>
      </c>
      <c r="C278" s="1585" t="s">
        <v>1021</v>
      </c>
      <c r="D278" s="1104"/>
      <c r="E278" s="1104"/>
      <c r="F278" s="1586"/>
      <c r="G278" s="1104"/>
      <c r="H278" s="1104"/>
      <c r="I278" s="1587">
        <v>150000</v>
      </c>
      <c r="J278" s="1105"/>
    </row>
    <row r="279" spans="2:10" s="649" customFormat="1" ht="12" customHeight="1">
      <c r="B279" s="1584">
        <v>43904</v>
      </c>
      <c r="C279" s="1585" t="s">
        <v>1768</v>
      </c>
      <c r="D279" s="1104"/>
      <c r="E279" s="1104"/>
      <c r="F279" s="1586"/>
      <c r="G279" s="1104"/>
      <c r="H279" s="1104"/>
      <c r="I279" s="1587">
        <v>399999.6</v>
      </c>
      <c r="J279" s="1105"/>
    </row>
    <row r="280" spans="2:10" s="649" customFormat="1" ht="12" customHeight="1">
      <c r="B280" s="1584">
        <v>43904</v>
      </c>
      <c r="C280" s="1585" t="s">
        <v>1768</v>
      </c>
      <c r="D280" s="1104"/>
      <c r="E280" s="1104"/>
      <c r="F280" s="1586"/>
      <c r="G280" s="1104"/>
      <c r="H280" s="1104"/>
      <c r="I280" s="1587">
        <v>450000.1</v>
      </c>
      <c r="J280" s="1105"/>
    </row>
    <row r="281" spans="2:10" s="649" customFormat="1" ht="12" customHeight="1">
      <c r="B281" s="1584">
        <v>43905</v>
      </c>
      <c r="C281" s="1585" t="s">
        <v>1021</v>
      </c>
      <c r="D281" s="1104"/>
      <c r="E281" s="1104"/>
      <c r="F281" s="1586"/>
      <c r="G281" s="1104"/>
      <c r="H281" s="1104"/>
      <c r="I281" s="1587">
        <v>982000</v>
      </c>
      <c r="J281" s="1105"/>
    </row>
    <row r="282" spans="2:10" s="649" customFormat="1" ht="12" customHeight="1">
      <c r="B282" s="1584">
        <v>43906</v>
      </c>
      <c r="C282" s="1585" t="s">
        <v>1021</v>
      </c>
      <c r="D282" s="1104"/>
      <c r="E282" s="1104"/>
      <c r="F282" s="1586"/>
      <c r="G282" s="1104"/>
      <c r="H282" s="1104"/>
      <c r="I282" s="1587">
        <v>196000</v>
      </c>
      <c r="J282" s="1105"/>
    </row>
    <row r="283" spans="2:10" s="649" customFormat="1" ht="12" customHeight="1">
      <c r="B283" s="1584">
        <v>43906</v>
      </c>
      <c r="C283" s="1585" t="s">
        <v>1021</v>
      </c>
      <c r="D283" s="1104"/>
      <c r="E283" s="1104"/>
      <c r="F283" s="1586"/>
      <c r="G283" s="1104"/>
      <c r="H283" s="1104"/>
      <c r="I283" s="1587">
        <v>28000</v>
      </c>
      <c r="J283" s="1105"/>
    </row>
    <row r="284" spans="2:10" s="649" customFormat="1" ht="12" customHeight="1">
      <c r="B284" s="1584">
        <v>43906</v>
      </c>
      <c r="C284" s="1585" t="s">
        <v>1768</v>
      </c>
      <c r="D284" s="1104"/>
      <c r="E284" s="1104"/>
      <c r="F284" s="1586"/>
      <c r="G284" s="1104"/>
      <c r="H284" s="1104"/>
      <c r="I284" s="1587">
        <v>480000</v>
      </c>
      <c r="J284" s="1105"/>
    </row>
    <row r="285" spans="2:10" s="649" customFormat="1" ht="12" customHeight="1">
      <c r="B285" s="1584">
        <v>43906</v>
      </c>
      <c r="C285" s="1585" t="s">
        <v>1021</v>
      </c>
      <c r="D285" s="1104"/>
      <c r="E285" s="1104"/>
      <c r="F285" s="1586"/>
      <c r="G285" s="1104"/>
      <c r="H285" s="1104"/>
      <c r="I285" s="1587">
        <v>25000</v>
      </c>
      <c r="J285" s="1105"/>
    </row>
    <row r="286" spans="2:10" s="649" customFormat="1" ht="12" customHeight="1">
      <c r="B286" s="1584">
        <v>43906</v>
      </c>
      <c r="C286" s="1585" t="s">
        <v>1786</v>
      </c>
      <c r="D286" s="1104"/>
      <c r="E286" s="1104"/>
      <c r="F286" s="1586"/>
      <c r="G286" s="1104"/>
      <c r="H286" s="1104"/>
      <c r="I286" s="1587">
        <v>245000</v>
      </c>
      <c r="J286" s="1105"/>
    </row>
    <row r="287" spans="2:10" s="649" customFormat="1" ht="12" customHeight="1">
      <c r="B287" s="1584">
        <v>43906</v>
      </c>
      <c r="C287" s="1585" t="s">
        <v>1769</v>
      </c>
      <c r="D287" s="1104"/>
      <c r="E287" s="1104"/>
      <c r="F287" s="1586"/>
      <c r="G287" s="1104"/>
      <c r="H287" s="1104"/>
      <c r="I287" s="1587">
        <v>60000</v>
      </c>
      <c r="J287" s="1105"/>
    </row>
    <row r="288" spans="2:10" s="649" customFormat="1" ht="12" customHeight="1">
      <c r="B288" s="1584">
        <v>43906</v>
      </c>
      <c r="C288" s="1585" t="s">
        <v>1769</v>
      </c>
      <c r="D288" s="1104"/>
      <c r="E288" s="1104"/>
      <c r="F288" s="1586"/>
      <c r="G288" s="1104"/>
      <c r="H288" s="1104"/>
      <c r="I288" s="1587">
        <v>90000</v>
      </c>
      <c r="J288" s="1105"/>
    </row>
    <row r="289" spans="2:10" s="649" customFormat="1" ht="12" customHeight="1">
      <c r="B289" s="1584">
        <v>43906</v>
      </c>
      <c r="C289" s="1585" t="s">
        <v>1769</v>
      </c>
      <c r="D289" s="1104"/>
      <c r="E289" s="1104"/>
      <c r="F289" s="1586"/>
      <c r="G289" s="1104"/>
      <c r="H289" s="1104"/>
      <c r="I289" s="1587">
        <v>75000</v>
      </c>
      <c r="J289" s="1105"/>
    </row>
    <row r="290" spans="2:10" s="649" customFormat="1" ht="12" customHeight="1">
      <c r="B290" s="1584">
        <v>43906</v>
      </c>
      <c r="C290" s="1585" t="s">
        <v>1769</v>
      </c>
      <c r="D290" s="1104"/>
      <c r="E290" s="1104"/>
      <c r="F290" s="1586"/>
      <c r="G290" s="1104"/>
      <c r="H290" s="1104"/>
      <c r="I290" s="1587">
        <v>30000</v>
      </c>
      <c r="J290" s="1105"/>
    </row>
    <row r="291" spans="2:10" s="649" customFormat="1" ht="12" customHeight="1">
      <c r="B291" s="1584">
        <v>43908</v>
      </c>
      <c r="C291" s="1585" t="s">
        <v>1787</v>
      </c>
      <c r="D291" s="1104"/>
      <c r="E291" s="1104"/>
      <c r="F291" s="1586">
        <v>7000000</v>
      </c>
      <c r="G291" s="1104"/>
      <c r="H291" s="1104"/>
      <c r="I291" s="1587">
        <v>0</v>
      </c>
      <c r="J291" s="1105"/>
    </row>
    <row r="292" spans="2:10" s="649" customFormat="1" ht="12" customHeight="1">
      <c r="B292" s="1584">
        <v>43909</v>
      </c>
      <c r="C292" s="1585" t="s">
        <v>1788</v>
      </c>
      <c r="D292" s="1104"/>
      <c r="E292" s="1104"/>
      <c r="F292" s="1586"/>
      <c r="G292" s="1104"/>
      <c r="H292" s="1104"/>
      <c r="I292" s="1587">
        <v>3740000</v>
      </c>
      <c r="J292" s="1105"/>
    </row>
    <row r="293" spans="2:10" s="649" customFormat="1" ht="12" customHeight="1">
      <c r="B293" s="1584">
        <v>43909</v>
      </c>
      <c r="C293" s="1585" t="s">
        <v>1789</v>
      </c>
      <c r="D293" s="1104"/>
      <c r="E293" s="1104"/>
      <c r="F293" s="1586">
        <v>3550000</v>
      </c>
      <c r="G293" s="1104"/>
      <c r="H293" s="1104"/>
      <c r="I293" s="1587"/>
      <c r="J293" s="1105"/>
    </row>
    <row r="294" spans="2:10" s="649" customFormat="1" ht="12" customHeight="1">
      <c r="B294" s="1584">
        <v>43910</v>
      </c>
      <c r="C294" s="1585" t="s">
        <v>1790</v>
      </c>
      <c r="D294" s="1104"/>
      <c r="E294" s="1104"/>
      <c r="F294" s="1586"/>
      <c r="G294" s="1104"/>
      <c r="H294" s="1104"/>
      <c r="I294" s="1587">
        <v>3600000</v>
      </c>
      <c r="J294" s="1105"/>
    </row>
    <row r="295" spans="2:10" s="649" customFormat="1" ht="12" customHeight="1">
      <c r="B295" s="1584">
        <v>43910</v>
      </c>
      <c r="C295" s="1585" t="s">
        <v>1791</v>
      </c>
      <c r="D295" s="1104"/>
      <c r="E295" s="1104"/>
      <c r="F295" s="1586">
        <v>2000000</v>
      </c>
      <c r="G295" s="1104"/>
      <c r="H295" s="1104"/>
      <c r="I295" s="1587"/>
      <c r="J295" s="1105"/>
    </row>
    <row r="296" spans="2:10" s="649" customFormat="1" ht="12" customHeight="1">
      <c r="B296" s="1584">
        <v>43910</v>
      </c>
      <c r="C296" s="1585" t="s">
        <v>1792</v>
      </c>
      <c r="D296" s="1104"/>
      <c r="E296" s="1104"/>
      <c r="F296" s="1586"/>
      <c r="G296" s="1104"/>
      <c r="H296" s="1104"/>
      <c r="I296" s="1587">
        <v>1014600</v>
      </c>
      <c r="J296" s="1105"/>
    </row>
    <row r="297" spans="2:10" s="649" customFormat="1" ht="12" customHeight="1">
      <c r="B297" s="1584">
        <v>43911</v>
      </c>
      <c r="C297" s="1585" t="s">
        <v>1793</v>
      </c>
      <c r="D297" s="1104"/>
      <c r="E297" s="1104"/>
      <c r="F297" s="1586"/>
      <c r="G297" s="1104"/>
      <c r="H297" s="1104"/>
      <c r="I297" s="1587">
        <v>610000</v>
      </c>
      <c r="J297" s="1105"/>
    </row>
    <row r="298" spans="2:10" s="649" customFormat="1" ht="12" customHeight="1">
      <c r="B298" s="1584">
        <v>43889</v>
      </c>
      <c r="C298" s="1585" t="s">
        <v>1775</v>
      </c>
      <c r="D298" s="1104"/>
      <c r="E298" s="1104"/>
      <c r="F298" s="1586"/>
      <c r="G298" s="1104"/>
      <c r="H298" s="1104"/>
      <c r="I298" s="1587">
        <v>814000</v>
      </c>
      <c r="J298" s="1105"/>
    </row>
    <row r="299" spans="2:10" s="649" customFormat="1" ht="12" customHeight="1">
      <c r="B299" s="1584">
        <v>43921</v>
      </c>
      <c r="C299" s="1585" t="s">
        <v>1769</v>
      </c>
      <c r="D299" s="1104"/>
      <c r="E299" s="1104"/>
      <c r="F299" s="1586"/>
      <c r="G299" s="1104"/>
      <c r="H299" s="1104"/>
      <c r="I299" s="1587">
        <v>10000</v>
      </c>
      <c r="J299" s="1105"/>
    </row>
    <row r="300" spans="2:10" s="649" customFormat="1" ht="12" customHeight="1">
      <c r="B300" s="1584">
        <v>43921</v>
      </c>
      <c r="C300" s="1585" t="s">
        <v>1769</v>
      </c>
      <c r="D300" s="1104"/>
      <c r="E300" s="1104"/>
      <c r="F300" s="1586"/>
      <c r="G300" s="1104"/>
      <c r="H300" s="1104"/>
      <c r="I300" s="1587">
        <v>25000</v>
      </c>
      <c r="J300" s="1105"/>
    </row>
    <row r="301" spans="2:10" s="649" customFormat="1" ht="12" customHeight="1">
      <c r="B301" s="1584">
        <v>43921</v>
      </c>
      <c r="C301" s="1585" t="s">
        <v>1769</v>
      </c>
      <c r="D301" s="1104"/>
      <c r="E301" s="1104"/>
      <c r="F301" s="1586"/>
      <c r="G301" s="1104"/>
      <c r="H301" s="1104"/>
      <c r="I301" s="1587">
        <v>45000</v>
      </c>
      <c r="J301" s="1105"/>
    </row>
    <row r="302" spans="2:10" s="649" customFormat="1" ht="12" customHeight="1">
      <c r="B302" s="1584">
        <v>43921</v>
      </c>
      <c r="C302" s="1585" t="s">
        <v>1794</v>
      </c>
      <c r="D302" s="1104"/>
      <c r="E302" s="1104"/>
      <c r="F302" s="1586"/>
      <c r="G302" s="1104"/>
      <c r="H302" s="1104"/>
      <c r="I302" s="1587">
        <v>1500000</v>
      </c>
      <c r="J302" s="1105"/>
    </row>
    <row r="303" spans="2:10" s="649" customFormat="1" ht="12" customHeight="1">
      <c r="B303" s="1584">
        <v>43921</v>
      </c>
      <c r="C303" s="1585" t="s">
        <v>1794</v>
      </c>
      <c r="D303" s="1104"/>
      <c r="E303" s="1104"/>
      <c r="F303" s="1586"/>
      <c r="G303" s="1104"/>
      <c r="H303" s="1104"/>
      <c r="I303" s="1587">
        <v>1500000</v>
      </c>
      <c r="J303" s="1105"/>
    </row>
    <row r="304" spans="2:10" s="649" customFormat="1" ht="12" customHeight="1">
      <c r="B304" s="1584">
        <v>43921</v>
      </c>
      <c r="C304" s="1585" t="s">
        <v>1795</v>
      </c>
      <c r="D304" s="1104"/>
      <c r="E304" s="1104"/>
      <c r="F304" s="1586"/>
      <c r="G304" s="1104"/>
      <c r="H304" s="1104"/>
      <c r="I304" s="1587">
        <v>460000</v>
      </c>
      <c r="J304" s="1105"/>
    </row>
    <row r="305" spans="2:11" s="649" customFormat="1" ht="12" customHeight="1">
      <c r="B305" s="1584">
        <v>43921</v>
      </c>
      <c r="C305" s="1585" t="s">
        <v>1796</v>
      </c>
      <c r="D305" s="1104"/>
      <c r="E305" s="1104"/>
      <c r="F305" s="1586"/>
      <c r="G305" s="1104"/>
      <c r="H305" s="1104"/>
      <c r="I305" s="1587">
        <v>210000</v>
      </c>
      <c r="J305" s="1105"/>
    </row>
    <row r="306" spans="2:11" s="649" customFormat="1" ht="12" customHeight="1">
      <c r="B306" s="1584">
        <v>43921</v>
      </c>
      <c r="C306" s="1585" t="s">
        <v>1021</v>
      </c>
      <c r="D306" s="1104"/>
      <c r="E306" s="1104"/>
      <c r="F306" s="1586"/>
      <c r="G306" s="1104"/>
      <c r="H306" s="1104"/>
      <c r="I306" s="1587">
        <v>130000</v>
      </c>
      <c r="J306" s="1105"/>
    </row>
    <row r="307" spans="2:11" s="649" customFormat="1" ht="12" customHeight="1">
      <c r="B307" s="1584">
        <v>43921</v>
      </c>
      <c r="C307" s="1585" t="s">
        <v>1797</v>
      </c>
      <c r="D307" s="1104"/>
      <c r="E307" s="1104"/>
      <c r="F307" s="1586"/>
      <c r="G307" s="1104"/>
      <c r="H307" s="1104"/>
      <c r="I307" s="1587">
        <v>3000000</v>
      </c>
      <c r="J307" s="1105"/>
    </row>
    <row r="308" spans="2:11" s="649" customFormat="1" ht="12" customHeight="1">
      <c r="B308" s="1590">
        <v>43921</v>
      </c>
      <c r="C308" s="1591" t="s">
        <v>1798</v>
      </c>
      <c r="D308" s="1568"/>
      <c r="E308" s="1568"/>
      <c r="F308" s="1592"/>
      <c r="G308" s="1568"/>
      <c r="H308" s="1568"/>
      <c r="I308" s="1593">
        <v>4248000</v>
      </c>
      <c r="J308" s="1571"/>
    </row>
    <row r="309" spans="2:11" s="649" customFormat="1" ht="12.75">
      <c r="B309" s="1791" t="s">
        <v>1799</v>
      </c>
      <c r="C309" s="1792"/>
      <c r="D309" s="1123">
        <f t="shared" ref="D309:I309" si="0">SUM(D236:D308)</f>
        <v>0</v>
      </c>
      <c r="E309" s="1123">
        <f t="shared" si="0"/>
        <v>0</v>
      </c>
      <c r="F309" s="1125">
        <f t="shared" si="0"/>
        <v>33904000</v>
      </c>
      <c r="G309" s="1123">
        <f t="shared" si="0"/>
        <v>0</v>
      </c>
      <c r="H309" s="1123">
        <f t="shared" si="0"/>
        <v>0</v>
      </c>
      <c r="I309" s="1125">
        <f t="shared" si="0"/>
        <v>115428599.39878999</v>
      </c>
      <c r="J309" s="1573"/>
    </row>
    <row r="310" spans="2:11" s="649" customFormat="1" ht="15" customHeight="1">
      <c r="B310" s="1793" t="s">
        <v>1800</v>
      </c>
      <c r="C310" s="1794"/>
      <c r="D310" s="1123"/>
      <c r="E310" s="1123"/>
      <c r="F310" s="1122">
        <f>SUM(D309:F309)</f>
        <v>33904000</v>
      </c>
      <c r="G310" s="1123"/>
      <c r="H310" s="1123"/>
      <c r="I310" s="1123"/>
      <c r="J310" s="1573"/>
    </row>
    <row r="311" spans="2:11" s="649" customFormat="1" ht="15" customHeight="1">
      <c r="B311" s="1793" t="s">
        <v>1801</v>
      </c>
      <c r="C311" s="1794"/>
      <c r="D311" s="1123"/>
      <c r="E311" s="1123"/>
      <c r="F311" s="1122">
        <f>SUM(G309:I309)</f>
        <v>115428599.39878999</v>
      </c>
      <c r="G311" s="1123"/>
      <c r="H311" s="1123"/>
      <c r="I311" s="1123"/>
      <c r="J311" s="1573"/>
    </row>
    <row r="312" spans="2:11" s="649" customFormat="1" ht="15.75" customHeight="1">
      <c r="B312" s="1791" t="s">
        <v>1802</v>
      </c>
      <c r="C312" s="1792"/>
      <c r="D312" s="1123"/>
      <c r="E312" s="1123"/>
      <c r="F312" s="1121">
        <f>F310-F311</f>
        <v>-81524599.398789987</v>
      </c>
      <c r="G312" s="1123"/>
      <c r="H312" s="1123"/>
      <c r="I312" s="1123"/>
      <c r="J312" s="1573"/>
    </row>
    <row r="313" spans="2:11" ht="15.75" thickBot="1">
      <c r="B313" s="1795" t="s">
        <v>1803</v>
      </c>
      <c r="C313" s="1796"/>
      <c r="D313" s="1594"/>
      <c r="E313" s="1594"/>
      <c r="F313" s="1595">
        <f>F158+F234+F312</f>
        <v>-70992142.398789987</v>
      </c>
      <c r="G313" s="1594"/>
      <c r="H313" s="1594"/>
      <c r="I313" s="1594"/>
      <c r="J313" s="1596"/>
    </row>
    <row r="314" spans="2:11" ht="15.75" thickTop="1"/>
    <row r="315" spans="2:11" ht="15" customHeight="1">
      <c r="B315" s="1789" t="s">
        <v>645</v>
      </c>
      <c r="C315" s="1789"/>
      <c r="D315" s="1790" t="s">
        <v>1494</v>
      </c>
      <c r="E315" s="1790"/>
      <c r="F315" s="1790"/>
      <c r="G315" s="1626" t="s">
        <v>630</v>
      </c>
      <c r="H315" s="1626"/>
      <c r="I315" s="1626"/>
      <c r="J315" s="1626"/>
      <c r="K315" s="827"/>
    </row>
    <row r="316" spans="2:11">
      <c r="B316" s="1597"/>
      <c r="C316" s="1597"/>
      <c r="D316" s="1597"/>
      <c r="E316" s="1598"/>
      <c r="F316" s="1598"/>
      <c r="G316" s="1599"/>
      <c r="H316" s="1599"/>
      <c r="I316" s="1599"/>
      <c r="J316" s="1599"/>
      <c r="K316" s="1599"/>
    </row>
    <row r="317" spans="2:11">
      <c r="B317" s="1597"/>
      <c r="C317" s="1597"/>
      <c r="D317" s="1597"/>
      <c r="E317" s="1598"/>
      <c r="F317" s="1598"/>
      <c r="G317" s="1599"/>
      <c r="H317" s="1599"/>
      <c r="I317" s="1599"/>
      <c r="J317" s="1599"/>
      <c r="K317" s="1599"/>
    </row>
    <row r="318" spans="2:11">
      <c r="B318" s="1597"/>
      <c r="C318" s="1597"/>
      <c r="D318" s="1597"/>
      <c r="E318" s="1598"/>
      <c r="F318" s="1598"/>
      <c r="G318" s="1599"/>
      <c r="H318" s="1599"/>
      <c r="I318" s="1599"/>
      <c r="J318" s="1599"/>
      <c r="K318" s="1599"/>
    </row>
    <row r="319" spans="2:11">
      <c r="B319" s="722"/>
      <c r="C319" s="722"/>
      <c r="D319" s="722"/>
      <c r="E319" s="722"/>
      <c r="F319" s="722"/>
    </row>
    <row r="320" spans="2:11">
      <c r="B320" s="1626" t="s">
        <v>1698</v>
      </c>
      <c r="C320" s="1626"/>
      <c r="D320" s="1626" t="s">
        <v>1698</v>
      </c>
      <c r="E320" s="1626"/>
      <c r="F320" s="1626"/>
      <c r="G320" s="1626" t="s">
        <v>639</v>
      </c>
      <c r="H320" s="1626"/>
      <c r="I320" s="1626"/>
      <c r="J320" s="1626"/>
      <c r="K320" s="827"/>
    </row>
  </sheetData>
  <mergeCells count="29">
    <mergeCell ref="E1:J1"/>
    <mergeCell ref="B232:C232"/>
    <mergeCell ref="B233:C233"/>
    <mergeCell ref="B234:C234"/>
    <mergeCell ref="B235:C235"/>
    <mergeCell ref="E2:J2"/>
    <mergeCell ref="B4:K4"/>
    <mergeCell ref="B5:K5"/>
    <mergeCell ref="C6:C7"/>
    <mergeCell ref="D6:F6"/>
    <mergeCell ref="G6:I6"/>
    <mergeCell ref="J6:J7"/>
    <mergeCell ref="B6:B7"/>
    <mergeCell ref="B155:C155"/>
    <mergeCell ref="B156:C156"/>
    <mergeCell ref="B157:C157"/>
    <mergeCell ref="B158:C158"/>
    <mergeCell ref="B231:C231"/>
    <mergeCell ref="B309:C309"/>
    <mergeCell ref="B310:C310"/>
    <mergeCell ref="B311:C311"/>
    <mergeCell ref="B312:C312"/>
    <mergeCell ref="B313:C313"/>
    <mergeCell ref="B315:C315"/>
    <mergeCell ref="D315:F315"/>
    <mergeCell ref="G315:J315"/>
    <mergeCell ref="B320:C320"/>
    <mergeCell ref="D320:F320"/>
    <mergeCell ref="G320:J3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23"/>
  <sheetViews>
    <sheetView topLeftCell="A13" zoomScaleNormal="100" workbookViewId="0">
      <selection activeCell="B25" sqref="B25"/>
    </sheetView>
  </sheetViews>
  <sheetFormatPr defaultRowHeight="15"/>
  <cols>
    <col min="2" max="2" width="39.42578125" customWidth="1"/>
    <col min="3" max="3" width="16" customWidth="1"/>
    <col min="5" max="5" width="11" customWidth="1"/>
    <col min="6" max="6" width="10.7109375" customWidth="1"/>
  </cols>
  <sheetData>
    <row r="1" spans="1:6" ht="16.5">
      <c r="A1" s="813" t="s">
        <v>0</v>
      </c>
      <c r="B1" s="812"/>
      <c r="C1" s="812"/>
      <c r="D1" s="812"/>
      <c r="E1" s="812"/>
      <c r="F1" s="812"/>
    </row>
    <row r="2" spans="1:6">
      <c r="A2" s="814" t="s">
        <v>2</v>
      </c>
      <c r="B2" s="812"/>
      <c r="C2" s="812"/>
      <c r="D2" s="812"/>
      <c r="E2" s="812"/>
      <c r="F2" s="812"/>
    </row>
    <row r="4" spans="1:6" ht="15.75">
      <c r="A4" s="812"/>
      <c r="B4" s="1623" t="s">
        <v>1466</v>
      </c>
      <c r="C4" s="1623"/>
      <c r="D4" s="1623"/>
      <c r="E4" s="1623"/>
      <c r="F4" s="1623"/>
    </row>
    <row r="5" spans="1:6">
      <c r="A5" s="812"/>
      <c r="B5" s="1751" t="s">
        <v>1821</v>
      </c>
      <c r="C5" s="1751"/>
      <c r="D5" s="1751"/>
      <c r="E5" s="1751"/>
      <c r="F5" s="1751"/>
    </row>
    <row r="6" spans="1:6">
      <c r="A6" s="812"/>
      <c r="B6" s="812"/>
      <c r="C6" s="812"/>
      <c r="D6" s="1818" t="s">
        <v>13</v>
      </c>
      <c r="E6" s="1819"/>
      <c r="F6" s="1820"/>
    </row>
    <row r="7" spans="1:6">
      <c r="A7" s="812"/>
      <c r="B7" s="831" t="s">
        <v>1467</v>
      </c>
      <c r="C7" s="832">
        <v>441079600</v>
      </c>
      <c r="D7" s="1827" t="s">
        <v>1473</v>
      </c>
      <c r="E7" s="1828"/>
      <c r="F7" s="1829"/>
    </row>
    <row r="8" spans="1:6">
      <c r="A8" s="812"/>
      <c r="B8" s="833" t="s">
        <v>1468</v>
      </c>
      <c r="C8" s="834">
        <v>683992230</v>
      </c>
      <c r="D8" s="1830"/>
      <c r="E8" s="1831"/>
      <c r="F8" s="1832"/>
    </row>
    <row r="9" spans="1:6">
      <c r="A9" s="812"/>
      <c r="B9" s="1127" t="s">
        <v>1469</v>
      </c>
      <c r="C9" s="835">
        <v>-242912630</v>
      </c>
      <c r="D9" s="1833"/>
      <c r="E9" s="1834"/>
      <c r="F9" s="1835"/>
    </row>
    <row r="10" spans="1:6" ht="57.75" customHeight="1">
      <c r="A10" s="812"/>
      <c r="B10" s="836" t="s">
        <v>1470</v>
      </c>
      <c r="C10" s="837">
        <f>'TH Thu - Chi T5 đến 31.01.2020'!F702</f>
        <v>1613880800</v>
      </c>
      <c r="D10" s="1821" t="s">
        <v>1818</v>
      </c>
      <c r="E10" s="1822"/>
      <c r="F10" s="1823"/>
    </row>
    <row r="11" spans="1:6" ht="42.75" customHeight="1">
      <c r="A11" s="812"/>
      <c r="B11" s="838" t="s">
        <v>1471</v>
      </c>
      <c r="C11" s="839">
        <f>'TH Thu - Chi T5 đến 31.01.2020'!F703</f>
        <v>1673227720</v>
      </c>
      <c r="D11" s="1824" t="s">
        <v>1820</v>
      </c>
      <c r="E11" s="1825"/>
      <c r="F11" s="1826"/>
    </row>
    <row r="12" spans="1:6">
      <c r="A12" s="812"/>
      <c r="B12" s="1126" t="s">
        <v>1472</v>
      </c>
      <c r="C12" s="835">
        <f>C10-C11</f>
        <v>-59346920</v>
      </c>
      <c r="D12" s="1128"/>
      <c r="E12" s="1129"/>
      <c r="F12" s="1130"/>
    </row>
    <row r="13" spans="1:6" ht="20.25" customHeight="1">
      <c r="A13" s="812"/>
      <c r="B13" s="840" t="s">
        <v>1816</v>
      </c>
      <c r="C13" s="832">
        <v>785908000</v>
      </c>
      <c r="D13" s="1131"/>
      <c r="E13" s="722"/>
      <c r="F13" s="1132"/>
    </row>
    <row r="14" spans="1:6" ht="16.5" customHeight="1">
      <c r="A14" s="812"/>
      <c r="B14" s="841" t="s">
        <v>1815</v>
      </c>
      <c r="C14" s="834">
        <v>856900142</v>
      </c>
      <c r="D14" s="1131"/>
      <c r="E14" s="722"/>
      <c r="F14" s="1132"/>
    </row>
    <row r="15" spans="1:6" ht="18" customHeight="1">
      <c r="A15" s="812"/>
      <c r="B15" s="1126" t="s">
        <v>1817</v>
      </c>
      <c r="C15" s="835">
        <f>C13-C14</f>
        <v>-70992142</v>
      </c>
      <c r="D15" s="1131"/>
      <c r="E15" s="722"/>
      <c r="F15" s="1132"/>
    </row>
    <row r="16" spans="1:6" ht="30" customHeight="1">
      <c r="A16" s="812"/>
      <c r="B16" s="842" t="s">
        <v>1822</v>
      </c>
      <c r="C16" s="843">
        <f>C9+C12+C15</f>
        <v>-373251692</v>
      </c>
      <c r="D16" s="1133"/>
      <c r="E16" s="1134"/>
      <c r="F16" s="1135"/>
    </row>
    <row r="17" spans="2:9">
      <c r="B17" s="812"/>
      <c r="C17" s="825"/>
      <c r="D17" s="812"/>
      <c r="E17" s="812"/>
      <c r="F17" s="812"/>
      <c r="G17" s="812"/>
      <c r="H17" s="812"/>
      <c r="I17" s="812"/>
    </row>
    <row r="18" spans="2:9">
      <c r="B18" s="815" t="s">
        <v>629</v>
      </c>
      <c r="C18" s="812"/>
      <c r="D18" s="1626" t="s">
        <v>630</v>
      </c>
      <c r="E18" s="1626"/>
      <c r="F18" s="1626"/>
      <c r="G18" s="827"/>
      <c r="H18" s="827"/>
      <c r="I18" s="827"/>
    </row>
    <row r="19" spans="2:9">
      <c r="B19" s="823" t="s">
        <v>631</v>
      </c>
      <c r="C19" s="812"/>
      <c r="D19" s="1751" t="s">
        <v>632</v>
      </c>
      <c r="E19" s="1751"/>
      <c r="F19" s="1751"/>
      <c r="G19" s="822"/>
      <c r="H19" s="822"/>
      <c r="I19" s="822"/>
    </row>
    <row r="20" spans="2:9">
      <c r="C20" s="826"/>
    </row>
    <row r="21" spans="2:9">
      <c r="B21" s="812"/>
      <c r="C21" s="812"/>
      <c r="D21" s="812"/>
      <c r="E21" s="812"/>
      <c r="F21" s="824"/>
      <c r="G21" s="812"/>
      <c r="H21" s="812"/>
      <c r="I21" s="812"/>
    </row>
    <row r="22" spans="2:9">
      <c r="B22" s="812"/>
      <c r="C22" s="812"/>
      <c r="D22" s="812"/>
      <c r="E22" s="825"/>
      <c r="F22" s="812"/>
      <c r="G22" s="812"/>
      <c r="H22" s="812"/>
      <c r="I22" s="812"/>
    </row>
    <row r="23" spans="2:9">
      <c r="B23" s="812"/>
      <c r="C23" s="812"/>
      <c r="D23" s="812"/>
      <c r="E23" s="826"/>
      <c r="F23" s="812"/>
      <c r="G23" s="812"/>
      <c r="H23" s="812"/>
      <c r="I23" s="812"/>
    </row>
  </sheetData>
  <mergeCells count="8">
    <mergeCell ref="B4:F4"/>
    <mergeCell ref="B5:F5"/>
    <mergeCell ref="D18:F18"/>
    <mergeCell ref="D19:F19"/>
    <mergeCell ref="D6:F6"/>
    <mergeCell ref="D10:F10"/>
    <mergeCell ref="D11:F11"/>
    <mergeCell ref="D7:F9"/>
  </mergeCells>
  <pageMargins left="0.7" right="0.7" top="0.75" bottom="0.75" header="0.3" footer="0.3"/>
  <pageSetup paperSize="9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4"/>
  <sheetViews>
    <sheetView zoomScaleNormal="100" zoomScaleSheetLayoutView="100" workbookViewId="0">
      <selection activeCell="E19" sqref="E19"/>
    </sheetView>
  </sheetViews>
  <sheetFormatPr defaultRowHeight="15"/>
  <cols>
    <col min="1" max="1" width="8.7109375" style="812" customWidth="1"/>
    <col min="2" max="2" width="24.7109375" customWidth="1"/>
    <col min="3" max="3" width="11.5703125" customWidth="1"/>
    <col min="4" max="4" width="22.42578125" customWidth="1"/>
    <col min="5" max="5" width="15.28515625" customWidth="1"/>
    <col min="6" max="6" width="16" customWidth="1"/>
    <col min="7" max="7" width="18.28515625" customWidth="1"/>
    <col min="8" max="8" width="18.7109375" customWidth="1"/>
  </cols>
  <sheetData>
    <row r="1" spans="1:12" ht="15.75">
      <c r="A1" s="1837" t="s">
        <v>0</v>
      </c>
      <c r="B1" s="1837"/>
      <c r="C1" s="1837"/>
      <c r="D1" s="1650" t="s">
        <v>1</v>
      </c>
      <c r="E1" s="1650"/>
      <c r="F1" s="1650"/>
      <c r="G1" s="845"/>
      <c r="H1" s="845"/>
      <c r="I1" s="845"/>
      <c r="J1" s="845"/>
      <c r="K1" s="845"/>
      <c r="L1" s="845"/>
    </row>
    <row r="2" spans="1:12" ht="15.75">
      <c r="A2" s="1838" t="s">
        <v>2</v>
      </c>
      <c r="B2" s="1838"/>
      <c r="C2" s="1838"/>
      <c r="D2" s="1651" t="s">
        <v>3</v>
      </c>
      <c r="E2" s="1651"/>
      <c r="F2" s="1651"/>
      <c r="G2" s="213"/>
      <c r="H2" s="213"/>
      <c r="I2" s="213"/>
      <c r="J2" s="213"/>
      <c r="K2" s="213"/>
      <c r="L2" s="213"/>
    </row>
    <row r="3" spans="1:12">
      <c r="B3" s="706"/>
      <c r="C3" s="706"/>
      <c r="D3" s="706"/>
      <c r="E3" s="706"/>
      <c r="F3" s="706"/>
      <c r="G3" s="705"/>
    </row>
    <row r="4" spans="1:12" ht="16.5" customHeight="1">
      <c r="A4" s="1839" t="s">
        <v>1727</v>
      </c>
      <c r="B4" s="1839"/>
      <c r="C4" s="1839"/>
      <c r="D4" s="1839"/>
      <c r="E4" s="1839"/>
      <c r="F4" s="1839"/>
      <c r="G4" s="1839"/>
      <c r="H4" s="1839"/>
    </row>
    <row r="5" spans="1:12">
      <c r="B5" s="706"/>
      <c r="C5" s="706"/>
      <c r="D5" s="706"/>
      <c r="E5" s="706"/>
      <c r="F5" s="708"/>
      <c r="G5" s="705"/>
    </row>
    <row r="6" spans="1:12">
      <c r="B6" s="723"/>
      <c r="C6" s="724"/>
      <c r="D6" s="724"/>
      <c r="E6" s="725"/>
      <c r="F6" s="725"/>
      <c r="G6" s="713"/>
    </row>
    <row r="7" spans="1:12" ht="31.5">
      <c r="A7" s="864" t="s">
        <v>6</v>
      </c>
      <c r="B7" s="1222" t="s">
        <v>636</v>
      </c>
      <c r="C7" s="1222" t="s">
        <v>1707</v>
      </c>
      <c r="D7" s="1222" t="s">
        <v>1814</v>
      </c>
      <c r="E7" s="1222" t="s">
        <v>637</v>
      </c>
      <c r="F7" s="1223" t="s">
        <v>638</v>
      </c>
      <c r="G7" s="1224" t="s">
        <v>1709</v>
      </c>
      <c r="H7" s="1222" t="s">
        <v>1706</v>
      </c>
      <c r="I7" s="707"/>
    </row>
    <row r="8" spans="1:12" ht="15.75">
      <c r="A8" s="844">
        <v>1</v>
      </c>
      <c r="B8" s="716" t="s">
        <v>639</v>
      </c>
      <c r="C8" s="1228">
        <v>48</v>
      </c>
      <c r="D8" s="1227">
        <f>2000000000*C8/100</f>
        <v>960000000</v>
      </c>
      <c r="E8" s="717">
        <v>235536090</v>
      </c>
      <c r="F8" s="717">
        <f>270000000+91730000+357008062</f>
        <v>718738062</v>
      </c>
      <c r="G8" s="718">
        <f>E8+F8</f>
        <v>954274152</v>
      </c>
      <c r="H8" s="1221">
        <f>D8-G8</f>
        <v>5725848</v>
      </c>
      <c r="I8" s="705"/>
    </row>
    <row r="9" spans="1:12" ht="15.75">
      <c r="A9" s="844">
        <v>2</v>
      </c>
      <c r="B9" s="719" t="s">
        <v>1708</v>
      </c>
      <c r="C9" s="1229">
        <v>6</v>
      </c>
      <c r="D9" s="1227">
        <f t="shared" ref="D9:D14" si="0">2000000000*C9/100</f>
        <v>120000000</v>
      </c>
      <c r="E9" s="717"/>
      <c r="F9" s="717">
        <v>60000000</v>
      </c>
      <c r="G9" s="718">
        <f t="shared" ref="G9:G14" si="1">E9+F9</f>
        <v>60000000</v>
      </c>
      <c r="H9" s="1221">
        <f t="shared" ref="H9:H14" si="2">D9-G9</f>
        <v>60000000</v>
      </c>
      <c r="I9" s="705"/>
    </row>
    <row r="10" spans="1:12" ht="15.75">
      <c r="A10" s="844">
        <v>3</v>
      </c>
      <c r="B10" s="720" t="s">
        <v>640</v>
      </c>
      <c r="C10" s="1230">
        <v>15</v>
      </c>
      <c r="D10" s="1227">
        <f t="shared" si="0"/>
        <v>300000000</v>
      </c>
      <c r="E10" s="717">
        <v>42000000</v>
      </c>
      <c r="F10" s="717">
        <v>78000000</v>
      </c>
      <c r="G10" s="718">
        <f t="shared" si="1"/>
        <v>120000000</v>
      </c>
      <c r="H10" s="1221">
        <f t="shared" si="2"/>
        <v>180000000</v>
      </c>
      <c r="I10" s="705"/>
    </row>
    <row r="11" spans="1:12" ht="15.75">
      <c r="A11" s="844">
        <v>4</v>
      </c>
      <c r="B11" s="721" t="s">
        <v>641</v>
      </c>
      <c r="C11" s="1230">
        <v>12</v>
      </c>
      <c r="D11" s="1227">
        <f t="shared" si="0"/>
        <v>240000000</v>
      </c>
      <c r="E11" s="717">
        <v>72000000</v>
      </c>
      <c r="F11" s="717">
        <v>60000000</v>
      </c>
      <c r="G11" s="718">
        <f t="shared" si="1"/>
        <v>132000000</v>
      </c>
      <c r="H11" s="1221">
        <f t="shared" si="2"/>
        <v>108000000</v>
      </c>
      <c r="I11" s="705"/>
    </row>
    <row r="12" spans="1:12" ht="15.75">
      <c r="A12" s="844">
        <v>5</v>
      </c>
      <c r="B12" s="720" t="s">
        <v>642</v>
      </c>
      <c r="C12" s="1230">
        <v>6</v>
      </c>
      <c r="D12" s="1227">
        <f t="shared" si="0"/>
        <v>120000000</v>
      </c>
      <c r="E12" s="717">
        <v>72000000</v>
      </c>
      <c r="F12" s="717"/>
      <c r="G12" s="718">
        <f t="shared" si="1"/>
        <v>72000000</v>
      </c>
      <c r="H12" s="1221">
        <f t="shared" si="2"/>
        <v>48000000</v>
      </c>
      <c r="I12" s="705"/>
    </row>
    <row r="13" spans="1:12" ht="15.75">
      <c r="A13" s="844">
        <v>6</v>
      </c>
      <c r="B13" s="720" t="s">
        <v>643</v>
      </c>
      <c r="C13" s="1230">
        <v>10</v>
      </c>
      <c r="D13" s="1227">
        <f t="shared" si="0"/>
        <v>200000000</v>
      </c>
      <c r="E13" s="717">
        <v>120000000</v>
      </c>
      <c r="F13" s="717"/>
      <c r="G13" s="718">
        <f t="shared" si="1"/>
        <v>120000000</v>
      </c>
      <c r="H13" s="1221">
        <f t="shared" si="2"/>
        <v>80000000</v>
      </c>
      <c r="I13" s="705"/>
    </row>
    <row r="14" spans="1:12" ht="15.75">
      <c r="A14" s="844">
        <v>7</v>
      </c>
      <c r="B14" s="731" t="s">
        <v>644</v>
      </c>
      <c r="C14" s="1231">
        <v>3</v>
      </c>
      <c r="D14" s="1227">
        <f t="shared" si="0"/>
        <v>60000000</v>
      </c>
      <c r="E14" s="717">
        <v>36000000</v>
      </c>
      <c r="F14" s="717"/>
      <c r="G14" s="718">
        <f t="shared" si="1"/>
        <v>36000000</v>
      </c>
      <c r="H14" s="1221">
        <f t="shared" si="2"/>
        <v>24000000</v>
      </c>
      <c r="I14" s="705"/>
    </row>
    <row r="15" spans="1:12">
      <c r="A15" s="844"/>
      <c r="B15" s="715" t="s">
        <v>105</v>
      </c>
      <c r="C15" s="1233">
        <f>SUM(C8:C14)</f>
        <v>100</v>
      </c>
      <c r="D15" s="1232">
        <f>SUM(D8:D14)</f>
        <v>2000000000</v>
      </c>
      <c r="E15" s="730">
        <v>649536090</v>
      </c>
      <c r="F15" s="728">
        <f>SUM(F8:F14)</f>
        <v>916738062</v>
      </c>
      <c r="G15" s="729">
        <f>SUM(G8:G14)</f>
        <v>1494274152</v>
      </c>
      <c r="H15" s="1234">
        <f>SUM(H8:H14)</f>
        <v>505725848</v>
      </c>
      <c r="I15" s="705"/>
    </row>
    <row r="16" spans="1:12">
      <c r="B16" s="726"/>
      <c r="C16" s="726"/>
      <c r="D16" s="722"/>
      <c r="E16" s="722"/>
      <c r="F16" s="727"/>
      <c r="G16" s="705"/>
    </row>
    <row r="17" spans="2:8">
      <c r="B17" s="726"/>
      <c r="C17" s="726"/>
      <c r="D17" s="722"/>
      <c r="E17" s="722"/>
      <c r="F17" s="727"/>
      <c r="G17" s="705"/>
      <c r="H17" s="705"/>
    </row>
    <row r="18" spans="2:8">
      <c r="B18" s="1626" t="s">
        <v>645</v>
      </c>
      <c r="C18" s="1626"/>
      <c r="E18" s="827"/>
      <c r="F18" s="1626" t="s">
        <v>630</v>
      </c>
      <c r="G18" s="1626"/>
      <c r="H18" s="1626"/>
    </row>
    <row r="19" spans="2:8">
      <c r="B19" s="1751" t="s">
        <v>646</v>
      </c>
      <c r="C19" s="1751"/>
      <c r="E19" s="1264"/>
      <c r="F19" s="1754" t="s">
        <v>632</v>
      </c>
      <c r="G19" s="1754"/>
      <c r="H19" s="1754"/>
    </row>
    <row r="20" spans="2:8">
      <c r="B20" s="705"/>
      <c r="C20" s="707"/>
      <c r="D20" s="709"/>
      <c r="E20" s="710"/>
      <c r="F20" s="711"/>
      <c r="G20" s="707"/>
      <c r="H20" s="707"/>
    </row>
    <row r="21" spans="2:8">
      <c r="B21" s="705"/>
      <c r="C21" s="707"/>
      <c r="D21" s="710"/>
      <c r="E21" s="710"/>
      <c r="F21" s="711"/>
      <c r="G21" s="707"/>
      <c r="H21" s="707"/>
    </row>
    <row r="22" spans="2:8">
      <c r="B22" s="705"/>
      <c r="C22" s="707"/>
      <c r="D22" s="710"/>
      <c r="E22" s="710"/>
      <c r="F22" s="711"/>
      <c r="G22" s="707"/>
      <c r="H22" s="707"/>
    </row>
    <row r="23" spans="2:8">
      <c r="B23" s="705"/>
      <c r="C23" s="707"/>
      <c r="D23" s="709"/>
      <c r="E23" s="709"/>
      <c r="F23" s="711"/>
      <c r="G23" s="707"/>
      <c r="H23" s="707"/>
    </row>
    <row r="24" spans="2:8">
      <c r="B24" s="1626" t="s">
        <v>1698</v>
      </c>
      <c r="C24" s="1626"/>
      <c r="D24" s="709"/>
      <c r="E24" s="709"/>
      <c r="F24" s="1836" t="s">
        <v>639</v>
      </c>
      <c r="G24" s="1836"/>
      <c r="H24" s="1836"/>
    </row>
    <row r="25" spans="2:8">
      <c r="B25" s="705"/>
      <c r="C25" s="707"/>
      <c r="D25" s="712"/>
      <c r="E25" s="712"/>
      <c r="F25" s="711"/>
      <c r="G25" s="707"/>
      <c r="H25" s="707"/>
    </row>
    <row r="26" spans="2:8">
      <c r="B26" s="705"/>
      <c r="C26" s="707"/>
      <c r="D26" s="709"/>
      <c r="E26" s="709"/>
      <c r="F26" s="711"/>
      <c r="G26" s="707"/>
      <c r="H26" s="707"/>
    </row>
    <row r="27" spans="2:8">
      <c r="B27" s="705"/>
      <c r="C27" s="707"/>
      <c r="D27" s="709"/>
      <c r="E27" s="709"/>
      <c r="F27" s="711"/>
      <c r="G27" s="707"/>
      <c r="H27" s="707"/>
    </row>
    <row r="28" spans="2:8">
      <c r="B28" s="705"/>
      <c r="C28" s="707"/>
      <c r="D28" s="712"/>
      <c r="E28" s="712"/>
      <c r="F28" s="711"/>
      <c r="G28" s="707"/>
      <c r="H28" s="707"/>
    </row>
    <row r="29" spans="2:8">
      <c r="B29" s="705"/>
      <c r="C29" s="707"/>
      <c r="D29" s="712"/>
      <c r="E29" s="712"/>
      <c r="F29" s="711"/>
      <c r="G29" s="707"/>
      <c r="H29" s="707"/>
    </row>
    <row r="30" spans="2:8">
      <c r="B30" s="705"/>
      <c r="C30" s="707"/>
      <c r="D30" s="709"/>
      <c r="E30" s="709"/>
      <c r="F30" s="711"/>
      <c r="G30" s="707"/>
      <c r="H30" s="707"/>
    </row>
    <row r="31" spans="2:8">
      <c r="B31" s="705"/>
      <c r="C31" s="707"/>
      <c r="D31" s="709"/>
      <c r="E31" s="709"/>
      <c r="F31" s="711"/>
      <c r="G31" s="707"/>
      <c r="H31" s="707"/>
    </row>
    <row r="32" spans="2:8">
      <c r="B32" s="705"/>
      <c r="C32" s="707"/>
      <c r="D32" s="709"/>
      <c r="E32" s="709"/>
      <c r="F32" s="711"/>
      <c r="G32" s="707"/>
      <c r="H32" s="707"/>
    </row>
    <row r="33" spans="3:8">
      <c r="C33" s="707"/>
      <c r="D33" s="709"/>
      <c r="E33" s="709"/>
      <c r="F33" s="711"/>
      <c r="G33" s="707"/>
      <c r="H33" s="707"/>
    </row>
    <row r="34" spans="3:8">
      <c r="C34" s="707"/>
      <c r="D34" s="707"/>
      <c r="E34" s="707"/>
      <c r="F34" s="707"/>
      <c r="G34" s="707"/>
      <c r="H34" s="707"/>
    </row>
  </sheetData>
  <mergeCells count="11">
    <mergeCell ref="B24:C24"/>
    <mergeCell ref="F24:H24"/>
    <mergeCell ref="A1:C1"/>
    <mergeCell ref="A2:C2"/>
    <mergeCell ref="D1:F1"/>
    <mergeCell ref="D2:F2"/>
    <mergeCell ref="B19:C19"/>
    <mergeCell ref="B18:C18"/>
    <mergeCell ref="A4:H4"/>
    <mergeCell ref="F18:H18"/>
    <mergeCell ref="F19:H19"/>
  </mergeCells>
  <pageMargins left="0.7" right="0.7" top="0.75" bottom="0.75" header="0.3" footer="0.3"/>
  <pageSetup paperSize="9" scale="92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47"/>
  <sheetViews>
    <sheetView topLeftCell="B4" zoomScaleNormal="100" zoomScaleSheetLayoutView="100" workbookViewId="0">
      <selection activeCell="Q19" sqref="Q19"/>
    </sheetView>
  </sheetViews>
  <sheetFormatPr defaultColWidth="9.140625" defaultRowHeight="15"/>
  <cols>
    <col min="1" max="1" width="3.140625" style="732" customWidth="1"/>
    <col min="2" max="2" width="18.85546875" style="732" customWidth="1"/>
    <col min="3" max="3" width="5" style="1012" customWidth="1"/>
    <col min="4" max="4" width="13" style="732" customWidth="1"/>
    <col min="5" max="5" width="3.42578125" style="732" customWidth="1"/>
    <col min="6" max="6" width="12.28515625" style="732" customWidth="1"/>
    <col min="7" max="7" width="14.28515625" style="878" customWidth="1"/>
    <col min="8" max="8" width="10.85546875" style="732" customWidth="1"/>
    <col min="9" max="9" width="10.42578125" style="732" customWidth="1"/>
    <col min="10" max="10" width="11.140625" style="732" customWidth="1"/>
    <col min="11" max="11" width="11.85546875" style="732" customWidth="1"/>
    <col min="12" max="12" width="12.5703125" style="732" customWidth="1"/>
    <col min="13" max="13" width="10.7109375" style="732" customWidth="1"/>
    <col min="14" max="14" width="11.7109375" style="732" customWidth="1"/>
    <col min="15" max="15" width="11.42578125" style="732" customWidth="1"/>
    <col min="16" max="16" width="13.5703125" style="1075" customWidth="1"/>
    <col min="17" max="17" width="11" style="1075" customWidth="1"/>
    <col min="18" max="18" width="10.28515625" style="732" customWidth="1"/>
    <col min="19" max="20" width="9.85546875" style="732" customWidth="1"/>
    <col min="21" max="16384" width="9.140625" style="732"/>
  </cols>
  <sheetData>
    <row r="1" spans="1:20" ht="16.5">
      <c r="A1" s="813" t="s">
        <v>0</v>
      </c>
      <c r="N1" s="1013" t="s">
        <v>1</v>
      </c>
      <c r="O1" s="1013"/>
      <c r="P1" s="1013"/>
      <c r="Q1" s="1013"/>
      <c r="R1" s="1013"/>
    </row>
    <row r="2" spans="1:20" ht="15.75">
      <c r="A2" s="814" t="s">
        <v>2</v>
      </c>
      <c r="N2" s="1624" t="s">
        <v>3</v>
      </c>
      <c r="O2" s="1624"/>
      <c r="P2" s="1624"/>
      <c r="Q2" s="1624"/>
      <c r="R2" s="1624"/>
    </row>
    <row r="3" spans="1:20">
      <c r="A3" s="989"/>
      <c r="C3" s="732"/>
      <c r="D3" s="878"/>
      <c r="P3" s="1014"/>
      <c r="Q3" s="1014"/>
      <c r="R3" s="1014"/>
      <c r="S3" s="1014"/>
      <c r="T3" s="1402"/>
    </row>
    <row r="4" spans="1:20" ht="20.25">
      <c r="A4" s="1625" t="s">
        <v>1725</v>
      </c>
      <c r="B4" s="1625"/>
      <c r="C4" s="1625"/>
      <c r="D4" s="1625"/>
      <c r="E4" s="1625"/>
      <c r="F4" s="1625"/>
      <c r="G4" s="1625"/>
      <c r="H4" s="1625"/>
      <c r="I4" s="1625"/>
      <c r="J4" s="1625"/>
      <c r="K4" s="1625"/>
      <c r="L4" s="1625"/>
      <c r="M4" s="1625"/>
      <c r="N4" s="1625"/>
      <c r="O4" s="1625"/>
      <c r="P4" s="1625"/>
      <c r="Q4" s="1625"/>
      <c r="R4" s="1625"/>
      <c r="S4" s="1625"/>
      <c r="T4" s="1397"/>
    </row>
    <row r="5" spans="1:20" ht="15.75" thickBot="1">
      <c r="A5" s="1845"/>
      <c r="B5" s="1845"/>
      <c r="C5" s="1845"/>
      <c r="D5" s="1845"/>
      <c r="E5" s="1845"/>
      <c r="F5" s="1845"/>
      <c r="G5" s="1845"/>
      <c r="H5" s="1845"/>
      <c r="I5" s="1845"/>
      <c r="J5" s="1845"/>
      <c r="K5" s="1845"/>
      <c r="L5" s="1845"/>
      <c r="M5" s="1845"/>
      <c r="N5" s="1845"/>
      <c r="O5" s="1845"/>
      <c r="P5" s="1845"/>
      <c r="Q5" s="1845"/>
      <c r="R5" s="1845"/>
      <c r="S5" s="1845"/>
      <c r="T5" s="1399"/>
    </row>
    <row r="6" spans="1:20" s="1015" customFormat="1" ht="30" customHeight="1" thickTop="1">
      <c r="A6" s="1846" t="s">
        <v>6</v>
      </c>
      <c r="B6" s="1849" t="s">
        <v>1556</v>
      </c>
      <c r="C6" s="1852" t="s">
        <v>1557</v>
      </c>
      <c r="D6" s="1849" t="s">
        <v>20</v>
      </c>
      <c r="E6" s="1855" t="s">
        <v>1558</v>
      </c>
      <c r="F6" s="1856"/>
      <c r="G6" s="1857"/>
      <c r="H6" s="1884" t="s">
        <v>1559</v>
      </c>
      <c r="I6" s="1885"/>
      <c r="J6" s="1885"/>
      <c r="K6" s="1885"/>
      <c r="L6" s="1886" t="s">
        <v>1560</v>
      </c>
      <c r="M6" s="1887"/>
      <c r="N6" s="1887"/>
      <c r="O6" s="1887"/>
      <c r="P6" s="1849" t="s">
        <v>1561</v>
      </c>
      <c r="Q6" s="1849" t="s">
        <v>1706</v>
      </c>
      <c r="R6" s="1448"/>
    </row>
    <row r="7" spans="1:20" s="1015" customFormat="1" ht="12.75" customHeight="1">
      <c r="A7" s="1847"/>
      <c r="B7" s="1850"/>
      <c r="C7" s="1853"/>
      <c r="D7" s="1850"/>
      <c r="E7" s="1858"/>
      <c r="F7" s="1859"/>
      <c r="G7" s="1860"/>
      <c r="H7" s="1840" t="s">
        <v>1562</v>
      </c>
      <c r="I7" s="1840" t="s">
        <v>1563</v>
      </c>
      <c r="J7" s="1840" t="s">
        <v>1564</v>
      </c>
      <c r="K7" s="1840" t="s">
        <v>1565</v>
      </c>
      <c r="L7" s="1842" t="s">
        <v>1566</v>
      </c>
      <c r="M7" s="1842"/>
      <c r="N7" s="1842"/>
      <c r="O7" s="1449"/>
      <c r="P7" s="1850"/>
      <c r="Q7" s="1850"/>
    </row>
    <row r="8" spans="1:20" s="1015" customFormat="1" ht="52.5">
      <c r="A8" s="1848"/>
      <c r="B8" s="1851"/>
      <c r="C8" s="1854"/>
      <c r="D8" s="1851"/>
      <c r="E8" s="1449" t="s">
        <v>1557</v>
      </c>
      <c r="F8" s="1449" t="s">
        <v>23</v>
      </c>
      <c r="G8" s="1449" t="s">
        <v>1567</v>
      </c>
      <c r="H8" s="1841"/>
      <c r="I8" s="1841"/>
      <c r="J8" s="1841"/>
      <c r="K8" s="1841"/>
      <c r="L8" s="1449" t="s">
        <v>1568</v>
      </c>
      <c r="M8" s="1449" t="s">
        <v>1723</v>
      </c>
      <c r="N8" s="1450" t="s">
        <v>1569</v>
      </c>
      <c r="O8" s="1450" t="s">
        <v>1722</v>
      </c>
      <c r="P8" s="1851"/>
      <c r="Q8" s="1851"/>
    </row>
    <row r="9" spans="1:20" s="1015" customFormat="1" ht="12.75">
      <c r="A9" s="1451">
        <v>1</v>
      </c>
      <c r="B9" s="1452" t="s">
        <v>639</v>
      </c>
      <c r="C9" s="1453">
        <v>0.48</v>
      </c>
      <c r="D9" s="1454">
        <f>C9*2000000000/100%</f>
        <v>960000000</v>
      </c>
      <c r="E9" s="1455"/>
      <c r="F9" s="1456"/>
      <c r="G9" s="1457"/>
      <c r="H9" s="1458"/>
      <c r="I9" s="1459">
        <v>199536090</v>
      </c>
      <c r="J9" s="1460">
        <f>3*12000000</f>
        <v>36000000</v>
      </c>
      <c r="K9" s="1460"/>
      <c r="L9" s="1460"/>
      <c r="M9" s="1460">
        <v>357008062</v>
      </c>
      <c r="N9" s="1461">
        <f>M26</f>
        <v>270000000</v>
      </c>
      <c r="O9" s="1462">
        <v>91730000</v>
      </c>
      <c r="P9" s="1463">
        <f t="shared" ref="P9:P15" si="0">F9+H9+I9+J9+K9+L9+M9+N9+O9</f>
        <v>954274152</v>
      </c>
      <c r="Q9" s="1463">
        <f>D9-P9</f>
        <v>5725848</v>
      </c>
    </row>
    <row r="10" spans="1:20" s="1015" customFormat="1" ht="12.75">
      <c r="A10" s="1464">
        <v>2</v>
      </c>
      <c r="B10" s="1465" t="s">
        <v>1726</v>
      </c>
      <c r="C10" s="1466">
        <v>0.06</v>
      </c>
      <c r="D10" s="1454">
        <f t="shared" ref="D10:D15" si="1">C10*2000000000/100%</f>
        <v>120000000</v>
      </c>
      <c r="E10" s="1455"/>
      <c r="F10" s="1456"/>
      <c r="G10" s="1457"/>
      <c r="H10" s="1467">
        <v>40000000</v>
      </c>
      <c r="I10" s="1467">
        <v>8135800</v>
      </c>
      <c r="J10" s="1468">
        <f>3*8000000</f>
        <v>24000000</v>
      </c>
      <c r="K10" s="1468"/>
      <c r="L10" s="1468">
        <f>36000000-36135800</f>
        <v>-135800</v>
      </c>
      <c r="M10" s="1468"/>
      <c r="N10" s="1469"/>
      <c r="O10" s="1470"/>
      <c r="P10" s="1471">
        <f t="shared" si="0"/>
        <v>72000000</v>
      </c>
      <c r="Q10" s="1463">
        <f t="shared" ref="Q10:Q15" si="2">D10-P10</f>
        <v>48000000</v>
      </c>
    </row>
    <row r="11" spans="1:20" s="1015" customFormat="1" ht="12.75">
      <c r="A11" s="1464">
        <v>3</v>
      </c>
      <c r="B11" s="1472" t="s">
        <v>640</v>
      </c>
      <c r="C11" s="1473">
        <v>0.15</v>
      </c>
      <c r="D11" s="1454">
        <f t="shared" si="1"/>
        <v>300000000</v>
      </c>
      <c r="E11" s="1474"/>
      <c r="F11" s="1475"/>
      <c r="G11" s="1476"/>
      <c r="H11" s="1467">
        <v>42000000</v>
      </c>
      <c r="I11" s="1467"/>
      <c r="J11" s="1477"/>
      <c r="K11" s="1477"/>
      <c r="L11" s="1468"/>
      <c r="M11" s="1468"/>
      <c r="N11" s="1478">
        <f>M31</f>
        <v>78000000</v>
      </c>
      <c r="O11" s="1479"/>
      <c r="P11" s="1471">
        <f t="shared" si="0"/>
        <v>120000000</v>
      </c>
      <c r="Q11" s="1463">
        <f t="shared" si="2"/>
        <v>180000000</v>
      </c>
    </row>
    <row r="12" spans="1:20" s="1015" customFormat="1" ht="27.75" customHeight="1">
      <c r="A12" s="1464">
        <v>4</v>
      </c>
      <c r="B12" s="1472" t="s">
        <v>641</v>
      </c>
      <c r="C12" s="1473">
        <v>0.12</v>
      </c>
      <c r="D12" s="1454">
        <f t="shared" si="1"/>
        <v>240000000</v>
      </c>
      <c r="E12" s="1474">
        <v>0.03</v>
      </c>
      <c r="F12" s="1467">
        <f>E12*1200000000</f>
        <v>36000000</v>
      </c>
      <c r="G12" s="1476" t="s">
        <v>1571</v>
      </c>
      <c r="H12" s="1467">
        <v>36000000</v>
      </c>
      <c r="I12" s="1467">
        <v>3289850</v>
      </c>
      <c r="J12" s="1477"/>
      <c r="K12" s="1477"/>
      <c r="L12" s="1468">
        <v>-3289850</v>
      </c>
      <c r="M12" s="1468"/>
      <c r="N12" s="1478">
        <v>60000000</v>
      </c>
      <c r="O12" s="1479">
        <v>0</v>
      </c>
      <c r="P12" s="1471">
        <f t="shared" si="0"/>
        <v>132000000</v>
      </c>
      <c r="Q12" s="1463">
        <f t="shared" si="2"/>
        <v>108000000</v>
      </c>
    </row>
    <row r="13" spans="1:20" s="1015" customFormat="1" ht="12.75">
      <c r="A13" s="1464">
        <v>5</v>
      </c>
      <c r="B13" s="1465" t="s">
        <v>642</v>
      </c>
      <c r="C13" s="1466">
        <v>0.06</v>
      </c>
      <c r="D13" s="1454">
        <f t="shared" si="1"/>
        <v>120000000</v>
      </c>
      <c r="E13" s="1455"/>
      <c r="F13" s="1456"/>
      <c r="G13" s="1457"/>
      <c r="H13" s="1467">
        <v>60000000</v>
      </c>
      <c r="I13" s="1467">
        <v>4316000</v>
      </c>
      <c r="J13" s="1468"/>
      <c r="K13" s="1468"/>
      <c r="L13" s="1468">
        <f>7684000</f>
        <v>7684000</v>
      </c>
      <c r="M13" s="1468"/>
      <c r="N13" s="1469"/>
      <c r="O13" s="1470"/>
      <c r="P13" s="1471">
        <f t="shared" si="0"/>
        <v>72000000</v>
      </c>
      <c r="Q13" s="1463">
        <f t="shared" si="2"/>
        <v>48000000</v>
      </c>
    </row>
    <row r="14" spans="1:20" s="1015" customFormat="1" ht="12.75">
      <c r="A14" s="1464">
        <v>6</v>
      </c>
      <c r="B14" s="1465" t="s">
        <v>643</v>
      </c>
      <c r="C14" s="1466">
        <v>0.1</v>
      </c>
      <c r="D14" s="1454">
        <f t="shared" si="1"/>
        <v>200000000</v>
      </c>
      <c r="E14" s="1455"/>
      <c r="F14" s="1456"/>
      <c r="G14" s="1457"/>
      <c r="H14" s="1467"/>
      <c r="I14" s="1467">
        <v>39184990</v>
      </c>
      <c r="J14" s="1468">
        <f>3*8000000</f>
        <v>24000000</v>
      </c>
      <c r="K14" s="1468">
        <v>80000000</v>
      </c>
      <c r="L14" s="1468">
        <f>60000000-83184990</f>
        <v>-23184990</v>
      </c>
      <c r="M14" s="1468"/>
      <c r="N14" s="1469"/>
      <c r="O14" s="1470"/>
      <c r="P14" s="1471">
        <f t="shared" si="0"/>
        <v>120000000</v>
      </c>
      <c r="Q14" s="1463">
        <f t="shared" si="2"/>
        <v>80000000</v>
      </c>
    </row>
    <row r="15" spans="1:20" s="1015" customFormat="1" ht="35.25" customHeight="1">
      <c r="A15" s="1480">
        <v>7</v>
      </c>
      <c r="B15" s="1481" t="s">
        <v>644</v>
      </c>
      <c r="C15" s="1482">
        <v>0.03</v>
      </c>
      <c r="D15" s="1454">
        <f t="shared" si="1"/>
        <v>60000000</v>
      </c>
      <c r="E15" s="1483">
        <v>0.03</v>
      </c>
      <c r="F15" s="1484">
        <f>E15*1200000000</f>
        <v>36000000</v>
      </c>
      <c r="G15" s="1476" t="s">
        <v>1571</v>
      </c>
      <c r="H15" s="1485">
        <v>0</v>
      </c>
      <c r="I15" s="1485">
        <v>5000000</v>
      </c>
      <c r="J15" s="1486"/>
      <c r="K15" s="1486">
        <v>10000000</v>
      </c>
      <c r="L15" s="1487">
        <v>-15000000</v>
      </c>
      <c r="M15" s="1487"/>
      <c r="N15" s="1488">
        <v>0</v>
      </c>
      <c r="O15" s="1489">
        <v>0</v>
      </c>
      <c r="P15" s="1490">
        <f t="shared" si="0"/>
        <v>36000000</v>
      </c>
      <c r="Q15" s="1491">
        <f t="shared" si="2"/>
        <v>24000000</v>
      </c>
    </row>
    <row r="16" spans="1:20" s="1016" customFormat="1" ht="13.5" thickBot="1">
      <c r="A16" s="1861" t="s">
        <v>105</v>
      </c>
      <c r="B16" s="1862"/>
      <c r="C16" s="1492">
        <f t="shared" ref="C16:H16" si="3">SUM(C9:C15)</f>
        <v>1</v>
      </c>
      <c r="D16" s="1493">
        <f t="shared" si="3"/>
        <v>2000000000</v>
      </c>
      <c r="E16" s="1493"/>
      <c r="F16" s="1493">
        <f t="shared" si="3"/>
        <v>72000000</v>
      </c>
      <c r="G16" s="1494"/>
      <c r="H16" s="1495">
        <f t="shared" si="3"/>
        <v>178000000</v>
      </c>
      <c r="I16" s="1495">
        <f>SUM(I9:I15)</f>
        <v>259462730</v>
      </c>
      <c r="J16" s="1495">
        <f>SUM(J9:J15)</f>
        <v>84000000</v>
      </c>
      <c r="K16" s="1495">
        <f>SUM(K9:K15)</f>
        <v>90000000</v>
      </c>
      <c r="L16" s="1495"/>
      <c r="M16" s="1495">
        <f>SUM(N9:N15)</f>
        <v>408000000</v>
      </c>
      <c r="N16" s="1496">
        <f>SUM(O9:O15)</f>
        <v>91730000</v>
      </c>
      <c r="O16" s="1497"/>
      <c r="P16" s="1498">
        <f>SUM(P9:P15)</f>
        <v>1506274152</v>
      </c>
      <c r="Q16" s="1497">
        <f>SUM(Q9:Q15)</f>
        <v>493725848</v>
      </c>
    </row>
    <row r="17" spans="1:22" s="1016" customFormat="1" ht="11.25" customHeight="1" thickTop="1">
      <c r="A17" s="1017"/>
      <c r="B17" s="1017"/>
      <c r="C17" s="1018"/>
      <c r="D17" s="874"/>
      <c r="E17" s="874"/>
      <c r="F17" s="874"/>
      <c r="G17" s="1019"/>
      <c r="H17" s="874"/>
      <c r="I17" s="874"/>
      <c r="J17" s="874"/>
      <c r="K17" s="874"/>
      <c r="L17" s="874"/>
      <c r="M17" s="874"/>
      <c r="N17" s="874"/>
      <c r="O17" s="874"/>
      <c r="P17" s="874"/>
      <c r="Q17" s="874"/>
    </row>
    <row r="18" spans="1:22" s="1016" customFormat="1" ht="22.5" customHeight="1">
      <c r="A18" s="1017"/>
      <c r="B18" s="1020" t="s">
        <v>1529</v>
      </c>
      <c r="C18" s="1021"/>
      <c r="D18" s="1022"/>
      <c r="E18" s="1022"/>
      <c r="F18" s="1023"/>
      <c r="G18" s="1024"/>
      <c r="H18" s="1023"/>
      <c r="I18" s="1023"/>
      <c r="J18" s="1025" t="s">
        <v>1572</v>
      </c>
      <c r="K18" s="1023"/>
      <c r="L18" s="1023"/>
      <c r="M18" s="1023"/>
      <c r="N18" s="1023"/>
      <c r="O18" s="1023"/>
      <c r="P18" s="1026" t="s">
        <v>645</v>
      </c>
      <c r="Q18" s="1023"/>
    </row>
    <row r="19" spans="1:22" s="1016" customFormat="1" ht="23.1" customHeight="1" thickBot="1">
      <c r="A19" s="1017"/>
      <c r="B19" s="1027" t="s">
        <v>1530</v>
      </c>
      <c r="C19" s="1028"/>
      <c r="D19" s="1022"/>
      <c r="E19" s="1022"/>
      <c r="F19" s="1023"/>
      <c r="G19" s="1024"/>
      <c r="H19" s="1023"/>
      <c r="I19" s="1023"/>
      <c r="J19" s="1027" t="s">
        <v>1531</v>
      </c>
      <c r="K19" s="1023"/>
      <c r="L19" s="1023"/>
      <c r="M19" s="1023"/>
      <c r="N19" s="1023"/>
      <c r="O19" s="1023"/>
      <c r="P19" s="1029" t="s">
        <v>1531</v>
      </c>
      <c r="Q19" s="1023"/>
    </row>
    <row r="20" spans="1:22" s="1032" customFormat="1" ht="30" customHeight="1" thickTop="1">
      <c r="A20" s="1863"/>
      <c r="B20" s="1863"/>
      <c r="C20" s="1863"/>
      <c r="D20" s="1863"/>
      <c r="E20" s="1863"/>
      <c r="F20" s="1863"/>
      <c r="G20" s="1863"/>
      <c r="H20" s="1863"/>
      <c r="I20" s="1863"/>
      <c r="J20" s="1030"/>
      <c r="K20" s="1864" t="s">
        <v>1724</v>
      </c>
      <c r="L20" s="1865"/>
      <c r="M20" s="1865"/>
      <c r="N20" s="1866"/>
      <c r="O20" s="1031"/>
      <c r="P20" s="1031"/>
      <c r="Q20" s="1031"/>
      <c r="R20" s="1863"/>
      <c r="S20" s="1863"/>
      <c r="T20" s="1863"/>
      <c r="U20" s="1863"/>
      <c r="V20" s="1863"/>
    </row>
    <row r="21" spans="1:22" s="1032" customFormat="1" ht="21" customHeight="1">
      <c r="A21" s="1033"/>
      <c r="B21" s="1034"/>
      <c r="C21" s="1867"/>
      <c r="D21" s="1867"/>
      <c r="E21" s="1867"/>
      <c r="F21" s="1867"/>
      <c r="G21" s="1868"/>
      <c r="H21" s="1868"/>
      <c r="I21" s="1033"/>
      <c r="J21" s="1030"/>
      <c r="K21" s="1035" t="s">
        <v>118</v>
      </c>
      <c r="L21" s="1036" t="s">
        <v>1573</v>
      </c>
      <c r="M21" s="1037" t="s">
        <v>23</v>
      </c>
      <c r="N21" s="1038" t="s">
        <v>13</v>
      </c>
      <c r="O21" s="1033"/>
      <c r="P21" s="1039"/>
      <c r="Q21" s="1033"/>
      <c r="R21" s="1033"/>
      <c r="S21" s="1033"/>
      <c r="T21" s="1401"/>
      <c r="U21" s="1033"/>
      <c r="V21" s="1040"/>
    </row>
    <row r="22" spans="1:22" s="1032" customFormat="1" ht="11.25">
      <c r="A22" s="1041"/>
      <c r="B22" s="1041"/>
      <c r="C22" s="1042"/>
      <c r="D22" s="1042"/>
      <c r="E22" s="1043"/>
      <c r="F22" s="1042"/>
      <c r="G22" s="1869"/>
      <c r="H22" s="1869"/>
      <c r="I22" s="1044"/>
      <c r="J22" s="1030"/>
      <c r="K22" s="1045" t="s">
        <v>941</v>
      </c>
      <c r="L22" s="1046" t="s">
        <v>27</v>
      </c>
      <c r="M22" s="1047">
        <v>45000000</v>
      </c>
      <c r="N22" s="1048" t="s">
        <v>1574</v>
      </c>
      <c r="O22" s="1049"/>
      <c r="P22" s="1039"/>
      <c r="Q22" s="1041"/>
      <c r="R22" s="1050"/>
      <c r="S22" s="1050"/>
      <c r="T22" s="1050"/>
      <c r="U22" s="1049"/>
      <c r="V22" s="1051"/>
    </row>
    <row r="23" spans="1:22" s="1032" customFormat="1" ht="11.25">
      <c r="A23" s="1041"/>
      <c r="B23" s="1041"/>
      <c r="C23" s="1042"/>
      <c r="D23" s="1042"/>
      <c r="E23" s="1043"/>
      <c r="F23" s="1042"/>
      <c r="G23" s="1052"/>
      <c r="H23" s="1052"/>
      <c r="I23" s="1044"/>
      <c r="J23" s="1030"/>
      <c r="K23" s="1045" t="s">
        <v>223</v>
      </c>
      <c r="L23" s="1046" t="s">
        <v>27</v>
      </c>
      <c r="M23" s="1047">
        <v>45000000</v>
      </c>
      <c r="N23" s="1048" t="s">
        <v>1575</v>
      </c>
      <c r="O23" s="1049"/>
      <c r="P23" s="1039"/>
      <c r="Q23" s="1041"/>
      <c r="R23" s="1050"/>
      <c r="S23" s="1050"/>
      <c r="T23" s="1050"/>
      <c r="U23" s="1049"/>
      <c r="V23" s="1051"/>
    </row>
    <row r="24" spans="1:22" s="1032" customFormat="1" ht="11.25">
      <c r="A24" s="1041"/>
      <c r="B24" s="1041"/>
      <c r="C24" s="1042"/>
      <c r="D24" s="1042"/>
      <c r="E24" s="1043"/>
      <c r="F24" s="1042"/>
      <c r="G24" s="1869"/>
      <c r="H24" s="1869"/>
      <c r="I24" s="1044"/>
      <c r="J24" s="1030"/>
      <c r="K24" s="1053" t="s">
        <v>425</v>
      </c>
      <c r="L24" s="741" t="s">
        <v>27</v>
      </c>
      <c r="M24" s="739">
        <v>90000000</v>
      </c>
      <c r="N24" s="1048" t="s">
        <v>1575</v>
      </c>
      <c r="O24" s="1054"/>
      <c r="P24" s="1039"/>
      <c r="Q24" s="1041"/>
      <c r="R24" s="1050"/>
      <c r="S24" s="1050"/>
      <c r="T24" s="1050"/>
      <c r="U24" s="1049"/>
      <c r="V24" s="1051"/>
    </row>
    <row r="25" spans="1:22" s="1032" customFormat="1" ht="11.25">
      <c r="A25" s="1041"/>
      <c r="B25" s="1041"/>
      <c r="C25" s="1042"/>
      <c r="D25" s="1042"/>
      <c r="E25" s="1043"/>
      <c r="F25" s="1042"/>
      <c r="G25" s="1870"/>
      <c r="H25" s="1870"/>
      <c r="I25" s="1041"/>
      <c r="J25" s="66"/>
      <c r="K25" s="1055" t="s">
        <v>469</v>
      </c>
      <c r="L25" s="1056" t="s">
        <v>27</v>
      </c>
      <c r="M25" s="1057">
        <v>90000000</v>
      </c>
      <c r="N25" s="1058" t="s">
        <v>1575</v>
      </c>
      <c r="O25" s="1049"/>
      <c r="P25" s="1039"/>
      <c r="Q25" s="1041"/>
      <c r="R25" s="1059"/>
      <c r="S25" s="1059"/>
      <c r="T25" s="1059"/>
      <c r="U25" s="1054"/>
      <c r="V25" s="1051"/>
    </row>
    <row r="26" spans="1:22" s="1032" customFormat="1" ht="14.25" customHeight="1">
      <c r="A26" s="1041"/>
      <c r="B26" s="1871"/>
      <c r="C26" s="1871"/>
      <c r="D26" s="1871"/>
      <c r="E26" s="1871"/>
      <c r="F26" s="1871"/>
      <c r="G26" s="1872"/>
      <c r="H26" s="1872"/>
      <c r="I26" s="1041"/>
      <c r="J26" s="66"/>
      <c r="K26" s="1843" t="s">
        <v>105</v>
      </c>
      <c r="L26" s="1844"/>
      <c r="M26" s="1060">
        <f>SUM(M22:M25)</f>
        <v>270000000</v>
      </c>
      <c r="N26" s="889"/>
      <c r="O26" s="1061"/>
      <c r="P26" s="1039"/>
      <c r="Q26" s="1041"/>
      <c r="R26" s="1062"/>
      <c r="S26" s="1062"/>
      <c r="T26" s="1062"/>
      <c r="U26" s="1049"/>
      <c r="V26" s="1051"/>
    </row>
    <row r="27" spans="1:22" s="1032" customFormat="1" ht="15" customHeight="1">
      <c r="A27" s="1041"/>
      <c r="B27" s="1041"/>
      <c r="C27" s="1042"/>
      <c r="D27" s="1042"/>
      <c r="E27" s="1043"/>
      <c r="F27" s="1042"/>
      <c r="G27" s="1870"/>
      <c r="H27" s="1870"/>
      <c r="I27" s="1041"/>
      <c r="J27" s="66"/>
      <c r="K27" s="1063" t="s">
        <v>174</v>
      </c>
      <c r="L27" s="1064" t="s">
        <v>1570</v>
      </c>
      <c r="M27" s="1065">
        <v>18000000</v>
      </c>
      <c r="N27" s="1066" t="s">
        <v>1575</v>
      </c>
      <c r="O27" s="1049"/>
      <c r="P27" s="1039"/>
      <c r="Q27" s="1041"/>
      <c r="R27" s="1873"/>
      <c r="S27" s="1873"/>
      <c r="T27" s="1400"/>
      <c r="U27" s="1061"/>
      <c r="V27" s="1039"/>
    </row>
    <row r="28" spans="1:22" s="1032" customFormat="1" ht="15" customHeight="1">
      <c r="A28" s="1041"/>
      <c r="B28" s="1041"/>
      <c r="C28" s="1042"/>
      <c r="D28" s="1042"/>
      <c r="E28" s="1043"/>
      <c r="F28" s="1042"/>
      <c r="G28" s="1067"/>
      <c r="H28" s="1067"/>
      <c r="I28" s="1041"/>
      <c r="J28" s="66"/>
      <c r="K28" s="1068">
        <v>44113</v>
      </c>
      <c r="L28" s="1064" t="s">
        <v>1570</v>
      </c>
      <c r="M28" s="1065">
        <v>5000000</v>
      </c>
      <c r="N28" s="1066" t="s">
        <v>1576</v>
      </c>
      <c r="O28" s="1049"/>
      <c r="P28" s="1039"/>
      <c r="Q28" s="1041"/>
      <c r="R28" s="1069"/>
      <c r="S28" s="1069"/>
      <c r="T28" s="1400"/>
      <c r="U28" s="1061"/>
      <c r="V28" s="1039"/>
    </row>
    <row r="29" spans="1:22" s="1032" customFormat="1" ht="14.25" customHeight="1">
      <c r="A29" s="1041"/>
      <c r="B29" s="1871"/>
      <c r="C29" s="1871"/>
      <c r="D29" s="1871"/>
      <c r="E29" s="1871"/>
      <c r="F29" s="1871"/>
      <c r="G29" s="1872"/>
      <c r="H29" s="1872"/>
      <c r="I29" s="1041"/>
      <c r="J29" s="66"/>
      <c r="K29" s="1045" t="s">
        <v>269</v>
      </c>
      <c r="L29" s="1046" t="s">
        <v>1570</v>
      </c>
      <c r="M29" s="1047">
        <v>30000000</v>
      </c>
      <c r="N29" s="1048" t="s">
        <v>1575</v>
      </c>
      <c r="O29" s="1049"/>
      <c r="P29" s="1039"/>
      <c r="Q29" s="1041"/>
      <c r="R29" s="1050"/>
      <c r="S29" s="1050"/>
      <c r="T29" s="1050"/>
      <c r="U29" s="1049"/>
      <c r="V29" s="1051"/>
    </row>
    <row r="30" spans="1:22" s="1032" customFormat="1" ht="11.25">
      <c r="A30" s="1041"/>
      <c r="B30" s="1041"/>
      <c r="C30" s="1042"/>
      <c r="D30" s="1042"/>
      <c r="E30" s="1043"/>
      <c r="F30" s="1042"/>
      <c r="G30" s="1874"/>
      <c r="H30" s="1874"/>
      <c r="I30" s="1041"/>
      <c r="J30" s="66"/>
      <c r="K30" s="1045" t="s">
        <v>943</v>
      </c>
      <c r="L30" s="1046" t="s">
        <v>1570</v>
      </c>
      <c r="M30" s="1047">
        <v>25000000</v>
      </c>
      <c r="N30" s="1048" t="s">
        <v>1575</v>
      </c>
      <c r="O30" s="1049"/>
      <c r="P30" s="1039"/>
      <c r="Q30" s="1041"/>
      <c r="R30" s="1050"/>
      <c r="S30" s="1050"/>
      <c r="T30" s="1050"/>
      <c r="U30" s="1049"/>
      <c r="V30" s="1051"/>
    </row>
    <row r="31" spans="1:22" s="1032" customFormat="1" ht="11.25">
      <c r="A31" s="1041"/>
      <c r="B31" s="1041"/>
      <c r="C31" s="1042"/>
      <c r="D31" s="1042"/>
      <c r="E31" s="1043"/>
      <c r="F31" s="1042"/>
      <c r="G31" s="1874"/>
      <c r="H31" s="1874"/>
      <c r="I31" s="1041"/>
      <c r="J31" s="66"/>
      <c r="K31" s="1875" t="s">
        <v>105</v>
      </c>
      <c r="L31" s="1876"/>
      <c r="M31" s="1251">
        <f>SUM(M27:M30)</f>
        <v>78000000</v>
      </c>
      <c r="N31" s="1252"/>
      <c r="O31" s="1061"/>
      <c r="P31" s="1039"/>
      <c r="Q31" s="1041"/>
      <c r="R31" s="1050"/>
      <c r="S31" s="1050"/>
      <c r="T31" s="1050"/>
      <c r="U31" s="1049"/>
      <c r="V31" s="1051"/>
    </row>
    <row r="32" spans="1:22" s="1032" customFormat="1" ht="11.25">
      <c r="A32" s="1041"/>
      <c r="B32" s="1041"/>
      <c r="C32" s="1042"/>
      <c r="D32" s="1042"/>
      <c r="E32" s="1043"/>
      <c r="F32" s="1042"/>
      <c r="G32" s="1874"/>
      <c r="H32" s="1874"/>
      <c r="I32" s="1041"/>
      <c r="J32" s="66"/>
      <c r="K32" s="1253"/>
      <c r="L32" s="1254"/>
      <c r="M32" s="1254"/>
      <c r="N32" s="1255"/>
      <c r="Q32" s="1041"/>
      <c r="R32" s="1873"/>
      <c r="S32" s="1873"/>
      <c r="T32" s="1400"/>
      <c r="U32" s="1061"/>
      <c r="V32" s="1039"/>
    </row>
    <row r="33" spans="1:20" s="1032" customFormat="1" ht="11.25">
      <c r="A33" s="1041"/>
      <c r="B33" s="1871"/>
      <c r="C33" s="1871"/>
      <c r="D33" s="1871"/>
      <c r="E33" s="1871"/>
      <c r="F33" s="1871"/>
      <c r="G33" s="1877"/>
      <c r="H33" s="1877"/>
      <c r="I33" s="1041"/>
      <c r="J33" s="66"/>
      <c r="K33" s="1256">
        <v>43953</v>
      </c>
      <c r="L33" s="1257" t="s">
        <v>1711</v>
      </c>
      <c r="M33" s="1258">
        <v>20000000</v>
      </c>
      <c r="N33" s="1259" t="s">
        <v>1713</v>
      </c>
      <c r="Q33" s="1041"/>
      <c r="R33" s="1051"/>
      <c r="S33" s="1051"/>
      <c r="T33" s="1051"/>
    </row>
    <row r="34" spans="1:20" s="1032" customFormat="1" ht="11.25">
      <c r="A34" s="1041"/>
      <c r="B34" s="1225"/>
      <c r="C34" s="1225"/>
      <c r="D34" s="1225"/>
      <c r="E34" s="1225"/>
      <c r="F34" s="1225"/>
      <c r="G34" s="1226"/>
      <c r="H34" s="1226"/>
      <c r="I34" s="1041"/>
      <c r="J34" s="66"/>
      <c r="K34" s="1256"/>
      <c r="L34" s="1257"/>
      <c r="M34" s="1258">
        <v>40000000</v>
      </c>
      <c r="N34" s="1259" t="s">
        <v>1576</v>
      </c>
      <c r="Q34" s="1041"/>
      <c r="R34" s="1051"/>
      <c r="S34" s="1051"/>
      <c r="T34" s="1051"/>
    </row>
    <row r="35" spans="1:20" s="1032" customFormat="1" ht="12" thickBot="1">
      <c r="A35" s="1041"/>
      <c r="B35" s="1041"/>
      <c r="C35" s="1042"/>
      <c r="D35" s="1042"/>
      <c r="E35" s="1043"/>
      <c r="F35" s="1042"/>
      <c r="G35" s="1874"/>
      <c r="H35" s="1874"/>
      <c r="I35" s="1041"/>
      <c r="J35" s="66"/>
      <c r="K35" s="1260" t="s">
        <v>1614</v>
      </c>
      <c r="L35" s="1261" t="s">
        <v>1712</v>
      </c>
      <c r="M35" s="1262">
        <v>60000000</v>
      </c>
      <c r="N35" s="1263" t="s">
        <v>1713</v>
      </c>
      <c r="Q35" s="1041"/>
      <c r="R35" s="1051"/>
      <c r="S35" s="1051"/>
      <c r="T35" s="1051"/>
    </row>
    <row r="36" spans="1:20" s="1032" customFormat="1" ht="12" thickTop="1">
      <c r="A36" s="1041"/>
      <c r="B36" s="1041"/>
      <c r="C36" s="1042"/>
      <c r="D36" s="1042"/>
      <c r="E36" s="1043"/>
      <c r="F36" s="1042"/>
      <c r="G36" s="1878"/>
      <c r="H36" s="1878"/>
      <c r="I36" s="1041"/>
      <c r="J36" s="66"/>
      <c r="Q36" s="1041"/>
      <c r="R36" s="1051"/>
      <c r="S36" s="1051"/>
      <c r="T36" s="1051"/>
    </row>
    <row r="37" spans="1:20" s="1032" customFormat="1" ht="11.25">
      <c r="A37" s="1041"/>
      <c r="B37" s="1880"/>
      <c r="C37" s="1880"/>
      <c r="D37" s="1880"/>
      <c r="E37" s="1880"/>
      <c r="F37" s="1880"/>
      <c r="G37" s="1881"/>
      <c r="H37" s="1881"/>
      <c r="I37" s="1041"/>
      <c r="J37" s="66"/>
      <c r="K37" s="1863"/>
      <c r="L37" s="1863"/>
      <c r="M37" s="1863"/>
      <c r="N37" s="1863"/>
      <c r="O37" s="1863"/>
      <c r="P37" s="1863"/>
      <c r="Q37" s="1041"/>
      <c r="R37" s="1051"/>
      <c r="S37" s="1051"/>
      <c r="T37" s="1051"/>
    </row>
    <row r="38" spans="1:20" s="1032" customFormat="1" ht="11.25">
      <c r="A38" s="1070"/>
      <c r="B38" s="1070"/>
      <c r="C38" s="1888"/>
      <c r="D38" s="1888"/>
      <c r="E38" s="1888"/>
      <c r="F38" s="1888"/>
      <c r="G38" s="1889"/>
      <c r="H38" s="1889"/>
      <c r="I38" s="1041"/>
      <c r="J38" s="66"/>
      <c r="K38" s="1033"/>
      <c r="L38" s="1034"/>
      <c r="M38" s="1034"/>
      <c r="N38" s="1034"/>
      <c r="O38" s="1034"/>
      <c r="P38" s="1071"/>
      <c r="Q38" s="1041"/>
      <c r="R38" s="1051"/>
      <c r="S38" s="1051"/>
      <c r="T38" s="1051"/>
    </row>
    <row r="39" spans="1:20" s="1032" customFormat="1" ht="11.25">
      <c r="A39" s="1041"/>
      <c r="B39" s="1041"/>
      <c r="C39" s="1042"/>
      <c r="D39" s="1042"/>
      <c r="E39" s="1043"/>
      <c r="F39" s="1042"/>
      <c r="G39" s="1878"/>
      <c r="H39" s="1878"/>
      <c r="I39" s="1883"/>
      <c r="J39" s="66"/>
      <c r="K39" s="1050"/>
      <c r="L39" s="1072"/>
      <c r="M39" s="1049"/>
      <c r="N39" s="1049"/>
      <c r="O39" s="1049"/>
      <c r="P39" s="1051"/>
      <c r="Q39" s="1041"/>
      <c r="R39" s="1051"/>
      <c r="S39" s="1051"/>
      <c r="T39" s="1051"/>
    </row>
    <row r="40" spans="1:20" s="1032" customFormat="1" ht="11.25">
      <c r="A40" s="1041"/>
      <c r="B40" s="1041"/>
      <c r="C40" s="1042"/>
      <c r="D40" s="1042"/>
      <c r="E40" s="1043"/>
      <c r="F40" s="1042"/>
      <c r="G40" s="1878"/>
      <c r="H40" s="1878"/>
      <c r="I40" s="1883"/>
      <c r="J40" s="66"/>
      <c r="K40" s="1050"/>
      <c r="L40" s="1072"/>
      <c r="M40" s="1049"/>
      <c r="N40" s="1049"/>
      <c r="O40" s="1049"/>
      <c r="P40" s="1051"/>
      <c r="Q40" s="1041"/>
      <c r="R40" s="1051"/>
      <c r="S40" s="1051"/>
      <c r="T40" s="1051"/>
    </row>
    <row r="41" spans="1:20" s="1032" customFormat="1" ht="11.25">
      <c r="A41" s="1041"/>
      <c r="B41" s="1880"/>
      <c r="C41" s="1880"/>
      <c r="D41" s="1880"/>
      <c r="E41" s="1880"/>
      <c r="F41" s="1880"/>
      <c r="G41" s="1881"/>
      <c r="H41" s="1881"/>
      <c r="I41" s="1073"/>
      <c r="J41" s="66"/>
      <c r="K41" s="1882"/>
      <c r="L41" s="1882"/>
      <c r="M41" s="1882"/>
      <c r="N41" s="1074"/>
      <c r="O41" s="1074"/>
      <c r="P41" s="1051"/>
      <c r="Q41" s="1041"/>
      <c r="R41" s="1051"/>
      <c r="S41" s="1051"/>
      <c r="T41" s="1051"/>
    </row>
    <row r="42" spans="1:20" s="1032" customFormat="1" ht="11.25">
      <c r="A42" s="1041"/>
      <c r="B42" s="1041"/>
      <c r="C42" s="1042"/>
      <c r="D42" s="1042"/>
      <c r="E42" s="1043"/>
      <c r="F42" s="1042"/>
      <c r="G42" s="1883"/>
      <c r="H42" s="1883"/>
      <c r="I42" s="1041"/>
      <c r="J42" s="66"/>
      <c r="K42" s="1062"/>
      <c r="L42" s="1041"/>
      <c r="M42" s="1049"/>
      <c r="N42" s="1049"/>
      <c r="O42" s="1049"/>
      <c r="P42" s="1051"/>
      <c r="Q42" s="1041"/>
      <c r="R42" s="1051"/>
      <c r="S42" s="1051"/>
      <c r="T42" s="1051"/>
    </row>
    <row r="43" spans="1:20" s="1032" customFormat="1" ht="11.25">
      <c r="A43" s="1041"/>
      <c r="B43" s="1041"/>
      <c r="C43" s="1042"/>
      <c r="D43" s="1042"/>
      <c r="E43" s="1043"/>
      <c r="F43" s="1042"/>
      <c r="G43" s="1883"/>
      <c r="H43" s="1883"/>
      <c r="I43" s="1041"/>
      <c r="J43" s="66"/>
      <c r="K43" s="1873"/>
      <c r="L43" s="1873"/>
      <c r="M43" s="1061"/>
      <c r="N43" s="1061"/>
      <c r="O43" s="1061"/>
      <c r="P43" s="1039"/>
      <c r="Q43" s="1041"/>
      <c r="R43" s="1051"/>
      <c r="S43" s="1051"/>
      <c r="T43" s="1051"/>
    </row>
    <row r="44" spans="1:20" s="1032" customFormat="1" ht="11.25">
      <c r="A44" s="1041"/>
      <c r="B44" s="1880"/>
      <c r="C44" s="1880"/>
      <c r="D44" s="1880"/>
      <c r="E44" s="1880"/>
      <c r="F44" s="1880"/>
      <c r="G44" s="1877"/>
      <c r="H44" s="1877"/>
      <c r="I44" s="1041"/>
      <c r="J44" s="66"/>
      <c r="K44" s="1050"/>
      <c r="L44" s="1041"/>
      <c r="M44" s="1049"/>
      <c r="N44" s="1049"/>
      <c r="O44" s="1049"/>
      <c r="P44" s="1051"/>
      <c r="Q44" s="1041"/>
      <c r="R44" s="1051"/>
      <c r="S44" s="1051"/>
      <c r="T44" s="1051"/>
    </row>
    <row r="45" spans="1:20" s="1032" customFormat="1" ht="11.25">
      <c r="A45" s="1868"/>
      <c r="B45" s="1868"/>
      <c r="C45" s="1868"/>
      <c r="D45" s="1868"/>
      <c r="E45" s="1868"/>
      <c r="F45" s="1868"/>
      <c r="G45" s="1879"/>
      <c r="H45" s="1879"/>
      <c r="I45" s="1041"/>
      <c r="J45" s="66"/>
      <c r="K45" s="1050"/>
      <c r="L45" s="1041"/>
      <c r="M45" s="1049"/>
      <c r="N45" s="1049"/>
      <c r="O45" s="1049"/>
      <c r="P45" s="1051"/>
      <c r="Q45" s="1041"/>
      <c r="R45" s="1051"/>
      <c r="S45" s="1051"/>
      <c r="T45" s="1051"/>
    </row>
    <row r="46" spans="1:20">
      <c r="K46" s="1050"/>
      <c r="L46" s="1041"/>
      <c r="M46" s="1049"/>
      <c r="N46" s="1049"/>
      <c r="O46" s="1049"/>
      <c r="P46" s="1051"/>
    </row>
    <row r="47" spans="1:20">
      <c r="C47" s="732"/>
      <c r="G47" s="732"/>
      <c r="K47" s="1873"/>
      <c r="L47" s="1873"/>
      <c r="M47" s="1061"/>
      <c r="N47" s="1061"/>
      <c r="O47" s="1061"/>
      <c r="P47" s="1039"/>
      <c r="Q47" s="732"/>
    </row>
  </sheetData>
  <mergeCells count="61">
    <mergeCell ref="H6:K6"/>
    <mergeCell ref="L6:O6"/>
    <mergeCell ref="P6:P8"/>
    <mergeCell ref="Q6:Q8"/>
    <mergeCell ref="B44:F44"/>
    <mergeCell ref="G44:H44"/>
    <mergeCell ref="B37:F37"/>
    <mergeCell ref="G37:H37"/>
    <mergeCell ref="K37:P37"/>
    <mergeCell ref="C38:F38"/>
    <mergeCell ref="G38:H38"/>
    <mergeCell ref="G39:H39"/>
    <mergeCell ref="I39:I40"/>
    <mergeCell ref="G40:H40"/>
    <mergeCell ref="G32:H32"/>
    <mergeCell ref="G27:H27"/>
    <mergeCell ref="A45:F45"/>
    <mergeCell ref="G45:H45"/>
    <mergeCell ref="K47:L47"/>
    <mergeCell ref="B41:F41"/>
    <mergeCell ref="G41:H41"/>
    <mergeCell ref="K41:M41"/>
    <mergeCell ref="G42:H42"/>
    <mergeCell ref="G43:H43"/>
    <mergeCell ref="K43:L43"/>
    <mergeCell ref="R32:S32"/>
    <mergeCell ref="B33:F33"/>
    <mergeCell ref="G33:H33"/>
    <mergeCell ref="G35:H35"/>
    <mergeCell ref="G36:H36"/>
    <mergeCell ref="B29:F29"/>
    <mergeCell ref="G29:H29"/>
    <mergeCell ref="G30:H30"/>
    <mergeCell ref="G31:H31"/>
    <mergeCell ref="K31:L31"/>
    <mergeCell ref="G24:H24"/>
    <mergeCell ref="G25:H25"/>
    <mergeCell ref="B26:F26"/>
    <mergeCell ref="G26:H26"/>
    <mergeCell ref="R27:S27"/>
    <mergeCell ref="K20:N20"/>
    <mergeCell ref="R20:V20"/>
    <mergeCell ref="C21:F21"/>
    <mergeCell ref="G21:H21"/>
    <mergeCell ref="G22:H22"/>
    <mergeCell ref="K7:K8"/>
    <mergeCell ref="L7:N7"/>
    <mergeCell ref="K26:L26"/>
    <mergeCell ref="N2:R2"/>
    <mergeCell ref="A4:S4"/>
    <mergeCell ref="A5:S5"/>
    <mergeCell ref="A6:A8"/>
    <mergeCell ref="B6:B8"/>
    <mergeCell ref="C6:C8"/>
    <mergeCell ref="D6:D8"/>
    <mergeCell ref="E6:G7"/>
    <mergeCell ref="H7:H8"/>
    <mergeCell ref="I7:I8"/>
    <mergeCell ref="J7:J8"/>
    <mergeCell ref="A16:B16"/>
    <mergeCell ref="A20:I20"/>
  </mergeCells>
  <pageMargins left="0.7" right="0.7" top="0.75" bottom="0.75" header="0.3" footer="0.3"/>
  <pageSetup paperSize="9" scale="65" orientation="landscape" verticalDpi="0" r:id="rId1"/>
  <colBreaks count="2" manualBreakCount="2">
    <brk id="20" max="1048575" man="1"/>
    <brk id="21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>
  <dimension ref="A1:G42"/>
  <sheetViews>
    <sheetView zoomScaleNormal="100" workbookViewId="0">
      <selection activeCell="B26" sqref="B26"/>
    </sheetView>
  </sheetViews>
  <sheetFormatPr defaultColWidth="9.140625" defaultRowHeight="15"/>
  <cols>
    <col min="1" max="1" width="6.85546875" style="732" customWidth="1"/>
    <col min="2" max="2" width="28.42578125" style="878" customWidth="1"/>
    <col min="3" max="3" width="13" style="1011" customWidth="1"/>
    <col min="4" max="4" width="11.140625" style="871" customWidth="1"/>
    <col min="5" max="5" width="12.85546875" style="871" customWidth="1"/>
    <col min="6" max="6" width="12" style="871" customWidth="1"/>
    <col min="7" max="7" width="18.5703125" style="732" customWidth="1"/>
    <col min="8" max="16384" width="9.140625" style="732"/>
  </cols>
  <sheetData>
    <row r="1" spans="1:7" ht="16.5">
      <c r="A1" s="813" t="s">
        <v>0</v>
      </c>
      <c r="B1" s="733"/>
      <c r="C1" s="735"/>
      <c r="D1" s="987"/>
      <c r="E1" s="987"/>
      <c r="F1" s="987"/>
    </row>
    <row r="2" spans="1:7">
      <c r="A2" s="814" t="s">
        <v>2</v>
      </c>
      <c r="B2" s="734"/>
      <c r="C2" s="736"/>
      <c r="D2" s="988"/>
      <c r="E2" s="988"/>
      <c r="F2" s="988"/>
    </row>
    <row r="3" spans="1:7" s="706" customFormat="1">
      <c r="A3" s="989"/>
      <c r="D3" s="634"/>
      <c r="E3" s="634"/>
      <c r="F3" s="634"/>
    </row>
    <row r="4" spans="1:7" ht="20.25">
      <c r="A4" s="1625" t="s">
        <v>1552</v>
      </c>
      <c r="B4" s="1625"/>
      <c r="C4" s="1625"/>
      <c r="D4" s="1625"/>
      <c r="E4" s="1625"/>
      <c r="F4" s="1625"/>
      <c r="G4" s="1625"/>
    </row>
    <row r="5" spans="1:7" ht="15.75" thickBot="1">
      <c r="A5" s="1894" t="s">
        <v>1823</v>
      </c>
      <c r="B5" s="1894"/>
      <c r="C5" s="1894"/>
      <c r="D5" s="1894"/>
      <c r="E5" s="1894"/>
      <c r="F5" s="1894"/>
      <c r="G5" s="1894"/>
    </row>
    <row r="6" spans="1:7" s="990" customFormat="1" ht="15.75" thickTop="1">
      <c r="A6" s="1895" t="s">
        <v>118</v>
      </c>
      <c r="B6" s="1897" t="s">
        <v>616</v>
      </c>
      <c r="C6" s="1899" t="s">
        <v>648</v>
      </c>
      <c r="D6" s="1899"/>
      <c r="E6" s="1899"/>
      <c r="F6" s="1899"/>
      <c r="G6" s="1900" t="s">
        <v>1553</v>
      </c>
    </row>
    <row r="7" spans="1:7" s="990" customFormat="1" ht="25.5">
      <c r="A7" s="1896"/>
      <c r="B7" s="1898"/>
      <c r="C7" s="991" t="s">
        <v>1554</v>
      </c>
      <c r="D7" s="992" t="s">
        <v>651</v>
      </c>
      <c r="E7" s="992" t="s">
        <v>652</v>
      </c>
      <c r="F7" s="992" t="s">
        <v>654</v>
      </c>
      <c r="G7" s="1901"/>
    </row>
    <row r="8" spans="1:7" s="1000" customFormat="1" ht="12.75">
      <c r="A8" s="993" t="s">
        <v>174</v>
      </c>
      <c r="B8" s="994" t="s">
        <v>940</v>
      </c>
      <c r="C8" s="995"/>
      <c r="D8" s="996">
        <v>18000000</v>
      </c>
      <c r="E8" s="997"/>
      <c r="F8" s="998"/>
      <c r="G8" s="999"/>
    </row>
    <row r="9" spans="1:7" s="1000" customFormat="1" ht="12.75">
      <c r="A9" s="993" t="s">
        <v>941</v>
      </c>
      <c r="B9" s="994" t="s">
        <v>942</v>
      </c>
      <c r="C9" s="995"/>
      <c r="D9" s="997"/>
      <c r="E9" s="996">
        <v>45000000</v>
      </c>
      <c r="F9" s="998"/>
      <c r="G9" s="999"/>
    </row>
    <row r="10" spans="1:7" s="1000" customFormat="1" ht="12.75">
      <c r="A10" s="993" t="s">
        <v>223</v>
      </c>
      <c r="B10" s="1001" t="s">
        <v>942</v>
      </c>
      <c r="C10" s="995"/>
      <c r="D10" s="996">
        <v>45000000</v>
      </c>
      <c r="E10" s="997"/>
      <c r="F10" s="1002"/>
      <c r="G10" s="999"/>
    </row>
    <row r="11" spans="1:7" s="1000" customFormat="1" ht="12.75">
      <c r="A11" s="993" t="s">
        <v>239</v>
      </c>
      <c r="B11" s="1001" t="s">
        <v>940</v>
      </c>
      <c r="C11" s="995"/>
      <c r="D11" s="997"/>
      <c r="E11" s="997"/>
      <c r="F11" s="1002">
        <v>5000000</v>
      </c>
      <c r="G11" s="999"/>
    </row>
    <row r="12" spans="1:7" s="1000" customFormat="1" ht="12.75">
      <c r="A12" s="993" t="s">
        <v>269</v>
      </c>
      <c r="B12" s="1001" t="s">
        <v>940</v>
      </c>
      <c r="C12" s="995"/>
      <c r="D12" s="996">
        <v>30000000</v>
      </c>
      <c r="E12" s="997"/>
      <c r="F12" s="998"/>
      <c r="G12" s="999"/>
    </row>
    <row r="13" spans="1:7" s="1000" customFormat="1" ht="12.75">
      <c r="A13" s="993" t="s">
        <v>943</v>
      </c>
      <c r="B13" s="1001" t="s">
        <v>940</v>
      </c>
      <c r="C13" s="995"/>
      <c r="D13" s="996">
        <v>25000000</v>
      </c>
      <c r="E13" s="997"/>
      <c r="F13" s="998"/>
      <c r="G13" s="999"/>
    </row>
    <row r="14" spans="1:7" s="1000" customFormat="1" ht="12.75">
      <c r="A14" s="993" t="s">
        <v>425</v>
      </c>
      <c r="B14" s="1001" t="s">
        <v>942</v>
      </c>
      <c r="C14" s="995"/>
      <c r="D14" s="996">
        <v>90000000</v>
      </c>
      <c r="E14" s="997"/>
      <c r="F14" s="998"/>
      <c r="G14" s="999"/>
    </row>
    <row r="15" spans="1:7" s="1000" customFormat="1" ht="12.75">
      <c r="A15" s="1235" t="s">
        <v>469</v>
      </c>
      <c r="B15" s="1236" t="s">
        <v>942</v>
      </c>
      <c r="C15" s="1237"/>
      <c r="D15" s="1238">
        <v>90000000</v>
      </c>
      <c r="E15" s="1239"/>
      <c r="F15" s="1240"/>
      <c r="G15" s="1241"/>
    </row>
    <row r="16" spans="1:7" s="1248" customFormat="1" ht="12.75">
      <c r="A16" s="1250">
        <v>43953</v>
      </c>
      <c r="B16" s="1001" t="s">
        <v>1710</v>
      </c>
      <c r="C16" s="995"/>
      <c r="D16" s="996">
        <v>20000000</v>
      </c>
      <c r="E16" s="997"/>
      <c r="F16" s="998">
        <v>40000000</v>
      </c>
      <c r="G16" s="999"/>
    </row>
    <row r="17" spans="1:7" s="1248" customFormat="1" ht="13.5" thickBot="1">
      <c r="A17" s="1249" t="s">
        <v>1614</v>
      </c>
      <c r="B17" s="1242" t="s">
        <v>641</v>
      </c>
      <c r="C17" s="1243"/>
      <c r="D17" s="1244">
        <v>60000000</v>
      </c>
      <c r="E17" s="1245"/>
      <c r="F17" s="1246"/>
      <c r="G17" s="1247"/>
    </row>
    <row r="18" spans="1:7" s="1005" customFormat="1" ht="14.25" thickTop="1" thickBot="1">
      <c r="A18" s="1890" t="s">
        <v>105</v>
      </c>
      <c r="B18" s="1891"/>
      <c r="C18" s="1003">
        <f>SUM(C7:C15)</f>
        <v>0</v>
      </c>
      <c r="D18" s="1003">
        <f>SUM(D7:D17)</f>
        <v>378000000</v>
      </c>
      <c r="E18" s="1003">
        <f>SUM(E7:E17)</f>
        <v>45000000</v>
      </c>
      <c r="F18" s="1003">
        <f>SUM(F7:F17)</f>
        <v>45000000</v>
      </c>
      <c r="G18" s="1004"/>
    </row>
    <row r="19" spans="1:7" ht="15.75" thickTop="1">
      <c r="C19" s="1006"/>
      <c r="D19" s="1007"/>
      <c r="E19" s="1007"/>
      <c r="F19" s="1007"/>
    </row>
    <row r="20" spans="1:7">
      <c r="C20" s="1008"/>
      <c r="D20" s="870"/>
      <c r="E20" s="870"/>
      <c r="F20" s="870"/>
    </row>
    <row r="21" spans="1:7">
      <c r="C21" s="1892"/>
      <c r="D21" s="1892"/>
      <c r="E21" s="1892"/>
      <c r="F21" s="1892"/>
    </row>
    <row r="22" spans="1:7">
      <c r="B22" s="1009" t="s">
        <v>645</v>
      </c>
      <c r="C22" s="1010"/>
      <c r="D22" s="1893" t="s">
        <v>1555</v>
      </c>
      <c r="E22" s="1893"/>
      <c r="F22" s="1893"/>
      <c r="G22" s="1893"/>
    </row>
    <row r="23" spans="1:7">
      <c r="C23" s="1008"/>
      <c r="D23" s="870"/>
      <c r="E23" s="870"/>
      <c r="F23" s="870"/>
    </row>
    <row r="24" spans="1:7">
      <c r="C24" s="1008"/>
      <c r="D24" s="870"/>
      <c r="E24" s="870"/>
      <c r="F24" s="870"/>
    </row>
    <row r="25" spans="1:7">
      <c r="C25" s="1008"/>
      <c r="D25" s="870"/>
      <c r="E25" s="870"/>
      <c r="F25" s="870"/>
    </row>
    <row r="26" spans="1:7">
      <c r="C26" s="1008"/>
      <c r="D26" s="870"/>
      <c r="E26" s="870"/>
      <c r="F26" s="870"/>
    </row>
    <row r="27" spans="1:7">
      <c r="C27" s="1008"/>
      <c r="D27" s="870"/>
      <c r="E27" s="870"/>
      <c r="F27" s="870"/>
    </row>
    <row r="28" spans="1:7">
      <c r="C28" s="1008"/>
      <c r="D28" s="870"/>
      <c r="E28" s="870"/>
      <c r="F28" s="870"/>
    </row>
    <row r="29" spans="1:7">
      <c r="C29" s="1008"/>
      <c r="D29" s="870"/>
      <c r="E29" s="870"/>
      <c r="F29" s="870"/>
    </row>
    <row r="30" spans="1:7">
      <c r="B30" s="732"/>
      <c r="C30" s="1008"/>
      <c r="D30" s="870"/>
      <c r="E30" s="870"/>
      <c r="F30" s="870"/>
    </row>
    <row r="31" spans="1:7">
      <c r="B31" s="732"/>
      <c r="C31" s="1008"/>
      <c r="D31" s="870"/>
      <c r="E31" s="870"/>
      <c r="F31" s="870"/>
    </row>
    <row r="32" spans="1:7">
      <c r="B32" s="732"/>
      <c r="C32" s="1008"/>
      <c r="D32" s="870"/>
      <c r="E32" s="870"/>
      <c r="F32" s="870"/>
    </row>
    <row r="33" spans="2:6">
      <c r="B33" s="732"/>
      <c r="C33" s="1008"/>
      <c r="D33" s="870"/>
      <c r="E33" s="870"/>
      <c r="F33" s="870"/>
    </row>
    <row r="34" spans="2:6">
      <c r="B34" s="732"/>
      <c r="C34" s="1008"/>
      <c r="D34" s="870"/>
      <c r="E34" s="870"/>
      <c r="F34" s="870"/>
    </row>
    <row r="35" spans="2:6">
      <c r="B35" s="732"/>
      <c r="C35" s="1008"/>
      <c r="D35" s="870"/>
      <c r="E35" s="870"/>
      <c r="F35" s="870"/>
    </row>
    <row r="36" spans="2:6">
      <c r="B36" s="732"/>
      <c r="C36" s="1008"/>
      <c r="D36" s="870"/>
      <c r="E36" s="870"/>
      <c r="F36" s="870"/>
    </row>
    <row r="37" spans="2:6">
      <c r="B37" s="732"/>
      <c r="C37" s="1008"/>
      <c r="D37" s="870"/>
      <c r="E37" s="870"/>
      <c r="F37" s="870"/>
    </row>
    <row r="38" spans="2:6">
      <c r="B38" s="732"/>
      <c r="C38" s="1008"/>
      <c r="D38" s="870"/>
      <c r="E38" s="870"/>
      <c r="F38" s="870"/>
    </row>
    <row r="39" spans="2:6">
      <c r="B39" s="732"/>
      <c r="C39" s="1008"/>
      <c r="D39" s="870"/>
      <c r="E39" s="870"/>
      <c r="F39" s="870"/>
    </row>
    <row r="40" spans="2:6">
      <c r="B40" s="732"/>
      <c r="C40" s="1008"/>
      <c r="D40" s="870"/>
      <c r="E40" s="870"/>
      <c r="F40" s="870"/>
    </row>
    <row r="41" spans="2:6">
      <c r="B41" s="732"/>
      <c r="C41" s="1008"/>
      <c r="D41" s="870"/>
      <c r="E41" s="870"/>
      <c r="F41" s="870"/>
    </row>
    <row r="42" spans="2:6">
      <c r="B42" s="732"/>
      <c r="C42" s="1008"/>
      <c r="D42" s="870"/>
      <c r="E42" s="870"/>
      <c r="F42" s="870"/>
    </row>
  </sheetData>
  <mergeCells count="9">
    <mergeCell ref="A18:B18"/>
    <mergeCell ref="C21:F21"/>
    <mergeCell ref="D22:G22"/>
    <mergeCell ref="A4:G4"/>
    <mergeCell ref="A5:G5"/>
    <mergeCell ref="A6:A7"/>
    <mergeCell ref="B6:B7"/>
    <mergeCell ref="C6:F6"/>
    <mergeCell ref="G6:G7"/>
  </mergeCells>
  <pageMargins left="0.7" right="0.7" top="0.75" bottom="0.75" header="0.3" footer="0.3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C1:T79"/>
  <sheetViews>
    <sheetView topLeftCell="A58" zoomScaleNormal="100" workbookViewId="0">
      <selection activeCell="G80" sqref="G80"/>
    </sheetView>
  </sheetViews>
  <sheetFormatPr defaultColWidth="7" defaultRowHeight="15"/>
  <cols>
    <col min="1" max="2" width="7" style="634"/>
    <col min="3" max="3" width="5.85546875" style="634" customWidth="1"/>
    <col min="4" max="4" width="17" style="634" customWidth="1"/>
    <col min="5" max="5" width="21.7109375" style="634" customWidth="1"/>
    <col min="6" max="6" width="10.7109375" style="634" customWidth="1"/>
    <col min="7" max="7" width="9.28515625" style="634" customWidth="1"/>
    <col min="8" max="8" width="17.28515625" style="634" customWidth="1"/>
    <col min="9" max="9" width="19.7109375" style="634" customWidth="1"/>
    <col min="10" max="10" width="28.7109375" style="634" customWidth="1"/>
    <col min="11" max="11" width="17.42578125" style="634" customWidth="1"/>
    <col min="12" max="12" width="7" style="634"/>
    <col min="13" max="13" width="13.28515625" style="634" bestFit="1" customWidth="1"/>
    <col min="14" max="16384" width="7" style="634"/>
  </cols>
  <sheetData>
    <row r="1" spans="3:20" ht="18" customHeight="1">
      <c r="C1" s="1266" t="s">
        <v>0</v>
      </c>
      <c r="D1" s="1266"/>
      <c r="E1" s="1267"/>
      <c r="F1" s="1268"/>
      <c r="G1" s="1267"/>
      <c r="H1" s="632"/>
      <c r="I1" s="632"/>
      <c r="J1" s="632"/>
      <c r="O1" s="632"/>
      <c r="P1" s="632"/>
      <c r="Q1" s="632"/>
      <c r="R1" s="638"/>
      <c r="S1" s="632"/>
      <c r="T1" s="868"/>
    </row>
    <row r="2" spans="3:20" ht="18" customHeight="1">
      <c r="C2" s="1269" t="s">
        <v>2</v>
      </c>
      <c r="D2" s="1269"/>
      <c r="E2" s="1270"/>
      <c r="F2" s="1271"/>
      <c r="G2" s="1270"/>
      <c r="H2" s="633"/>
      <c r="I2" s="633"/>
      <c r="J2" s="633"/>
      <c r="O2" s="633"/>
      <c r="P2" s="633"/>
      <c r="Q2" s="633"/>
      <c r="R2" s="642"/>
      <c r="S2" s="633"/>
      <c r="T2" s="869"/>
    </row>
    <row r="3" spans="3:20" ht="15" customHeight="1">
      <c r="C3" s="639"/>
      <c r="D3" s="639"/>
      <c r="E3" s="639"/>
      <c r="F3" s="639"/>
      <c r="G3" s="1910"/>
      <c r="H3" s="1910"/>
      <c r="I3" s="870"/>
      <c r="J3" s="871"/>
      <c r="K3" s="509"/>
    </row>
    <row r="4" spans="3:20" ht="18" customHeight="1">
      <c r="C4" s="1911" t="s">
        <v>1495</v>
      </c>
      <c r="D4" s="1911"/>
      <c r="E4" s="1911"/>
      <c r="F4" s="1911"/>
      <c r="G4" s="1911"/>
      <c r="H4" s="1911"/>
      <c r="I4" s="1911"/>
      <c r="J4" s="1911"/>
      <c r="K4" s="509"/>
    </row>
    <row r="5" spans="3:20" ht="16.5" customHeight="1" thickBot="1">
      <c r="C5" s="1912" t="s">
        <v>1827</v>
      </c>
      <c r="D5" s="1912"/>
      <c r="E5" s="1912"/>
      <c r="F5" s="1912"/>
      <c r="G5" s="1912"/>
      <c r="H5" s="1912"/>
      <c r="I5" s="1912"/>
      <c r="J5" s="1912"/>
    </row>
    <row r="6" spans="3:20" ht="33" customHeight="1" thickTop="1" thickBot="1">
      <c r="C6" s="1272" t="s">
        <v>118</v>
      </c>
      <c r="D6" s="1273" t="s">
        <v>1496</v>
      </c>
      <c r="E6" s="1273" t="s">
        <v>1497</v>
      </c>
      <c r="F6" s="1274" t="s">
        <v>1498</v>
      </c>
      <c r="G6" s="1274" t="s">
        <v>1499</v>
      </c>
      <c r="H6" s="1274" t="s">
        <v>1500</v>
      </c>
      <c r="I6" s="1274" t="s">
        <v>1501</v>
      </c>
      <c r="J6" s="1275" t="s">
        <v>13</v>
      </c>
    </row>
    <row r="7" spans="3:20" ht="15.95" customHeight="1" thickTop="1">
      <c r="C7" s="1276" t="s">
        <v>919</v>
      </c>
      <c r="D7" s="1277" t="s">
        <v>1502</v>
      </c>
      <c r="E7" s="1278" t="s">
        <v>1491</v>
      </c>
      <c r="F7" s="1278">
        <v>10</v>
      </c>
      <c r="G7" s="1278">
        <f>F7*50</f>
        <v>500</v>
      </c>
      <c r="H7" s="1279" t="s">
        <v>1503</v>
      </c>
      <c r="I7" s="1280">
        <v>67500000</v>
      </c>
      <c r="J7" s="1281" t="s">
        <v>1504</v>
      </c>
    </row>
    <row r="8" spans="3:20" ht="15.95" customHeight="1">
      <c r="C8" s="1282"/>
      <c r="D8" s="1283"/>
      <c r="E8" s="1284" t="s">
        <v>1481</v>
      </c>
      <c r="F8" s="1284">
        <v>4</v>
      </c>
      <c r="G8" s="1284">
        <f>F8*24</f>
        <v>96</v>
      </c>
      <c r="H8" s="1285" t="s">
        <v>637</v>
      </c>
      <c r="I8" s="1286">
        <v>60000000</v>
      </c>
      <c r="J8" s="1287" t="s">
        <v>1505</v>
      </c>
    </row>
    <row r="9" spans="3:20" ht="15.95" customHeight="1">
      <c r="C9" s="1282"/>
      <c r="D9" s="1283"/>
      <c r="E9" s="1284" t="s">
        <v>1482</v>
      </c>
      <c r="F9" s="1284">
        <v>10</v>
      </c>
      <c r="G9" s="1284">
        <f>F9*12</f>
        <v>120</v>
      </c>
      <c r="H9" s="1285" t="s">
        <v>638</v>
      </c>
      <c r="I9" s="1288">
        <v>50550000</v>
      </c>
      <c r="J9" s="1287" t="s">
        <v>1504</v>
      </c>
    </row>
    <row r="10" spans="3:20" ht="15.95" customHeight="1">
      <c r="C10" s="1282"/>
      <c r="D10" s="1283"/>
      <c r="E10" s="1284" t="s">
        <v>1483</v>
      </c>
      <c r="F10" s="1284">
        <v>4</v>
      </c>
      <c r="G10" s="1284">
        <f>F10*24</f>
        <v>96</v>
      </c>
      <c r="H10" s="1285"/>
      <c r="I10" s="1289"/>
      <c r="J10" s="1290" t="s">
        <v>1506</v>
      </c>
    </row>
    <row r="11" spans="3:20" ht="15.95" customHeight="1">
      <c r="C11" s="1282"/>
      <c r="D11" s="1283"/>
      <c r="E11" s="1284" t="s">
        <v>1484</v>
      </c>
      <c r="F11" s="1284">
        <v>5</v>
      </c>
      <c r="G11" s="1284">
        <f>F11*12</f>
        <v>60</v>
      </c>
      <c r="H11" s="1285"/>
      <c r="I11" s="1289"/>
      <c r="J11" s="1290" t="s">
        <v>1507</v>
      </c>
    </row>
    <row r="12" spans="3:20" ht="15.95" customHeight="1">
      <c r="C12" s="1282"/>
      <c r="D12" s="1283"/>
      <c r="E12" s="1284" t="s">
        <v>1489</v>
      </c>
      <c r="F12" s="1284">
        <v>5</v>
      </c>
      <c r="G12" s="1284">
        <f>F12*12</f>
        <v>60</v>
      </c>
      <c r="H12" s="1285"/>
      <c r="I12" s="1289"/>
      <c r="J12" s="1287"/>
    </row>
    <row r="13" spans="3:20" ht="15.95" customHeight="1">
      <c r="C13" s="1282"/>
      <c r="D13" s="1283"/>
      <c r="E13" s="1284" t="s">
        <v>1488</v>
      </c>
      <c r="F13" s="1284">
        <v>5</v>
      </c>
      <c r="G13" s="1284">
        <f>F13*24</f>
        <v>120</v>
      </c>
      <c r="H13" s="1285"/>
      <c r="I13" s="1289"/>
      <c r="J13" s="1287"/>
    </row>
    <row r="14" spans="3:20" ht="15.95" customHeight="1">
      <c r="C14" s="1282"/>
      <c r="D14" s="1283"/>
      <c r="E14" s="1284" t="s">
        <v>1485</v>
      </c>
      <c r="F14" s="1284" t="s">
        <v>1508</v>
      </c>
      <c r="G14" s="1284">
        <f>5*24+8</f>
        <v>128</v>
      </c>
      <c r="H14" s="1285"/>
      <c r="I14" s="1289"/>
      <c r="J14" s="1287"/>
    </row>
    <row r="15" spans="3:20" ht="15.95" customHeight="1">
      <c r="C15" s="1282"/>
      <c r="D15" s="1283"/>
      <c r="E15" s="1284" t="s">
        <v>1492</v>
      </c>
      <c r="F15" s="1284" t="s">
        <v>1509</v>
      </c>
      <c r="G15" s="1284">
        <f>11*12+6</f>
        <v>138</v>
      </c>
      <c r="H15" s="1285"/>
      <c r="I15" s="1289"/>
      <c r="J15" s="1287"/>
    </row>
    <row r="16" spans="3:20" ht="15.95" customHeight="1">
      <c r="C16" s="1282"/>
      <c r="D16" s="1283"/>
      <c r="E16" s="1284" t="s">
        <v>1487</v>
      </c>
      <c r="F16" s="1284" t="s">
        <v>1510</v>
      </c>
      <c r="G16" s="1284">
        <f>19*12+3</f>
        <v>231</v>
      </c>
      <c r="H16" s="1285"/>
      <c r="I16" s="1289"/>
      <c r="J16" s="1287"/>
    </row>
    <row r="17" spans="3:10" ht="15.95" customHeight="1">
      <c r="C17" s="1291"/>
      <c r="D17" s="1292"/>
      <c r="E17" s="1293"/>
      <c r="F17" s="1293"/>
      <c r="G17" s="1293"/>
      <c r="H17" s="1294"/>
      <c r="I17" s="1295"/>
      <c r="J17" s="1296"/>
    </row>
    <row r="18" spans="3:10" ht="15.95" customHeight="1">
      <c r="C18" s="1297"/>
      <c r="D18" s="1913" t="s">
        <v>1717</v>
      </c>
      <c r="E18" s="1913"/>
      <c r="F18" s="1298">
        <v>65</v>
      </c>
      <c r="G18" s="1299">
        <f>SUM(G7:G17)</f>
        <v>1549</v>
      </c>
      <c r="H18" s="1300"/>
      <c r="I18" s="1301">
        <f>SUM(I7:I17)</f>
        <v>178050000</v>
      </c>
      <c r="J18" s="1302"/>
    </row>
    <row r="19" spans="3:10" ht="15.95" customHeight="1">
      <c r="C19" s="1303" t="s">
        <v>999</v>
      </c>
      <c r="D19" s="1304" t="s">
        <v>1511</v>
      </c>
      <c r="E19" s="1305" t="s">
        <v>1482</v>
      </c>
      <c r="F19" s="1305">
        <v>10</v>
      </c>
      <c r="G19" s="1305">
        <f>F19*12</f>
        <v>120</v>
      </c>
      <c r="H19" s="1306" t="s">
        <v>637</v>
      </c>
      <c r="I19" s="1307">
        <v>35400000</v>
      </c>
      <c r="J19" s="1308" t="s">
        <v>1504</v>
      </c>
    </row>
    <row r="20" spans="3:10" ht="15.95" customHeight="1">
      <c r="C20" s="1309"/>
      <c r="D20" s="1283"/>
      <c r="E20" s="1284" t="s">
        <v>1484</v>
      </c>
      <c r="F20" s="1284">
        <v>10</v>
      </c>
      <c r="G20" s="1284">
        <f>F20*12</f>
        <v>120</v>
      </c>
      <c r="H20" s="1285" t="s">
        <v>638</v>
      </c>
      <c r="I20" s="1288">
        <v>35550000</v>
      </c>
      <c r="J20" s="1287" t="s">
        <v>1504</v>
      </c>
    </row>
    <row r="21" spans="3:10" ht="15.95" customHeight="1">
      <c r="C21" s="1309"/>
      <c r="D21" s="1283"/>
      <c r="E21" s="1284" t="s">
        <v>1489</v>
      </c>
      <c r="F21" s="1284">
        <v>10</v>
      </c>
      <c r="G21" s="1284">
        <f>F21*12</f>
        <v>120</v>
      </c>
      <c r="H21" s="1285"/>
      <c r="I21" s="1289"/>
      <c r="J21" s="1290" t="s">
        <v>1512</v>
      </c>
    </row>
    <row r="22" spans="3:10" ht="15.95" customHeight="1">
      <c r="C22" s="1309"/>
      <c r="D22" s="1283"/>
      <c r="E22" s="1284" t="s">
        <v>1490</v>
      </c>
      <c r="F22" s="1284">
        <v>5</v>
      </c>
      <c r="G22" s="1284">
        <f>F22*24</f>
        <v>120</v>
      </c>
      <c r="H22" s="1285"/>
      <c r="I22" s="1289"/>
      <c r="J22" s="1287"/>
    </row>
    <row r="23" spans="3:10" s="872" customFormat="1" ht="15.95" customHeight="1">
      <c r="C23" s="1310"/>
      <c r="D23" s="1914" t="s">
        <v>1716</v>
      </c>
      <c r="E23" s="1914"/>
      <c r="F23" s="1311">
        <f>SUM(F19:F22)</f>
        <v>35</v>
      </c>
      <c r="G23" s="1312">
        <f>SUM(G19:G22)</f>
        <v>480</v>
      </c>
      <c r="H23" s="1289"/>
      <c r="I23" s="1313">
        <f>SUM(I19:I22)</f>
        <v>70950000</v>
      </c>
      <c r="J23" s="1314" t="s">
        <v>1513</v>
      </c>
    </row>
    <row r="24" spans="3:10" ht="15.95" customHeight="1">
      <c r="C24" s="1309" t="s">
        <v>239</v>
      </c>
      <c r="D24" s="1283" t="s">
        <v>1514</v>
      </c>
      <c r="E24" s="1284" t="s">
        <v>1479</v>
      </c>
      <c r="F24" s="1284">
        <v>5</v>
      </c>
      <c r="G24" s="1284">
        <f>F24*24</f>
        <v>120</v>
      </c>
      <c r="H24" s="1285" t="s">
        <v>1515</v>
      </c>
      <c r="I24" s="1315">
        <v>20000000</v>
      </c>
      <c r="J24" s="1287" t="s">
        <v>1516</v>
      </c>
    </row>
    <row r="25" spans="3:10" ht="15.95" customHeight="1">
      <c r="C25" s="1282"/>
      <c r="D25" s="1283"/>
      <c r="E25" s="1284" t="s">
        <v>1481</v>
      </c>
      <c r="F25" s="1284">
        <v>5</v>
      </c>
      <c r="G25" s="1284">
        <f>F25*24</f>
        <v>120</v>
      </c>
      <c r="H25" s="1285" t="s">
        <v>969</v>
      </c>
      <c r="I25" s="1288">
        <v>40000000</v>
      </c>
      <c r="J25" s="1290" t="s">
        <v>1517</v>
      </c>
    </row>
    <row r="26" spans="3:10" ht="15.95" customHeight="1">
      <c r="C26" s="1282"/>
      <c r="D26" s="1283"/>
      <c r="E26" s="1284" t="s">
        <v>1480</v>
      </c>
      <c r="F26" s="1284">
        <v>10</v>
      </c>
      <c r="G26" s="1284">
        <f>F26*12</f>
        <v>120</v>
      </c>
      <c r="H26" s="1285" t="s">
        <v>970</v>
      </c>
      <c r="I26" s="1288">
        <v>49050000</v>
      </c>
      <c r="J26" s="1287" t="s">
        <v>1504</v>
      </c>
    </row>
    <row r="27" spans="3:10" ht="15.95" customHeight="1">
      <c r="C27" s="1282"/>
      <c r="D27" s="1283"/>
      <c r="E27" s="1284" t="s">
        <v>1482</v>
      </c>
      <c r="F27" s="1284">
        <v>10</v>
      </c>
      <c r="G27" s="1284">
        <f t="shared" ref="G27:G29" si="0">F27*12</f>
        <v>120</v>
      </c>
      <c r="H27" s="1285"/>
      <c r="I27" s="1289"/>
      <c r="J27" s="1287"/>
    </row>
    <row r="28" spans="3:10" ht="15.95" customHeight="1">
      <c r="C28" s="1282"/>
      <c r="D28" s="1283"/>
      <c r="E28" s="1284" t="s">
        <v>1484</v>
      </c>
      <c r="F28" s="1284">
        <v>10</v>
      </c>
      <c r="G28" s="1284">
        <f t="shared" si="0"/>
        <v>120</v>
      </c>
      <c r="H28" s="1285"/>
      <c r="I28" s="1289"/>
      <c r="J28" s="1287"/>
    </row>
    <row r="29" spans="3:10" ht="15.95" customHeight="1">
      <c r="C29" s="1282"/>
      <c r="D29" s="1283"/>
      <c r="E29" s="1284" t="s">
        <v>1489</v>
      </c>
      <c r="F29" s="1284">
        <v>10</v>
      </c>
      <c r="G29" s="1284">
        <f t="shared" si="0"/>
        <v>120</v>
      </c>
      <c r="H29" s="1285"/>
      <c r="I29" s="1289"/>
      <c r="J29" s="1287"/>
    </row>
    <row r="30" spans="3:10" ht="15.95" customHeight="1">
      <c r="C30" s="1282"/>
      <c r="D30" s="1283"/>
      <c r="E30" s="1284" t="s">
        <v>1486</v>
      </c>
      <c r="F30" s="1284">
        <v>5</v>
      </c>
      <c r="G30" s="1284">
        <f>F30*12</f>
        <v>60</v>
      </c>
      <c r="H30" s="1285"/>
      <c r="I30" s="1289"/>
      <c r="J30" s="1287"/>
    </row>
    <row r="31" spans="3:10" ht="15.95" customHeight="1">
      <c r="C31" s="1282"/>
      <c r="D31" s="1283"/>
      <c r="E31" s="1284" t="s">
        <v>1490</v>
      </c>
      <c r="F31" s="1284">
        <v>5</v>
      </c>
      <c r="G31" s="1284">
        <f>F31*24</f>
        <v>120</v>
      </c>
      <c r="H31" s="1285"/>
      <c r="I31" s="1289"/>
      <c r="J31" s="1287"/>
    </row>
    <row r="32" spans="3:10" ht="15.95" customHeight="1">
      <c r="C32" s="1282"/>
      <c r="D32" s="1283"/>
      <c r="E32" s="1284" t="s">
        <v>1492</v>
      </c>
      <c r="F32" s="1284">
        <v>5</v>
      </c>
      <c r="G32" s="1284">
        <f>F32*12</f>
        <v>60</v>
      </c>
      <c r="H32" s="1316"/>
      <c r="I32" s="1317"/>
      <c r="J32" s="1287"/>
    </row>
    <row r="33" spans="3:13" ht="15.95" customHeight="1">
      <c r="C33" s="1291"/>
      <c r="D33" s="1292"/>
      <c r="E33" s="1293" t="s">
        <v>1518</v>
      </c>
      <c r="F33" s="1293"/>
      <c r="G33" s="1293"/>
      <c r="H33" s="1318"/>
      <c r="I33" s="1319"/>
      <c r="J33" s="1296"/>
    </row>
    <row r="34" spans="3:13" s="872" customFormat="1" ht="15.95" customHeight="1">
      <c r="C34" s="1297"/>
      <c r="D34" s="1913" t="s">
        <v>1519</v>
      </c>
      <c r="E34" s="1913"/>
      <c r="F34" s="1320">
        <f>SUM(F24:F33)</f>
        <v>65</v>
      </c>
      <c r="G34" s="1299">
        <f>SUM(G24:G32)</f>
        <v>960</v>
      </c>
      <c r="H34" s="1321"/>
      <c r="I34" s="1301">
        <f>SUM(I24:I33)</f>
        <v>109050000</v>
      </c>
      <c r="J34" s="1322"/>
      <c r="M34" s="873"/>
    </row>
    <row r="35" spans="3:13" ht="15.95" customHeight="1">
      <c r="C35" s="1303" t="s">
        <v>269</v>
      </c>
      <c r="D35" s="1304" t="s">
        <v>1520</v>
      </c>
      <c r="E35" s="1305" t="s">
        <v>1487</v>
      </c>
      <c r="F35" s="1305">
        <v>20</v>
      </c>
      <c r="G35" s="1305">
        <f>F35*12</f>
        <v>240</v>
      </c>
      <c r="H35" s="1306" t="s">
        <v>1515</v>
      </c>
      <c r="I35" s="1307">
        <v>10000000</v>
      </c>
      <c r="J35" s="1308" t="s">
        <v>1517</v>
      </c>
    </row>
    <row r="36" spans="3:13" ht="15.95" customHeight="1">
      <c r="C36" s="1309"/>
      <c r="D36" s="1283"/>
      <c r="E36" s="1284"/>
      <c r="F36" s="1284"/>
      <c r="G36" s="1284"/>
      <c r="H36" s="1285" t="s">
        <v>969</v>
      </c>
      <c r="I36" s="1288">
        <v>14000000</v>
      </c>
      <c r="J36" s="1287" t="s">
        <v>651</v>
      </c>
    </row>
    <row r="37" spans="3:13" ht="15.95" customHeight="1">
      <c r="C37" s="1291"/>
      <c r="D37" s="1292"/>
      <c r="E37" s="1293"/>
      <c r="F37" s="1293"/>
      <c r="G37" s="1293"/>
      <c r="H37" s="1294" t="s">
        <v>970</v>
      </c>
      <c r="I37" s="1323">
        <v>9000000</v>
      </c>
      <c r="J37" s="1296" t="s">
        <v>1504</v>
      </c>
    </row>
    <row r="38" spans="3:13" s="872" customFormat="1" ht="15.95" customHeight="1">
      <c r="C38" s="1297"/>
      <c r="D38" s="1913" t="s">
        <v>1521</v>
      </c>
      <c r="E38" s="1913"/>
      <c r="F38" s="1320">
        <v>20</v>
      </c>
      <c r="G38" s="1299">
        <f>G35</f>
        <v>240</v>
      </c>
      <c r="H38" s="1321"/>
      <c r="I38" s="1301">
        <f>SUM(I35:I37)</f>
        <v>33000000</v>
      </c>
      <c r="J38" s="1322"/>
    </row>
    <row r="39" spans="3:13" ht="15.95" customHeight="1">
      <c r="C39" s="1324" t="s">
        <v>342</v>
      </c>
      <c r="D39" s="1325" t="s">
        <v>1522</v>
      </c>
      <c r="E39" s="1326" t="s">
        <v>1480</v>
      </c>
      <c r="F39" s="1326">
        <v>20</v>
      </c>
      <c r="G39" s="1326">
        <f>F39*12</f>
        <v>240</v>
      </c>
      <c r="H39" s="1327" t="s">
        <v>969</v>
      </c>
      <c r="I39" s="1328">
        <v>41600000</v>
      </c>
      <c r="J39" s="1308" t="s">
        <v>1504</v>
      </c>
    </row>
    <row r="40" spans="3:13" ht="15.95" customHeight="1">
      <c r="C40" s="1329"/>
      <c r="D40" s="1330"/>
      <c r="E40" s="1311" t="s">
        <v>1482</v>
      </c>
      <c r="F40" s="1311">
        <v>20</v>
      </c>
      <c r="G40" s="1311">
        <f>F40*12</f>
        <v>240</v>
      </c>
      <c r="H40" s="1317" t="s">
        <v>970</v>
      </c>
      <c r="I40" s="1331">
        <f>141700000-I39</f>
        <v>100100000</v>
      </c>
      <c r="J40" s="1287" t="s">
        <v>1504</v>
      </c>
    </row>
    <row r="41" spans="3:13" ht="15.95" customHeight="1">
      <c r="C41" s="1329"/>
      <c r="D41" s="1330"/>
      <c r="E41" s="1311" t="s">
        <v>1484</v>
      </c>
      <c r="F41" s="1311">
        <v>10</v>
      </c>
      <c r="G41" s="1311">
        <f>F41*12</f>
        <v>120</v>
      </c>
      <c r="H41" s="1317"/>
      <c r="I41" s="1285"/>
      <c r="J41" s="1287"/>
    </row>
    <row r="42" spans="3:13" ht="15.95" customHeight="1">
      <c r="C42" s="1329"/>
      <c r="D42" s="1330"/>
      <c r="E42" s="1311" t="s">
        <v>1486</v>
      </c>
      <c r="F42" s="1311">
        <v>10</v>
      </c>
      <c r="G42" s="1311">
        <f>F42*12</f>
        <v>120</v>
      </c>
      <c r="H42" s="1317"/>
      <c r="I42" s="1285"/>
      <c r="J42" s="1287"/>
    </row>
    <row r="43" spans="3:13" ht="15.95" customHeight="1">
      <c r="C43" s="1329"/>
      <c r="D43" s="1330"/>
      <c r="E43" s="1311" t="s">
        <v>1489</v>
      </c>
      <c r="F43" s="1311">
        <v>30</v>
      </c>
      <c r="G43" s="1311">
        <f>F43*12</f>
        <v>360</v>
      </c>
      <c r="H43" s="1317"/>
      <c r="I43" s="1285"/>
      <c r="J43" s="1287"/>
    </row>
    <row r="44" spans="3:13" ht="15.95" customHeight="1">
      <c r="C44" s="1329"/>
      <c r="D44" s="1330"/>
      <c r="E44" s="1311" t="s">
        <v>1490</v>
      </c>
      <c r="F44" s="1311">
        <v>10</v>
      </c>
      <c r="G44" s="1311">
        <f>F44*24</f>
        <v>240</v>
      </c>
      <c r="H44" s="1317"/>
      <c r="I44" s="1285"/>
      <c r="J44" s="1287"/>
    </row>
    <row r="45" spans="3:13" ht="15.95" customHeight="1">
      <c r="C45" s="1329"/>
      <c r="D45" s="1330"/>
      <c r="E45" s="1311" t="s">
        <v>1492</v>
      </c>
      <c r="F45" s="1311">
        <v>10</v>
      </c>
      <c r="G45" s="1311">
        <f>F45*12</f>
        <v>120</v>
      </c>
      <c r="H45" s="1317"/>
      <c r="I45" s="1285"/>
      <c r="J45" s="1287"/>
    </row>
    <row r="46" spans="3:13" s="872" customFormat="1" ht="15.95" customHeight="1">
      <c r="C46" s="1332"/>
      <c r="D46" s="1333"/>
      <c r="E46" s="1334" t="s">
        <v>1487</v>
      </c>
      <c r="F46" s="1334">
        <v>30</v>
      </c>
      <c r="G46" s="1334">
        <f>F46*12</f>
        <v>360</v>
      </c>
      <c r="H46" s="1319"/>
      <c r="I46" s="1294"/>
      <c r="J46" s="1296"/>
    </row>
    <row r="47" spans="3:13" ht="15.95" customHeight="1">
      <c r="C47" s="1904" t="s">
        <v>1523</v>
      </c>
      <c r="D47" s="1905"/>
      <c r="E47" s="1905"/>
      <c r="F47" s="1335">
        <f>SUM(F39:F46)</f>
        <v>140</v>
      </c>
      <c r="G47" s="1336">
        <f>SUM(G39:G46)</f>
        <v>1800</v>
      </c>
      <c r="H47" s="1337"/>
      <c r="I47" s="1338">
        <f>SUM(I39:I40)</f>
        <v>141700000</v>
      </c>
      <c r="J47" s="1322"/>
    </row>
    <row r="48" spans="3:13" ht="15.95" customHeight="1">
      <c r="C48" s="1339" t="s">
        <v>400</v>
      </c>
      <c r="D48" s="1340" t="s">
        <v>1524</v>
      </c>
      <c r="E48" s="1341" t="s">
        <v>1491</v>
      </c>
      <c r="F48" s="1341"/>
      <c r="G48" s="1342">
        <v>49</v>
      </c>
      <c r="H48" s="1343"/>
      <c r="I48" s="1344">
        <f>G48*135000</f>
        <v>6615000</v>
      </c>
      <c r="J48" s="1345" t="s">
        <v>1504</v>
      </c>
    </row>
    <row r="49" spans="3:10" ht="15.95" customHeight="1">
      <c r="C49" s="1904" t="s">
        <v>1525</v>
      </c>
      <c r="D49" s="1905"/>
      <c r="E49" s="1905"/>
      <c r="F49" s="1346"/>
      <c r="G49" s="1336">
        <f>SUM(G48:G48)</f>
        <v>49</v>
      </c>
      <c r="H49" s="1337"/>
      <c r="I49" s="1338">
        <f>I48</f>
        <v>6615000</v>
      </c>
      <c r="J49" s="1322"/>
    </row>
    <row r="50" spans="3:10" ht="15.95" customHeight="1">
      <c r="C50" s="1324" t="s">
        <v>472</v>
      </c>
      <c r="D50" s="1325" t="s">
        <v>1526</v>
      </c>
      <c r="E50" s="1326" t="s">
        <v>1480</v>
      </c>
      <c r="F50" s="1326">
        <v>20</v>
      </c>
      <c r="G50" s="1326">
        <f>F50*12</f>
        <v>240</v>
      </c>
      <c r="H50" s="1327" t="s">
        <v>1515</v>
      </c>
      <c r="I50" s="1328">
        <v>50000000</v>
      </c>
      <c r="J50" s="1308" t="s">
        <v>1517</v>
      </c>
    </row>
    <row r="51" spans="3:10" ht="15.95" customHeight="1">
      <c r="C51" s="1310"/>
      <c r="D51" s="1330"/>
      <c r="E51" s="1311" t="s">
        <v>1482</v>
      </c>
      <c r="F51" s="1311">
        <v>20</v>
      </c>
      <c r="G51" s="1311">
        <f t="shared" ref="G51:G54" si="1">F51*12</f>
        <v>240</v>
      </c>
      <c r="H51" s="1317" t="s">
        <v>969</v>
      </c>
      <c r="I51" s="1347">
        <v>84000000</v>
      </c>
      <c r="J51" s="1287" t="s">
        <v>1517</v>
      </c>
    </row>
    <row r="52" spans="3:10" ht="15.95" customHeight="1">
      <c r="C52" s="1310"/>
      <c r="D52" s="1330"/>
      <c r="E52" s="1311" t="s">
        <v>1484</v>
      </c>
      <c r="F52" s="1311">
        <v>10</v>
      </c>
      <c r="G52" s="1311">
        <f t="shared" si="1"/>
        <v>120</v>
      </c>
      <c r="H52" s="1317" t="s">
        <v>970</v>
      </c>
      <c r="I52" s="1331">
        <v>102450000</v>
      </c>
      <c r="J52" s="1287" t="s">
        <v>1504</v>
      </c>
    </row>
    <row r="53" spans="3:10" ht="15.95" customHeight="1">
      <c r="C53" s="1310"/>
      <c r="D53" s="1330"/>
      <c r="E53" s="1311" t="s">
        <v>1489</v>
      </c>
      <c r="F53" s="1311">
        <v>10</v>
      </c>
      <c r="G53" s="1311">
        <f t="shared" si="1"/>
        <v>120</v>
      </c>
      <c r="H53" s="1317"/>
      <c r="I53" s="1348"/>
      <c r="J53" s="1287"/>
    </row>
    <row r="54" spans="3:10" ht="15.95" customHeight="1">
      <c r="C54" s="1310"/>
      <c r="D54" s="1330"/>
      <c r="E54" s="1316" t="s">
        <v>1486</v>
      </c>
      <c r="F54" s="1311">
        <v>10</v>
      </c>
      <c r="G54" s="1311">
        <f t="shared" si="1"/>
        <v>120</v>
      </c>
      <c r="H54" s="1317"/>
      <c r="I54" s="1348"/>
      <c r="J54" s="1287"/>
    </row>
    <row r="55" spans="3:10" ht="15.95" customHeight="1">
      <c r="C55" s="1310"/>
      <c r="D55" s="1330"/>
      <c r="E55" s="1311" t="s">
        <v>1490</v>
      </c>
      <c r="F55" s="1311">
        <v>6</v>
      </c>
      <c r="G55" s="1311">
        <f>F55*24</f>
        <v>144</v>
      </c>
      <c r="H55" s="1317"/>
      <c r="I55" s="1348"/>
      <c r="J55" s="1287"/>
    </row>
    <row r="56" spans="3:10" ht="15.95" customHeight="1">
      <c r="C56" s="1310"/>
      <c r="D56" s="1330"/>
      <c r="E56" s="1311" t="s">
        <v>1487</v>
      </c>
      <c r="F56" s="1311">
        <v>12</v>
      </c>
      <c r="G56" s="1311">
        <f>F56*12</f>
        <v>144</v>
      </c>
      <c r="H56" s="1317"/>
      <c r="I56" s="1348"/>
      <c r="J56" s="1287"/>
    </row>
    <row r="57" spans="3:10" ht="15.95" customHeight="1">
      <c r="C57" s="1310"/>
      <c r="D57" s="1330"/>
      <c r="E57" s="1316" t="s">
        <v>1492</v>
      </c>
      <c r="F57" s="1311">
        <v>10</v>
      </c>
      <c r="G57" s="1311">
        <f>F57*12</f>
        <v>120</v>
      </c>
      <c r="H57" s="1317"/>
      <c r="I57" s="1348"/>
      <c r="J57" s="1287"/>
    </row>
    <row r="58" spans="3:10" ht="15.95" customHeight="1">
      <c r="C58" s="1310"/>
      <c r="D58" s="1330"/>
      <c r="E58" s="1311" t="s">
        <v>1479</v>
      </c>
      <c r="F58" s="1311">
        <v>10</v>
      </c>
      <c r="G58" s="1311">
        <f>F58*24</f>
        <v>240</v>
      </c>
      <c r="H58" s="1317"/>
      <c r="I58" s="1348"/>
      <c r="J58" s="1287"/>
    </row>
    <row r="59" spans="3:10" ht="15.95" customHeight="1">
      <c r="C59" s="1349"/>
      <c r="D59" s="1333"/>
      <c r="E59" s="1334" t="s">
        <v>1481</v>
      </c>
      <c r="F59" s="1334">
        <v>5</v>
      </c>
      <c r="G59" s="1334">
        <f>F59*24</f>
        <v>120</v>
      </c>
      <c r="H59" s="1319"/>
      <c r="I59" s="1350"/>
      <c r="J59" s="1296"/>
    </row>
    <row r="60" spans="3:10" ht="15.95" customHeight="1">
      <c r="C60" s="1904" t="s">
        <v>1527</v>
      </c>
      <c r="D60" s="1905"/>
      <c r="E60" s="1905"/>
      <c r="F60" s="1335">
        <f>SUM(F50:F59)</f>
        <v>113</v>
      </c>
      <c r="G60" s="1336">
        <f>SUM(G50:G59)</f>
        <v>1608</v>
      </c>
      <c r="H60" s="1337"/>
      <c r="I60" s="1338">
        <f>SUM(I50:I52)</f>
        <v>236450000</v>
      </c>
      <c r="J60" s="1322"/>
    </row>
    <row r="61" spans="3:10" ht="15.95" customHeight="1">
      <c r="C61" s="1351" t="s">
        <v>560</v>
      </c>
      <c r="D61" s="1352" t="s">
        <v>1528</v>
      </c>
      <c r="E61" s="1353" t="s">
        <v>1480</v>
      </c>
      <c r="F61" s="1326">
        <v>20</v>
      </c>
      <c r="G61" s="1353">
        <v>240</v>
      </c>
      <c r="H61" s="1327"/>
      <c r="I61" s="1354">
        <v>33000000</v>
      </c>
      <c r="J61" s="1308" t="s">
        <v>1825</v>
      </c>
    </row>
    <row r="62" spans="3:10" ht="15.95" customHeight="1">
      <c r="C62" s="1310"/>
      <c r="D62" s="1311"/>
      <c r="E62" s="1355" t="s">
        <v>1482</v>
      </c>
      <c r="F62" s="1311">
        <v>20</v>
      </c>
      <c r="G62" s="1355">
        <v>240</v>
      </c>
      <c r="H62" s="1317"/>
      <c r="I62" s="1356">
        <v>33000000</v>
      </c>
      <c r="J62" s="1287" t="s">
        <v>1826</v>
      </c>
    </row>
    <row r="63" spans="3:10" ht="15.95" customHeight="1">
      <c r="C63" s="1310"/>
      <c r="D63" s="1311"/>
      <c r="E63" s="1355" t="s">
        <v>1484</v>
      </c>
      <c r="F63" s="1311">
        <v>20</v>
      </c>
      <c r="G63" s="1355">
        <v>240</v>
      </c>
      <c r="H63" s="1317"/>
      <c r="I63" s="1356">
        <v>33000000</v>
      </c>
      <c r="J63" s="1287"/>
    </row>
    <row r="64" spans="3:10" ht="15.95" customHeight="1">
      <c r="C64" s="1310"/>
      <c r="D64" s="1311"/>
      <c r="E64" s="1355" t="s">
        <v>1489</v>
      </c>
      <c r="F64" s="1311">
        <v>20</v>
      </c>
      <c r="G64" s="1355">
        <v>240</v>
      </c>
      <c r="H64" s="1317"/>
      <c r="I64" s="1356">
        <v>33000000</v>
      </c>
      <c r="J64" s="1287"/>
    </row>
    <row r="65" spans="3:14" ht="15.95" customHeight="1">
      <c r="C65" s="1310"/>
      <c r="D65" s="1311"/>
      <c r="E65" s="1355" t="s">
        <v>1487</v>
      </c>
      <c r="F65" s="1311">
        <v>30</v>
      </c>
      <c r="G65" s="1355">
        <v>360</v>
      </c>
      <c r="H65" s="1317"/>
      <c r="I65" s="1356">
        <v>49500000</v>
      </c>
      <c r="J65" s="1287"/>
    </row>
    <row r="66" spans="3:14" ht="15.95" customHeight="1">
      <c r="C66" s="1349"/>
      <c r="D66" s="1334"/>
      <c r="E66" s="1318" t="s">
        <v>1492</v>
      </c>
      <c r="F66" s="1334">
        <v>10</v>
      </c>
      <c r="G66" s="1357">
        <v>120</v>
      </c>
      <c r="H66" s="1319"/>
      <c r="I66" s="1358">
        <v>16500000</v>
      </c>
      <c r="J66" s="1296"/>
    </row>
    <row r="67" spans="3:14" ht="15.95" customHeight="1">
      <c r="C67" s="1904" t="s">
        <v>1715</v>
      </c>
      <c r="D67" s="1905"/>
      <c r="E67" s="1905"/>
      <c r="F67" s="1335">
        <f>SUM(F61:F66)</f>
        <v>120</v>
      </c>
      <c r="G67" s="1336">
        <f>SUM(G61:G66)</f>
        <v>1440</v>
      </c>
      <c r="H67" s="1337"/>
      <c r="I67" s="1359">
        <v>198000000</v>
      </c>
      <c r="J67" s="1322"/>
    </row>
    <row r="68" spans="3:14" ht="15.95" customHeight="1">
      <c r="C68" s="1351" t="s">
        <v>1605</v>
      </c>
      <c r="D68" s="1352" t="s">
        <v>1714</v>
      </c>
      <c r="E68" s="1326" t="s">
        <v>60</v>
      </c>
      <c r="F68" s="1326">
        <v>30</v>
      </c>
      <c r="G68" s="1353">
        <v>360</v>
      </c>
      <c r="H68" s="1327"/>
      <c r="I68" s="1354">
        <f>'[2]Nhập hàng'!$G$8</f>
        <v>49500000</v>
      </c>
      <c r="J68" s="1308"/>
    </row>
    <row r="69" spans="3:14" ht="15.95" customHeight="1">
      <c r="C69" s="1351"/>
      <c r="D69" s="1311"/>
      <c r="E69" s="1311" t="s">
        <v>45</v>
      </c>
      <c r="F69" s="1311">
        <v>30</v>
      </c>
      <c r="G69" s="1355">
        <v>360</v>
      </c>
      <c r="H69" s="1317"/>
      <c r="I69" s="1356">
        <f>'[2]Nhập hàng'!$G$9</f>
        <v>49500000</v>
      </c>
      <c r="J69" s="1287"/>
    </row>
    <row r="70" spans="3:14" ht="15.95" customHeight="1">
      <c r="C70" s="1351"/>
      <c r="D70" s="1311"/>
      <c r="E70" s="1311" t="s">
        <v>73</v>
      </c>
      <c r="F70" s="1311">
        <v>11</v>
      </c>
      <c r="G70" s="1355">
        <v>132</v>
      </c>
      <c r="H70" s="1317"/>
      <c r="I70" s="1356">
        <f>'[2]Nhập hàng'!$G$10</f>
        <v>18150000</v>
      </c>
      <c r="J70" s="1287"/>
    </row>
    <row r="71" spans="3:14" ht="15.95" customHeight="1">
      <c r="C71" s="1351"/>
      <c r="D71" s="1311"/>
      <c r="E71" s="1311" t="s">
        <v>46</v>
      </c>
      <c r="F71" s="1311">
        <v>10</v>
      </c>
      <c r="G71" s="1355">
        <v>120</v>
      </c>
      <c r="H71" s="1317"/>
      <c r="I71" s="1356">
        <f>'[2]Nhập hàng'!$G$11</f>
        <v>16500000</v>
      </c>
      <c r="J71" s="1287"/>
    </row>
    <row r="72" spans="3:14" ht="15.95" customHeight="1">
      <c r="C72" s="1351"/>
      <c r="D72" s="1334"/>
      <c r="E72" s="1334" t="s">
        <v>34</v>
      </c>
      <c r="F72" s="1360">
        <v>20</v>
      </c>
      <c r="G72" s="1361">
        <v>240</v>
      </c>
      <c r="H72" s="1362"/>
      <c r="I72" s="1363">
        <f>'[2]Nhập hàng'!$G$12</f>
        <v>33000000</v>
      </c>
      <c r="J72" s="1364"/>
    </row>
    <row r="73" spans="3:14" ht="15.95" customHeight="1">
      <c r="C73" s="1904" t="s">
        <v>1759</v>
      </c>
      <c r="D73" s="1905"/>
      <c r="E73" s="1905"/>
      <c r="F73" s="1265">
        <f>SUM(F68:F72)</f>
        <v>101</v>
      </c>
      <c r="G73" s="1336">
        <f>SUM(G68:G72)</f>
        <v>1212</v>
      </c>
      <c r="H73" s="1337"/>
      <c r="I73" s="1359">
        <f>SUM(I68:I72)</f>
        <v>166650000</v>
      </c>
      <c r="J73" s="1322" t="s">
        <v>1824</v>
      </c>
    </row>
    <row r="74" spans="3:14" ht="15.95" customHeight="1">
      <c r="C74" s="1540">
        <v>44138</v>
      </c>
      <c r="D74" s="1352" t="s">
        <v>1757</v>
      </c>
      <c r="E74" s="1542" t="s">
        <v>36</v>
      </c>
      <c r="F74" s="1542" t="s">
        <v>1760</v>
      </c>
      <c r="G74" s="1541">
        <v>70</v>
      </c>
      <c r="H74" s="1537"/>
      <c r="I74" s="1933">
        <v>9450000</v>
      </c>
      <c r="J74" s="1539"/>
    </row>
    <row r="75" spans="3:14" ht="15.95" customHeight="1">
      <c r="C75" s="1908" t="s">
        <v>1758</v>
      </c>
      <c r="D75" s="1909"/>
      <c r="E75" s="1909"/>
      <c r="F75" s="1535"/>
      <c r="G75" s="1536">
        <f>SUM(G74)</f>
        <v>70</v>
      </c>
      <c r="H75" s="1537"/>
      <c r="I75" s="1538">
        <f>I74</f>
        <v>9450000</v>
      </c>
      <c r="J75" s="1539" t="s">
        <v>1824</v>
      </c>
    </row>
    <row r="76" spans="3:14" ht="15.95" customHeight="1" thickBot="1">
      <c r="C76" s="1906" t="s">
        <v>105</v>
      </c>
      <c r="D76" s="1907"/>
      <c r="E76" s="1907"/>
      <c r="F76" s="1365"/>
      <c r="G76" s="1365">
        <f>SUM(G18+G23+G34+G38+G47+G49+G60+G67+G73+G75)</f>
        <v>9408</v>
      </c>
      <c r="H76" s="1365"/>
      <c r="I76" s="1504">
        <f t="shared" ref="I76" si="2">SUM(I18+I23+I34+I38+I47+I49+I60+I67+I73+I75)</f>
        <v>1149915000</v>
      </c>
      <c r="J76" s="1366"/>
    </row>
    <row r="77" spans="3:14" ht="15.75" thickTop="1"/>
    <row r="78" spans="3:14" ht="19.5">
      <c r="C78" s="1902" t="s">
        <v>1529</v>
      </c>
      <c r="D78" s="1902"/>
      <c r="E78" s="1902"/>
      <c r="F78" s="1902"/>
      <c r="G78" s="1902"/>
      <c r="H78" s="1902" t="s">
        <v>645</v>
      </c>
      <c r="I78" s="1902"/>
      <c r="J78" s="1902"/>
      <c r="K78" s="874"/>
      <c r="L78" s="874"/>
      <c r="N78" s="874"/>
    </row>
    <row r="79" spans="3:14" ht="18.75">
      <c r="C79" s="1903" t="s">
        <v>1530</v>
      </c>
      <c r="D79" s="1903"/>
      <c r="E79" s="1903"/>
      <c r="F79" s="1903"/>
      <c r="G79" s="1903"/>
      <c r="H79" s="1903" t="s">
        <v>1531</v>
      </c>
      <c r="I79" s="1903"/>
      <c r="J79" s="1903"/>
      <c r="K79" s="874"/>
      <c r="L79" s="874"/>
      <c r="N79" s="874"/>
    </row>
  </sheetData>
  <mergeCells count="18">
    <mergeCell ref="C67:E67"/>
    <mergeCell ref="C60:E60"/>
    <mergeCell ref="G3:H3"/>
    <mergeCell ref="C4:J4"/>
    <mergeCell ref="C5:J5"/>
    <mergeCell ref="D18:E18"/>
    <mergeCell ref="D23:E23"/>
    <mergeCell ref="D34:E34"/>
    <mergeCell ref="D38:E38"/>
    <mergeCell ref="C47:E47"/>
    <mergeCell ref="C49:E49"/>
    <mergeCell ref="H78:J78"/>
    <mergeCell ref="H79:J79"/>
    <mergeCell ref="C78:G78"/>
    <mergeCell ref="C79:G79"/>
    <mergeCell ref="C73:E73"/>
    <mergeCell ref="C76:E76"/>
    <mergeCell ref="C75:E75"/>
  </mergeCells>
  <pageMargins left="0.7" right="1.88" top="0.75" bottom="0.75" header="0.3" footer="0.3"/>
  <pageSetup paperSize="9" scale="76" orientation="landscape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25"/>
  <sheetViews>
    <sheetView topLeftCell="A7" zoomScaleNormal="100" workbookViewId="0">
      <selection activeCell="H21" sqref="H21"/>
    </sheetView>
  </sheetViews>
  <sheetFormatPr defaultRowHeight="15"/>
  <cols>
    <col min="2" max="2" width="19.140625" customWidth="1"/>
    <col min="6" max="6" width="11.42578125" customWidth="1"/>
    <col min="7" max="7" width="14.5703125" customWidth="1"/>
  </cols>
  <sheetData>
    <row r="1" spans="1:9" ht="16.5">
      <c r="A1" s="635" t="s">
        <v>0</v>
      </c>
      <c r="B1" s="635"/>
      <c r="C1" s="635"/>
      <c r="D1" s="645"/>
      <c r="E1" s="634"/>
      <c r="F1" s="1915"/>
      <c r="G1" s="1915"/>
      <c r="H1" s="1915"/>
      <c r="I1" s="1915"/>
    </row>
    <row r="2" spans="1:9" ht="15.75">
      <c r="A2" s="639" t="s">
        <v>2</v>
      </c>
      <c r="B2" s="639"/>
      <c r="C2" s="639"/>
      <c r="D2" s="646"/>
      <c r="E2" s="634"/>
      <c r="F2" s="1651"/>
      <c r="G2" s="1651"/>
      <c r="H2" s="1651"/>
      <c r="I2" s="1651"/>
    </row>
    <row r="3" spans="1:9">
      <c r="A3" s="846"/>
      <c r="B3" s="846"/>
      <c r="C3" s="846"/>
      <c r="D3" s="846"/>
      <c r="E3" s="846"/>
      <c r="F3" s="846"/>
      <c r="G3" s="846"/>
      <c r="H3" s="846"/>
      <c r="I3" s="846"/>
    </row>
    <row r="4" spans="1:9">
      <c r="A4" s="846"/>
      <c r="B4" s="846"/>
      <c r="C4" s="846"/>
      <c r="D4" s="846"/>
      <c r="E4" s="846"/>
      <c r="F4" s="1919"/>
      <c r="G4" s="1919"/>
      <c r="H4" s="1919"/>
      <c r="I4" s="1919"/>
    </row>
    <row r="5" spans="1:9" ht="15.75">
      <c r="A5" s="1916" t="s">
        <v>1700</v>
      </c>
      <c r="B5" s="1916"/>
      <c r="C5" s="1916"/>
      <c r="D5" s="1916"/>
      <c r="E5" s="1916"/>
      <c r="F5" s="1916"/>
      <c r="G5" s="1916"/>
      <c r="H5" s="704"/>
      <c r="I5" s="704"/>
    </row>
    <row r="6" spans="1:9">
      <c r="A6" s="1917" t="s">
        <v>1761</v>
      </c>
      <c r="B6" s="1917"/>
      <c r="C6" s="1917"/>
      <c r="D6" s="1917"/>
      <c r="E6" s="1917"/>
      <c r="F6" s="1917"/>
      <c r="G6" s="1917"/>
    </row>
    <row r="8" spans="1:9" ht="30">
      <c r="A8" s="864" t="s">
        <v>6</v>
      </c>
      <c r="B8" s="864" t="s">
        <v>1474</v>
      </c>
      <c r="C8" s="864" t="s">
        <v>1475</v>
      </c>
      <c r="D8" s="864" t="s">
        <v>1476</v>
      </c>
      <c r="E8" s="864" t="s">
        <v>1477</v>
      </c>
      <c r="F8" s="864" t="s">
        <v>1478</v>
      </c>
      <c r="G8" s="865" t="s">
        <v>13</v>
      </c>
    </row>
    <row r="9" spans="1:9">
      <c r="A9" s="859">
        <v>1</v>
      </c>
      <c r="B9" s="860" t="s">
        <v>1479</v>
      </c>
      <c r="C9" s="861" t="s">
        <v>253</v>
      </c>
      <c r="D9" s="862">
        <f>360</f>
        <v>360</v>
      </c>
      <c r="E9" s="862">
        <f>[1]Xuất!$S$9</f>
        <v>391</v>
      </c>
      <c r="F9" s="863">
        <f t="shared" ref="F9:F22" si="0">D9-E9</f>
        <v>-31</v>
      </c>
      <c r="G9" s="866"/>
    </row>
    <row r="10" spans="1:9">
      <c r="A10" s="849">
        <v>2</v>
      </c>
      <c r="B10" s="850" t="s">
        <v>1480</v>
      </c>
      <c r="C10" s="851" t="s">
        <v>60</v>
      </c>
      <c r="D10" s="847">
        <f>840+360</f>
        <v>1200</v>
      </c>
      <c r="E10" s="847">
        <f>[1]Xuất!$S$10</f>
        <v>1193</v>
      </c>
      <c r="F10" s="863">
        <f t="shared" si="0"/>
        <v>7</v>
      </c>
      <c r="G10" s="866"/>
    </row>
    <row r="11" spans="1:9">
      <c r="A11" s="849">
        <v>3</v>
      </c>
      <c r="B11" s="850" t="s">
        <v>1481</v>
      </c>
      <c r="C11" s="851" t="s">
        <v>42</v>
      </c>
      <c r="D11" s="848">
        <f>336</f>
        <v>336</v>
      </c>
      <c r="E11" s="848">
        <f>[1]Xuất!$S$11</f>
        <v>263</v>
      </c>
      <c r="F11" s="863">
        <f t="shared" si="0"/>
        <v>73</v>
      </c>
      <c r="G11" s="866"/>
    </row>
    <row r="12" spans="1:9">
      <c r="A12" s="849">
        <v>4</v>
      </c>
      <c r="B12" s="850" t="s">
        <v>1482</v>
      </c>
      <c r="C12" s="852" t="s">
        <v>30</v>
      </c>
      <c r="D12" s="847">
        <f>1080</f>
        <v>1080</v>
      </c>
      <c r="E12" s="847">
        <f>[1]Xuất!$S$12</f>
        <v>1113</v>
      </c>
      <c r="F12" s="863">
        <f t="shared" si="0"/>
        <v>-33</v>
      </c>
      <c r="G12" s="866"/>
    </row>
    <row r="13" spans="1:9">
      <c r="A13" s="849">
        <v>5</v>
      </c>
      <c r="B13" s="850" t="s">
        <v>1483</v>
      </c>
      <c r="C13" s="852" t="s">
        <v>32</v>
      </c>
      <c r="D13" s="847">
        <v>96</v>
      </c>
      <c r="E13" s="847">
        <f>[1]Xuất!$S$13</f>
        <v>81</v>
      </c>
      <c r="F13" s="863">
        <f t="shared" si="0"/>
        <v>15</v>
      </c>
      <c r="G13" s="866"/>
    </row>
    <row r="14" spans="1:9">
      <c r="A14" s="849">
        <v>6</v>
      </c>
      <c r="B14" s="850" t="s">
        <v>1484</v>
      </c>
      <c r="C14" s="852" t="s">
        <v>50</v>
      </c>
      <c r="D14" s="847">
        <f>780</f>
        <v>780</v>
      </c>
      <c r="E14" s="847">
        <f>[1]Xuất!$S$14</f>
        <v>815</v>
      </c>
      <c r="F14" s="863">
        <f t="shared" si="0"/>
        <v>-35</v>
      </c>
      <c r="G14" s="866"/>
    </row>
    <row r="15" spans="1:9">
      <c r="A15" s="849">
        <v>7</v>
      </c>
      <c r="B15" s="850" t="s">
        <v>1485</v>
      </c>
      <c r="C15" s="852" t="s">
        <v>72</v>
      </c>
      <c r="D15" s="847">
        <v>128</v>
      </c>
      <c r="E15" s="847">
        <f>[1]Xuất!$S$15</f>
        <v>76</v>
      </c>
      <c r="F15" s="863">
        <f t="shared" si="0"/>
        <v>52</v>
      </c>
      <c r="G15" s="866"/>
    </row>
    <row r="16" spans="1:9">
      <c r="A16" s="849">
        <v>8</v>
      </c>
      <c r="B16" s="850" t="s">
        <v>1486</v>
      </c>
      <c r="C16" s="852" t="s">
        <v>73</v>
      </c>
      <c r="D16" s="847">
        <f>300+132</f>
        <v>432</v>
      </c>
      <c r="E16" s="847">
        <f>[1]Xuất!$S$16</f>
        <v>402</v>
      </c>
      <c r="F16" s="863">
        <f t="shared" si="0"/>
        <v>30</v>
      </c>
      <c r="G16" s="866"/>
    </row>
    <row r="17" spans="1:7">
      <c r="A17" s="849">
        <v>9</v>
      </c>
      <c r="B17" s="850" t="s">
        <v>1487</v>
      </c>
      <c r="C17" s="852" t="s">
        <v>34</v>
      </c>
      <c r="D17" s="1214">
        <f>1335+'[2]Nhập hàng'!$E$12</f>
        <v>1575</v>
      </c>
      <c r="E17" s="847">
        <f>[1]Xuất!$S$17</f>
        <v>1185</v>
      </c>
      <c r="F17" s="863">
        <f t="shared" si="0"/>
        <v>390</v>
      </c>
      <c r="G17" s="866"/>
    </row>
    <row r="18" spans="1:7">
      <c r="A18" s="849">
        <v>10</v>
      </c>
      <c r="B18" s="850" t="s">
        <v>1488</v>
      </c>
      <c r="C18" s="852" t="s">
        <v>33</v>
      </c>
      <c r="D18" s="847">
        <v>120</v>
      </c>
      <c r="E18" s="847">
        <f>[1]Xuất!$S$18</f>
        <v>108</v>
      </c>
      <c r="F18" s="863">
        <f t="shared" si="0"/>
        <v>12</v>
      </c>
      <c r="G18" s="866"/>
    </row>
    <row r="19" spans="1:7">
      <c r="A19" s="849">
        <v>11</v>
      </c>
      <c r="B19" s="850" t="s">
        <v>1489</v>
      </c>
      <c r="C19" s="852" t="s">
        <v>45</v>
      </c>
      <c r="D19" s="847">
        <f>1020+360</f>
        <v>1380</v>
      </c>
      <c r="E19" s="847">
        <f>[1]Xuất!$S$19</f>
        <v>1259</v>
      </c>
      <c r="F19" s="863">
        <f t="shared" si="0"/>
        <v>121</v>
      </c>
      <c r="G19" s="866"/>
    </row>
    <row r="20" spans="1:7">
      <c r="A20" s="849">
        <v>12</v>
      </c>
      <c r="B20" s="850" t="s">
        <v>1490</v>
      </c>
      <c r="C20" s="852" t="s">
        <v>74</v>
      </c>
      <c r="D20" s="847">
        <f>624</f>
        <v>624</v>
      </c>
      <c r="E20" s="847">
        <f>[1]Xuất!$S$20</f>
        <v>803</v>
      </c>
      <c r="F20" s="863">
        <f t="shared" si="0"/>
        <v>-179</v>
      </c>
      <c r="G20" s="866"/>
    </row>
    <row r="21" spans="1:7">
      <c r="A21" s="849">
        <v>13</v>
      </c>
      <c r="B21" s="853" t="s">
        <v>1491</v>
      </c>
      <c r="C21" s="852" t="s">
        <v>36</v>
      </c>
      <c r="D21" s="847">
        <f>549+70</f>
        <v>619</v>
      </c>
      <c r="E21" s="847">
        <f>[1]Xuất!$S$21</f>
        <v>584</v>
      </c>
      <c r="F21" s="863">
        <f t="shared" si="0"/>
        <v>35</v>
      </c>
      <c r="G21" s="866"/>
    </row>
    <row r="22" spans="1:7">
      <c r="A22" s="854">
        <v>14</v>
      </c>
      <c r="B22" s="855" t="s">
        <v>1492</v>
      </c>
      <c r="C22" s="856" t="s">
        <v>46</v>
      </c>
      <c r="D22" s="848">
        <f>558+120</f>
        <v>678</v>
      </c>
      <c r="E22" s="848">
        <f>[1]Xuất!$S$22</f>
        <v>656</v>
      </c>
      <c r="F22" s="863">
        <f t="shared" si="0"/>
        <v>22</v>
      </c>
      <c r="G22" s="866"/>
    </row>
    <row r="23" spans="1:7">
      <c r="A23" s="1920" t="s">
        <v>105</v>
      </c>
      <c r="B23" s="1920"/>
      <c r="C23" s="1920"/>
      <c r="D23" s="857">
        <f>SUM(D9:D22)</f>
        <v>9408</v>
      </c>
      <c r="E23" s="857">
        <f>SUM(E9:E22)</f>
        <v>8929</v>
      </c>
      <c r="F23" s="858">
        <f>SUM(F9:F22)</f>
        <v>479</v>
      </c>
      <c r="G23" s="867"/>
    </row>
    <row r="25" spans="1:7">
      <c r="A25" s="1626" t="s">
        <v>1493</v>
      </c>
      <c r="B25" s="1626"/>
      <c r="C25" s="1918" t="s">
        <v>1494</v>
      </c>
      <c r="D25" s="1918"/>
      <c r="E25" s="1918"/>
      <c r="F25" s="1626" t="s">
        <v>630</v>
      </c>
      <c r="G25" s="1626"/>
    </row>
  </sheetData>
  <mergeCells count="9">
    <mergeCell ref="F1:I1"/>
    <mergeCell ref="F2:I2"/>
    <mergeCell ref="A5:G5"/>
    <mergeCell ref="A6:G6"/>
    <mergeCell ref="F25:G25"/>
    <mergeCell ref="C25:E25"/>
    <mergeCell ref="A25:B25"/>
    <mergeCell ref="F4:I4"/>
    <mergeCell ref="A23:C2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75"/>
  <sheetViews>
    <sheetView topLeftCell="F115" zoomScaleNormal="100" workbookViewId="0">
      <selection activeCell="N119" sqref="N119:R119"/>
    </sheetView>
  </sheetViews>
  <sheetFormatPr defaultRowHeight="15"/>
  <cols>
    <col min="1" max="1" width="4.42578125" customWidth="1"/>
    <col min="2" max="2" width="7.140625" customWidth="1"/>
    <col min="4" max="4" width="12" customWidth="1"/>
    <col min="5" max="5" width="12.140625" customWidth="1"/>
    <col min="7" max="7" width="7.7109375" customWidth="1"/>
    <col min="8" max="8" width="5.42578125" customWidth="1"/>
    <col min="9" max="9" width="7.7109375" customWidth="1"/>
    <col min="10" max="10" width="11.28515625" customWidth="1"/>
    <col min="11" max="11" width="6.85546875" customWidth="1"/>
    <col min="12" max="12" width="11.42578125" customWidth="1"/>
    <col min="13" max="13" width="7.42578125" customWidth="1"/>
    <col min="14" max="14" width="11.5703125" customWidth="1"/>
    <col min="15" max="15" width="9.140625" customWidth="1"/>
    <col min="17" max="17" width="9.140625" customWidth="1"/>
  </cols>
  <sheetData>
    <row r="1" spans="1:19" ht="16.5">
      <c r="A1" s="207" t="s">
        <v>0</v>
      </c>
      <c r="B1" s="207"/>
      <c r="C1" s="208"/>
      <c r="D1" s="209"/>
      <c r="E1" s="209"/>
      <c r="F1" s="209"/>
      <c r="G1" s="140"/>
      <c r="H1" s="140"/>
      <c r="I1" s="1650" t="s">
        <v>1</v>
      </c>
      <c r="J1" s="1650"/>
      <c r="K1" s="1650"/>
      <c r="L1" s="1650"/>
      <c r="M1" s="1650"/>
      <c r="N1" s="1650"/>
      <c r="O1" s="1650"/>
      <c r="P1" s="1650"/>
      <c r="Q1" s="1650"/>
      <c r="R1" s="1650"/>
      <c r="S1" s="1650"/>
    </row>
    <row r="2" spans="1:19" ht="15.75">
      <c r="A2" s="210" t="s">
        <v>2</v>
      </c>
      <c r="B2" s="210"/>
      <c r="C2" s="211"/>
      <c r="D2" s="212"/>
      <c r="E2" s="212"/>
      <c r="F2" s="212"/>
      <c r="G2" s="140"/>
      <c r="H2" s="140"/>
      <c r="I2" s="1651" t="s">
        <v>3</v>
      </c>
      <c r="J2" s="1651"/>
      <c r="K2" s="1651"/>
      <c r="L2" s="1651"/>
      <c r="M2" s="1651"/>
      <c r="N2" s="1651"/>
      <c r="O2" s="1651"/>
      <c r="P2" s="1651"/>
      <c r="Q2" s="1651"/>
      <c r="R2" s="1651"/>
      <c r="S2" s="1651"/>
    </row>
    <row r="3" spans="1:19" ht="15.75">
      <c r="A3" s="210" t="s">
        <v>116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213"/>
      <c r="R3" s="213"/>
      <c r="S3" s="140"/>
    </row>
    <row r="4" spans="1:19" ht="16.5">
      <c r="A4" s="207" t="s">
        <v>0</v>
      </c>
      <c r="B4" s="207"/>
      <c r="C4" s="208"/>
      <c r="D4" s="209"/>
      <c r="E4" s="208"/>
      <c r="F4" s="208"/>
      <c r="G4" s="140"/>
      <c r="H4" s="140"/>
      <c r="I4" s="151"/>
      <c r="J4" s="151"/>
      <c r="K4" s="151"/>
      <c r="L4" s="151"/>
      <c r="M4" s="151"/>
      <c r="N4" s="151"/>
      <c r="O4" s="151"/>
      <c r="P4" s="151"/>
      <c r="Q4" s="151"/>
      <c r="R4" s="151"/>
      <c r="S4" s="151"/>
    </row>
    <row r="5" spans="1:19" ht="15.75">
      <c r="A5" s="210" t="s">
        <v>2</v>
      </c>
      <c r="B5" s="210"/>
      <c r="C5" s="211"/>
      <c r="D5" s="212"/>
      <c r="E5" s="211"/>
      <c r="F5" s="211"/>
      <c r="G5" s="140"/>
      <c r="H5" s="140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20.25">
      <c r="A6" s="1661" t="s">
        <v>4</v>
      </c>
      <c r="B6" s="1661"/>
      <c r="C6" s="1661"/>
      <c r="D6" s="1661"/>
      <c r="E6" s="1661"/>
      <c r="F6" s="1661"/>
      <c r="G6" s="1661"/>
      <c r="H6" s="1661"/>
      <c r="I6" s="1661"/>
      <c r="J6" s="1661"/>
      <c r="K6" s="1662"/>
      <c r="L6" s="1661"/>
      <c r="M6" s="1661"/>
      <c r="N6" s="1661"/>
      <c r="O6" s="1661"/>
      <c r="P6" s="1661"/>
      <c r="Q6" s="1661"/>
      <c r="R6" s="1661"/>
      <c r="S6" s="1661"/>
    </row>
    <row r="7" spans="1:19" ht="15.75" thickBot="1">
      <c r="A7" s="1670" t="s">
        <v>117</v>
      </c>
      <c r="B7" s="1670"/>
      <c r="C7" s="1670"/>
      <c r="D7" s="1670"/>
      <c r="E7" s="1670"/>
      <c r="F7" s="1670"/>
      <c r="G7" s="1670"/>
      <c r="H7" s="1670"/>
      <c r="I7" s="1670"/>
      <c r="J7" s="1670"/>
      <c r="K7" s="1671"/>
      <c r="L7" s="1670"/>
      <c r="M7" s="1670"/>
      <c r="N7" s="1670"/>
      <c r="O7" s="1670"/>
      <c r="P7" s="1670"/>
      <c r="Q7" s="1670"/>
      <c r="R7" s="1670"/>
      <c r="S7" s="1670"/>
    </row>
    <row r="8" spans="1:19" ht="15.75" thickTop="1">
      <c r="A8" s="1672" t="s">
        <v>6</v>
      </c>
      <c r="B8" s="1674" t="s">
        <v>118</v>
      </c>
      <c r="C8" s="1674" t="s">
        <v>8</v>
      </c>
      <c r="D8" s="1674" t="s">
        <v>9</v>
      </c>
      <c r="E8" s="1674"/>
      <c r="F8" s="1674"/>
      <c r="G8" s="1676" t="s">
        <v>119</v>
      </c>
      <c r="H8" s="1679"/>
      <c r="I8" s="1679"/>
      <c r="J8" s="1679"/>
      <c r="K8" s="1680"/>
      <c r="L8" s="1634" t="s">
        <v>120</v>
      </c>
      <c r="M8" s="1676" t="s">
        <v>12</v>
      </c>
      <c r="N8" s="1677"/>
      <c r="O8" s="1677"/>
      <c r="P8" s="1677"/>
      <c r="Q8" s="1677"/>
      <c r="R8" s="1678"/>
      <c r="S8" s="1659" t="s">
        <v>13</v>
      </c>
    </row>
    <row r="9" spans="1:19" ht="27">
      <c r="A9" s="1673"/>
      <c r="B9" s="1675"/>
      <c r="C9" s="1675"/>
      <c r="D9" s="214" t="s">
        <v>14</v>
      </c>
      <c r="E9" s="148" t="s">
        <v>15</v>
      </c>
      <c r="F9" s="148" t="s">
        <v>16</v>
      </c>
      <c r="G9" s="148" t="s">
        <v>17</v>
      </c>
      <c r="H9" s="294" t="s">
        <v>18</v>
      </c>
      <c r="I9" s="148" t="s">
        <v>19</v>
      </c>
      <c r="J9" s="141" t="s">
        <v>20</v>
      </c>
      <c r="K9" s="215" t="s">
        <v>21</v>
      </c>
      <c r="L9" s="1635"/>
      <c r="M9" s="148" t="s">
        <v>121</v>
      </c>
      <c r="N9" s="148" t="s">
        <v>23</v>
      </c>
      <c r="O9" s="148" t="s">
        <v>122</v>
      </c>
      <c r="P9" s="148" t="s">
        <v>23</v>
      </c>
      <c r="Q9" s="148" t="s">
        <v>25</v>
      </c>
      <c r="R9" s="148" t="s">
        <v>23</v>
      </c>
      <c r="S9" s="1660"/>
    </row>
    <row r="10" spans="1:19">
      <c r="A10" s="189">
        <v>1</v>
      </c>
      <c r="B10" s="216" t="s">
        <v>123</v>
      </c>
      <c r="C10" s="190" t="s">
        <v>124</v>
      </c>
      <c r="D10" s="191" t="s">
        <v>125</v>
      </c>
      <c r="E10" s="191" t="s">
        <v>126</v>
      </c>
      <c r="F10" s="190"/>
      <c r="G10" s="193" t="s">
        <v>30</v>
      </c>
      <c r="H10" s="232">
        <v>1</v>
      </c>
      <c r="I10" s="156">
        <v>465000</v>
      </c>
      <c r="J10" s="156">
        <v>465000</v>
      </c>
      <c r="K10" s="194">
        <v>0.16</v>
      </c>
      <c r="L10" s="156">
        <v>390600</v>
      </c>
      <c r="M10" s="156"/>
      <c r="N10" s="156"/>
      <c r="O10" s="156">
        <v>112</v>
      </c>
      <c r="P10" s="156">
        <v>400000</v>
      </c>
      <c r="Q10" s="156"/>
      <c r="R10" s="217"/>
      <c r="S10" s="235" t="s">
        <v>127</v>
      </c>
    </row>
    <row r="11" spans="1:19" ht="19.5">
      <c r="A11" s="162">
        <v>2</v>
      </c>
      <c r="B11" s="218" t="s">
        <v>123</v>
      </c>
      <c r="C11" s="163" t="s">
        <v>27</v>
      </c>
      <c r="D11" s="164" t="s">
        <v>128</v>
      </c>
      <c r="E11" s="164" t="s">
        <v>129</v>
      </c>
      <c r="F11" s="163"/>
      <c r="G11" s="165" t="s">
        <v>30</v>
      </c>
      <c r="H11" s="292">
        <v>5</v>
      </c>
      <c r="I11" s="154">
        <v>465000</v>
      </c>
      <c r="J11" s="167">
        <v>2325000</v>
      </c>
      <c r="K11" s="166">
        <v>0.35</v>
      </c>
      <c r="L11" s="154">
        <v>1511250</v>
      </c>
      <c r="M11" s="154"/>
      <c r="N11" s="154"/>
      <c r="O11" s="154"/>
      <c r="P11" s="154"/>
      <c r="Q11" s="154">
        <v>131</v>
      </c>
      <c r="R11" s="219">
        <v>2304250</v>
      </c>
      <c r="S11" s="169"/>
    </row>
    <row r="12" spans="1:19" ht="19.5">
      <c r="A12" s="170"/>
      <c r="B12" s="218" t="s">
        <v>123</v>
      </c>
      <c r="C12" s="163" t="s">
        <v>27</v>
      </c>
      <c r="D12" s="164" t="s">
        <v>128</v>
      </c>
      <c r="E12" s="164"/>
      <c r="F12" s="171"/>
      <c r="G12" s="161" t="s">
        <v>45</v>
      </c>
      <c r="H12" s="289">
        <v>1</v>
      </c>
      <c r="I12" s="149">
        <v>485000</v>
      </c>
      <c r="J12" s="149">
        <v>485000</v>
      </c>
      <c r="K12" s="172">
        <v>0.35</v>
      </c>
      <c r="L12" s="149">
        <v>315250</v>
      </c>
      <c r="M12" s="149"/>
      <c r="N12" s="149"/>
      <c r="O12" s="149"/>
      <c r="P12" s="149"/>
      <c r="Q12" s="149"/>
      <c r="R12" s="220"/>
      <c r="S12" s="174"/>
    </row>
    <row r="13" spans="1:19" ht="19.5">
      <c r="A13" s="170"/>
      <c r="B13" s="218" t="s">
        <v>123</v>
      </c>
      <c r="C13" s="163" t="s">
        <v>27</v>
      </c>
      <c r="D13" s="164" t="s">
        <v>128</v>
      </c>
      <c r="E13" s="164"/>
      <c r="F13" s="171"/>
      <c r="G13" s="161" t="s">
        <v>72</v>
      </c>
      <c r="H13" s="289">
        <v>1</v>
      </c>
      <c r="I13" s="149">
        <v>285000</v>
      </c>
      <c r="J13" s="149">
        <v>285000</v>
      </c>
      <c r="K13" s="172">
        <v>0.35</v>
      </c>
      <c r="L13" s="149">
        <v>185250</v>
      </c>
      <c r="M13" s="149"/>
      <c r="N13" s="149"/>
      <c r="O13" s="149"/>
      <c r="P13" s="149"/>
      <c r="Q13" s="149"/>
      <c r="R13" s="220"/>
      <c r="S13" s="174"/>
    </row>
    <row r="14" spans="1:19" ht="19.5">
      <c r="A14" s="177"/>
      <c r="B14" s="218" t="s">
        <v>123</v>
      </c>
      <c r="C14" s="178" t="s">
        <v>27</v>
      </c>
      <c r="D14" s="179" t="s">
        <v>128</v>
      </c>
      <c r="E14" s="179"/>
      <c r="F14" s="188"/>
      <c r="G14" s="180" t="s">
        <v>36</v>
      </c>
      <c r="H14" s="254">
        <v>1</v>
      </c>
      <c r="I14" s="155">
        <v>450000</v>
      </c>
      <c r="J14" s="182">
        <v>450000</v>
      </c>
      <c r="K14" s="181">
        <v>0.35</v>
      </c>
      <c r="L14" s="155">
        <v>292500</v>
      </c>
      <c r="M14" s="155"/>
      <c r="N14" s="155"/>
      <c r="O14" s="155"/>
      <c r="P14" s="155"/>
      <c r="Q14" s="155"/>
      <c r="R14" s="222"/>
      <c r="S14" s="184"/>
    </row>
    <row r="15" spans="1:19" ht="19.5">
      <c r="A15" s="162">
        <v>3</v>
      </c>
      <c r="B15" s="218" t="s">
        <v>130</v>
      </c>
      <c r="C15" s="197" t="s">
        <v>131</v>
      </c>
      <c r="D15" s="164" t="s">
        <v>132</v>
      </c>
      <c r="E15" s="164" t="s">
        <v>133</v>
      </c>
      <c r="F15" s="185"/>
      <c r="G15" s="165" t="s">
        <v>30</v>
      </c>
      <c r="H15" s="292">
        <v>12</v>
      </c>
      <c r="I15" s="154">
        <v>465000</v>
      </c>
      <c r="J15" s="167">
        <v>5580000</v>
      </c>
      <c r="K15" s="166">
        <v>0.35</v>
      </c>
      <c r="L15" s="154">
        <v>3627000</v>
      </c>
      <c r="M15" s="154"/>
      <c r="N15" s="154"/>
      <c r="O15" s="154">
        <v>112</v>
      </c>
      <c r="P15" s="154">
        <v>15000000</v>
      </c>
      <c r="Q15" s="154"/>
      <c r="R15" s="219"/>
      <c r="S15" s="169"/>
    </row>
    <row r="16" spans="1:19" ht="19.5">
      <c r="A16" s="170"/>
      <c r="B16" s="223"/>
      <c r="C16" s="197" t="s">
        <v>131</v>
      </c>
      <c r="D16" s="164" t="s">
        <v>132</v>
      </c>
      <c r="E16" s="164"/>
      <c r="F16" s="175"/>
      <c r="G16" s="161" t="s">
        <v>50</v>
      </c>
      <c r="H16" s="289">
        <v>12</v>
      </c>
      <c r="I16" s="149">
        <v>475000</v>
      </c>
      <c r="J16" s="149">
        <v>5700000</v>
      </c>
      <c r="K16" s="172">
        <v>0.35</v>
      </c>
      <c r="L16" s="149">
        <v>3705000</v>
      </c>
      <c r="M16" s="149"/>
      <c r="N16" s="149"/>
      <c r="O16" s="149"/>
      <c r="P16" s="149"/>
      <c r="Q16" s="149"/>
      <c r="R16" s="220"/>
      <c r="S16" s="174"/>
    </row>
    <row r="17" spans="1:19" ht="19.5">
      <c r="A17" s="177"/>
      <c r="B17" s="221"/>
      <c r="C17" s="198" t="s">
        <v>131</v>
      </c>
      <c r="D17" s="179" t="s">
        <v>132</v>
      </c>
      <c r="E17" s="179"/>
      <c r="F17" s="188"/>
      <c r="G17" s="180" t="s">
        <v>46</v>
      </c>
      <c r="H17" s="254">
        <v>12</v>
      </c>
      <c r="I17" s="155">
        <v>455000</v>
      </c>
      <c r="J17" s="182">
        <v>5460000</v>
      </c>
      <c r="K17" s="181">
        <v>0.35</v>
      </c>
      <c r="L17" s="155">
        <v>3549000</v>
      </c>
      <c r="M17" s="155"/>
      <c r="N17" s="155"/>
      <c r="O17" s="155"/>
      <c r="P17" s="155"/>
      <c r="Q17" s="155"/>
      <c r="R17" s="222"/>
      <c r="S17" s="184"/>
    </row>
    <row r="18" spans="1:19" ht="19.5">
      <c r="A18" s="162">
        <v>4</v>
      </c>
      <c r="B18" s="218" t="s">
        <v>134</v>
      </c>
      <c r="C18" s="163" t="s">
        <v>27</v>
      </c>
      <c r="D18" s="164" t="s">
        <v>128</v>
      </c>
      <c r="E18" s="164" t="s">
        <v>129</v>
      </c>
      <c r="F18" s="185"/>
      <c r="G18" s="165" t="s">
        <v>30</v>
      </c>
      <c r="H18" s="292">
        <v>3</v>
      </c>
      <c r="I18" s="154">
        <v>465000</v>
      </c>
      <c r="J18" s="167">
        <v>1395000</v>
      </c>
      <c r="K18" s="166">
        <v>0.35</v>
      </c>
      <c r="L18" s="154">
        <v>906750</v>
      </c>
      <c r="M18" s="154"/>
      <c r="N18" s="154"/>
      <c r="O18" s="154"/>
      <c r="P18" s="154"/>
      <c r="Q18" s="154">
        <v>131</v>
      </c>
      <c r="R18" s="219">
        <v>3360500</v>
      </c>
      <c r="S18" s="169"/>
    </row>
    <row r="19" spans="1:19" ht="19.5">
      <c r="A19" s="170"/>
      <c r="B19" s="218" t="s">
        <v>134</v>
      </c>
      <c r="C19" s="163" t="s">
        <v>27</v>
      </c>
      <c r="D19" s="164" t="s">
        <v>128</v>
      </c>
      <c r="E19" s="164"/>
      <c r="F19" s="175"/>
      <c r="G19" s="161" t="s">
        <v>45</v>
      </c>
      <c r="H19" s="289">
        <v>1</v>
      </c>
      <c r="I19" s="149">
        <v>485000</v>
      </c>
      <c r="J19" s="149">
        <v>485000</v>
      </c>
      <c r="K19" s="172">
        <v>0.35</v>
      </c>
      <c r="L19" s="149">
        <v>315250</v>
      </c>
      <c r="M19" s="149"/>
      <c r="N19" s="149"/>
      <c r="O19" s="149"/>
      <c r="P19" s="149"/>
      <c r="Q19" s="149"/>
      <c r="R19" s="220"/>
      <c r="S19" s="174"/>
    </row>
    <row r="20" spans="1:19" ht="19.5">
      <c r="A20" s="170"/>
      <c r="B20" s="218" t="s">
        <v>134</v>
      </c>
      <c r="C20" s="163" t="s">
        <v>27</v>
      </c>
      <c r="D20" s="164" t="s">
        <v>128</v>
      </c>
      <c r="E20" s="164"/>
      <c r="F20" s="175"/>
      <c r="G20" s="161" t="s">
        <v>72</v>
      </c>
      <c r="H20" s="289">
        <v>2</v>
      </c>
      <c r="I20" s="149">
        <v>285000</v>
      </c>
      <c r="J20" s="149">
        <v>570000</v>
      </c>
      <c r="K20" s="172">
        <v>0.35</v>
      </c>
      <c r="L20" s="149">
        <v>370500</v>
      </c>
      <c r="M20" s="149"/>
      <c r="N20" s="149"/>
      <c r="O20" s="149"/>
      <c r="P20" s="149"/>
      <c r="Q20" s="149"/>
      <c r="R20" s="220"/>
      <c r="S20" s="174"/>
    </row>
    <row r="21" spans="1:19" ht="19.5">
      <c r="A21" s="170"/>
      <c r="B21" s="218" t="s">
        <v>134</v>
      </c>
      <c r="C21" s="163" t="s">
        <v>27</v>
      </c>
      <c r="D21" s="164" t="s">
        <v>128</v>
      </c>
      <c r="E21" s="164"/>
      <c r="F21" s="175"/>
      <c r="G21" s="161" t="s">
        <v>36</v>
      </c>
      <c r="H21" s="289">
        <v>2</v>
      </c>
      <c r="I21" s="149">
        <v>450000</v>
      </c>
      <c r="J21" s="149">
        <v>900000</v>
      </c>
      <c r="K21" s="172">
        <v>0.35</v>
      </c>
      <c r="L21" s="149">
        <v>585000</v>
      </c>
      <c r="M21" s="149"/>
      <c r="N21" s="149"/>
      <c r="O21" s="149"/>
      <c r="P21" s="149"/>
      <c r="Q21" s="149"/>
      <c r="R21" s="220"/>
      <c r="S21" s="174"/>
    </row>
    <row r="22" spans="1:19" ht="19.5">
      <c r="A22" s="170"/>
      <c r="B22" s="218" t="s">
        <v>134</v>
      </c>
      <c r="C22" s="163" t="s">
        <v>27</v>
      </c>
      <c r="D22" s="164" t="s">
        <v>128</v>
      </c>
      <c r="E22" s="164"/>
      <c r="F22" s="175"/>
      <c r="G22" s="161" t="s">
        <v>34</v>
      </c>
      <c r="H22" s="289">
        <v>2</v>
      </c>
      <c r="I22" s="149">
        <v>455000</v>
      </c>
      <c r="J22" s="149">
        <v>910000</v>
      </c>
      <c r="K22" s="172">
        <v>0.35</v>
      </c>
      <c r="L22" s="149">
        <v>591500</v>
      </c>
      <c r="M22" s="149"/>
      <c r="N22" s="149"/>
      <c r="O22" s="149"/>
      <c r="P22" s="149"/>
      <c r="Q22" s="149"/>
      <c r="R22" s="220"/>
      <c r="S22" s="174"/>
    </row>
    <row r="23" spans="1:19" ht="19.5">
      <c r="A23" s="177"/>
      <c r="B23" s="218" t="s">
        <v>134</v>
      </c>
      <c r="C23" s="178" t="s">
        <v>27</v>
      </c>
      <c r="D23" s="179" t="s">
        <v>128</v>
      </c>
      <c r="E23" s="179"/>
      <c r="F23" s="188"/>
      <c r="G23" s="180" t="s">
        <v>46</v>
      </c>
      <c r="H23" s="254">
        <v>2</v>
      </c>
      <c r="I23" s="155">
        <v>455000</v>
      </c>
      <c r="J23" s="155">
        <v>910000</v>
      </c>
      <c r="K23" s="181">
        <v>0.35</v>
      </c>
      <c r="L23" s="155">
        <v>591500</v>
      </c>
      <c r="M23" s="155"/>
      <c r="N23" s="155"/>
      <c r="O23" s="155"/>
      <c r="P23" s="155"/>
      <c r="Q23" s="155"/>
      <c r="R23" s="222"/>
      <c r="S23" s="184"/>
    </row>
    <row r="24" spans="1:19" ht="28.5">
      <c r="A24" s="162">
        <v>5</v>
      </c>
      <c r="B24" s="218" t="s">
        <v>134</v>
      </c>
      <c r="C24" s="163" t="s">
        <v>27</v>
      </c>
      <c r="D24" s="164" t="s">
        <v>135</v>
      </c>
      <c r="E24" s="164" t="s">
        <v>136</v>
      </c>
      <c r="F24" s="163"/>
      <c r="G24" s="165" t="s">
        <v>30</v>
      </c>
      <c r="H24" s="292">
        <v>2</v>
      </c>
      <c r="I24" s="154">
        <v>465000</v>
      </c>
      <c r="J24" s="154">
        <v>930000</v>
      </c>
      <c r="K24" s="168">
        <v>0.2</v>
      </c>
      <c r="L24" s="154">
        <v>744000</v>
      </c>
      <c r="M24" s="154">
        <v>111</v>
      </c>
      <c r="N24" s="154">
        <v>2960000</v>
      </c>
      <c r="O24" s="154"/>
      <c r="P24" s="154"/>
      <c r="Q24" s="154"/>
      <c r="R24" s="219"/>
      <c r="S24" s="169"/>
    </row>
    <row r="25" spans="1:19">
      <c r="A25" s="170"/>
      <c r="B25" s="223"/>
      <c r="C25" s="163" t="s">
        <v>27</v>
      </c>
      <c r="D25" s="164" t="s">
        <v>135</v>
      </c>
      <c r="E25" s="164"/>
      <c r="F25" s="171"/>
      <c r="G25" s="161" t="s">
        <v>50</v>
      </c>
      <c r="H25" s="289">
        <v>2</v>
      </c>
      <c r="I25" s="149">
        <v>475000</v>
      </c>
      <c r="J25" s="149">
        <v>950000</v>
      </c>
      <c r="K25" s="173">
        <v>0.2</v>
      </c>
      <c r="L25" s="149">
        <v>760000</v>
      </c>
      <c r="M25" s="149"/>
      <c r="N25" s="149"/>
      <c r="O25" s="149"/>
      <c r="P25" s="149"/>
      <c r="Q25" s="149"/>
      <c r="R25" s="220"/>
      <c r="S25" s="174"/>
    </row>
    <row r="26" spans="1:19">
      <c r="A26" s="170"/>
      <c r="B26" s="223"/>
      <c r="C26" s="163" t="s">
        <v>27</v>
      </c>
      <c r="D26" s="164" t="s">
        <v>135</v>
      </c>
      <c r="E26" s="164"/>
      <c r="F26" s="171"/>
      <c r="G26" s="161" t="s">
        <v>34</v>
      </c>
      <c r="H26" s="289">
        <v>2</v>
      </c>
      <c r="I26" s="149">
        <v>455000</v>
      </c>
      <c r="J26" s="149">
        <v>910000</v>
      </c>
      <c r="K26" s="173">
        <v>0.2</v>
      </c>
      <c r="L26" s="149">
        <v>728000</v>
      </c>
      <c r="M26" s="149"/>
      <c r="N26" s="149"/>
      <c r="O26" s="149"/>
      <c r="P26" s="149"/>
      <c r="Q26" s="149"/>
      <c r="R26" s="220"/>
      <c r="S26" s="174"/>
    </row>
    <row r="27" spans="1:19">
      <c r="A27" s="177"/>
      <c r="B27" s="221"/>
      <c r="C27" s="178" t="s">
        <v>27</v>
      </c>
      <c r="D27" s="179" t="s">
        <v>135</v>
      </c>
      <c r="E27" s="179"/>
      <c r="F27" s="178"/>
      <c r="G27" s="180" t="s">
        <v>46</v>
      </c>
      <c r="H27" s="254">
        <v>2</v>
      </c>
      <c r="I27" s="155">
        <v>455000</v>
      </c>
      <c r="J27" s="155">
        <v>910000</v>
      </c>
      <c r="K27" s="183">
        <v>0.2</v>
      </c>
      <c r="L27" s="155">
        <v>728000</v>
      </c>
      <c r="M27" s="155"/>
      <c r="N27" s="155"/>
      <c r="O27" s="155"/>
      <c r="P27" s="155"/>
      <c r="Q27" s="155"/>
      <c r="R27" s="222"/>
      <c r="S27" s="184"/>
    </row>
    <row r="28" spans="1:19" ht="28.5">
      <c r="A28" s="162">
        <v>6</v>
      </c>
      <c r="B28" s="218" t="s">
        <v>134</v>
      </c>
      <c r="C28" s="163" t="s">
        <v>27</v>
      </c>
      <c r="D28" s="164" t="s">
        <v>137</v>
      </c>
      <c r="E28" s="164" t="s">
        <v>138</v>
      </c>
      <c r="F28" s="185" t="s">
        <v>139</v>
      </c>
      <c r="G28" s="165" t="s">
        <v>30</v>
      </c>
      <c r="H28" s="292">
        <v>1</v>
      </c>
      <c r="I28" s="154">
        <v>465000</v>
      </c>
      <c r="J28" s="154">
        <v>465000</v>
      </c>
      <c r="K28" s="166">
        <v>0.41</v>
      </c>
      <c r="L28" s="154">
        <v>274350.00000000006</v>
      </c>
      <c r="M28" s="154"/>
      <c r="N28" s="154"/>
      <c r="O28" s="154"/>
      <c r="P28" s="154"/>
      <c r="Q28" s="154">
        <v>131</v>
      </c>
      <c r="R28" s="219">
        <v>1090000</v>
      </c>
      <c r="S28" s="169"/>
    </row>
    <row r="29" spans="1:19" ht="19.5">
      <c r="A29" s="170"/>
      <c r="B29" s="223"/>
      <c r="C29" s="163" t="s">
        <v>27</v>
      </c>
      <c r="D29" s="164" t="s">
        <v>137</v>
      </c>
      <c r="E29" s="164"/>
      <c r="F29" s="175"/>
      <c r="G29" s="161" t="s">
        <v>32</v>
      </c>
      <c r="H29" s="289">
        <v>1</v>
      </c>
      <c r="I29" s="149">
        <v>275000</v>
      </c>
      <c r="J29" s="149">
        <v>275000</v>
      </c>
      <c r="K29" s="172">
        <v>1</v>
      </c>
      <c r="L29" s="149">
        <v>0</v>
      </c>
      <c r="M29" s="149"/>
      <c r="N29" s="149"/>
      <c r="O29" s="149"/>
      <c r="P29" s="149"/>
      <c r="Q29" s="149"/>
      <c r="R29" s="220"/>
      <c r="S29" s="174" t="s">
        <v>140</v>
      </c>
    </row>
    <row r="30" spans="1:19" ht="19.5">
      <c r="A30" s="170"/>
      <c r="B30" s="223"/>
      <c r="C30" s="163" t="s">
        <v>27</v>
      </c>
      <c r="D30" s="164" t="s">
        <v>137</v>
      </c>
      <c r="E30" s="164"/>
      <c r="F30" s="175"/>
      <c r="G30" s="161" t="s">
        <v>45</v>
      </c>
      <c r="H30" s="289">
        <v>1</v>
      </c>
      <c r="I30" s="149">
        <v>485000</v>
      </c>
      <c r="J30" s="149">
        <v>485000</v>
      </c>
      <c r="K30" s="172">
        <v>0.41</v>
      </c>
      <c r="L30" s="149">
        <v>286150.00000000006</v>
      </c>
      <c r="M30" s="149"/>
      <c r="N30" s="149"/>
      <c r="O30" s="149"/>
      <c r="P30" s="149"/>
      <c r="Q30" s="149"/>
      <c r="R30" s="220"/>
      <c r="S30" s="174"/>
    </row>
    <row r="31" spans="1:19" ht="19.5">
      <c r="A31" s="170"/>
      <c r="B31" s="223"/>
      <c r="C31" s="163" t="s">
        <v>27</v>
      </c>
      <c r="D31" s="164" t="s">
        <v>137</v>
      </c>
      <c r="E31" s="164"/>
      <c r="F31" s="175"/>
      <c r="G31" s="161" t="s">
        <v>34</v>
      </c>
      <c r="H31" s="289">
        <v>1</v>
      </c>
      <c r="I31" s="149">
        <v>455000</v>
      </c>
      <c r="J31" s="149">
        <v>455000</v>
      </c>
      <c r="K31" s="172">
        <v>0.41</v>
      </c>
      <c r="L31" s="149">
        <v>268450.00000000006</v>
      </c>
      <c r="M31" s="149"/>
      <c r="N31" s="149"/>
      <c r="O31" s="149"/>
      <c r="P31" s="149"/>
      <c r="Q31" s="149"/>
      <c r="R31" s="220"/>
      <c r="S31" s="174"/>
    </row>
    <row r="32" spans="1:19" ht="19.5">
      <c r="A32" s="177"/>
      <c r="B32" s="221"/>
      <c r="C32" s="163" t="s">
        <v>27</v>
      </c>
      <c r="D32" s="164" t="s">
        <v>137</v>
      </c>
      <c r="E32" s="164"/>
      <c r="F32" s="188"/>
      <c r="G32" s="180" t="s">
        <v>46</v>
      </c>
      <c r="H32" s="254">
        <v>1</v>
      </c>
      <c r="I32" s="155">
        <v>455000</v>
      </c>
      <c r="J32" s="155">
        <v>455000</v>
      </c>
      <c r="K32" s="181">
        <v>0.41</v>
      </c>
      <c r="L32" s="155">
        <v>268450.00000000006</v>
      </c>
      <c r="M32" s="155"/>
      <c r="N32" s="155"/>
      <c r="O32" s="155"/>
      <c r="P32" s="155"/>
      <c r="Q32" s="155"/>
      <c r="R32" s="222"/>
      <c r="S32" s="184"/>
    </row>
    <row r="33" spans="1:19">
      <c r="A33" s="189">
        <v>7</v>
      </c>
      <c r="B33" s="216" t="s">
        <v>141</v>
      </c>
      <c r="C33" s="190" t="s">
        <v>96</v>
      </c>
      <c r="D33" s="191" t="s">
        <v>86</v>
      </c>
      <c r="E33" s="191"/>
      <c r="F33" s="190"/>
      <c r="G33" s="193" t="s">
        <v>34</v>
      </c>
      <c r="H33" s="232">
        <v>1</v>
      </c>
      <c r="I33" s="156">
        <v>455000</v>
      </c>
      <c r="J33" s="158">
        <v>455000</v>
      </c>
      <c r="K33" s="194">
        <v>0.41</v>
      </c>
      <c r="L33" s="156">
        <v>268450.00000000006</v>
      </c>
      <c r="M33" s="156">
        <v>111</v>
      </c>
      <c r="N33" s="156">
        <v>268000</v>
      </c>
      <c r="O33" s="156"/>
      <c r="P33" s="156"/>
      <c r="Q33" s="156"/>
      <c r="R33" s="217"/>
      <c r="S33" s="196"/>
    </row>
    <row r="34" spans="1:19" ht="19.5">
      <c r="A34" s="189">
        <v>8</v>
      </c>
      <c r="B34" s="216" t="s">
        <v>141</v>
      </c>
      <c r="C34" s="190" t="s">
        <v>27</v>
      </c>
      <c r="D34" s="191" t="s">
        <v>86</v>
      </c>
      <c r="E34" s="191" t="s">
        <v>142</v>
      </c>
      <c r="F34" s="190"/>
      <c r="G34" s="193" t="s">
        <v>36</v>
      </c>
      <c r="H34" s="232">
        <v>3</v>
      </c>
      <c r="I34" s="156">
        <v>450000</v>
      </c>
      <c r="J34" s="156">
        <v>1350000</v>
      </c>
      <c r="K34" s="194">
        <v>0.25900000000000001</v>
      </c>
      <c r="L34" s="156">
        <v>1000350</v>
      </c>
      <c r="M34" s="156">
        <v>111</v>
      </c>
      <c r="N34" s="156">
        <v>1000000</v>
      </c>
      <c r="O34" s="156"/>
      <c r="P34" s="156"/>
      <c r="Q34" s="156"/>
      <c r="R34" s="217"/>
      <c r="S34" s="196"/>
    </row>
    <row r="35" spans="1:19">
      <c r="A35" s="162">
        <v>9</v>
      </c>
      <c r="B35" s="218" t="s">
        <v>143</v>
      </c>
      <c r="C35" s="163" t="s">
        <v>27</v>
      </c>
      <c r="D35" s="164" t="s">
        <v>144</v>
      </c>
      <c r="E35" s="164" t="s">
        <v>145</v>
      </c>
      <c r="F35" s="163"/>
      <c r="G35" s="165" t="s">
        <v>50</v>
      </c>
      <c r="H35" s="292">
        <v>1</v>
      </c>
      <c r="I35" s="154">
        <v>475000</v>
      </c>
      <c r="J35" s="154">
        <v>475000</v>
      </c>
      <c r="K35" s="166">
        <v>0.25</v>
      </c>
      <c r="L35" s="154">
        <v>356250</v>
      </c>
      <c r="M35" s="154">
        <v>111</v>
      </c>
      <c r="N35" s="154">
        <v>1616000</v>
      </c>
      <c r="O35" s="154"/>
      <c r="P35" s="154"/>
      <c r="Q35" s="154"/>
      <c r="R35" s="219"/>
      <c r="S35" s="169"/>
    </row>
    <row r="36" spans="1:19">
      <c r="A36" s="170"/>
      <c r="B36" s="218" t="s">
        <v>143</v>
      </c>
      <c r="C36" s="163" t="s">
        <v>27</v>
      </c>
      <c r="D36" s="164" t="s">
        <v>144</v>
      </c>
      <c r="E36" s="164"/>
      <c r="F36" s="171"/>
      <c r="G36" s="161" t="s">
        <v>45</v>
      </c>
      <c r="H36" s="289">
        <v>1</v>
      </c>
      <c r="I36" s="149">
        <v>485000</v>
      </c>
      <c r="J36" s="149">
        <v>485000</v>
      </c>
      <c r="K36" s="172">
        <v>0.25</v>
      </c>
      <c r="L36" s="149">
        <v>363750</v>
      </c>
      <c r="M36" s="149"/>
      <c r="N36" s="149"/>
      <c r="O36" s="149"/>
      <c r="P36" s="149"/>
      <c r="Q36" s="149"/>
      <c r="R36" s="220"/>
      <c r="S36" s="174"/>
    </row>
    <row r="37" spans="1:19">
      <c r="A37" s="170"/>
      <c r="B37" s="218" t="s">
        <v>143</v>
      </c>
      <c r="C37" s="163" t="s">
        <v>27</v>
      </c>
      <c r="D37" s="164" t="s">
        <v>144</v>
      </c>
      <c r="E37" s="164"/>
      <c r="F37" s="171"/>
      <c r="G37" s="161" t="s">
        <v>72</v>
      </c>
      <c r="H37" s="289">
        <v>1</v>
      </c>
      <c r="I37" s="149">
        <v>285000</v>
      </c>
      <c r="J37" s="149">
        <v>285000</v>
      </c>
      <c r="K37" s="172">
        <v>0.25</v>
      </c>
      <c r="L37" s="149">
        <v>213750</v>
      </c>
      <c r="M37" s="149"/>
      <c r="N37" s="149"/>
      <c r="O37" s="149"/>
      <c r="P37" s="149"/>
      <c r="Q37" s="149"/>
      <c r="R37" s="220"/>
      <c r="S37" s="174"/>
    </row>
    <row r="38" spans="1:19">
      <c r="A38" s="170"/>
      <c r="B38" s="218" t="s">
        <v>143</v>
      </c>
      <c r="C38" s="163" t="s">
        <v>27</v>
      </c>
      <c r="D38" s="164" t="s">
        <v>144</v>
      </c>
      <c r="E38" s="164"/>
      <c r="F38" s="171"/>
      <c r="G38" s="161" t="s">
        <v>34</v>
      </c>
      <c r="H38" s="289">
        <v>1</v>
      </c>
      <c r="I38" s="149">
        <v>455000</v>
      </c>
      <c r="J38" s="149">
        <v>455000</v>
      </c>
      <c r="K38" s="172">
        <v>0.25</v>
      </c>
      <c r="L38" s="149">
        <v>341250</v>
      </c>
      <c r="M38" s="149"/>
      <c r="N38" s="149"/>
      <c r="O38" s="149"/>
      <c r="P38" s="149"/>
      <c r="Q38" s="149"/>
      <c r="R38" s="220"/>
      <c r="S38" s="174"/>
    </row>
    <row r="39" spans="1:19">
      <c r="A39" s="177"/>
      <c r="B39" s="218" t="s">
        <v>143</v>
      </c>
      <c r="C39" s="178" t="s">
        <v>27</v>
      </c>
      <c r="D39" s="179" t="s">
        <v>144</v>
      </c>
      <c r="E39" s="179"/>
      <c r="F39" s="178"/>
      <c r="G39" s="180" t="s">
        <v>46</v>
      </c>
      <c r="H39" s="254">
        <v>1</v>
      </c>
      <c r="I39" s="155">
        <v>455000</v>
      </c>
      <c r="J39" s="150">
        <v>455000</v>
      </c>
      <c r="K39" s="181">
        <v>0.25</v>
      </c>
      <c r="L39" s="155">
        <v>341250</v>
      </c>
      <c r="M39" s="155"/>
      <c r="N39" s="155"/>
      <c r="O39" s="155"/>
      <c r="P39" s="155"/>
      <c r="Q39" s="155"/>
      <c r="R39" s="222"/>
      <c r="S39" s="184"/>
    </row>
    <row r="40" spans="1:19">
      <c r="A40" s="162">
        <v>10</v>
      </c>
      <c r="B40" s="218" t="s">
        <v>146</v>
      </c>
      <c r="C40" s="224" t="s">
        <v>147</v>
      </c>
      <c r="D40" s="164" t="s">
        <v>86</v>
      </c>
      <c r="E40" s="164"/>
      <c r="F40" s="163"/>
      <c r="G40" s="165" t="s">
        <v>33</v>
      </c>
      <c r="H40" s="292">
        <v>1</v>
      </c>
      <c r="I40" s="154">
        <v>285000</v>
      </c>
      <c r="J40" s="157">
        <v>285000</v>
      </c>
      <c r="K40" s="166">
        <v>0.21</v>
      </c>
      <c r="L40" s="154">
        <v>225150</v>
      </c>
      <c r="M40" s="154">
        <v>111</v>
      </c>
      <c r="N40" s="154">
        <v>584600</v>
      </c>
      <c r="O40" s="154"/>
      <c r="P40" s="154"/>
      <c r="Q40" s="154"/>
      <c r="R40" s="219"/>
      <c r="S40" s="1666" t="s">
        <v>88</v>
      </c>
    </row>
    <row r="41" spans="1:19">
      <c r="A41" s="177"/>
      <c r="B41" s="221"/>
      <c r="C41" s="225" t="s">
        <v>147</v>
      </c>
      <c r="D41" s="187" t="s">
        <v>86</v>
      </c>
      <c r="E41" s="187"/>
      <c r="F41" s="178"/>
      <c r="G41" s="180" t="s">
        <v>46</v>
      </c>
      <c r="H41" s="254">
        <v>1</v>
      </c>
      <c r="I41" s="155">
        <v>455000</v>
      </c>
      <c r="J41" s="155">
        <v>455000</v>
      </c>
      <c r="K41" s="181">
        <v>0.21</v>
      </c>
      <c r="L41" s="155">
        <v>359450</v>
      </c>
      <c r="M41" s="155"/>
      <c r="N41" s="155"/>
      <c r="O41" s="155"/>
      <c r="P41" s="155"/>
      <c r="Q41" s="155"/>
      <c r="R41" s="222"/>
      <c r="S41" s="1667"/>
    </row>
    <row r="42" spans="1:19">
      <c r="A42" s="189">
        <v>11</v>
      </c>
      <c r="B42" s="216" t="s">
        <v>146</v>
      </c>
      <c r="C42" s="190" t="s">
        <v>96</v>
      </c>
      <c r="D42" s="191" t="s">
        <v>86</v>
      </c>
      <c r="E42" s="191"/>
      <c r="F42" s="192"/>
      <c r="G42" s="193" t="s">
        <v>30</v>
      </c>
      <c r="H42" s="232">
        <v>1</v>
      </c>
      <c r="I42" s="156">
        <v>465000</v>
      </c>
      <c r="J42" s="158">
        <v>465000</v>
      </c>
      <c r="K42" s="194">
        <v>0.41</v>
      </c>
      <c r="L42" s="156">
        <v>274350.00000000006</v>
      </c>
      <c r="M42" s="156">
        <v>111</v>
      </c>
      <c r="N42" s="156">
        <v>274350.00000000006</v>
      </c>
      <c r="O42" s="156"/>
      <c r="P42" s="156"/>
      <c r="Q42" s="156"/>
      <c r="R42" s="217"/>
      <c r="S42" s="196"/>
    </row>
    <row r="43" spans="1:19">
      <c r="A43" s="203">
        <v>12</v>
      </c>
      <c r="B43" s="226" t="s">
        <v>146</v>
      </c>
      <c r="C43" s="186" t="s">
        <v>27</v>
      </c>
      <c r="D43" s="187" t="s">
        <v>135</v>
      </c>
      <c r="E43" s="187" t="s">
        <v>148</v>
      </c>
      <c r="F43" s="186"/>
      <c r="G43" s="204" t="s">
        <v>46</v>
      </c>
      <c r="H43" s="290">
        <v>3</v>
      </c>
      <c r="I43" s="182">
        <v>455000</v>
      </c>
      <c r="J43" s="156">
        <v>1365000</v>
      </c>
      <c r="K43" s="205">
        <v>0.2</v>
      </c>
      <c r="L43" s="182">
        <v>1092000</v>
      </c>
      <c r="M43" s="182">
        <v>111</v>
      </c>
      <c r="N43" s="182">
        <v>1092000</v>
      </c>
      <c r="O43" s="182"/>
      <c r="P43" s="182"/>
      <c r="Q43" s="182"/>
      <c r="R43" s="227"/>
      <c r="S43" s="206"/>
    </row>
    <row r="44" spans="1:19" ht="19.5">
      <c r="A44" s="162">
        <v>13</v>
      </c>
      <c r="B44" s="218" t="s">
        <v>149</v>
      </c>
      <c r="C44" s="163" t="s">
        <v>27</v>
      </c>
      <c r="D44" s="270" t="s">
        <v>132</v>
      </c>
      <c r="E44" s="164" t="s">
        <v>150</v>
      </c>
      <c r="F44" s="163"/>
      <c r="G44" s="165" t="s">
        <v>42</v>
      </c>
      <c r="H44" s="292">
        <v>24</v>
      </c>
      <c r="I44" s="154">
        <v>265000</v>
      </c>
      <c r="J44" s="154">
        <v>6360000</v>
      </c>
      <c r="K44" s="166">
        <v>0.35</v>
      </c>
      <c r="L44" s="154">
        <v>4134000</v>
      </c>
      <c r="M44" s="154"/>
      <c r="N44" s="154"/>
      <c r="O44" s="154">
        <v>112</v>
      </c>
      <c r="P44" s="154">
        <v>21156000</v>
      </c>
      <c r="Q44" s="154"/>
      <c r="R44" s="219"/>
      <c r="S44" s="169"/>
    </row>
    <row r="45" spans="1:19" ht="19.5">
      <c r="A45" s="170"/>
      <c r="B45" s="218" t="s">
        <v>149</v>
      </c>
      <c r="C45" s="163" t="s">
        <v>27</v>
      </c>
      <c r="D45" s="270" t="s">
        <v>132</v>
      </c>
      <c r="E45" s="164"/>
      <c r="F45" s="171"/>
      <c r="G45" s="161" t="s">
        <v>32</v>
      </c>
      <c r="H45" s="289">
        <v>24</v>
      </c>
      <c r="I45" s="149">
        <v>275000</v>
      </c>
      <c r="J45" s="149">
        <v>6600000</v>
      </c>
      <c r="K45" s="172">
        <v>0.35</v>
      </c>
      <c r="L45" s="149">
        <v>4290000</v>
      </c>
      <c r="M45" s="149"/>
      <c r="N45" s="149"/>
      <c r="O45" s="154"/>
      <c r="P45" s="149"/>
      <c r="Q45" s="149"/>
      <c r="R45" s="220"/>
      <c r="S45" s="174"/>
    </row>
    <row r="46" spans="1:19" ht="46.5">
      <c r="A46" s="170"/>
      <c r="B46" s="218" t="s">
        <v>149</v>
      </c>
      <c r="C46" s="163" t="s">
        <v>27</v>
      </c>
      <c r="D46" s="270" t="s">
        <v>132</v>
      </c>
      <c r="E46" s="164"/>
      <c r="F46" s="171"/>
      <c r="G46" s="161" t="s">
        <v>33</v>
      </c>
      <c r="H46" s="289">
        <v>36</v>
      </c>
      <c r="I46" s="149">
        <v>285000</v>
      </c>
      <c r="J46" s="149">
        <v>10260000</v>
      </c>
      <c r="K46" s="172">
        <v>0.35</v>
      </c>
      <c r="L46" s="149">
        <v>6669000</v>
      </c>
      <c r="M46" s="149"/>
      <c r="N46" s="149"/>
      <c r="O46" s="154"/>
      <c r="P46" s="149"/>
      <c r="Q46" s="149"/>
      <c r="R46" s="220"/>
      <c r="S46" s="176" t="s">
        <v>151</v>
      </c>
    </row>
    <row r="47" spans="1:19" ht="19.5">
      <c r="A47" s="170"/>
      <c r="B47" s="218" t="s">
        <v>149</v>
      </c>
      <c r="C47" s="163" t="s">
        <v>27</v>
      </c>
      <c r="D47" s="270" t="s">
        <v>132</v>
      </c>
      <c r="E47" s="164"/>
      <c r="F47" s="171"/>
      <c r="G47" s="161" t="s">
        <v>72</v>
      </c>
      <c r="H47" s="289">
        <v>12</v>
      </c>
      <c r="I47" s="149">
        <v>285000</v>
      </c>
      <c r="J47" s="149">
        <v>3420000</v>
      </c>
      <c r="K47" s="172">
        <v>0.35</v>
      </c>
      <c r="L47" s="149">
        <v>2223000</v>
      </c>
      <c r="M47" s="149"/>
      <c r="N47" s="149"/>
      <c r="O47" s="154"/>
      <c r="P47" s="149"/>
      <c r="Q47" s="149"/>
      <c r="R47" s="220"/>
      <c r="S47" s="174"/>
    </row>
    <row r="48" spans="1:19" ht="19.5">
      <c r="A48" s="170"/>
      <c r="B48" s="218" t="s">
        <v>149</v>
      </c>
      <c r="C48" s="163" t="s">
        <v>27</v>
      </c>
      <c r="D48" s="270" t="s">
        <v>132</v>
      </c>
      <c r="E48" s="164"/>
      <c r="F48" s="171"/>
      <c r="G48" s="161" t="s">
        <v>36</v>
      </c>
      <c r="H48" s="289">
        <v>25</v>
      </c>
      <c r="I48" s="149">
        <v>450000</v>
      </c>
      <c r="J48" s="149">
        <v>11250000</v>
      </c>
      <c r="K48" s="172">
        <v>0.35</v>
      </c>
      <c r="L48" s="149">
        <v>7312500</v>
      </c>
      <c r="M48" s="149"/>
      <c r="N48" s="149"/>
      <c r="O48" s="154"/>
      <c r="P48" s="149"/>
      <c r="Q48" s="149"/>
      <c r="R48" s="220"/>
      <c r="S48" s="174"/>
    </row>
    <row r="49" spans="1:19" ht="19.5">
      <c r="A49" s="170"/>
      <c r="B49" s="218" t="s">
        <v>149</v>
      </c>
      <c r="C49" s="163" t="s">
        <v>27</v>
      </c>
      <c r="D49" s="270" t="s">
        <v>132</v>
      </c>
      <c r="E49" s="164"/>
      <c r="F49" s="171"/>
      <c r="G49" s="161" t="s">
        <v>34</v>
      </c>
      <c r="H49" s="289">
        <v>24</v>
      </c>
      <c r="I49" s="149">
        <v>455000</v>
      </c>
      <c r="J49" s="149">
        <v>10920000</v>
      </c>
      <c r="K49" s="172">
        <v>0.35</v>
      </c>
      <c r="L49" s="149">
        <v>7098000</v>
      </c>
      <c r="M49" s="149"/>
      <c r="N49" s="149"/>
      <c r="O49" s="149">
        <v>112</v>
      </c>
      <c r="P49" s="149">
        <v>10000000</v>
      </c>
      <c r="Q49" s="149"/>
      <c r="R49" s="220"/>
      <c r="S49" s="174"/>
    </row>
    <row r="50" spans="1:19" ht="19.5">
      <c r="A50" s="177"/>
      <c r="B50" s="218" t="s">
        <v>149</v>
      </c>
      <c r="C50" s="178" t="s">
        <v>27</v>
      </c>
      <c r="D50" s="253" t="s">
        <v>132</v>
      </c>
      <c r="E50" s="179"/>
      <c r="F50" s="178"/>
      <c r="G50" s="180" t="s">
        <v>46</v>
      </c>
      <c r="H50" s="254">
        <v>12</v>
      </c>
      <c r="I50" s="155">
        <v>455000</v>
      </c>
      <c r="J50" s="155">
        <v>5460000</v>
      </c>
      <c r="K50" s="181">
        <v>0.35</v>
      </c>
      <c r="L50" s="155">
        <v>3549000</v>
      </c>
      <c r="M50" s="155"/>
      <c r="N50" s="155"/>
      <c r="O50" s="155"/>
      <c r="P50" s="155"/>
      <c r="Q50" s="155"/>
      <c r="R50" s="222"/>
      <c r="S50" s="184"/>
    </row>
    <row r="51" spans="1:19">
      <c r="A51" s="162">
        <v>14</v>
      </c>
      <c r="B51" s="218" t="s">
        <v>152</v>
      </c>
      <c r="C51" s="163" t="s">
        <v>27</v>
      </c>
      <c r="D51" s="164" t="s">
        <v>135</v>
      </c>
      <c r="E51" s="164" t="s">
        <v>148</v>
      </c>
      <c r="F51" s="163"/>
      <c r="G51" s="165" t="s">
        <v>30</v>
      </c>
      <c r="H51" s="292">
        <v>1</v>
      </c>
      <c r="I51" s="154">
        <v>455000</v>
      </c>
      <c r="J51" s="154">
        <v>455000</v>
      </c>
      <c r="K51" s="168">
        <v>0.2</v>
      </c>
      <c r="L51" s="154">
        <v>364000</v>
      </c>
      <c r="M51" s="154">
        <v>111</v>
      </c>
      <c r="N51" s="154">
        <v>1640000</v>
      </c>
      <c r="O51" s="154"/>
      <c r="P51" s="154"/>
      <c r="Q51" s="154"/>
      <c r="R51" s="219"/>
      <c r="S51" s="169"/>
    </row>
    <row r="52" spans="1:19">
      <c r="A52" s="170"/>
      <c r="B52" s="223"/>
      <c r="C52" s="163" t="s">
        <v>27</v>
      </c>
      <c r="D52" s="164" t="s">
        <v>135</v>
      </c>
      <c r="E52" s="164"/>
      <c r="F52" s="171"/>
      <c r="G52" s="161" t="s">
        <v>33</v>
      </c>
      <c r="H52" s="289">
        <v>4</v>
      </c>
      <c r="I52" s="149">
        <v>285000</v>
      </c>
      <c r="J52" s="149">
        <v>1140000</v>
      </c>
      <c r="K52" s="173">
        <v>0.2</v>
      </c>
      <c r="L52" s="149">
        <v>912000</v>
      </c>
      <c r="M52" s="149"/>
      <c r="N52" s="149"/>
      <c r="O52" s="149"/>
      <c r="P52" s="149"/>
      <c r="Q52" s="149"/>
      <c r="R52" s="220"/>
      <c r="S52" s="174"/>
    </row>
    <row r="53" spans="1:19">
      <c r="A53" s="177"/>
      <c r="B53" s="221"/>
      <c r="C53" s="163" t="s">
        <v>27</v>
      </c>
      <c r="D53" s="164" t="s">
        <v>135</v>
      </c>
      <c r="E53" s="164"/>
      <c r="F53" s="178"/>
      <c r="G53" s="180" t="s">
        <v>46</v>
      </c>
      <c r="H53" s="254">
        <v>1</v>
      </c>
      <c r="I53" s="155">
        <v>455000</v>
      </c>
      <c r="J53" s="155">
        <v>455000</v>
      </c>
      <c r="K53" s="183">
        <v>0.2</v>
      </c>
      <c r="L53" s="155">
        <v>364000</v>
      </c>
      <c r="M53" s="155"/>
      <c r="N53" s="155"/>
      <c r="O53" s="155"/>
      <c r="P53" s="155"/>
      <c r="Q53" s="155"/>
      <c r="R53" s="222"/>
      <c r="S53" s="184"/>
    </row>
    <row r="54" spans="1:19" ht="19.5">
      <c r="A54" s="189">
        <v>15</v>
      </c>
      <c r="B54" s="216" t="s">
        <v>152</v>
      </c>
      <c r="C54" s="190" t="s">
        <v>27</v>
      </c>
      <c r="D54" s="228" t="s">
        <v>153</v>
      </c>
      <c r="E54" s="191" t="s">
        <v>154</v>
      </c>
      <c r="F54" s="190"/>
      <c r="G54" s="193" t="s">
        <v>45</v>
      </c>
      <c r="H54" s="232">
        <v>2</v>
      </c>
      <c r="I54" s="156">
        <v>485000</v>
      </c>
      <c r="J54" s="156">
        <v>970000</v>
      </c>
      <c r="K54" s="195">
        <v>0.1</v>
      </c>
      <c r="L54" s="156">
        <v>873000</v>
      </c>
      <c r="M54" s="156">
        <v>111</v>
      </c>
      <c r="N54" s="156">
        <v>873000</v>
      </c>
      <c r="O54" s="156"/>
      <c r="P54" s="156"/>
      <c r="Q54" s="156"/>
      <c r="R54" s="217"/>
      <c r="S54" s="196"/>
    </row>
    <row r="55" spans="1:19">
      <c r="A55" s="189">
        <v>16</v>
      </c>
      <c r="B55" s="216" t="s">
        <v>155</v>
      </c>
      <c r="C55" s="190" t="s">
        <v>156</v>
      </c>
      <c r="D55" s="228" t="s">
        <v>86</v>
      </c>
      <c r="E55" s="191"/>
      <c r="F55" s="190"/>
      <c r="G55" s="193" t="s">
        <v>46</v>
      </c>
      <c r="H55" s="232">
        <v>1</v>
      </c>
      <c r="I55" s="156">
        <v>455000</v>
      </c>
      <c r="J55" s="156">
        <v>455000</v>
      </c>
      <c r="K55" s="194">
        <v>0.41</v>
      </c>
      <c r="L55" s="156">
        <v>268450.00000000006</v>
      </c>
      <c r="M55" s="156">
        <v>111</v>
      </c>
      <c r="N55" s="156">
        <v>268450.00000000006</v>
      </c>
      <c r="O55" s="156"/>
      <c r="P55" s="156"/>
      <c r="Q55" s="156"/>
      <c r="R55" s="217"/>
      <c r="S55" s="196"/>
    </row>
    <row r="56" spans="1:19">
      <c r="A56" s="189">
        <v>17</v>
      </c>
      <c r="B56" s="216" t="s">
        <v>157</v>
      </c>
      <c r="C56" s="190" t="s">
        <v>96</v>
      </c>
      <c r="D56" s="191" t="s">
        <v>86</v>
      </c>
      <c r="E56" s="191"/>
      <c r="F56" s="190"/>
      <c r="G56" s="193" t="s">
        <v>30</v>
      </c>
      <c r="H56" s="232">
        <v>1</v>
      </c>
      <c r="I56" s="156">
        <v>465000</v>
      </c>
      <c r="J56" s="156">
        <v>465000</v>
      </c>
      <c r="K56" s="194">
        <v>0.41</v>
      </c>
      <c r="L56" s="156">
        <v>274350.00000000006</v>
      </c>
      <c r="M56" s="156">
        <v>111</v>
      </c>
      <c r="N56" s="156">
        <v>274350</v>
      </c>
      <c r="O56" s="156"/>
      <c r="P56" s="156"/>
      <c r="Q56" s="156"/>
      <c r="R56" s="217"/>
      <c r="S56" s="196"/>
    </row>
    <row r="57" spans="1:19" ht="37.5">
      <c r="A57" s="229">
        <v>18</v>
      </c>
      <c r="B57" s="201" t="s">
        <v>157</v>
      </c>
      <c r="C57" s="230" t="s">
        <v>27</v>
      </c>
      <c r="D57" s="231" t="s">
        <v>158</v>
      </c>
      <c r="E57" s="231"/>
      <c r="F57" s="231"/>
      <c r="G57" s="232" t="s">
        <v>33</v>
      </c>
      <c r="H57" s="232">
        <v>1</v>
      </c>
      <c r="I57" s="146">
        <v>285000</v>
      </c>
      <c r="J57" s="156">
        <v>285000</v>
      </c>
      <c r="K57" s="233">
        <v>1</v>
      </c>
      <c r="L57" s="156">
        <v>0</v>
      </c>
      <c r="M57" s="146"/>
      <c r="N57" s="146"/>
      <c r="O57" s="146"/>
      <c r="P57" s="146"/>
      <c r="Q57" s="146"/>
      <c r="R57" s="234"/>
      <c r="S57" s="305" t="s">
        <v>159</v>
      </c>
    </row>
    <row r="58" spans="1:19">
      <c r="A58" s="236">
        <v>19</v>
      </c>
      <c r="B58" s="202" t="s">
        <v>160</v>
      </c>
      <c r="C58" s="224" t="s">
        <v>27</v>
      </c>
      <c r="D58" s="237" t="s">
        <v>135</v>
      </c>
      <c r="E58" s="237"/>
      <c r="F58" s="237"/>
      <c r="G58" s="238" t="s">
        <v>30</v>
      </c>
      <c r="H58" s="238">
        <v>1</v>
      </c>
      <c r="I58" s="239">
        <v>465000</v>
      </c>
      <c r="J58" s="154">
        <v>465000</v>
      </c>
      <c r="K58" s="240">
        <v>0.2</v>
      </c>
      <c r="L58" s="154">
        <v>372000</v>
      </c>
      <c r="M58" s="239">
        <v>111</v>
      </c>
      <c r="N58" s="239">
        <v>2492000</v>
      </c>
      <c r="O58" s="239"/>
      <c r="P58" s="239"/>
      <c r="Q58" s="239"/>
      <c r="R58" s="241"/>
      <c r="S58" s="242"/>
    </row>
    <row r="59" spans="1:19">
      <c r="A59" s="243"/>
      <c r="B59" s="244"/>
      <c r="C59" s="224" t="s">
        <v>27</v>
      </c>
      <c r="D59" s="237" t="s">
        <v>135</v>
      </c>
      <c r="E59" s="245"/>
      <c r="F59" s="245"/>
      <c r="G59" s="246" t="s">
        <v>74</v>
      </c>
      <c r="H59" s="246">
        <v>4</v>
      </c>
      <c r="I59" s="247">
        <v>550000</v>
      </c>
      <c r="J59" s="149">
        <v>2200000</v>
      </c>
      <c r="K59" s="248">
        <v>0.2</v>
      </c>
      <c r="L59" s="149">
        <v>1760000</v>
      </c>
      <c r="M59" s="247"/>
      <c r="N59" s="247"/>
      <c r="O59" s="247"/>
      <c r="P59" s="247"/>
      <c r="Q59" s="247"/>
      <c r="R59" s="249"/>
      <c r="S59" s="250"/>
    </row>
    <row r="60" spans="1:19">
      <c r="A60" s="251"/>
      <c r="B60" s="200"/>
      <c r="C60" s="225" t="s">
        <v>27</v>
      </c>
      <c r="D60" s="252" t="s">
        <v>135</v>
      </c>
      <c r="E60" s="253"/>
      <c r="F60" s="253"/>
      <c r="G60" s="254" t="s">
        <v>36</v>
      </c>
      <c r="H60" s="254">
        <v>1</v>
      </c>
      <c r="I60" s="145">
        <v>450000</v>
      </c>
      <c r="J60" s="155">
        <v>450000</v>
      </c>
      <c r="K60" s="255">
        <v>0.2</v>
      </c>
      <c r="L60" s="155">
        <v>360000</v>
      </c>
      <c r="M60" s="145"/>
      <c r="N60" s="145"/>
      <c r="O60" s="145"/>
      <c r="P60" s="145"/>
      <c r="Q60" s="145"/>
      <c r="R60" s="256"/>
      <c r="S60" s="257"/>
    </row>
    <row r="61" spans="1:19">
      <c r="A61" s="236">
        <v>20</v>
      </c>
      <c r="B61" s="202" t="s">
        <v>161</v>
      </c>
      <c r="C61" s="224" t="s">
        <v>96</v>
      </c>
      <c r="D61" s="237" t="s">
        <v>86</v>
      </c>
      <c r="E61" s="237"/>
      <c r="F61" s="237"/>
      <c r="G61" s="238" t="s">
        <v>32</v>
      </c>
      <c r="H61" s="238">
        <v>1</v>
      </c>
      <c r="I61" s="239">
        <v>275000</v>
      </c>
      <c r="J61" s="154">
        <v>275000</v>
      </c>
      <c r="K61" s="240">
        <v>0.41</v>
      </c>
      <c r="L61" s="143">
        <v>162250.00000000003</v>
      </c>
      <c r="M61" s="239">
        <v>111</v>
      </c>
      <c r="N61" s="239">
        <v>427750</v>
      </c>
      <c r="O61" s="239"/>
      <c r="P61" s="239"/>
      <c r="Q61" s="239"/>
      <c r="R61" s="241"/>
      <c r="S61" s="242"/>
    </row>
    <row r="62" spans="1:19">
      <c r="A62" s="251"/>
      <c r="B62" s="200"/>
      <c r="C62" s="224" t="s">
        <v>96</v>
      </c>
      <c r="D62" s="237" t="s">
        <v>86</v>
      </c>
      <c r="E62" s="253"/>
      <c r="F62" s="253"/>
      <c r="G62" s="254" t="s">
        <v>36</v>
      </c>
      <c r="H62" s="258">
        <v>1</v>
      </c>
      <c r="I62" s="145">
        <v>450000</v>
      </c>
      <c r="J62" s="155">
        <v>450000</v>
      </c>
      <c r="K62" s="255">
        <v>0.41</v>
      </c>
      <c r="L62" s="145">
        <v>265500.00000000006</v>
      </c>
      <c r="M62" s="145"/>
      <c r="N62" s="145"/>
      <c r="O62" s="145"/>
      <c r="P62" s="145"/>
      <c r="Q62" s="145"/>
      <c r="R62" s="256"/>
      <c r="S62" s="257"/>
    </row>
    <row r="63" spans="1:19" ht="28.5">
      <c r="A63" s="259">
        <v>21</v>
      </c>
      <c r="B63" s="260" t="s">
        <v>161</v>
      </c>
      <c r="C63" s="261" t="s">
        <v>27</v>
      </c>
      <c r="D63" s="262" t="s">
        <v>162</v>
      </c>
      <c r="E63" s="263" t="s">
        <v>163</v>
      </c>
      <c r="F63" s="263"/>
      <c r="G63" s="264" t="s">
        <v>74</v>
      </c>
      <c r="H63" s="264">
        <v>1</v>
      </c>
      <c r="I63" s="265">
        <v>550000</v>
      </c>
      <c r="J63" s="154">
        <v>550000</v>
      </c>
      <c r="K63" s="266">
        <v>0.41</v>
      </c>
      <c r="L63" s="144">
        <v>324500.00000000006</v>
      </c>
      <c r="M63" s="265">
        <v>111</v>
      </c>
      <c r="N63" s="265">
        <v>2203650.0000000005</v>
      </c>
      <c r="O63" s="265"/>
      <c r="P63" s="265"/>
      <c r="Q63" s="265"/>
      <c r="R63" s="267"/>
      <c r="S63" s="268" t="s">
        <v>164</v>
      </c>
    </row>
    <row r="64" spans="1:19" ht="19.5">
      <c r="A64" s="251"/>
      <c r="B64" s="200"/>
      <c r="C64" s="269" t="s">
        <v>27</v>
      </c>
      <c r="D64" s="253" t="s">
        <v>165</v>
      </c>
      <c r="E64" s="253" t="s">
        <v>166</v>
      </c>
      <c r="F64" s="253"/>
      <c r="G64" s="254" t="s">
        <v>34</v>
      </c>
      <c r="H64" s="254">
        <v>7</v>
      </c>
      <c r="I64" s="145">
        <v>455000</v>
      </c>
      <c r="J64" s="155">
        <v>3185000</v>
      </c>
      <c r="K64" s="255">
        <v>0.41</v>
      </c>
      <c r="L64" s="145">
        <v>1879150.0000000002</v>
      </c>
      <c r="M64" s="145"/>
      <c r="N64" s="145"/>
      <c r="O64" s="145"/>
      <c r="P64" s="145"/>
      <c r="Q64" s="145"/>
      <c r="R64" s="256"/>
      <c r="S64" s="257"/>
    </row>
    <row r="65" spans="1:19">
      <c r="A65" s="229">
        <v>22</v>
      </c>
      <c r="B65" s="201" t="s">
        <v>167</v>
      </c>
      <c r="C65" s="230" t="s">
        <v>96</v>
      </c>
      <c r="D65" s="231" t="s">
        <v>86</v>
      </c>
      <c r="E65" s="231"/>
      <c r="F65" s="231"/>
      <c r="G65" s="232" t="s">
        <v>74</v>
      </c>
      <c r="H65" s="232">
        <v>1</v>
      </c>
      <c r="I65" s="146">
        <v>550000</v>
      </c>
      <c r="J65" s="156">
        <v>550000</v>
      </c>
      <c r="K65" s="233">
        <v>0.41</v>
      </c>
      <c r="L65" s="146">
        <v>324500.00000000006</v>
      </c>
      <c r="M65" s="146">
        <v>111</v>
      </c>
      <c r="N65" s="146">
        <v>324500</v>
      </c>
      <c r="O65" s="146"/>
      <c r="P65" s="146"/>
      <c r="Q65" s="146"/>
      <c r="R65" s="234"/>
      <c r="S65" s="235"/>
    </row>
    <row r="66" spans="1:19" ht="82.5">
      <c r="A66" s="259">
        <v>23</v>
      </c>
      <c r="B66" s="260" t="s">
        <v>168</v>
      </c>
      <c r="C66" s="270" t="s">
        <v>169</v>
      </c>
      <c r="D66" s="270" t="s">
        <v>170</v>
      </c>
      <c r="E66" s="270" t="s">
        <v>171</v>
      </c>
      <c r="F66" s="271" t="s">
        <v>172</v>
      </c>
      <c r="G66" s="264" t="s">
        <v>42</v>
      </c>
      <c r="H66" s="264">
        <v>2</v>
      </c>
      <c r="I66" s="265">
        <v>265000</v>
      </c>
      <c r="J66" s="154">
        <v>530000</v>
      </c>
      <c r="K66" s="266">
        <v>0.3</v>
      </c>
      <c r="L66" s="144">
        <v>371000</v>
      </c>
      <c r="M66" s="265">
        <v>111</v>
      </c>
      <c r="N66" s="265">
        <v>5145000</v>
      </c>
      <c r="O66" s="265"/>
      <c r="P66" s="265"/>
      <c r="Q66" s="265"/>
      <c r="R66" s="267"/>
      <c r="S66" s="306" t="s">
        <v>173</v>
      </c>
    </row>
    <row r="67" spans="1:19" ht="19.5">
      <c r="A67" s="243"/>
      <c r="B67" s="244"/>
      <c r="C67" s="270" t="s">
        <v>169</v>
      </c>
      <c r="D67" s="270" t="s">
        <v>170</v>
      </c>
      <c r="E67" s="272"/>
      <c r="F67" s="273"/>
      <c r="G67" s="246" t="s">
        <v>30</v>
      </c>
      <c r="H67" s="246">
        <v>2</v>
      </c>
      <c r="I67" s="247">
        <v>465000</v>
      </c>
      <c r="J67" s="149">
        <v>930000</v>
      </c>
      <c r="K67" s="248">
        <v>0.3</v>
      </c>
      <c r="L67" s="142">
        <v>651000</v>
      </c>
      <c r="M67" s="247"/>
      <c r="N67" s="247"/>
      <c r="O67" s="247"/>
      <c r="P67" s="247"/>
      <c r="Q67" s="247"/>
      <c r="R67" s="249"/>
      <c r="S67" s="250"/>
    </row>
    <row r="68" spans="1:19" ht="19.5">
      <c r="A68" s="243"/>
      <c r="B68" s="244"/>
      <c r="C68" s="270" t="s">
        <v>169</v>
      </c>
      <c r="D68" s="270" t="s">
        <v>170</v>
      </c>
      <c r="E68" s="272"/>
      <c r="F68" s="273"/>
      <c r="G68" s="246" t="s">
        <v>32</v>
      </c>
      <c r="H68" s="246">
        <v>2</v>
      </c>
      <c r="I68" s="247">
        <v>275000</v>
      </c>
      <c r="J68" s="149">
        <v>550000</v>
      </c>
      <c r="K68" s="248">
        <v>0.3</v>
      </c>
      <c r="L68" s="142">
        <v>385000</v>
      </c>
      <c r="M68" s="247"/>
      <c r="N68" s="247"/>
      <c r="O68" s="247"/>
      <c r="P68" s="247"/>
      <c r="Q68" s="247"/>
      <c r="R68" s="249"/>
      <c r="S68" s="250"/>
    </row>
    <row r="69" spans="1:19" ht="19.5">
      <c r="A69" s="243"/>
      <c r="B69" s="244"/>
      <c r="C69" s="270" t="s">
        <v>169</v>
      </c>
      <c r="D69" s="270" t="s">
        <v>170</v>
      </c>
      <c r="E69" s="272"/>
      <c r="F69" s="273"/>
      <c r="G69" s="246" t="s">
        <v>50</v>
      </c>
      <c r="H69" s="246">
        <v>2</v>
      </c>
      <c r="I69" s="247">
        <v>475000</v>
      </c>
      <c r="J69" s="149">
        <v>950000</v>
      </c>
      <c r="K69" s="248">
        <v>0.3</v>
      </c>
      <c r="L69" s="142">
        <v>665000</v>
      </c>
      <c r="M69" s="247"/>
      <c r="N69" s="247"/>
      <c r="O69" s="247"/>
      <c r="P69" s="247"/>
      <c r="Q69" s="247"/>
      <c r="R69" s="249"/>
      <c r="S69" s="250"/>
    </row>
    <row r="70" spans="1:19" ht="19.5">
      <c r="A70" s="243"/>
      <c r="B70" s="244"/>
      <c r="C70" s="270" t="s">
        <v>169</v>
      </c>
      <c r="D70" s="270" t="s">
        <v>170</v>
      </c>
      <c r="E70" s="272"/>
      <c r="F70" s="273"/>
      <c r="G70" s="246" t="s">
        <v>33</v>
      </c>
      <c r="H70" s="246">
        <v>2</v>
      </c>
      <c r="I70" s="247">
        <v>285000</v>
      </c>
      <c r="J70" s="149">
        <v>570000</v>
      </c>
      <c r="K70" s="248">
        <v>0.3</v>
      </c>
      <c r="L70" s="142">
        <v>399000</v>
      </c>
      <c r="M70" s="247"/>
      <c r="N70" s="247"/>
      <c r="O70" s="247"/>
      <c r="P70" s="247"/>
      <c r="Q70" s="247"/>
      <c r="R70" s="249"/>
      <c r="S70" s="250"/>
    </row>
    <row r="71" spans="1:19" ht="19.5">
      <c r="A71" s="243"/>
      <c r="B71" s="244"/>
      <c r="C71" s="270" t="s">
        <v>169</v>
      </c>
      <c r="D71" s="270" t="s">
        <v>170</v>
      </c>
      <c r="E71" s="272"/>
      <c r="F71" s="273"/>
      <c r="G71" s="246" t="s">
        <v>74</v>
      </c>
      <c r="H71" s="246">
        <v>2</v>
      </c>
      <c r="I71" s="247">
        <v>550000</v>
      </c>
      <c r="J71" s="149">
        <v>1100000</v>
      </c>
      <c r="K71" s="248">
        <v>0.3</v>
      </c>
      <c r="L71" s="142">
        <v>770000</v>
      </c>
      <c r="M71" s="247"/>
      <c r="N71" s="247"/>
      <c r="O71" s="247"/>
      <c r="P71" s="247"/>
      <c r="Q71" s="247"/>
      <c r="R71" s="249"/>
      <c r="S71" s="250"/>
    </row>
    <row r="72" spans="1:19" ht="19.5">
      <c r="A72" s="243"/>
      <c r="B72" s="244"/>
      <c r="C72" s="270" t="s">
        <v>169</v>
      </c>
      <c r="D72" s="270" t="s">
        <v>170</v>
      </c>
      <c r="E72" s="272"/>
      <c r="F72" s="273"/>
      <c r="G72" s="246" t="s">
        <v>36</v>
      </c>
      <c r="H72" s="246">
        <v>2</v>
      </c>
      <c r="I72" s="247">
        <v>450000</v>
      </c>
      <c r="J72" s="149">
        <v>900000</v>
      </c>
      <c r="K72" s="248">
        <v>0.3</v>
      </c>
      <c r="L72" s="142">
        <v>630000</v>
      </c>
      <c r="M72" s="247"/>
      <c r="N72" s="247"/>
      <c r="O72" s="247"/>
      <c r="P72" s="247"/>
      <c r="Q72" s="247"/>
      <c r="R72" s="249"/>
      <c r="S72" s="250"/>
    </row>
    <row r="73" spans="1:19" ht="19.5">
      <c r="A73" s="243"/>
      <c r="B73" s="244"/>
      <c r="C73" s="270" t="s">
        <v>169</v>
      </c>
      <c r="D73" s="270" t="s">
        <v>170</v>
      </c>
      <c r="E73" s="272"/>
      <c r="F73" s="273"/>
      <c r="G73" s="246" t="s">
        <v>34</v>
      </c>
      <c r="H73" s="246">
        <v>2</v>
      </c>
      <c r="I73" s="247">
        <v>455000</v>
      </c>
      <c r="J73" s="149">
        <v>910000</v>
      </c>
      <c r="K73" s="248">
        <v>0.3</v>
      </c>
      <c r="L73" s="142">
        <v>637000</v>
      </c>
      <c r="M73" s="247"/>
      <c r="N73" s="247"/>
      <c r="O73" s="247"/>
      <c r="P73" s="247"/>
      <c r="Q73" s="247"/>
      <c r="R73" s="249"/>
      <c r="S73" s="250"/>
    </row>
    <row r="74" spans="1:19" ht="19.5">
      <c r="A74" s="251"/>
      <c r="B74" s="200"/>
      <c r="C74" s="253" t="s">
        <v>169</v>
      </c>
      <c r="D74" s="253" t="s">
        <v>170</v>
      </c>
      <c r="E74" s="253"/>
      <c r="F74" s="274"/>
      <c r="G74" s="254" t="s">
        <v>46</v>
      </c>
      <c r="H74" s="254">
        <v>2</v>
      </c>
      <c r="I74" s="145">
        <v>455000</v>
      </c>
      <c r="J74" s="155">
        <v>910000</v>
      </c>
      <c r="K74" s="255">
        <v>0.3</v>
      </c>
      <c r="L74" s="145">
        <v>637000</v>
      </c>
      <c r="M74" s="145"/>
      <c r="N74" s="145"/>
      <c r="O74" s="145"/>
      <c r="P74" s="145"/>
      <c r="Q74" s="145"/>
      <c r="R74" s="256"/>
      <c r="S74" s="257"/>
    </row>
    <row r="75" spans="1:19">
      <c r="A75" s="236">
        <v>24</v>
      </c>
      <c r="B75" s="202" t="s">
        <v>174</v>
      </c>
      <c r="C75" s="224" t="s">
        <v>124</v>
      </c>
      <c r="D75" s="237" t="s">
        <v>86</v>
      </c>
      <c r="E75" s="237"/>
      <c r="F75" s="237"/>
      <c r="G75" s="238" t="s">
        <v>36</v>
      </c>
      <c r="H75" s="238">
        <v>1</v>
      </c>
      <c r="I75" s="239">
        <v>450000</v>
      </c>
      <c r="J75" s="154">
        <v>450000</v>
      </c>
      <c r="K75" s="240">
        <v>0.41</v>
      </c>
      <c r="L75" s="143">
        <v>265500.00000000006</v>
      </c>
      <c r="M75" s="239">
        <v>111</v>
      </c>
      <c r="N75" s="239">
        <v>1870000</v>
      </c>
      <c r="O75" s="239"/>
      <c r="P75" s="239"/>
      <c r="Q75" s="239"/>
      <c r="R75" s="241"/>
      <c r="S75" s="242"/>
    </row>
    <row r="76" spans="1:19">
      <c r="A76" s="243"/>
      <c r="B76" s="244"/>
      <c r="C76" s="224" t="s">
        <v>124</v>
      </c>
      <c r="D76" s="237" t="s">
        <v>86</v>
      </c>
      <c r="E76" s="245"/>
      <c r="F76" s="245"/>
      <c r="G76" s="246" t="s">
        <v>34</v>
      </c>
      <c r="H76" s="246">
        <v>5</v>
      </c>
      <c r="I76" s="247">
        <v>455000</v>
      </c>
      <c r="J76" s="149">
        <v>2275000</v>
      </c>
      <c r="K76" s="248">
        <v>0.41</v>
      </c>
      <c r="L76" s="142">
        <v>1342250.0000000002</v>
      </c>
      <c r="M76" s="247"/>
      <c r="N76" s="247"/>
      <c r="O76" s="247"/>
      <c r="P76" s="247"/>
      <c r="Q76" s="247"/>
      <c r="R76" s="249"/>
      <c r="S76" s="250"/>
    </row>
    <row r="77" spans="1:19">
      <c r="A77" s="243"/>
      <c r="B77" s="244"/>
      <c r="C77" s="224" t="s">
        <v>124</v>
      </c>
      <c r="D77" s="237" t="s">
        <v>86</v>
      </c>
      <c r="E77" s="245"/>
      <c r="F77" s="245"/>
      <c r="G77" s="246" t="s">
        <v>46</v>
      </c>
      <c r="H77" s="246">
        <v>1</v>
      </c>
      <c r="I77" s="247">
        <v>455000</v>
      </c>
      <c r="J77" s="149">
        <v>455000</v>
      </c>
      <c r="K77" s="248">
        <v>0.41</v>
      </c>
      <c r="L77" s="142">
        <v>268450.00000000006</v>
      </c>
      <c r="M77" s="247"/>
      <c r="N77" s="247"/>
      <c r="O77" s="247"/>
      <c r="P77" s="247"/>
      <c r="Q77" s="247"/>
      <c r="R77" s="249"/>
      <c r="S77" s="250"/>
    </row>
    <row r="78" spans="1:19">
      <c r="A78" s="251"/>
      <c r="B78" s="200"/>
      <c r="C78" s="224" t="s">
        <v>124</v>
      </c>
      <c r="D78" s="237" t="s">
        <v>86</v>
      </c>
      <c r="E78" s="253"/>
      <c r="F78" s="253"/>
      <c r="G78" s="254" t="s">
        <v>46</v>
      </c>
      <c r="H78" s="254">
        <v>1</v>
      </c>
      <c r="I78" s="145">
        <v>455000</v>
      </c>
      <c r="J78" s="155">
        <v>455000</v>
      </c>
      <c r="K78" s="255">
        <v>1</v>
      </c>
      <c r="L78" s="145">
        <v>0</v>
      </c>
      <c r="M78" s="145"/>
      <c r="N78" s="145"/>
      <c r="O78" s="145"/>
      <c r="P78" s="145"/>
      <c r="Q78" s="145"/>
      <c r="R78" s="256"/>
      <c r="S78" s="257" t="s">
        <v>175</v>
      </c>
    </row>
    <row r="79" spans="1:19">
      <c r="A79" s="229">
        <v>25</v>
      </c>
      <c r="B79" s="201" t="s">
        <v>168</v>
      </c>
      <c r="C79" s="230" t="s">
        <v>27</v>
      </c>
      <c r="D79" s="231" t="s">
        <v>176</v>
      </c>
      <c r="E79" s="231" t="s">
        <v>177</v>
      </c>
      <c r="F79" s="275" t="s">
        <v>178</v>
      </c>
      <c r="G79" s="232" t="s">
        <v>34</v>
      </c>
      <c r="H79" s="232">
        <v>36</v>
      </c>
      <c r="I79" s="146">
        <v>455000</v>
      </c>
      <c r="J79" s="156">
        <v>16380000</v>
      </c>
      <c r="K79" s="233">
        <v>0.41</v>
      </c>
      <c r="L79" s="146">
        <v>9664200.0000000019</v>
      </c>
      <c r="M79" s="146"/>
      <c r="N79" s="146"/>
      <c r="O79" s="146">
        <v>112</v>
      </c>
      <c r="P79" s="146">
        <v>9000000</v>
      </c>
      <c r="Q79" s="146">
        <v>131</v>
      </c>
      <c r="R79" s="234">
        <v>664200.00000000186</v>
      </c>
      <c r="S79" s="235"/>
    </row>
    <row r="80" spans="1:19">
      <c r="A80" s="229">
        <v>26</v>
      </c>
      <c r="B80" s="201" t="s">
        <v>179</v>
      </c>
      <c r="C80" s="230" t="s">
        <v>147</v>
      </c>
      <c r="D80" s="231" t="s">
        <v>86</v>
      </c>
      <c r="E80" s="231"/>
      <c r="F80" s="231"/>
      <c r="G80" s="232" t="s">
        <v>45</v>
      </c>
      <c r="H80" s="232">
        <v>1</v>
      </c>
      <c r="I80" s="146">
        <v>485000</v>
      </c>
      <c r="J80" s="156">
        <v>485000</v>
      </c>
      <c r="K80" s="233">
        <v>0.41</v>
      </c>
      <c r="L80" s="146">
        <v>286150.00000000006</v>
      </c>
      <c r="M80" s="146"/>
      <c r="N80" s="146"/>
      <c r="O80" s="146"/>
      <c r="P80" s="146"/>
      <c r="Q80" s="146">
        <v>131</v>
      </c>
      <c r="R80" s="234">
        <v>286150.00000000006</v>
      </c>
      <c r="S80" s="235"/>
    </row>
    <row r="81" spans="1:19">
      <c r="A81" s="229">
        <v>27</v>
      </c>
      <c r="B81" s="201" t="s">
        <v>168</v>
      </c>
      <c r="C81" s="230" t="s">
        <v>96</v>
      </c>
      <c r="D81" s="231" t="s">
        <v>86</v>
      </c>
      <c r="E81" s="231"/>
      <c r="F81" s="231"/>
      <c r="G81" s="232" t="s">
        <v>42</v>
      </c>
      <c r="H81" s="232">
        <v>1</v>
      </c>
      <c r="I81" s="146">
        <v>265000</v>
      </c>
      <c r="J81" s="156">
        <v>265000</v>
      </c>
      <c r="K81" s="233">
        <v>0.41</v>
      </c>
      <c r="L81" s="146">
        <v>156350.00000000003</v>
      </c>
      <c r="M81" s="146">
        <v>111</v>
      </c>
      <c r="N81" s="146">
        <v>156350</v>
      </c>
      <c r="O81" s="146"/>
      <c r="P81" s="146"/>
      <c r="Q81" s="146"/>
      <c r="R81" s="234"/>
      <c r="S81" s="235"/>
    </row>
    <row r="82" spans="1:19">
      <c r="A82" s="229">
        <v>28</v>
      </c>
      <c r="B82" s="201" t="s">
        <v>174</v>
      </c>
      <c r="C82" s="230" t="s">
        <v>156</v>
      </c>
      <c r="D82" s="231" t="s">
        <v>86</v>
      </c>
      <c r="E82" s="231"/>
      <c r="F82" s="231"/>
      <c r="G82" s="232" t="s">
        <v>34</v>
      </c>
      <c r="H82" s="232">
        <v>1</v>
      </c>
      <c r="I82" s="146">
        <v>455000</v>
      </c>
      <c r="J82" s="156">
        <v>455000</v>
      </c>
      <c r="K82" s="233">
        <v>0.41</v>
      </c>
      <c r="L82" s="146">
        <v>268450.00000000006</v>
      </c>
      <c r="M82" s="146"/>
      <c r="N82" s="146"/>
      <c r="O82" s="146">
        <v>112</v>
      </c>
      <c r="P82" s="146">
        <v>268450.00000000006</v>
      </c>
      <c r="Q82" s="146"/>
      <c r="R82" s="234"/>
      <c r="S82" s="235" t="s">
        <v>127</v>
      </c>
    </row>
    <row r="83" spans="1:19">
      <c r="A83" s="229">
        <v>29</v>
      </c>
      <c r="B83" s="201" t="s">
        <v>180</v>
      </c>
      <c r="C83" s="230" t="s">
        <v>156</v>
      </c>
      <c r="D83" s="231" t="s">
        <v>86</v>
      </c>
      <c r="E83" s="231"/>
      <c r="F83" s="231"/>
      <c r="G83" s="232" t="s">
        <v>34</v>
      </c>
      <c r="H83" s="232">
        <v>2</v>
      </c>
      <c r="I83" s="146">
        <v>455000</v>
      </c>
      <c r="J83" s="156">
        <v>910000</v>
      </c>
      <c r="K83" s="233">
        <v>0.1</v>
      </c>
      <c r="L83" s="146">
        <v>819000</v>
      </c>
      <c r="M83" s="146"/>
      <c r="N83" s="146"/>
      <c r="O83" s="146">
        <v>112</v>
      </c>
      <c r="P83" s="146">
        <v>819000</v>
      </c>
      <c r="Q83" s="146"/>
      <c r="R83" s="234"/>
      <c r="S83" s="235" t="s">
        <v>127</v>
      </c>
    </row>
    <row r="84" spans="1:19" ht="19.5">
      <c r="A84" s="229">
        <v>30</v>
      </c>
      <c r="B84" s="201" t="s">
        <v>168</v>
      </c>
      <c r="C84" s="230" t="s">
        <v>27</v>
      </c>
      <c r="D84" s="231" t="s">
        <v>181</v>
      </c>
      <c r="E84" s="231" t="s">
        <v>182</v>
      </c>
      <c r="F84" s="275" t="s">
        <v>183</v>
      </c>
      <c r="G84" s="232" t="s">
        <v>72</v>
      </c>
      <c r="H84" s="232">
        <v>24</v>
      </c>
      <c r="I84" s="146">
        <v>285000</v>
      </c>
      <c r="J84" s="156">
        <v>6840000</v>
      </c>
      <c r="K84" s="233">
        <v>0.3</v>
      </c>
      <c r="L84" s="146">
        <v>4788000</v>
      </c>
      <c r="M84" s="146"/>
      <c r="N84" s="146"/>
      <c r="O84" s="146"/>
      <c r="P84" s="146"/>
      <c r="Q84" s="146">
        <v>131</v>
      </c>
      <c r="R84" s="234">
        <v>4788000</v>
      </c>
      <c r="S84" s="235"/>
    </row>
    <row r="85" spans="1:19">
      <c r="A85" s="229">
        <v>31</v>
      </c>
      <c r="B85" s="201" t="s">
        <v>179</v>
      </c>
      <c r="C85" s="230" t="s">
        <v>156</v>
      </c>
      <c r="D85" s="231" t="s">
        <v>86</v>
      </c>
      <c r="E85" s="231"/>
      <c r="F85" s="231"/>
      <c r="G85" s="232" t="s">
        <v>34</v>
      </c>
      <c r="H85" s="232">
        <v>1</v>
      </c>
      <c r="I85" s="146">
        <v>455000</v>
      </c>
      <c r="J85" s="156">
        <v>455000</v>
      </c>
      <c r="K85" s="233">
        <v>0.41</v>
      </c>
      <c r="L85" s="146">
        <v>268450.00000000006</v>
      </c>
      <c r="M85" s="146"/>
      <c r="N85" s="146"/>
      <c r="O85" s="146">
        <v>112</v>
      </c>
      <c r="P85" s="146">
        <v>268450.00000000006</v>
      </c>
      <c r="Q85" s="146"/>
      <c r="R85" s="234"/>
      <c r="S85" s="235" t="s">
        <v>127</v>
      </c>
    </row>
    <row r="86" spans="1:19" ht="28.5">
      <c r="A86" s="236">
        <v>32</v>
      </c>
      <c r="B86" s="202" t="s">
        <v>168</v>
      </c>
      <c r="C86" s="291" t="s">
        <v>27</v>
      </c>
      <c r="D86" s="270" t="s">
        <v>184</v>
      </c>
      <c r="E86" s="270" t="s">
        <v>185</v>
      </c>
      <c r="F86" s="245"/>
      <c r="G86" s="246" t="s">
        <v>30</v>
      </c>
      <c r="H86" s="246">
        <v>2</v>
      </c>
      <c r="I86" s="247">
        <v>465000</v>
      </c>
      <c r="J86" s="154">
        <v>930000</v>
      </c>
      <c r="K86" s="248">
        <v>0.41</v>
      </c>
      <c r="L86" s="142">
        <v>548700.00000000012</v>
      </c>
      <c r="M86" s="247"/>
      <c r="N86" s="247"/>
      <c r="O86" s="247"/>
      <c r="P86" s="247"/>
      <c r="Q86" s="247">
        <v>131</v>
      </c>
      <c r="R86" s="249">
        <v>2244950.0000000005</v>
      </c>
      <c r="S86" s="1663" t="s">
        <v>186</v>
      </c>
    </row>
    <row r="87" spans="1:19" ht="19.5">
      <c r="A87" s="288"/>
      <c r="B87" s="147"/>
      <c r="C87" s="286" t="s">
        <v>27</v>
      </c>
      <c r="D87" s="272" t="s">
        <v>184</v>
      </c>
      <c r="E87" s="272"/>
      <c r="F87" s="272"/>
      <c r="G87" s="246" t="s">
        <v>33</v>
      </c>
      <c r="H87" s="246">
        <v>1</v>
      </c>
      <c r="I87" s="247">
        <v>285000</v>
      </c>
      <c r="J87" s="149">
        <v>285000</v>
      </c>
      <c r="K87" s="248">
        <v>0.41</v>
      </c>
      <c r="L87" s="142">
        <v>168150.00000000003</v>
      </c>
      <c r="M87" s="247"/>
      <c r="N87" s="247"/>
      <c r="O87" s="247"/>
      <c r="P87" s="247"/>
      <c r="Q87" s="247"/>
      <c r="R87" s="249"/>
      <c r="S87" s="1664"/>
    </row>
    <row r="88" spans="1:19" ht="19.5">
      <c r="A88" s="288"/>
      <c r="B88" s="147"/>
      <c r="C88" s="286" t="s">
        <v>27</v>
      </c>
      <c r="D88" s="272" t="s">
        <v>184</v>
      </c>
      <c r="E88" s="272"/>
      <c r="F88" s="272"/>
      <c r="G88" s="246" t="s">
        <v>45</v>
      </c>
      <c r="H88" s="246">
        <v>1</v>
      </c>
      <c r="I88" s="247">
        <v>485000</v>
      </c>
      <c r="J88" s="149">
        <v>485000</v>
      </c>
      <c r="K88" s="248">
        <v>0.41</v>
      </c>
      <c r="L88" s="142">
        <v>286150.00000000006</v>
      </c>
      <c r="M88" s="247"/>
      <c r="N88" s="247"/>
      <c r="O88" s="247"/>
      <c r="P88" s="247"/>
      <c r="Q88" s="247"/>
      <c r="R88" s="249"/>
      <c r="S88" s="1665"/>
    </row>
    <row r="89" spans="1:19" ht="19.5">
      <c r="A89" s="288"/>
      <c r="B89" s="147"/>
      <c r="C89" s="286" t="s">
        <v>27</v>
      </c>
      <c r="D89" s="272" t="s">
        <v>184</v>
      </c>
      <c r="E89" s="272"/>
      <c r="F89" s="272"/>
      <c r="G89" s="246" t="s">
        <v>74</v>
      </c>
      <c r="H89" s="246">
        <v>3</v>
      </c>
      <c r="I89" s="247">
        <v>550000</v>
      </c>
      <c r="J89" s="149">
        <v>1650000</v>
      </c>
      <c r="K89" s="248">
        <v>0.41</v>
      </c>
      <c r="L89" s="142">
        <v>973500.00000000012</v>
      </c>
      <c r="M89" s="247"/>
      <c r="N89" s="247"/>
      <c r="O89" s="247"/>
      <c r="P89" s="247"/>
      <c r="Q89" s="247"/>
      <c r="R89" s="249"/>
      <c r="S89" s="250"/>
    </row>
    <row r="90" spans="1:19" ht="19.5">
      <c r="A90" s="287"/>
      <c r="B90" s="285"/>
      <c r="C90" s="269" t="s">
        <v>27</v>
      </c>
      <c r="D90" s="253" t="s">
        <v>184</v>
      </c>
      <c r="E90" s="253"/>
      <c r="F90" s="252"/>
      <c r="G90" s="254" t="s">
        <v>46</v>
      </c>
      <c r="H90" s="254">
        <v>1</v>
      </c>
      <c r="I90" s="145">
        <v>455000</v>
      </c>
      <c r="J90" s="155">
        <v>455000</v>
      </c>
      <c r="K90" s="255">
        <v>0.41</v>
      </c>
      <c r="L90" s="145">
        <v>268450.00000000006</v>
      </c>
      <c r="M90" s="145"/>
      <c r="N90" s="145"/>
      <c r="O90" s="145"/>
      <c r="P90" s="145"/>
      <c r="Q90" s="145"/>
      <c r="R90" s="256"/>
      <c r="S90" s="257"/>
    </row>
    <row r="91" spans="1:19" ht="28.5">
      <c r="A91" s="229">
        <v>33</v>
      </c>
      <c r="B91" s="201" t="s">
        <v>179</v>
      </c>
      <c r="C91" s="230" t="s">
        <v>27</v>
      </c>
      <c r="D91" s="231" t="s">
        <v>187</v>
      </c>
      <c r="E91" s="231"/>
      <c r="F91" s="231"/>
      <c r="G91" s="232" t="s">
        <v>36</v>
      </c>
      <c r="H91" s="232">
        <v>3</v>
      </c>
      <c r="I91" s="146">
        <v>450000</v>
      </c>
      <c r="J91" s="156">
        <v>1350000</v>
      </c>
      <c r="K91" s="233">
        <v>1</v>
      </c>
      <c r="L91" s="146">
        <v>0</v>
      </c>
      <c r="M91" s="146"/>
      <c r="N91" s="146"/>
      <c r="O91" s="146"/>
      <c r="P91" s="146"/>
      <c r="Q91" s="146"/>
      <c r="R91" s="234"/>
      <c r="S91" s="276" t="s">
        <v>188</v>
      </c>
    </row>
    <row r="92" spans="1:19">
      <c r="A92" s="236">
        <v>34</v>
      </c>
      <c r="B92" s="202" t="s">
        <v>174</v>
      </c>
      <c r="C92" s="270" t="s">
        <v>169</v>
      </c>
      <c r="D92" s="270" t="s">
        <v>189</v>
      </c>
      <c r="E92" s="270" t="s">
        <v>190</v>
      </c>
      <c r="F92" s="277" t="s">
        <v>191</v>
      </c>
      <c r="G92" s="238" t="s">
        <v>45</v>
      </c>
      <c r="H92" s="238">
        <v>1</v>
      </c>
      <c r="I92" s="239">
        <v>485000</v>
      </c>
      <c r="J92" s="154">
        <v>485000</v>
      </c>
      <c r="K92" s="240"/>
      <c r="L92" s="143">
        <v>485000</v>
      </c>
      <c r="M92" s="239">
        <v>111</v>
      </c>
      <c r="N92" s="239">
        <v>940000</v>
      </c>
      <c r="O92" s="239"/>
      <c r="P92" s="239"/>
      <c r="Q92" s="239"/>
      <c r="R92" s="241"/>
      <c r="S92" s="242"/>
    </row>
    <row r="93" spans="1:19">
      <c r="A93" s="251"/>
      <c r="B93" s="200"/>
      <c r="C93" s="253" t="s">
        <v>169</v>
      </c>
      <c r="D93" s="253" t="s">
        <v>189</v>
      </c>
      <c r="E93" s="253" t="s">
        <v>190</v>
      </c>
      <c r="F93" s="274" t="s">
        <v>191</v>
      </c>
      <c r="G93" s="254" t="s">
        <v>34</v>
      </c>
      <c r="H93" s="254">
        <v>1</v>
      </c>
      <c r="I93" s="145">
        <v>455000</v>
      </c>
      <c r="J93" s="155">
        <v>455000</v>
      </c>
      <c r="K93" s="255"/>
      <c r="L93" s="145">
        <v>455000</v>
      </c>
      <c r="M93" s="145"/>
      <c r="N93" s="145"/>
      <c r="O93" s="145"/>
      <c r="P93" s="145"/>
      <c r="Q93" s="145"/>
      <c r="R93" s="256"/>
      <c r="S93" s="257"/>
    </row>
    <row r="94" spans="1:19">
      <c r="A94" s="236">
        <v>35</v>
      </c>
      <c r="B94" s="202" t="s">
        <v>174</v>
      </c>
      <c r="C94" s="270" t="s">
        <v>169</v>
      </c>
      <c r="D94" s="270" t="s">
        <v>192</v>
      </c>
      <c r="E94" s="270" t="s">
        <v>190</v>
      </c>
      <c r="F94" s="277" t="s">
        <v>193</v>
      </c>
      <c r="G94" s="238" t="s">
        <v>30</v>
      </c>
      <c r="H94" s="238">
        <v>1</v>
      </c>
      <c r="I94" s="239">
        <v>465000</v>
      </c>
      <c r="J94" s="154">
        <v>465000</v>
      </c>
      <c r="K94" s="240">
        <v>0.35</v>
      </c>
      <c r="L94" s="143">
        <v>302250</v>
      </c>
      <c r="M94" s="239">
        <v>111</v>
      </c>
      <c r="N94" s="239">
        <v>906750</v>
      </c>
      <c r="O94" s="239"/>
      <c r="P94" s="239"/>
      <c r="Q94" s="239"/>
      <c r="R94" s="241"/>
      <c r="S94" s="242"/>
    </row>
    <row r="95" spans="1:19">
      <c r="A95" s="243"/>
      <c r="B95" s="244"/>
      <c r="C95" s="270" t="s">
        <v>169</v>
      </c>
      <c r="D95" s="270" t="s">
        <v>192</v>
      </c>
      <c r="E95" s="272"/>
      <c r="F95" s="273"/>
      <c r="G95" s="246" t="s">
        <v>50</v>
      </c>
      <c r="H95" s="246">
        <v>1</v>
      </c>
      <c r="I95" s="247">
        <v>475000</v>
      </c>
      <c r="J95" s="149">
        <v>475000</v>
      </c>
      <c r="K95" s="248">
        <v>0.35</v>
      </c>
      <c r="L95" s="142">
        <v>308750</v>
      </c>
      <c r="M95" s="247"/>
      <c r="N95" s="247"/>
      <c r="O95" s="247"/>
      <c r="P95" s="247"/>
      <c r="Q95" s="247"/>
      <c r="R95" s="249"/>
      <c r="S95" s="250"/>
    </row>
    <row r="96" spans="1:19" ht="19.5">
      <c r="A96" s="243"/>
      <c r="B96" s="244"/>
      <c r="C96" s="270" t="s">
        <v>169</v>
      </c>
      <c r="D96" s="270" t="s">
        <v>192</v>
      </c>
      <c r="E96" s="272"/>
      <c r="F96" s="273"/>
      <c r="G96" s="246" t="s">
        <v>74</v>
      </c>
      <c r="H96" s="246">
        <v>1</v>
      </c>
      <c r="I96" s="247">
        <v>550000</v>
      </c>
      <c r="J96" s="149">
        <v>550000</v>
      </c>
      <c r="K96" s="248">
        <v>1</v>
      </c>
      <c r="L96" s="142">
        <v>0</v>
      </c>
      <c r="M96" s="247"/>
      <c r="N96" s="247"/>
      <c r="O96" s="247"/>
      <c r="P96" s="247"/>
      <c r="Q96" s="247"/>
      <c r="R96" s="249"/>
      <c r="S96" s="278" t="s">
        <v>194</v>
      </c>
    </row>
    <row r="97" spans="1:19">
      <c r="A97" s="251"/>
      <c r="B97" s="200"/>
      <c r="C97" s="270" t="s">
        <v>169</v>
      </c>
      <c r="D97" s="270" t="s">
        <v>192</v>
      </c>
      <c r="E97" s="253"/>
      <c r="F97" s="274"/>
      <c r="G97" s="254" t="s">
        <v>46</v>
      </c>
      <c r="H97" s="254">
        <v>1</v>
      </c>
      <c r="I97" s="145">
        <v>455000</v>
      </c>
      <c r="J97" s="155">
        <v>455000</v>
      </c>
      <c r="K97" s="255">
        <v>0.35</v>
      </c>
      <c r="L97" s="145">
        <v>295750</v>
      </c>
      <c r="M97" s="145"/>
      <c r="N97" s="145"/>
      <c r="O97" s="145"/>
      <c r="P97" s="145"/>
      <c r="Q97" s="145"/>
      <c r="R97" s="256"/>
      <c r="S97" s="257"/>
    </row>
    <row r="98" spans="1:19" ht="19.5">
      <c r="A98" s="259">
        <v>36</v>
      </c>
      <c r="B98" s="260" t="s">
        <v>174</v>
      </c>
      <c r="C98" s="262" t="s">
        <v>169</v>
      </c>
      <c r="D98" s="262" t="s">
        <v>195</v>
      </c>
      <c r="E98" s="262" t="s">
        <v>145</v>
      </c>
      <c r="F98" s="263"/>
      <c r="G98" s="264" t="s">
        <v>36</v>
      </c>
      <c r="H98" s="264">
        <v>7</v>
      </c>
      <c r="I98" s="265">
        <v>450000</v>
      </c>
      <c r="J98" s="154">
        <v>3150000</v>
      </c>
      <c r="K98" s="266">
        <v>1</v>
      </c>
      <c r="L98" s="144">
        <v>0</v>
      </c>
      <c r="M98" s="265"/>
      <c r="N98" s="265"/>
      <c r="O98" s="265"/>
      <c r="P98" s="265"/>
      <c r="Q98" s="265"/>
      <c r="R98" s="267"/>
      <c r="S98" s="279" t="s">
        <v>194</v>
      </c>
    </row>
    <row r="99" spans="1:19">
      <c r="A99" s="251"/>
      <c r="B99" s="200"/>
      <c r="C99" s="253" t="s">
        <v>169</v>
      </c>
      <c r="D99" s="253" t="s">
        <v>195</v>
      </c>
      <c r="E99" s="253" t="s">
        <v>145</v>
      </c>
      <c r="F99" s="253"/>
      <c r="G99" s="254" t="s">
        <v>34</v>
      </c>
      <c r="H99" s="254">
        <v>1</v>
      </c>
      <c r="I99" s="145">
        <v>455000</v>
      </c>
      <c r="J99" s="155">
        <v>455000</v>
      </c>
      <c r="K99" s="255">
        <v>1</v>
      </c>
      <c r="L99" s="145">
        <v>0</v>
      </c>
      <c r="M99" s="145"/>
      <c r="N99" s="145"/>
      <c r="O99" s="145"/>
      <c r="P99" s="145"/>
      <c r="Q99" s="145"/>
      <c r="R99" s="256"/>
      <c r="S99" s="257"/>
    </row>
    <row r="100" spans="1:19">
      <c r="A100" s="236">
        <v>37</v>
      </c>
      <c r="B100" s="202" t="s">
        <v>174</v>
      </c>
      <c r="C100" s="224" t="s">
        <v>27</v>
      </c>
      <c r="D100" s="237" t="s">
        <v>196</v>
      </c>
      <c r="E100" s="237" t="s">
        <v>190</v>
      </c>
      <c r="F100" s="237"/>
      <c r="G100" s="238" t="s">
        <v>42</v>
      </c>
      <c r="H100" s="238">
        <v>1</v>
      </c>
      <c r="I100" s="239">
        <v>265000</v>
      </c>
      <c r="J100" s="154">
        <v>265000</v>
      </c>
      <c r="K100" s="240">
        <v>0.5</v>
      </c>
      <c r="L100" s="143">
        <v>132500</v>
      </c>
      <c r="M100" s="239"/>
      <c r="N100" s="239"/>
      <c r="O100" s="239"/>
      <c r="P100" s="239"/>
      <c r="Q100" s="239">
        <v>131</v>
      </c>
      <c r="R100" s="241">
        <v>2210000</v>
      </c>
      <c r="S100" s="242"/>
    </row>
    <row r="101" spans="1:19" ht="19.5">
      <c r="A101" s="243"/>
      <c r="B101" s="244" t="s">
        <v>174</v>
      </c>
      <c r="C101" s="296" t="s">
        <v>27</v>
      </c>
      <c r="D101" s="245" t="s">
        <v>196</v>
      </c>
      <c r="E101" s="245" t="s">
        <v>197</v>
      </c>
      <c r="F101" s="245"/>
      <c r="G101" s="246" t="s">
        <v>30</v>
      </c>
      <c r="H101" s="246">
        <v>1</v>
      </c>
      <c r="I101" s="247">
        <v>465000</v>
      </c>
      <c r="J101" s="149">
        <v>465000</v>
      </c>
      <c r="K101" s="248">
        <v>0.5</v>
      </c>
      <c r="L101" s="142">
        <v>232500</v>
      </c>
      <c r="M101" s="247"/>
      <c r="N101" s="247"/>
      <c r="O101" s="247"/>
      <c r="P101" s="247"/>
      <c r="Q101" s="247"/>
      <c r="R101" s="249"/>
      <c r="S101" s="250"/>
    </row>
    <row r="102" spans="1:19">
      <c r="A102" s="243"/>
      <c r="B102" s="202" t="s">
        <v>174</v>
      </c>
      <c r="C102" s="224" t="s">
        <v>27</v>
      </c>
      <c r="D102" s="237" t="s">
        <v>196</v>
      </c>
      <c r="E102" s="237"/>
      <c r="F102" s="245"/>
      <c r="G102" s="246" t="s">
        <v>32</v>
      </c>
      <c r="H102" s="246">
        <v>1</v>
      </c>
      <c r="I102" s="247">
        <v>275000</v>
      </c>
      <c r="J102" s="149">
        <v>275000</v>
      </c>
      <c r="K102" s="248">
        <v>0.5</v>
      </c>
      <c r="L102" s="142">
        <v>137500</v>
      </c>
      <c r="M102" s="247"/>
      <c r="N102" s="247"/>
      <c r="O102" s="247"/>
      <c r="P102" s="247"/>
      <c r="Q102" s="247"/>
      <c r="R102" s="249"/>
      <c r="S102" s="250"/>
    </row>
    <row r="103" spans="1:19">
      <c r="A103" s="243"/>
      <c r="B103" s="202" t="s">
        <v>174</v>
      </c>
      <c r="C103" s="224" t="s">
        <v>27</v>
      </c>
      <c r="D103" s="237" t="s">
        <v>196</v>
      </c>
      <c r="E103" s="237"/>
      <c r="F103" s="245"/>
      <c r="G103" s="246" t="s">
        <v>33</v>
      </c>
      <c r="H103" s="246">
        <v>1</v>
      </c>
      <c r="I103" s="247">
        <v>285000</v>
      </c>
      <c r="J103" s="149">
        <v>285000</v>
      </c>
      <c r="K103" s="248">
        <v>0.5</v>
      </c>
      <c r="L103" s="142">
        <v>142500</v>
      </c>
      <c r="M103" s="247"/>
      <c r="N103" s="247"/>
      <c r="O103" s="247"/>
      <c r="P103" s="247"/>
      <c r="Q103" s="247"/>
      <c r="R103" s="249"/>
      <c r="S103" s="250"/>
    </row>
    <row r="104" spans="1:19">
      <c r="A104" s="243"/>
      <c r="B104" s="202" t="s">
        <v>174</v>
      </c>
      <c r="C104" s="224" t="s">
        <v>27</v>
      </c>
      <c r="D104" s="237" t="s">
        <v>196</v>
      </c>
      <c r="E104" s="237"/>
      <c r="F104" s="245"/>
      <c r="G104" s="246" t="s">
        <v>45</v>
      </c>
      <c r="H104" s="246">
        <v>1</v>
      </c>
      <c r="I104" s="247">
        <v>485000</v>
      </c>
      <c r="J104" s="149">
        <v>485000</v>
      </c>
      <c r="K104" s="248">
        <v>0.5</v>
      </c>
      <c r="L104" s="142">
        <v>242500</v>
      </c>
      <c r="M104" s="247"/>
      <c r="N104" s="247"/>
      <c r="O104" s="247"/>
      <c r="P104" s="247"/>
      <c r="Q104" s="247"/>
      <c r="R104" s="249"/>
      <c r="S104" s="250"/>
    </row>
    <row r="105" spans="1:19">
      <c r="A105" s="243"/>
      <c r="B105" s="202" t="s">
        <v>174</v>
      </c>
      <c r="C105" s="224" t="s">
        <v>27</v>
      </c>
      <c r="D105" s="237" t="s">
        <v>196</v>
      </c>
      <c r="E105" s="237"/>
      <c r="F105" s="245"/>
      <c r="G105" s="246" t="s">
        <v>72</v>
      </c>
      <c r="H105" s="246">
        <v>1</v>
      </c>
      <c r="I105" s="247">
        <v>285000</v>
      </c>
      <c r="J105" s="149">
        <v>285000</v>
      </c>
      <c r="K105" s="248">
        <v>0.5</v>
      </c>
      <c r="L105" s="142">
        <v>142500</v>
      </c>
      <c r="M105" s="247"/>
      <c r="N105" s="247"/>
      <c r="O105" s="247"/>
      <c r="P105" s="247"/>
      <c r="Q105" s="247"/>
      <c r="R105" s="249"/>
      <c r="S105" s="250"/>
    </row>
    <row r="106" spans="1:19">
      <c r="A106" s="243"/>
      <c r="B106" s="202" t="s">
        <v>174</v>
      </c>
      <c r="C106" s="224" t="s">
        <v>27</v>
      </c>
      <c r="D106" s="237" t="s">
        <v>196</v>
      </c>
      <c r="E106" s="237"/>
      <c r="F106" s="245"/>
      <c r="G106" s="246" t="s">
        <v>74</v>
      </c>
      <c r="H106" s="246">
        <v>1</v>
      </c>
      <c r="I106" s="247">
        <v>550000</v>
      </c>
      <c r="J106" s="149">
        <v>550000</v>
      </c>
      <c r="K106" s="248">
        <v>0.5</v>
      </c>
      <c r="L106" s="142">
        <v>275000</v>
      </c>
      <c r="M106" s="247"/>
      <c r="N106" s="247"/>
      <c r="O106" s="247"/>
      <c r="P106" s="247"/>
      <c r="Q106" s="247"/>
      <c r="R106" s="249"/>
      <c r="S106" s="250"/>
    </row>
    <row r="107" spans="1:19">
      <c r="A107" s="243"/>
      <c r="B107" s="202" t="s">
        <v>174</v>
      </c>
      <c r="C107" s="224" t="s">
        <v>27</v>
      </c>
      <c r="D107" s="237" t="s">
        <v>196</v>
      </c>
      <c r="E107" s="237"/>
      <c r="F107" s="245"/>
      <c r="G107" s="246" t="s">
        <v>36</v>
      </c>
      <c r="H107" s="246">
        <v>2</v>
      </c>
      <c r="I107" s="247">
        <v>450000</v>
      </c>
      <c r="J107" s="149">
        <v>900000</v>
      </c>
      <c r="K107" s="248">
        <v>0.5</v>
      </c>
      <c r="L107" s="142">
        <v>450000</v>
      </c>
      <c r="M107" s="247"/>
      <c r="N107" s="247"/>
      <c r="O107" s="247"/>
      <c r="P107" s="247"/>
      <c r="Q107" s="247"/>
      <c r="R107" s="249"/>
      <c r="S107" s="250"/>
    </row>
    <row r="108" spans="1:19">
      <c r="A108" s="243"/>
      <c r="B108" s="199" t="s">
        <v>174</v>
      </c>
      <c r="C108" s="291" t="s">
        <v>27</v>
      </c>
      <c r="D108" s="270" t="s">
        <v>196</v>
      </c>
      <c r="E108" s="270"/>
      <c r="F108" s="245"/>
      <c r="G108" s="246" t="s">
        <v>34</v>
      </c>
      <c r="H108" s="246">
        <v>1</v>
      </c>
      <c r="I108" s="247">
        <v>455000</v>
      </c>
      <c r="J108" s="149">
        <v>455000</v>
      </c>
      <c r="K108" s="248">
        <v>0.5</v>
      </c>
      <c r="L108" s="142">
        <v>227500</v>
      </c>
      <c r="M108" s="247"/>
      <c r="N108" s="247"/>
      <c r="O108" s="247"/>
      <c r="P108" s="247"/>
      <c r="Q108" s="247"/>
      <c r="R108" s="249"/>
      <c r="S108" s="250"/>
    </row>
    <row r="109" spans="1:19">
      <c r="A109" s="251"/>
      <c r="B109" s="285" t="s">
        <v>174</v>
      </c>
      <c r="C109" s="225" t="s">
        <v>27</v>
      </c>
      <c r="D109" s="252" t="s">
        <v>196</v>
      </c>
      <c r="E109" s="252"/>
      <c r="F109" s="253"/>
      <c r="G109" s="254" t="s">
        <v>46</v>
      </c>
      <c r="H109" s="254">
        <v>1</v>
      </c>
      <c r="I109" s="145">
        <v>455000</v>
      </c>
      <c r="J109" s="155">
        <v>455000</v>
      </c>
      <c r="K109" s="255">
        <v>0.5</v>
      </c>
      <c r="L109" s="145">
        <v>227500</v>
      </c>
      <c r="M109" s="145"/>
      <c r="N109" s="145"/>
      <c r="O109" s="145"/>
      <c r="P109" s="145"/>
      <c r="Q109" s="145"/>
      <c r="R109" s="256"/>
      <c r="S109" s="257"/>
    </row>
    <row r="110" spans="1:19" ht="19.5">
      <c r="A110" s="236">
        <v>38</v>
      </c>
      <c r="B110" s="202" t="s">
        <v>198</v>
      </c>
      <c r="C110" s="270" t="s">
        <v>169</v>
      </c>
      <c r="D110" s="270" t="s">
        <v>199</v>
      </c>
      <c r="E110" s="270" t="s">
        <v>200</v>
      </c>
      <c r="F110" s="277" t="s">
        <v>201</v>
      </c>
      <c r="G110" s="238" t="s">
        <v>30</v>
      </c>
      <c r="H110" s="238">
        <v>48</v>
      </c>
      <c r="I110" s="239">
        <v>465000</v>
      </c>
      <c r="J110" s="154">
        <v>22320000</v>
      </c>
      <c r="K110" s="240">
        <v>0.5</v>
      </c>
      <c r="L110" s="143">
        <v>11160000</v>
      </c>
      <c r="M110" s="239"/>
      <c r="N110" s="239"/>
      <c r="O110" s="239"/>
      <c r="P110" s="239"/>
      <c r="Q110" s="239">
        <v>131</v>
      </c>
      <c r="R110" s="241">
        <v>70560000</v>
      </c>
      <c r="S110" s="242"/>
    </row>
    <row r="111" spans="1:19">
      <c r="A111" s="243"/>
      <c r="B111" s="202" t="s">
        <v>198</v>
      </c>
      <c r="C111" s="270" t="s">
        <v>169</v>
      </c>
      <c r="D111" s="270" t="s">
        <v>199</v>
      </c>
      <c r="E111" s="272"/>
      <c r="F111" s="273"/>
      <c r="G111" s="246" t="s">
        <v>32</v>
      </c>
      <c r="H111" s="246">
        <v>24</v>
      </c>
      <c r="I111" s="247">
        <v>275000</v>
      </c>
      <c r="J111" s="149">
        <v>6600000</v>
      </c>
      <c r="K111" s="248">
        <v>0.5</v>
      </c>
      <c r="L111" s="142">
        <v>3300000</v>
      </c>
      <c r="M111" s="247"/>
      <c r="N111" s="247"/>
      <c r="O111" s="247"/>
      <c r="P111" s="247"/>
      <c r="Q111" s="247"/>
      <c r="R111" s="249"/>
      <c r="S111" s="250"/>
    </row>
    <row r="112" spans="1:19">
      <c r="A112" s="243"/>
      <c r="B112" s="202" t="s">
        <v>198</v>
      </c>
      <c r="C112" s="270" t="s">
        <v>169</v>
      </c>
      <c r="D112" s="270" t="s">
        <v>199</v>
      </c>
      <c r="E112" s="272"/>
      <c r="F112" s="273"/>
      <c r="G112" s="246" t="s">
        <v>50</v>
      </c>
      <c r="H112" s="246">
        <v>24</v>
      </c>
      <c r="I112" s="247">
        <v>475000</v>
      </c>
      <c r="J112" s="149">
        <v>11400000</v>
      </c>
      <c r="K112" s="248">
        <v>0.5</v>
      </c>
      <c r="L112" s="142">
        <v>5700000</v>
      </c>
      <c r="M112" s="247"/>
      <c r="N112" s="247"/>
      <c r="O112" s="247"/>
      <c r="P112" s="247"/>
      <c r="Q112" s="247"/>
      <c r="R112" s="249"/>
      <c r="S112" s="250"/>
    </row>
    <row r="113" spans="1:19">
      <c r="A113" s="243"/>
      <c r="B113" s="202" t="s">
        <v>198</v>
      </c>
      <c r="C113" s="270" t="s">
        <v>169</v>
      </c>
      <c r="D113" s="270" t="s">
        <v>199</v>
      </c>
      <c r="E113" s="272"/>
      <c r="F113" s="273"/>
      <c r="G113" s="246" t="s">
        <v>33</v>
      </c>
      <c r="H113" s="246">
        <v>24</v>
      </c>
      <c r="I113" s="247">
        <v>285000</v>
      </c>
      <c r="J113" s="149">
        <v>6840000</v>
      </c>
      <c r="K113" s="248">
        <v>0.5</v>
      </c>
      <c r="L113" s="142">
        <v>3420000</v>
      </c>
      <c r="M113" s="247"/>
      <c r="N113" s="247"/>
      <c r="O113" s="247"/>
      <c r="P113" s="247"/>
      <c r="Q113" s="247"/>
      <c r="R113" s="249"/>
      <c r="S113" s="250"/>
    </row>
    <row r="114" spans="1:19">
      <c r="A114" s="243"/>
      <c r="B114" s="202" t="s">
        <v>198</v>
      </c>
      <c r="C114" s="270" t="s">
        <v>169</v>
      </c>
      <c r="D114" s="270" t="s">
        <v>199</v>
      </c>
      <c r="E114" s="272"/>
      <c r="F114" s="273"/>
      <c r="G114" s="246" t="s">
        <v>45</v>
      </c>
      <c r="H114" s="246">
        <v>24</v>
      </c>
      <c r="I114" s="247">
        <v>485000</v>
      </c>
      <c r="J114" s="149">
        <v>11640000</v>
      </c>
      <c r="K114" s="248">
        <v>0.5</v>
      </c>
      <c r="L114" s="142">
        <v>5820000</v>
      </c>
      <c r="M114" s="247"/>
      <c r="N114" s="247"/>
      <c r="O114" s="247"/>
      <c r="P114" s="247"/>
      <c r="Q114" s="247"/>
      <c r="R114" s="249"/>
      <c r="S114" s="250"/>
    </row>
    <row r="115" spans="1:19">
      <c r="A115" s="243"/>
      <c r="B115" s="202" t="s">
        <v>198</v>
      </c>
      <c r="C115" s="270" t="s">
        <v>169</v>
      </c>
      <c r="D115" s="270" t="s">
        <v>199</v>
      </c>
      <c r="E115" s="272"/>
      <c r="F115" s="273"/>
      <c r="G115" s="246" t="s">
        <v>74</v>
      </c>
      <c r="H115" s="246">
        <v>48</v>
      </c>
      <c r="I115" s="247">
        <v>550000</v>
      </c>
      <c r="J115" s="149">
        <v>26400000</v>
      </c>
      <c r="K115" s="248">
        <v>0.5</v>
      </c>
      <c r="L115" s="142">
        <v>13200000</v>
      </c>
      <c r="M115" s="247"/>
      <c r="N115" s="247"/>
      <c r="O115" s="247"/>
      <c r="P115" s="247"/>
      <c r="Q115" s="247"/>
      <c r="R115" s="249"/>
      <c r="S115" s="250"/>
    </row>
    <row r="116" spans="1:19" ht="37.5">
      <c r="A116" s="243"/>
      <c r="B116" s="202" t="s">
        <v>198</v>
      </c>
      <c r="C116" s="270" t="s">
        <v>169</v>
      </c>
      <c r="D116" s="270" t="s">
        <v>199</v>
      </c>
      <c r="E116" s="272"/>
      <c r="F116" s="273"/>
      <c r="G116" s="246" t="s">
        <v>36</v>
      </c>
      <c r="H116" s="246">
        <v>100</v>
      </c>
      <c r="I116" s="247">
        <v>450000</v>
      </c>
      <c r="J116" s="149">
        <v>45000000</v>
      </c>
      <c r="K116" s="248">
        <v>0.5</v>
      </c>
      <c r="L116" s="142">
        <v>22500000</v>
      </c>
      <c r="M116" s="247"/>
      <c r="N116" s="247"/>
      <c r="O116" s="247"/>
      <c r="P116" s="247"/>
      <c r="Q116" s="247"/>
      <c r="R116" s="249"/>
      <c r="S116" s="293" t="s">
        <v>202</v>
      </c>
    </row>
    <row r="117" spans="1:19">
      <c r="A117" s="243"/>
      <c r="B117" s="202" t="s">
        <v>198</v>
      </c>
      <c r="C117" s="270" t="s">
        <v>169</v>
      </c>
      <c r="D117" s="270" t="s">
        <v>199</v>
      </c>
      <c r="E117" s="272"/>
      <c r="F117" s="273"/>
      <c r="G117" s="246" t="s">
        <v>34</v>
      </c>
      <c r="H117" s="246">
        <v>12</v>
      </c>
      <c r="I117" s="247">
        <v>455000</v>
      </c>
      <c r="J117" s="149">
        <v>5460000</v>
      </c>
      <c r="K117" s="248">
        <v>0.5</v>
      </c>
      <c r="L117" s="142">
        <v>2730000</v>
      </c>
      <c r="M117" s="247"/>
      <c r="N117" s="247"/>
      <c r="O117" s="247"/>
      <c r="P117" s="247"/>
      <c r="Q117" s="247"/>
      <c r="R117" s="249"/>
      <c r="S117" s="1668" t="s">
        <v>203</v>
      </c>
    </row>
    <row r="118" spans="1:19">
      <c r="A118" s="243"/>
      <c r="B118" s="202" t="s">
        <v>198</v>
      </c>
      <c r="C118" s="270" t="s">
        <v>169</v>
      </c>
      <c r="D118" s="270" t="s">
        <v>199</v>
      </c>
      <c r="E118" s="272"/>
      <c r="F118" s="273"/>
      <c r="G118" s="246" t="s">
        <v>46</v>
      </c>
      <c r="H118" s="246">
        <v>12</v>
      </c>
      <c r="I118" s="247">
        <v>455000</v>
      </c>
      <c r="J118" s="149">
        <v>5460000</v>
      </c>
      <c r="K118" s="248">
        <v>0.5</v>
      </c>
      <c r="L118" s="142">
        <v>2730000</v>
      </c>
      <c r="M118" s="247"/>
      <c r="N118" s="247"/>
      <c r="O118" s="247"/>
      <c r="P118" s="247"/>
      <c r="Q118" s="247"/>
      <c r="R118" s="249"/>
      <c r="S118" s="1669"/>
    </row>
    <row r="119" spans="1:19">
      <c r="A119" s="1645" t="s">
        <v>105</v>
      </c>
      <c r="B119" s="1646"/>
      <c r="C119" s="1646"/>
      <c r="D119" s="1646"/>
      <c r="E119" s="1646"/>
      <c r="F119" s="1646"/>
      <c r="G119" s="1646"/>
      <c r="H119" s="307">
        <v>714</v>
      </c>
      <c r="I119" s="298"/>
      <c r="J119" s="297">
        <v>298865000</v>
      </c>
      <c r="K119" s="298"/>
      <c r="L119" s="297">
        <v>169742450</v>
      </c>
      <c r="M119" s="297"/>
      <c r="N119" s="297">
        <v>25316750</v>
      </c>
      <c r="O119" s="297"/>
      <c r="P119" s="297">
        <v>56911900</v>
      </c>
      <c r="Q119" s="297"/>
      <c r="R119" s="297">
        <v>87508050</v>
      </c>
      <c r="S119" s="308"/>
    </row>
    <row r="120" spans="1:19">
      <c r="A120" s="1653" t="s">
        <v>204</v>
      </c>
      <c r="B120" s="1654"/>
      <c r="C120" s="1654"/>
      <c r="D120" s="1654"/>
      <c r="E120" s="1654"/>
      <c r="F120" s="1654"/>
      <c r="G120" s="1654"/>
      <c r="H120" s="309">
        <v>714</v>
      </c>
      <c r="I120" s="310"/>
      <c r="J120" s="310"/>
      <c r="K120" s="310"/>
      <c r="L120" s="311">
        <v>169742450</v>
      </c>
      <c r="M120" s="311"/>
      <c r="N120" s="311"/>
      <c r="O120" s="311"/>
      <c r="P120" s="311"/>
      <c r="Q120" s="311"/>
      <c r="R120" s="311"/>
      <c r="S120" s="312"/>
    </row>
    <row r="121" spans="1:19">
      <c r="A121" s="1653" t="s">
        <v>205</v>
      </c>
      <c r="B121" s="1654"/>
      <c r="C121" s="1654"/>
      <c r="D121" s="1654"/>
      <c r="E121" s="1654"/>
      <c r="F121" s="1654"/>
      <c r="G121" s="1654"/>
      <c r="H121" s="309"/>
      <c r="I121" s="310"/>
      <c r="J121" s="310"/>
      <c r="K121" s="310"/>
      <c r="L121" s="311">
        <v>25316750</v>
      </c>
      <c r="M121" s="311"/>
      <c r="N121" s="311"/>
      <c r="O121" s="311"/>
      <c r="P121" s="311"/>
      <c r="Q121" s="311"/>
      <c r="R121" s="311"/>
      <c r="S121" s="312"/>
    </row>
    <row r="122" spans="1:19">
      <c r="A122" s="1653" t="s">
        <v>206</v>
      </c>
      <c r="B122" s="1654"/>
      <c r="C122" s="1654"/>
      <c r="D122" s="1654"/>
      <c r="E122" s="1654"/>
      <c r="F122" s="1654"/>
      <c r="G122" s="1654"/>
      <c r="H122" s="309"/>
      <c r="I122" s="310"/>
      <c r="J122" s="310"/>
      <c r="K122" s="310"/>
      <c r="L122" s="311">
        <v>56911900</v>
      </c>
      <c r="M122" s="311"/>
      <c r="N122" s="311"/>
      <c r="O122" s="311"/>
      <c r="P122" s="311"/>
      <c r="Q122" s="311"/>
      <c r="R122" s="311"/>
      <c r="S122" s="312"/>
    </row>
    <row r="123" spans="1:19">
      <c r="A123" s="1653" t="s">
        <v>207</v>
      </c>
      <c r="B123" s="1654"/>
      <c r="C123" s="1654"/>
      <c r="D123" s="1654"/>
      <c r="E123" s="1654"/>
      <c r="F123" s="1654"/>
      <c r="G123" s="1654"/>
      <c r="H123" s="309"/>
      <c r="I123" s="310"/>
      <c r="J123" s="310"/>
      <c r="K123" s="310"/>
      <c r="L123" s="311">
        <v>87508050</v>
      </c>
      <c r="M123" s="311"/>
      <c r="N123" s="311"/>
      <c r="O123" s="311"/>
      <c r="P123" s="311"/>
      <c r="Q123" s="311"/>
      <c r="R123" s="311"/>
      <c r="S123" s="312"/>
    </row>
    <row r="124" spans="1:19">
      <c r="A124" s="1653" t="s">
        <v>208</v>
      </c>
      <c r="B124" s="1654"/>
      <c r="C124" s="1654"/>
      <c r="D124" s="1654"/>
      <c r="E124" s="1654"/>
      <c r="F124" s="1654"/>
      <c r="G124" s="1654"/>
      <c r="H124" s="309"/>
      <c r="I124" s="310"/>
      <c r="J124" s="310"/>
      <c r="K124" s="310"/>
      <c r="L124" s="311">
        <v>74822050</v>
      </c>
      <c r="M124" s="311"/>
      <c r="N124" s="311"/>
      <c r="O124" s="311"/>
      <c r="P124" s="311"/>
      <c r="Q124" s="311"/>
      <c r="R124" s="311"/>
      <c r="S124" s="312"/>
    </row>
    <row r="125" spans="1:19">
      <c r="A125" s="1653" t="s">
        <v>209</v>
      </c>
      <c r="B125" s="1654"/>
      <c r="C125" s="1654"/>
      <c r="D125" s="1654"/>
      <c r="E125" s="1654"/>
      <c r="F125" s="1654"/>
      <c r="G125" s="1654"/>
      <c r="H125" s="309"/>
      <c r="I125" s="310"/>
      <c r="J125" s="310"/>
      <c r="K125" s="310"/>
      <c r="L125" s="311">
        <v>2266800</v>
      </c>
      <c r="M125" s="311"/>
      <c r="N125" s="311"/>
      <c r="O125" s="311"/>
      <c r="P125" s="311"/>
      <c r="Q125" s="311"/>
      <c r="R125" s="311"/>
      <c r="S125" s="312"/>
    </row>
    <row r="126" spans="1:19">
      <c r="A126" s="1653" t="s">
        <v>210</v>
      </c>
      <c r="B126" s="1654"/>
      <c r="C126" s="1654"/>
      <c r="D126" s="1654"/>
      <c r="E126" s="1654"/>
      <c r="F126" s="1654"/>
      <c r="G126" s="1654"/>
      <c r="H126" s="309"/>
      <c r="I126" s="310"/>
      <c r="J126" s="310"/>
      <c r="K126" s="310"/>
      <c r="L126" s="311">
        <v>1624350</v>
      </c>
      <c r="M126" s="311"/>
      <c r="N126" s="311"/>
      <c r="O126" s="311"/>
      <c r="P126" s="311"/>
      <c r="Q126" s="311"/>
      <c r="R126" s="311"/>
      <c r="S126" s="312"/>
    </row>
    <row r="127" spans="1:19">
      <c r="A127" s="1653" t="s">
        <v>211</v>
      </c>
      <c r="B127" s="1654"/>
      <c r="C127" s="1654"/>
      <c r="D127" s="1654"/>
      <c r="E127" s="1654"/>
      <c r="F127" s="1654"/>
      <c r="G127" s="1654"/>
      <c r="H127" s="309"/>
      <c r="I127" s="310"/>
      <c r="J127" s="310"/>
      <c r="K127" s="310"/>
      <c r="L127" s="311">
        <v>870750</v>
      </c>
      <c r="M127" s="311"/>
      <c r="N127" s="311"/>
      <c r="O127" s="311"/>
      <c r="P127" s="311"/>
      <c r="Q127" s="311"/>
      <c r="R127" s="311"/>
      <c r="S127" s="312"/>
    </row>
    <row r="128" spans="1:19">
      <c r="A128" s="1655" t="s">
        <v>212</v>
      </c>
      <c r="B128" s="1656"/>
      <c r="C128" s="1656"/>
      <c r="D128" s="1656"/>
      <c r="E128" s="1656"/>
      <c r="F128" s="1656"/>
      <c r="G128" s="1656"/>
      <c r="H128" s="313"/>
      <c r="I128" s="299"/>
      <c r="J128" s="299"/>
      <c r="K128" s="299"/>
      <c r="L128" s="300">
        <v>1725750</v>
      </c>
      <c r="M128" s="299"/>
      <c r="N128" s="299"/>
      <c r="O128" s="299"/>
      <c r="P128" s="299"/>
      <c r="Q128" s="299"/>
      <c r="R128" s="299"/>
      <c r="S128" s="314"/>
    </row>
    <row r="129" spans="1:19">
      <c r="A129" s="1657" t="s">
        <v>213</v>
      </c>
      <c r="B129" s="1658"/>
      <c r="C129" s="1658"/>
      <c r="D129" s="1658"/>
      <c r="E129" s="1658"/>
      <c r="F129" s="1658"/>
      <c r="G129" s="1658"/>
      <c r="H129" s="303"/>
      <c r="I129" s="301"/>
      <c r="J129" s="301"/>
      <c r="K129" s="301"/>
      <c r="L129" s="302">
        <v>82972750</v>
      </c>
      <c r="M129" s="301"/>
      <c r="N129" s="301"/>
      <c r="O129" s="301"/>
      <c r="P129" s="301"/>
      <c r="Q129" s="301"/>
      <c r="R129" s="301"/>
      <c r="S129" s="304"/>
    </row>
    <row r="130" spans="1:19">
      <c r="A130" s="280"/>
      <c r="B130" s="280"/>
      <c r="C130" s="280"/>
      <c r="D130" s="280"/>
      <c r="E130" s="280"/>
      <c r="F130" s="280"/>
      <c r="G130" s="280"/>
      <c r="H130" s="295"/>
      <c r="I130" s="160"/>
      <c r="J130" s="160"/>
      <c r="K130" s="160"/>
      <c r="L130" s="281"/>
      <c r="M130" s="160"/>
      <c r="N130" s="160"/>
      <c r="O130" s="160"/>
      <c r="P130" s="160"/>
      <c r="Q130" s="160"/>
      <c r="R130" s="160"/>
      <c r="S130" s="282"/>
    </row>
    <row r="131" spans="1:19">
      <c r="A131" s="140"/>
      <c r="B131" s="140"/>
      <c r="C131" s="1652" t="s">
        <v>114</v>
      </c>
      <c r="D131" s="1652"/>
      <c r="E131" s="1652"/>
      <c r="F131" s="283"/>
      <c r="G131" s="159"/>
      <c r="H131" s="140"/>
      <c r="I131" s="159"/>
      <c r="J131" s="159"/>
      <c r="K131" s="283" t="s">
        <v>115</v>
      </c>
      <c r="L131" s="159"/>
      <c r="M131" s="159"/>
      <c r="N131" s="159"/>
      <c r="O131" s="159"/>
      <c r="P131" s="159"/>
      <c r="Q131" s="140"/>
      <c r="R131" s="159" t="s">
        <v>214</v>
      </c>
      <c r="S131" s="284"/>
    </row>
    <row r="132" spans="1:19">
      <c r="A132" s="140"/>
      <c r="B132" s="140"/>
      <c r="C132" s="140"/>
      <c r="D132" s="140"/>
      <c r="E132" s="140"/>
      <c r="F132" s="140"/>
      <c r="G132" s="140"/>
      <c r="H132" s="140"/>
      <c r="I132" s="140"/>
      <c r="J132" s="140"/>
      <c r="K132" s="140"/>
      <c r="L132" s="140"/>
      <c r="M132" s="140"/>
      <c r="N132" s="140"/>
      <c r="O132" s="140"/>
      <c r="P132" s="140"/>
      <c r="Q132" s="140"/>
      <c r="R132" s="140"/>
      <c r="S132" s="140"/>
    </row>
    <row r="133" spans="1:19">
      <c r="A133" s="140"/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140"/>
      <c r="O133" s="140"/>
      <c r="P133" s="140"/>
      <c r="Q133" s="140"/>
      <c r="R133" s="140"/>
      <c r="S133" s="140"/>
    </row>
    <row r="139" spans="1:19">
      <c r="A139" s="140"/>
      <c r="B139" s="140"/>
      <c r="C139" s="140"/>
      <c r="D139" s="153"/>
      <c r="E139" s="153"/>
      <c r="F139" s="153"/>
      <c r="G139" s="140"/>
      <c r="H139" s="140"/>
      <c r="I139" s="140"/>
      <c r="J139" s="140"/>
      <c r="K139" s="140"/>
      <c r="L139" s="140"/>
      <c r="M139" s="140"/>
      <c r="N139" s="140"/>
      <c r="O139" s="140"/>
      <c r="P139" s="140"/>
      <c r="Q139" s="140"/>
      <c r="R139" s="140"/>
      <c r="S139" s="140"/>
    </row>
    <row r="140" spans="1:19">
      <c r="A140" s="140"/>
      <c r="B140" s="140"/>
      <c r="C140" s="140"/>
      <c r="D140" s="153"/>
      <c r="E140" s="153"/>
      <c r="F140" s="153"/>
      <c r="G140" s="140"/>
      <c r="H140" s="140"/>
      <c r="I140" s="140"/>
      <c r="J140" s="140"/>
      <c r="K140" s="140"/>
      <c r="L140" s="140"/>
      <c r="M140" s="140"/>
      <c r="N140" s="140"/>
      <c r="O140" s="140"/>
      <c r="P140" s="140"/>
      <c r="Q140" s="140"/>
      <c r="R140" s="140"/>
      <c r="S140" s="140"/>
    </row>
    <row r="141" spans="1:19">
      <c r="A141" s="140"/>
      <c r="B141" s="140"/>
      <c r="C141" s="140"/>
      <c r="D141" s="153"/>
      <c r="E141" s="153"/>
      <c r="F141" s="153"/>
      <c r="G141" s="140"/>
      <c r="H141" s="140"/>
      <c r="I141" s="140"/>
      <c r="J141" s="140"/>
      <c r="K141" s="153"/>
      <c r="L141" s="140"/>
      <c r="M141" s="140"/>
      <c r="N141" s="140"/>
      <c r="O141" s="140"/>
      <c r="P141" s="140"/>
      <c r="Q141" s="140"/>
      <c r="R141" s="140"/>
      <c r="S141" s="140"/>
    </row>
    <row r="142" spans="1:19">
      <c r="A142" s="140"/>
      <c r="B142" s="140"/>
      <c r="C142" s="140"/>
      <c r="D142" s="153"/>
      <c r="E142" s="153"/>
      <c r="F142" s="153"/>
      <c r="G142" s="140"/>
      <c r="H142" s="140"/>
      <c r="I142" s="140"/>
      <c r="J142" s="140"/>
      <c r="K142" s="153"/>
      <c r="L142" s="140"/>
      <c r="M142" s="140"/>
      <c r="N142" s="140"/>
      <c r="O142" s="140"/>
      <c r="P142" s="140"/>
      <c r="Q142" s="140"/>
      <c r="R142" s="140"/>
      <c r="S142" s="140"/>
    </row>
    <row r="143" spans="1:19">
      <c r="A143" s="140"/>
      <c r="B143" s="140"/>
      <c r="C143" s="140"/>
      <c r="D143" s="153"/>
      <c r="E143" s="153"/>
      <c r="F143" s="153"/>
      <c r="G143" s="140"/>
      <c r="H143" s="140"/>
      <c r="I143" s="140"/>
      <c r="J143" s="140"/>
      <c r="K143" s="153"/>
      <c r="L143" s="140"/>
      <c r="M143" s="140"/>
      <c r="N143" s="140"/>
      <c r="O143" s="140"/>
      <c r="P143" s="140"/>
      <c r="Q143" s="140"/>
      <c r="R143" s="140"/>
      <c r="S143" s="140"/>
    </row>
    <row r="144" spans="1:19">
      <c r="A144" s="140"/>
      <c r="B144" s="140"/>
      <c r="C144" s="140"/>
      <c r="D144" s="153"/>
      <c r="E144" s="153"/>
      <c r="F144" s="153"/>
      <c r="G144" s="140"/>
      <c r="H144" s="140"/>
      <c r="I144" s="140"/>
      <c r="J144" s="140"/>
      <c r="K144" s="153"/>
      <c r="L144" s="140"/>
      <c r="M144" s="140"/>
      <c r="N144" s="140"/>
      <c r="O144" s="140"/>
      <c r="P144" s="140"/>
      <c r="Q144" s="140"/>
      <c r="R144" s="140"/>
      <c r="S144" s="140"/>
    </row>
    <row r="145" spans="4:11">
      <c r="D145" s="153"/>
      <c r="E145" s="153"/>
      <c r="F145" s="153"/>
      <c r="G145" s="140"/>
      <c r="H145" s="140"/>
      <c r="I145" s="140"/>
      <c r="J145" s="140"/>
      <c r="K145" s="153"/>
    </row>
    <row r="146" spans="4:11">
      <c r="D146" s="153"/>
      <c r="E146" s="153"/>
      <c r="F146" s="153"/>
      <c r="G146" s="140"/>
      <c r="H146" s="140"/>
      <c r="I146" s="140"/>
      <c r="J146" s="140"/>
      <c r="K146" s="153"/>
    </row>
    <row r="147" spans="4:11">
      <c r="D147" s="153"/>
      <c r="E147" s="153"/>
      <c r="F147" s="153"/>
      <c r="G147" s="140"/>
      <c r="H147" s="140"/>
      <c r="I147" s="140"/>
      <c r="J147" s="140"/>
      <c r="K147" s="153"/>
    </row>
    <row r="148" spans="4:11">
      <c r="D148" s="153"/>
      <c r="E148" s="153"/>
      <c r="F148" s="153"/>
      <c r="G148" s="140"/>
      <c r="H148" s="140"/>
      <c r="I148" s="140"/>
      <c r="J148" s="140"/>
      <c r="K148" s="153"/>
    </row>
    <row r="149" spans="4:11">
      <c r="D149" s="153"/>
      <c r="E149" s="153"/>
      <c r="F149" s="153"/>
      <c r="G149" s="140"/>
      <c r="H149" s="140"/>
      <c r="I149" s="140"/>
      <c r="J149" s="140"/>
      <c r="K149" s="153"/>
    </row>
    <row r="150" spans="4:11">
      <c r="D150" s="153"/>
      <c r="E150" s="153"/>
      <c r="F150" s="153"/>
      <c r="G150" s="140"/>
      <c r="H150" s="140"/>
      <c r="I150" s="140"/>
      <c r="J150" s="140"/>
      <c r="K150" s="153"/>
    </row>
    <row r="151" spans="4:11">
      <c r="D151" s="153"/>
      <c r="E151" s="153"/>
      <c r="F151" s="153"/>
      <c r="G151" s="140"/>
      <c r="H151" s="140"/>
      <c r="I151" s="140"/>
      <c r="J151" s="140"/>
      <c r="K151" s="153"/>
    </row>
    <row r="152" spans="4:11">
      <c r="D152" s="153"/>
      <c r="E152" s="153"/>
      <c r="F152" s="153"/>
      <c r="G152" s="140"/>
      <c r="H152" s="140"/>
      <c r="I152" s="140"/>
      <c r="J152" s="140"/>
      <c r="K152" s="153"/>
    </row>
    <row r="153" spans="4:11">
      <c r="D153" s="153"/>
      <c r="E153" s="153"/>
      <c r="F153" s="153"/>
      <c r="G153" s="140"/>
      <c r="H153" s="140"/>
      <c r="I153" s="140"/>
      <c r="J153" s="140"/>
      <c r="K153" s="153"/>
    </row>
    <row r="154" spans="4:11">
      <c r="D154" s="153"/>
      <c r="E154" s="153"/>
      <c r="F154" s="153"/>
      <c r="G154" s="140"/>
      <c r="H154" s="140"/>
      <c r="I154" s="140"/>
      <c r="J154" s="140"/>
      <c r="K154" s="153"/>
    </row>
    <row r="155" spans="4:11">
      <c r="D155" s="153"/>
      <c r="E155" s="153"/>
      <c r="F155" s="153"/>
      <c r="G155" s="140"/>
      <c r="H155" s="140"/>
      <c r="I155" s="140"/>
      <c r="J155" s="140"/>
      <c r="K155" s="153"/>
    </row>
    <row r="156" spans="4:11">
      <c r="D156" s="153"/>
      <c r="E156" s="153"/>
      <c r="F156" s="153"/>
      <c r="G156" s="140"/>
      <c r="H156" s="140"/>
      <c r="I156" s="140"/>
      <c r="J156" s="140"/>
      <c r="K156" s="153"/>
    </row>
    <row r="157" spans="4:11">
      <c r="D157" s="153"/>
      <c r="E157" s="153"/>
      <c r="F157" s="153"/>
      <c r="G157" s="140"/>
      <c r="H157" s="140"/>
      <c r="I157" s="140"/>
      <c r="J157" s="140"/>
      <c r="K157" s="153"/>
    </row>
    <row r="158" spans="4:11">
      <c r="D158" s="153"/>
      <c r="E158" s="153"/>
      <c r="F158" s="153"/>
      <c r="G158" s="140"/>
      <c r="H158" s="140"/>
      <c r="I158" s="140"/>
      <c r="J158" s="140"/>
      <c r="K158" s="153"/>
    </row>
    <row r="159" spans="4:11">
      <c r="D159" s="153"/>
      <c r="E159" s="153"/>
      <c r="F159" s="153"/>
      <c r="G159" s="140"/>
      <c r="H159" s="140"/>
      <c r="I159" s="140"/>
      <c r="J159" s="140"/>
      <c r="K159" s="153"/>
    </row>
    <row r="160" spans="4:11">
      <c r="D160" s="153"/>
      <c r="E160" s="153"/>
      <c r="F160" s="153"/>
      <c r="G160" s="140"/>
      <c r="H160" s="140"/>
      <c r="I160" s="140"/>
      <c r="J160" s="140"/>
      <c r="K160" s="153"/>
    </row>
    <row r="161" spans="4:11">
      <c r="D161" s="153"/>
      <c r="E161" s="153"/>
      <c r="F161" s="153"/>
      <c r="G161" s="140"/>
      <c r="H161" s="140"/>
      <c r="I161" s="140"/>
      <c r="J161" s="140"/>
      <c r="K161" s="153"/>
    </row>
    <row r="162" spans="4:11">
      <c r="D162" s="153"/>
      <c r="E162" s="153"/>
      <c r="F162" s="153"/>
      <c r="G162" s="140"/>
      <c r="H162" s="140"/>
      <c r="I162" s="140"/>
      <c r="J162" s="140"/>
      <c r="K162" s="153"/>
    </row>
    <row r="163" spans="4:11">
      <c r="D163" s="153"/>
      <c r="E163" s="153"/>
      <c r="F163" s="153"/>
      <c r="G163" s="140"/>
      <c r="H163" s="140"/>
      <c r="I163" s="140"/>
      <c r="J163" s="140"/>
      <c r="K163" s="153"/>
    </row>
    <row r="164" spans="4:11">
      <c r="D164" s="153"/>
      <c r="E164" s="153"/>
      <c r="F164" s="153"/>
      <c r="G164" s="140"/>
      <c r="H164" s="140"/>
      <c r="I164" s="140"/>
      <c r="J164" s="140"/>
      <c r="K164" s="153"/>
    </row>
    <row r="165" spans="4:11">
      <c r="D165" s="153"/>
      <c r="E165" s="153"/>
      <c r="F165" s="153"/>
      <c r="G165" s="140"/>
      <c r="H165" s="140"/>
      <c r="I165" s="140"/>
      <c r="J165" s="140"/>
      <c r="K165" s="153"/>
    </row>
    <row r="166" spans="4:11">
      <c r="D166" s="153"/>
      <c r="E166" s="153"/>
      <c r="F166" s="153"/>
      <c r="G166" s="140"/>
      <c r="H166" s="140"/>
      <c r="I166" s="140"/>
      <c r="J166" s="140"/>
      <c r="K166" s="153"/>
    </row>
    <row r="167" spans="4:11">
      <c r="D167" s="153"/>
      <c r="E167" s="153"/>
      <c r="F167" s="153"/>
      <c r="G167" s="140"/>
      <c r="H167" s="140"/>
      <c r="I167" s="140"/>
      <c r="J167" s="140"/>
      <c r="K167" s="153"/>
    </row>
    <row r="168" spans="4:11">
      <c r="D168" s="153"/>
      <c r="E168" s="153"/>
      <c r="F168" s="153"/>
      <c r="G168" s="140"/>
      <c r="H168" s="140"/>
      <c r="I168" s="140"/>
      <c r="J168" s="140"/>
      <c r="K168" s="153"/>
    </row>
    <row r="169" spans="4:11">
      <c r="D169" s="153"/>
      <c r="E169" s="153"/>
      <c r="F169" s="153"/>
      <c r="G169" s="140"/>
      <c r="H169" s="140"/>
      <c r="I169" s="140"/>
      <c r="J169" s="140"/>
      <c r="K169" s="153"/>
    </row>
    <row r="170" spans="4:11">
      <c r="D170" s="153"/>
      <c r="E170" s="153"/>
      <c r="F170" s="153"/>
      <c r="G170" s="140"/>
      <c r="H170" s="140"/>
      <c r="I170" s="140"/>
      <c r="J170" s="140"/>
      <c r="K170" s="153"/>
    </row>
    <row r="171" spans="4:11">
      <c r="D171" s="153"/>
      <c r="E171" s="153"/>
      <c r="F171" s="153"/>
      <c r="G171" s="140"/>
      <c r="H171" s="140"/>
      <c r="I171" s="140"/>
      <c r="J171" s="140"/>
      <c r="K171" s="153"/>
    </row>
    <row r="172" spans="4:11">
      <c r="D172" s="153"/>
      <c r="E172" s="153"/>
      <c r="F172" s="153"/>
      <c r="G172" s="140"/>
      <c r="H172" s="140"/>
      <c r="I172" s="140"/>
      <c r="J172" s="140"/>
      <c r="K172" s="153"/>
    </row>
    <row r="173" spans="4:11">
      <c r="D173" s="153"/>
      <c r="E173" s="153"/>
      <c r="F173" s="153"/>
      <c r="G173" s="140"/>
      <c r="H173" s="140"/>
      <c r="I173" s="140"/>
      <c r="J173" s="140"/>
      <c r="K173" s="153"/>
    </row>
    <row r="174" spans="4:11">
      <c r="D174" s="153"/>
      <c r="E174" s="153"/>
      <c r="F174" s="153"/>
      <c r="G174" s="140"/>
      <c r="H174" s="140"/>
      <c r="I174" s="140"/>
      <c r="J174" s="140"/>
      <c r="K174" s="153"/>
    </row>
    <row r="175" spans="4:11">
      <c r="D175" s="153"/>
      <c r="E175" s="153"/>
      <c r="F175" s="153"/>
      <c r="G175" s="140"/>
      <c r="H175" s="140"/>
      <c r="I175" s="140"/>
      <c r="J175" s="140"/>
      <c r="K175" s="153"/>
    </row>
  </sheetData>
  <mergeCells count="27">
    <mergeCell ref="S86:S88"/>
    <mergeCell ref="S40:S41"/>
    <mergeCell ref="S117:S118"/>
    <mergeCell ref="A7:S7"/>
    <mergeCell ref="A8:A9"/>
    <mergeCell ref="B8:B9"/>
    <mergeCell ref="C8:C9"/>
    <mergeCell ref="D8:F8"/>
    <mergeCell ref="M8:R8"/>
    <mergeCell ref="G8:K8"/>
    <mergeCell ref="L8:L9"/>
    <mergeCell ref="I1:S1"/>
    <mergeCell ref="I2:S2"/>
    <mergeCell ref="C131:E131"/>
    <mergeCell ref="A125:G125"/>
    <mergeCell ref="A126:G126"/>
    <mergeCell ref="A127:G127"/>
    <mergeCell ref="A128:G128"/>
    <mergeCell ref="A129:G129"/>
    <mergeCell ref="A120:G120"/>
    <mergeCell ref="A121:G121"/>
    <mergeCell ref="A122:G122"/>
    <mergeCell ref="A123:G123"/>
    <mergeCell ref="A124:G124"/>
    <mergeCell ref="S8:S9"/>
    <mergeCell ref="A119:G119"/>
    <mergeCell ref="A6:S6"/>
  </mergeCells>
  <pageMargins left="0.7" right="0.7" top="0.75" bottom="0.75" header="0.3" footer="0.3"/>
  <pageSetup paperSize="9" scale="79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111"/>
  <sheetViews>
    <sheetView zoomScaleNormal="100" workbookViewId="0">
      <selection activeCell="L1" sqref="L1"/>
    </sheetView>
  </sheetViews>
  <sheetFormatPr defaultColWidth="9.140625" defaultRowHeight="15"/>
  <cols>
    <col min="1" max="1" width="3.140625" style="732" customWidth="1"/>
    <col min="2" max="2" width="4.5703125" style="732" customWidth="1"/>
    <col min="3" max="3" width="5.5703125" style="732" customWidth="1"/>
    <col min="4" max="4" width="5.85546875" style="878" customWidth="1"/>
    <col min="5" max="5" width="10.5703125" style="878" customWidth="1"/>
    <col min="6" max="6" width="7.42578125" style="878" customWidth="1"/>
    <col min="7" max="7" width="6.42578125" style="732" customWidth="1"/>
    <col min="8" max="8" width="9.42578125" style="732" customWidth="1"/>
    <col min="9" max="9" width="5.5703125" style="732" customWidth="1"/>
    <col min="10" max="10" width="5.85546875" style="732" customWidth="1"/>
    <col min="11" max="11" width="8.140625" style="732" customWidth="1"/>
    <col min="12" max="12" width="7.42578125" style="879" customWidth="1"/>
    <col min="13" max="13" width="15.28515625" style="732" customWidth="1"/>
    <col min="14" max="14" width="22" style="732" customWidth="1"/>
    <col min="15" max="16384" width="9.140625" style="732"/>
  </cols>
  <sheetData>
    <row r="1" spans="1:14" ht="16.5">
      <c r="A1" s="813" t="s">
        <v>0</v>
      </c>
      <c r="B1" s="813"/>
      <c r="C1" s="6"/>
      <c r="D1" s="8"/>
      <c r="E1" s="8"/>
      <c r="F1" s="8"/>
      <c r="G1" s="6"/>
      <c r="H1" s="6"/>
      <c r="K1" s="875"/>
      <c r="L1" s="876"/>
      <c r="M1" s="875"/>
      <c r="N1" s="875"/>
    </row>
    <row r="2" spans="1:14" ht="15.75">
      <c r="A2" s="814" t="s">
        <v>2</v>
      </c>
      <c r="B2" s="814"/>
      <c r="C2" s="7"/>
      <c r="D2" s="9"/>
      <c r="E2" s="9"/>
      <c r="F2" s="9"/>
      <c r="G2" s="7"/>
      <c r="H2" s="7"/>
      <c r="K2" s="829"/>
      <c r="L2" s="877"/>
      <c r="M2" s="829"/>
      <c r="N2" s="829"/>
    </row>
    <row r="3" spans="1:14" ht="20.25">
      <c r="A3" s="1625" t="s">
        <v>1532</v>
      </c>
      <c r="B3" s="1625"/>
      <c r="C3" s="1625"/>
      <c r="D3" s="1625"/>
      <c r="E3" s="1625"/>
      <c r="F3" s="1625"/>
      <c r="G3" s="1625"/>
      <c r="H3" s="1625"/>
      <c r="I3" s="1625"/>
      <c r="J3" s="1625"/>
      <c r="K3" s="1625"/>
      <c r="L3" s="1924"/>
      <c r="M3" s="1625"/>
      <c r="N3" s="1625"/>
    </row>
    <row r="4" spans="1:14">
      <c r="A4" s="1925" t="s">
        <v>1705</v>
      </c>
      <c r="B4" s="1925"/>
      <c r="C4" s="1925"/>
      <c r="D4" s="1925"/>
      <c r="E4" s="1925"/>
      <c r="F4" s="1925"/>
      <c r="G4" s="1925"/>
      <c r="H4" s="1925"/>
      <c r="I4" s="1925"/>
      <c r="J4" s="1925"/>
      <c r="K4" s="1925"/>
      <c r="L4" s="1926"/>
      <c r="M4" s="1925"/>
      <c r="N4" s="1925"/>
    </row>
    <row r="5" spans="1:14" ht="15.75" thickBot="1"/>
    <row r="6" spans="1:14" s="737" customFormat="1" ht="11.25" customHeight="1" thickTop="1">
      <c r="A6" s="1627" t="s">
        <v>6</v>
      </c>
      <c r="B6" s="1629" t="s">
        <v>7</v>
      </c>
      <c r="C6" s="1629" t="s">
        <v>1533</v>
      </c>
      <c r="D6" s="1629" t="s">
        <v>9</v>
      </c>
      <c r="E6" s="1629"/>
      <c r="F6" s="1629"/>
      <c r="G6" s="1927" t="s">
        <v>1534</v>
      </c>
      <c r="H6" s="1927"/>
      <c r="I6" s="1631" t="s">
        <v>119</v>
      </c>
      <c r="J6" s="1632"/>
      <c r="K6" s="1632"/>
      <c r="L6" s="1928"/>
      <c r="M6" s="1634" t="s">
        <v>1535</v>
      </c>
      <c r="N6" s="1929" t="s">
        <v>13</v>
      </c>
    </row>
    <row r="7" spans="1:14" s="737" customFormat="1" ht="27">
      <c r="A7" s="1628"/>
      <c r="B7" s="1630"/>
      <c r="C7" s="1630"/>
      <c r="D7" s="880" t="s">
        <v>14</v>
      </c>
      <c r="E7" s="828" t="s">
        <v>15</v>
      </c>
      <c r="F7" s="828" t="s">
        <v>16</v>
      </c>
      <c r="G7" s="828" t="s">
        <v>1536</v>
      </c>
      <c r="H7" s="828" t="s">
        <v>1537</v>
      </c>
      <c r="I7" s="828" t="s">
        <v>17</v>
      </c>
      <c r="J7" s="828" t="s">
        <v>18</v>
      </c>
      <c r="K7" s="828" t="s">
        <v>19</v>
      </c>
      <c r="L7" s="881" t="s">
        <v>21</v>
      </c>
      <c r="M7" s="1635"/>
      <c r="N7" s="1930"/>
    </row>
    <row r="8" spans="1:14" s="737" customFormat="1" ht="9">
      <c r="A8" s="882">
        <v>1</v>
      </c>
      <c r="B8" s="883" t="s">
        <v>1008</v>
      </c>
      <c r="C8" s="884" t="s">
        <v>96</v>
      </c>
      <c r="D8" s="885" t="s">
        <v>1538</v>
      </c>
      <c r="E8" s="885"/>
      <c r="F8" s="884"/>
      <c r="G8" s="885"/>
      <c r="H8" s="885"/>
      <c r="I8" s="886" t="s">
        <v>50</v>
      </c>
      <c r="J8" s="886">
        <v>1</v>
      </c>
      <c r="K8" s="887">
        <v>475000</v>
      </c>
      <c r="L8" s="888">
        <v>0.41</v>
      </c>
      <c r="M8" s="887">
        <f>J8*K8*(1-L8)</f>
        <v>280250.00000000006</v>
      </c>
      <c r="N8" s="889"/>
    </row>
    <row r="9" spans="1:14" s="737" customFormat="1" ht="9">
      <c r="A9" s="882">
        <v>2</v>
      </c>
      <c r="B9" s="883" t="s">
        <v>218</v>
      </c>
      <c r="C9" s="884" t="s">
        <v>27</v>
      </c>
      <c r="D9" s="885"/>
      <c r="E9" s="885"/>
      <c r="F9" s="884"/>
      <c r="G9" s="885"/>
      <c r="H9" s="885"/>
      <c r="I9" s="886" t="s">
        <v>72</v>
      </c>
      <c r="J9" s="886">
        <v>1</v>
      </c>
      <c r="K9" s="887">
        <v>285000</v>
      </c>
      <c r="L9" s="888">
        <v>0.41</v>
      </c>
      <c r="M9" s="887">
        <f t="shared" ref="M9:M59" si="0">J9*K9*(1-L9)</f>
        <v>168150.00000000003</v>
      </c>
      <c r="N9" s="889"/>
    </row>
    <row r="10" spans="1:14" s="737" customFormat="1" ht="27">
      <c r="A10" s="882">
        <v>3</v>
      </c>
      <c r="B10" s="883" t="s">
        <v>243</v>
      </c>
      <c r="C10" s="884" t="s">
        <v>27</v>
      </c>
      <c r="D10" s="885" t="s">
        <v>1539</v>
      </c>
      <c r="E10" s="885" t="s">
        <v>1540</v>
      </c>
      <c r="F10" s="884"/>
      <c r="G10" s="885"/>
      <c r="H10" s="885" t="s">
        <v>1541</v>
      </c>
      <c r="I10" s="886" t="s">
        <v>72</v>
      </c>
      <c r="J10" s="886">
        <v>12</v>
      </c>
      <c r="K10" s="887">
        <v>285000</v>
      </c>
      <c r="L10" s="888">
        <v>0.41</v>
      </c>
      <c r="M10" s="887">
        <f t="shared" si="0"/>
        <v>2017800.0000000002</v>
      </c>
      <c r="N10" s="738"/>
    </row>
    <row r="11" spans="1:14" s="737" customFormat="1" ht="27">
      <c r="A11" s="890">
        <v>4</v>
      </c>
      <c r="B11" s="891" t="s">
        <v>289</v>
      </c>
      <c r="C11" s="892" t="s">
        <v>27</v>
      </c>
      <c r="D11" s="893" t="s">
        <v>1542</v>
      </c>
      <c r="E11" s="893" t="s">
        <v>435</v>
      </c>
      <c r="F11" s="892"/>
      <c r="G11" s="893"/>
      <c r="H11" s="893"/>
      <c r="I11" s="894" t="s">
        <v>34</v>
      </c>
      <c r="J11" s="894">
        <v>5</v>
      </c>
      <c r="K11" s="895">
        <v>455000</v>
      </c>
      <c r="L11" s="896">
        <v>0.41</v>
      </c>
      <c r="M11" s="895">
        <f t="shared" si="0"/>
        <v>1342250.0000000002</v>
      </c>
      <c r="N11" s="897"/>
    </row>
    <row r="12" spans="1:14" s="737" customFormat="1" ht="27">
      <c r="A12" s="898"/>
      <c r="B12" s="891" t="s">
        <v>289</v>
      </c>
      <c r="C12" s="899" t="s">
        <v>27</v>
      </c>
      <c r="D12" s="900" t="s">
        <v>1542</v>
      </c>
      <c r="E12" s="900" t="s">
        <v>435</v>
      </c>
      <c r="F12" s="901"/>
      <c r="G12" s="900"/>
      <c r="H12" s="900"/>
      <c r="I12" s="480" t="s">
        <v>42</v>
      </c>
      <c r="J12" s="480">
        <v>5</v>
      </c>
      <c r="K12" s="902">
        <v>265000</v>
      </c>
      <c r="L12" s="903">
        <v>0.41</v>
      </c>
      <c r="M12" s="895">
        <f t="shared" si="0"/>
        <v>781750.00000000012</v>
      </c>
      <c r="N12" s="904"/>
    </row>
    <row r="13" spans="1:14" s="737" customFormat="1" ht="27">
      <c r="A13" s="898"/>
      <c r="B13" s="891" t="s">
        <v>289</v>
      </c>
      <c r="C13" s="899" t="s">
        <v>27</v>
      </c>
      <c r="D13" s="900" t="s">
        <v>1542</v>
      </c>
      <c r="E13" s="900" t="s">
        <v>435</v>
      </c>
      <c r="F13" s="901"/>
      <c r="G13" s="900"/>
      <c r="H13" s="900"/>
      <c r="I13" s="480" t="s">
        <v>30</v>
      </c>
      <c r="J13" s="480">
        <v>8</v>
      </c>
      <c r="K13" s="902">
        <v>465000</v>
      </c>
      <c r="L13" s="903">
        <v>0.41</v>
      </c>
      <c r="M13" s="895">
        <f t="shared" si="0"/>
        <v>2194800.0000000005</v>
      </c>
      <c r="N13" s="904"/>
    </row>
    <row r="14" spans="1:14" s="737" customFormat="1" ht="27">
      <c r="A14" s="898"/>
      <c r="B14" s="891" t="s">
        <v>289</v>
      </c>
      <c r="C14" s="899" t="s">
        <v>27</v>
      </c>
      <c r="D14" s="900" t="s">
        <v>1542</v>
      </c>
      <c r="E14" s="900" t="s">
        <v>435</v>
      </c>
      <c r="F14" s="901"/>
      <c r="G14" s="900"/>
      <c r="H14" s="900"/>
      <c r="I14" s="480" t="s">
        <v>33</v>
      </c>
      <c r="J14" s="480">
        <v>2</v>
      </c>
      <c r="K14" s="902">
        <v>285000</v>
      </c>
      <c r="L14" s="903">
        <v>0.41</v>
      </c>
      <c r="M14" s="895">
        <f t="shared" si="0"/>
        <v>336300.00000000006</v>
      </c>
      <c r="N14" s="904"/>
    </row>
    <row r="15" spans="1:14" s="737" customFormat="1" ht="27">
      <c r="A15" s="898"/>
      <c r="B15" s="891" t="s">
        <v>289</v>
      </c>
      <c r="C15" s="899" t="s">
        <v>27</v>
      </c>
      <c r="D15" s="900" t="s">
        <v>1542</v>
      </c>
      <c r="E15" s="900" t="s">
        <v>435</v>
      </c>
      <c r="F15" s="901"/>
      <c r="G15" s="900"/>
      <c r="H15" s="900"/>
      <c r="I15" s="480" t="s">
        <v>45</v>
      </c>
      <c r="J15" s="480">
        <v>2</v>
      </c>
      <c r="K15" s="902">
        <v>485000</v>
      </c>
      <c r="L15" s="903">
        <v>0.41</v>
      </c>
      <c r="M15" s="895">
        <f t="shared" si="0"/>
        <v>572300.00000000012</v>
      </c>
      <c r="N15" s="904"/>
    </row>
    <row r="16" spans="1:14" s="737" customFormat="1" ht="27">
      <c r="A16" s="898"/>
      <c r="B16" s="891" t="s">
        <v>289</v>
      </c>
      <c r="C16" s="899" t="s">
        <v>27</v>
      </c>
      <c r="D16" s="900" t="s">
        <v>1542</v>
      </c>
      <c r="E16" s="900" t="s">
        <v>435</v>
      </c>
      <c r="F16" s="901"/>
      <c r="G16" s="900"/>
      <c r="H16" s="900"/>
      <c r="I16" s="480" t="s">
        <v>72</v>
      </c>
      <c r="J16" s="480">
        <v>5</v>
      </c>
      <c r="K16" s="902">
        <v>285000</v>
      </c>
      <c r="L16" s="903">
        <v>0.41</v>
      </c>
      <c r="M16" s="895">
        <f t="shared" si="0"/>
        <v>840750.00000000012</v>
      </c>
      <c r="N16" s="904"/>
    </row>
    <row r="17" spans="1:14" s="737" customFormat="1" ht="27">
      <c r="A17" s="898"/>
      <c r="B17" s="891" t="s">
        <v>289</v>
      </c>
      <c r="C17" s="899" t="s">
        <v>27</v>
      </c>
      <c r="D17" s="900" t="s">
        <v>1542</v>
      </c>
      <c r="E17" s="900" t="s">
        <v>435</v>
      </c>
      <c r="F17" s="901"/>
      <c r="G17" s="900"/>
      <c r="H17" s="900"/>
      <c r="I17" s="480" t="s">
        <v>74</v>
      </c>
      <c r="J17" s="480">
        <v>2</v>
      </c>
      <c r="K17" s="902">
        <v>550000</v>
      </c>
      <c r="L17" s="903">
        <v>0.41</v>
      </c>
      <c r="M17" s="895">
        <f t="shared" si="0"/>
        <v>649000.00000000012</v>
      </c>
      <c r="N17" s="904"/>
    </row>
    <row r="18" spans="1:14" s="737" customFormat="1" ht="27">
      <c r="A18" s="905"/>
      <c r="B18" s="906" t="s">
        <v>289</v>
      </c>
      <c r="C18" s="907" t="s">
        <v>27</v>
      </c>
      <c r="D18" s="908" t="s">
        <v>1542</v>
      </c>
      <c r="E18" s="908" t="s">
        <v>435</v>
      </c>
      <c r="F18" s="909"/>
      <c r="G18" s="908"/>
      <c r="H18" s="908"/>
      <c r="I18" s="910" t="s">
        <v>46</v>
      </c>
      <c r="J18" s="910">
        <v>9</v>
      </c>
      <c r="K18" s="911">
        <v>455000</v>
      </c>
      <c r="L18" s="912">
        <v>0.41</v>
      </c>
      <c r="M18" s="911">
        <f t="shared" si="0"/>
        <v>2416050.0000000005</v>
      </c>
      <c r="N18" s="913"/>
    </row>
    <row r="19" spans="1:14" s="737" customFormat="1" ht="18">
      <c r="A19" s="882">
        <v>5</v>
      </c>
      <c r="B19" s="883" t="s">
        <v>336</v>
      </c>
      <c r="C19" s="884" t="s">
        <v>27</v>
      </c>
      <c r="D19" s="885" t="s">
        <v>265</v>
      </c>
      <c r="E19" s="885"/>
      <c r="F19" s="914"/>
      <c r="G19" s="885"/>
      <c r="H19" s="885"/>
      <c r="I19" s="886" t="s">
        <v>34</v>
      </c>
      <c r="J19" s="886">
        <v>4</v>
      </c>
      <c r="K19" s="887">
        <v>455000</v>
      </c>
      <c r="L19" s="888">
        <v>0.3</v>
      </c>
      <c r="M19" s="887">
        <f t="shared" si="0"/>
        <v>1274000</v>
      </c>
      <c r="N19" s="889"/>
    </row>
    <row r="20" spans="1:14" s="737" customFormat="1" ht="45">
      <c r="A20" s="882">
        <v>6</v>
      </c>
      <c r="B20" s="883" t="s">
        <v>356</v>
      </c>
      <c r="C20" s="884" t="s">
        <v>27</v>
      </c>
      <c r="D20" s="885" t="s">
        <v>1543</v>
      </c>
      <c r="E20" s="885"/>
      <c r="F20" s="914"/>
      <c r="G20" s="885"/>
      <c r="H20" s="885"/>
      <c r="I20" s="886" t="s">
        <v>253</v>
      </c>
      <c r="J20" s="886">
        <v>7</v>
      </c>
      <c r="K20" s="887">
        <v>255000</v>
      </c>
      <c r="L20" s="888">
        <v>0.5</v>
      </c>
      <c r="M20" s="887">
        <f t="shared" si="0"/>
        <v>892500</v>
      </c>
      <c r="N20" s="889"/>
    </row>
    <row r="21" spans="1:14" s="737" customFormat="1" ht="36">
      <c r="A21" s="890">
        <v>7</v>
      </c>
      <c r="B21" s="891"/>
      <c r="C21" s="892" t="s">
        <v>27</v>
      </c>
      <c r="D21" s="893" t="s">
        <v>1544</v>
      </c>
      <c r="E21" s="893"/>
      <c r="F21" s="915"/>
      <c r="G21" s="893"/>
      <c r="H21" s="893"/>
      <c r="I21" s="894" t="s">
        <v>30</v>
      </c>
      <c r="J21" s="894">
        <v>1</v>
      </c>
      <c r="K21" s="895">
        <v>465000</v>
      </c>
      <c r="L21" s="896">
        <v>0.41</v>
      </c>
      <c r="M21" s="895">
        <f t="shared" si="0"/>
        <v>274350.00000000006</v>
      </c>
      <c r="N21" s="897"/>
    </row>
    <row r="22" spans="1:14" s="737" customFormat="1" ht="36">
      <c r="A22" s="898"/>
      <c r="B22" s="916"/>
      <c r="C22" s="899" t="s">
        <v>27</v>
      </c>
      <c r="D22" s="900" t="s">
        <v>1544</v>
      </c>
      <c r="E22" s="900"/>
      <c r="F22" s="901"/>
      <c r="G22" s="900"/>
      <c r="H22" s="900"/>
      <c r="I22" s="480" t="s">
        <v>32</v>
      </c>
      <c r="J22" s="480">
        <v>2</v>
      </c>
      <c r="K22" s="902">
        <v>275000</v>
      </c>
      <c r="L22" s="903">
        <v>0.41</v>
      </c>
      <c r="M22" s="895">
        <f t="shared" si="0"/>
        <v>324500.00000000006</v>
      </c>
      <c r="N22" s="904"/>
    </row>
    <row r="23" spans="1:14" s="737" customFormat="1" ht="36">
      <c r="A23" s="898"/>
      <c r="B23" s="916"/>
      <c r="C23" s="899" t="s">
        <v>27</v>
      </c>
      <c r="D23" s="900" t="s">
        <v>1544</v>
      </c>
      <c r="E23" s="900"/>
      <c r="F23" s="901"/>
      <c r="G23" s="900"/>
      <c r="H23" s="900"/>
      <c r="I23" s="917" t="s">
        <v>50</v>
      </c>
      <c r="J23" s="480">
        <v>1</v>
      </c>
      <c r="K23" s="902">
        <v>475000</v>
      </c>
      <c r="L23" s="903">
        <v>0.41</v>
      </c>
      <c r="M23" s="895">
        <f t="shared" si="0"/>
        <v>280250.00000000006</v>
      </c>
      <c r="N23" s="904"/>
    </row>
    <row r="24" spans="1:14" s="737" customFormat="1" ht="36">
      <c r="A24" s="898"/>
      <c r="B24" s="916"/>
      <c r="C24" s="899" t="s">
        <v>27</v>
      </c>
      <c r="D24" s="900" t="s">
        <v>1544</v>
      </c>
      <c r="E24" s="900"/>
      <c r="F24" s="901"/>
      <c r="G24" s="900"/>
      <c r="H24" s="900"/>
      <c r="I24" s="917" t="s">
        <v>72</v>
      </c>
      <c r="J24" s="480">
        <v>2</v>
      </c>
      <c r="K24" s="902">
        <v>285000</v>
      </c>
      <c r="L24" s="903">
        <v>0.41</v>
      </c>
      <c r="M24" s="895">
        <f t="shared" si="0"/>
        <v>336300.00000000006</v>
      </c>
      <c r="N24" s="904"/>
    </row>
    <row r="25" spans="1:14" s="737" customFormat="1" ht="36">
      <c r="A25" s="898"/>
      <c r="B25" s="916"/>
      <c r="C25" s="899" t="s">
        <v>27</v>
      </c>
      <c r="D25" s="900" t="s">
        <v>1544</v>
      </c>
      <c r="E25" s="900"/>
      <c r="F25" s="901"/>
      <c r="G25" s="900"/>
      <c r="H25" s="900"/>
      <c r="I25" s="917" t="s">
        <v>74</v>
      </c>
      <c r="J25" s="480">
        <v>3</v>
      </c>
      <c r="K25" s="902">
        <v>550000</v>
      </c>
      <c r="L25" s="903">
        <v>0.41</v>
      </c>
      <c r="M25" s="902">
        <f t="shared" si="0"/>
        <v>973500.00000000012</v>
      </c>
      <c r="N25" s="904"/>
    </row>
    <row r="26" spans="1:14" s="737" customFormat="1" ht="36">
      <c r="A26" s="905"/>
      <c r="B26" s="906"/>
      <c r="C26" s="907" t="s">
        <v>27</v>
      </c>
      <c r="D26" s="908" t="s">
        <v>1544</v>
      </c>
      <c r="E26" s="908"/>
      <c r="F26" s="909"/>
      <c r="G26" s="908"/>
      <c r="H26" s="908"/>
      <c r="I26" s="910" t="s">
        <v>46</v>
      </c>
      <c r="J26" s="910">
        <v>1</v>
      </c>
      <c r="K26" s="911">
        <v>455000</v>
      </c>
      <c r="L26" s="912">
        <v>0.41</v>
      </c>
      <c r="M26" s="918">
        <f t="shared" si="0"/>
        <v>268450.00000000006</v>
      </c>
      <c r="N26" s="913"/>
    </row>
    <row r="27" spans="1:14" s="737" customFormat="1" ht="18">
      <c r="A27" s="890">
        <v>8</v>
      </c>
      <c r="B27" s="891" t="s">
        <v>1186</v>
      </c>
      <c r="C27" s="892"/>
      <c r="D27" s="893" t="s">
        <v>1545</v>
      </c>
      <c r="E27" s="893" t="s">
        <v>145</v>
      </c>
      <c r="F27" s="915"/>
      <c r="G27" s="893"/>
      <c r="H27" s="893"/>
      <c r="I27" s="894" t="s">
        <v>72</v>
      </c>
      <c r="J27" s="894">
        <v>18</v>
      </c>
      <c r="K27" s="895">
        <v>285000</v>
      </c>
      <c r="L27" s="896">
        <v>0.35</v>
      </c>
      <c r="M27" s="895">
        <f t="shared" si="0"/>
        <v>3334500</v>
      </c>
      <c r="N27" s="897"/>
    </row>
    <row r="28" spans="1:14" s="737" customFormat="1" ht="9">
      <c r="A28" s="905"/>
      <c r="B28" s="906"/>
      <c r="C28" s="907"/>
      <c r="D28" s="908"/>
      <c r="E28" s="908"/>
      <c r="F28" s="909"/>
      <c r="G28" s="908"/>
      <c r="H28" s="908"/>
      <c r="I28" s="910" t="s">
        <v>73</v>
      </c>
      <c r="J28" s="910">
        <v>2</v>
      </c>
      <c r="K28" s="911">
        <v>485000</v>
      </c>
      <c r="L28" s="912">
        <v>0.35</v>
      </c>
      <c r="M28" s="911">
        <f t="shared" si="0"/>
        <v>630500</v>
      </c>
      <c r="N28" s="913"/>
    </row>
    <row r="29" spans="1:14" s="737" customFormat="1" ht="18">
      <c r="A29" s="882">
        <v>9</v>
      </c>
      <c r="B29" s="883" t="s">
        <v>385</v>
      </c>
      <c r="C29" s="884"/>
      <c r="D29" s="885" t="s">
        <v>1545</v>
      </c>
      <c r="E29" s="885" t="s">
        <v>145</v>
      </c>
      <c r="F29" s="914"/>
      <c r="G29" s="885"/>
      <c r="H29" s="885"/>
      <c r="I29" s="886" t="s">
        <v>33</v>
      </c>
      <c r="J29" s="886">
        <v>5</v>
      </c>
      <c r="K29" s="887">
        <v>285000</v>
      </c>
      <c r="L29" s="888">
        <v>0.35</v>
      </c>
      <c r="M29" s="887">
        <f t="shared" si="0"/>
        <v>926250</v>
      </c>
      <c r="N29" s="889"/>
    </row>
    <row r="30" spans="1:14" s="737" customFormat="1" ht="18">
      <c r="A30" s="882">
        <v>10</v>
      </c>
      <c r="B30" s="883"/>
      <c r="C30" s="884"/>
      <c r="D30" s="885" t="s">
        <v>294</v>
      </c>
      <c r="E30" s="885"/>
      <c r="F30" s="914"/>
      <c r="G30" s="885"/>
      <c r="H30" s="885"/>
      <c r="I30" s="886" t="s">
        <v>73</v>
      </c>
      <c r="J30" s="886">
        <v>12</v>
      </c>
      <c r="K30" s="887">
        <v>485000</v>
      </c>
      <c r="L30" s="888">
        <v>0.5</v>
      </c>
      <c r="M30" s="887">
        <f t="shared" si="0"/>
        <v>2910000</v>
      </c>
      <c r="N30" s="889"/>
    </row>
    <row r="31" spans="1:14" s="737" customFormat="1" ht="18">
      <c r="A31" s="919">
        <v>11</v>
      </c>
      <c r="B31" s="920" t="s">
        <v>410</v>
      </c>
      <c r="C31" s="921"/>
      <c r="D31" s="922" t="s">
        <v>358</v>
      </c>
      <c r="E31" s="922" t="s">
        <v>259</v>
      </c>
      <c r="F31" s="923"/>
      <c r="G31" s="922"/>
      <c r="H31" s="922"/>
      <c r="I31" s="591" t="s">
        <v>34</v>
      </c>
      <c r="J31" s="591">
        <v>12</v>
      </c>
      <c r="K31" s="924">
        <v>455000</v>
      </c>
      <c r="L31" s="925"/>
      <c r="M31" s="924">
        <f t="shared" si="0"/>
        <v>5460000</v>
      </c>
      <c r="N31" s="926"/>
    </row>
    <row r="32" spans="1:14" s="737" customFormat="1" ht="18">
      <c r="A32" s="884">
        <v>12</v>
      </c>
      <c r="B32" s="883" t="s">
        <v>410</v>
      </c>
      <c r="C32" s="884"/>
      <c r="D32" s="885" t="s">
        <v>357</v>
      </c>
      <c r="E32" s="885"/>
      <c r="F32" s="914"/>
      <c r="G32" s="885"/>
      <c r="H32" s="885"/>
      <c r="I32" s="886" t="s">
        <v>34</v>
      </c>
      <c r="J32" s="886">
        <v>12</v>
      </c>
      <c r="K32" s="887">
        <v>455000</v>
      </c>
      <c r="L32" s="888"/>
      <c r="M32" s="887">
        <f t="shared" si="0"/>
        <v>5460000</v>
      </c>
      <c r="N32" s="927"/>
    </row>
    <row r="33" spans="1:14" s="737" customFormat="1" ht="18">
      <c r="A33" s="890">
        <v>13</v>
      </c>
      <c r="B33" s="891" t="s">
        <v>446</v>
      </c>
      <c r="C33" s="892"/>
      <c r="D33" s="893" t="s">
        <v>461</v>
      </c>
      <c r="E33" s="893" t="s">
        <v>1546</v>
      </c>
      <c r="F33" s="915"/>
      <c r="G33" s="893"/>
      <c r="H33" s="893"/>
      <c r="I33" s="894" t="s">
        <v>60</v>
      </c>
      <c r="J33" s="894">
        <v>12</v>
      </c>
      <c r="K33" s="895"/>
      <c r="L33" s="896"/>
      <c r="M33" s="895">
        <f t="shared" si="0"/>
        <v>0</v>
      </c>
      <c r="N33" s="897"/>
    </row>
    <row r="34" spans="1:14" s="737" customFormat="1" ht="9">
      <c r="A34" s="898"/>
      <c r="B34" s="916"/>
      <c r="C34" s="899"/>
      <c r="D34" s="900"/>
      <c r="E34" s="900"/>
      <c r="F34" s="901"/>
      <c r="G34" s="900"/>
      <c r="H34" s="900"/>
      <c r="I34" s="480" t="s">
        <v>30</v>
      </c>
      <c r="J34" s="480">
        <v>18</v>
      </c>
      <c r="K34" s="902"/>
      <c r="L34" s="903"/>
      <c r="M34" s="895">
        <f t="shared" si="0"/>
        <v>0</v>
      </c>
      <c r="N34" s="904"/>
    </row>
    <row r="35" spans="1:14" s="737" customFormat="1" ht="9">
      <c r="A35" s="890"/>
      <c r="B35" s="891"/>
      <c r="C35" s="892"/>
      <c r="D35" s="893"/>
      <c r="E35" s="893"/>
      <c r="F35" s="915"/>
      <c r="G35" s="893"/>
      <c r="H35" s="893"/>
      <c r="I35" s="894" t="s">
        <v>50</v>
      </c>
      <c r="J35" s="894">
        <v>20</v>
      </c>
      <c r="K35" s="895"/>
      <c r="L35" s="896"/>
      <c r="M35" s="895">
        <f t="shared" si="0"/>
        <v>0</v>
      </c>
      <c r="N35" s="897"/>
    </row>
    <row r="36" spans="1:14" s="737" customFormat="1" ht="9">
      <c r="A36" s="898"/>
      <c r="B36" s="916"/>
      <c r="C36" s="899"/>
      <c r="D36" s="900"/>
      <c r="E36" s="900"/>
      <c r="F36" s="901"/>
      <c r="G36" s="900"/>
      <c r="H36" s="900"/>
      <c r="I36" s="480" t="s">
        <v>33</v>
      </c>
      <c r="J36" s="480">
        <v>5</v>
      </c>
      <c r="K36" s="902"/>
      <c r="L36" s="903"/>
      <c r="M36" s="895">
        <f t="shared" si="0"/>
        <v>0</v>
      </c>
      <c r="N36" s="904"/>
    </row>
    <row r="37" spans="1:14" s="737" customFormat="1" ht="9">
      <c r="A37" s="890"/>
      <c r="B37" s="891"/>
      <c r="C37" s="892"/>
      <c r="D37" s="893"/>
      <c r="E37" s="893"/>
      <c r="F37" s="915"/>
      <c r="G37" s="893"/>
      <c r="H37" s="893"/>
      <c r="I37" s="894" t="s">
        <v>45</v>
      </c>
      <c r="J37" s="894">
        <v>17</v>
      </c>
      <c r="K37" s="895"/>
      <c r="L37" s="896"/>
      <c r="M37" s="895">
        <f t="shared" si="0"/>
        <v>0</v>
      </c>
      <c r="N37" s="897"/>
    </row>
    <row r="38" spans="1:14" s="737" customFormat="1" ht="9">
      <c r="A38" s="898"/>
      <c r="B38" s="916"/>
      <c r="C38" s="899"/>
      <c r="D38" s="900"/>
      <c r="E38" s="900"/>
      <c r="F38" s="901"/>
      <c r="G38" s="900"/>
      <c r="H38" s="900"/>
      <c r="I38" s="480" t="s">
        <v>74</v>
      </c>
      <c r="J38" s="480">
        <v>16</v>
      </c>
      <c r="K38" s="902"/>
      <c r="L38" s="903"/>
      <c r="M38" s="902">
        <f t="shared" si="0"/>
        <v>0</v>
      </c>
      <c r="N38" s="904"/>
    </row>
    <row r="39" spans="1:14" s="737" customFormat="1" ht="9">
      <c r="A39" s="928"/>
      <c r="B39" s="929"/>
      <c r="C39" s="930"/>
      <c r="D39" s="931"/>
      <c r="E39" s="931"/>
      <c r="F39" s="932"/>
      <c r="G39" s="931"/>
      <c r="H39" s="931"/>
      <c r="I39" s="592" t="s">
        <v>46</v>
      </c>
      <c r="J39" s="592">
        <v>4</v>
      </c>
      <c r="K39" s="918"/>
      <c r="L39" s="933"/>
      <c r="M39" s="918">
        <f t="shared" si="0"/>
        <v>0</v>
      </c>
      <c r="N39" s="934"/>
    </row>
    <row r="40" spans="1:14" s="737" customFormat="1" ht="18">
      <c r="A40" s="935">
        <v>14</v>
      </c>
      <c r="B40" s="936" t="s">
        <v>459</v>
      </c>
      <c r="C40" s="937"/>
      <c r="D40" s="938" t="s">
        <v>265</v>
      </c>
      <c r="E40" s="938"/>
      <c r="F40" s="939"/>
      <c r="G40" s="938"/>
      <c r="H40" s="938"/>
      <c r="I40" s="940" t="s">
        <v>253</v>
      </c>
      <c r="J40" s="940">
        <v>19</v>
      </c>
      <c r="K40" s="941"/>
      <c r="L40" s="942"/>
      <c r="M40" s="941">
        <f t="shared" si="0"/>
        <v>0</v>
      </c>
      <c r="N40" s="943"/>
    </row>
    <row r="41" spans="1:14" s="737" customFormat="1" ht="9">
      <c r="A41" s="928"/>
      <c r="B41" s="929"/>
      <c r="C41" s="930"/>
      <c r="D41" s="931"/>
      <c r="E41" s="931"/>
      <c r="F41" s="932"/>
      <c r="G41" s="931"/>
      <c r="H41" s="931"/>
      <c r="I41" s="592" t="s">
        <v>34</v>
      </c>
      <c r="J41" s="592">
        <v>7</v>
      </c>
      <c r="K41" s="918"/>
      <c r="L41" s="933"/>
      <c r="M41" s="918">
        <f t="shared" si="0"/>
        <v>0</v>
      </c>
      <c r="N41" s="934"/>
    </row>
    <row r="42" spans="1:14" s="737" customFormat="1" ht="18">
      <c r="A42" s="890">
        <v>15</v>
      </c>
      <c r="B42" s="891" t="s">
        <v>469</v>
      </c>
      <c r="C42" s="892"/>
      <c r="D42" s="893" t="s">
        <v>294</v>
      </c>
      <c r="E42" s="893"/>
      <c r="F42" s="915"/>
      <c r="G42" s="893"/>
      <c r="H42" s="893"/>
      <c r="I42" s="894" t="s">
        <v>36</v>
      </c>
      <c r="J42" s="894">
        <v>50</v>
      </c>
      <c r="K42" s="895"/>
      <c r="L42" s="896"/>
      <c r="M42" s="895">
        <f t="shared" si="0"/>
        <v>0</v>
      </c>
      <c r="N42" s="897"/>
    </row>
    <row r="43" spans="1:14" s="737" customFormat="1" ht="9">
      <c r="A43" s="890"/>
      <c r="B43" s="891"/>
      <c r="C43" s="892"/>
      <c r="D43" s="893"/>
      <c r="E43" s="893"/>
      <c r="F43" s="915"/>
      <c r="G43" s="893"/>
      <c r="H43" s="893"/>
      <c r="I43" s="894" t="s">
        <v>34</v>
      </c>
      <c r="J43" s="894">
        <v>12</v>
      </c>
      <c r="K43" s="895"/>
      <c r="L43" s="896"/>
      <c r="M43" s="895">
        <f t="shared" si="0"/>
        <v>0</v>
      </c>
      <c r="N43" s="897"/>
    </row>
    <row r="44" spans="1:14" s="737" customFormat="1" ht="9">
      <c r="A44" s="905"/>
      <c r="B44" s="906"/>
      <c r="C44" s="907"/>
      <c r="D44" s="908"/>
      <c r="E44" s="908"/>
      <c r="F44" s="909"/>
      <c r="G44" s="908"/>
      <c r="H44" s="908"/>
      <c r="I44" s="910" t="s">
        <v>46</v>
      </c>
      <c r="J44" s="910">
        <v>12</v>
      </c>
      <c r="K44" s="911"/>
      <c r="L44" s="912"/>
      <c r="M44" s="911">
        <f t="shared" si="0"/>
        <v>0</v>
      </c>
      <c r="N44" s="913"/>
    </row>
    <row r="45" spans="1:14" s="737" customFormat="1" ht="18">
      <c r="A45" s="884"/>
      <c r="B45" s="944" t="s">
        <v>557</v>
      </c>
      <c r="C45" s="884"/>
      <c r="D45" s="885" t="s">
        <v>358</v>
      </c>
      <c r="E45" s="885" t="s">
        <v>259</v>
      </c>
      <c r="F45" s="914"/>
      <c r="G45" s="885"/>
      <c r="H45" s="885"/>
      <c r="I45" s="886" t="s">
        <v>36</v>
      </c>
      <c r="J45" s="886">
        <v>35</v>
      </c>
      <c r="K45" s="887">
        <v>450000</v>
      </c>
      <c r="L45" s="888"/>
      <c r="M45" s="887">
        <f t="shared" si="0"/>
        <v>15750000</v>
      </c>
      <c r="N45" s="927"/>
    </row>
    <row r="46" spans="1:14" s="737" customFormat="1" ht="27">
      <c r="A46" s="935"/>
      <c r="B46" s="945">
        <v>44166</v>
      </c>
      <c r="C46" s="937"/>
      <c r="D46" s="938" t="s">
        <v>478</v>
      </c>
      <c r="E46" s="938"/>
      <c r="F46" s="939"/>
      <c r="G46" s="938"/>
      <c r="H46" s="938"/>
      <c r="I46" s="940" t="s">
        <v>30</v>
      </c>
      <c r="J46" s="940">
        <v>12</v>
      </c>
      <c r="K46" s="941">
        <v>465000</v>
      </c>
      <c r="L46" s="942"/>
      <c r="M46" s="941">
        <f t="shared" si="0"/>
        <v>5580000</v>
      </c>
      <c r="N46" s="943"/>
    </row>
    <row r="47" spans="1:14" s="737" customFormat="1" ht="9">
      <c r="A47" s="890"/>
      <c r="B47" s="946"/>
      <c r="C47" s="892"/>
      <c r="D47" s="893"/>
      <c r="E47" s="893"/>
      <c r="F47" s="915"/>
      <c r="G47" s="893"/>
      <c r="H47" s="893"/>
      <c r="I47" s="894" t="s">
        <v>34</v>
      </c>
      <c r="J47" s="894">
        <v>12</v>
      </c>
      <c r="K47" s="895">
        <v>455000</v>
      </c>
      <c r="L47" s="896"/>
      <c r="M47" s="895">
        <f t="shared" si="0"/>
        <v>5460000</v>
      </c>
      <c r="N47" s="897"/>
    </row>
    <row r="48" spans="1:14" s="737" customFormat="1" ht="9">
      <c r="A48" s="905"/>
      <c r="B48" s="947"/>
      <c r="C48" s="907"/>
      <c r="D48" s="908"/>
      <c r="E48" s="908"/>
      <c r="F48" s="909"/>
      <c r="G48" s="908"/>
      <c r="H48" s="908"/>
      <c r="I48" s="910" t="s">
        <v>46</v>
      </c>
      <c r="J48" s="910">
        <v>12</v>
      </c>
      <c r="K48" s="911">
        <v>455000</v>
      </c>
      <c r="L48" s="912"/>
      <c r="M48" s="918">
        <f t="shared" si="0"/>
        <v>5460000</v>
      </c>
      <c r="N48" s="913"/>
    </row>
    <row r="49" spans="1:14" s="737" customFormat="1" ht="27">
      <c r="A49" s="935"/>
      <c r="B49" s="945">
        <v>44166</v>
      </c>
      <c r="C49" s="937"/>
      <c r="D49" s="938" t="s">
        <v>1547</v>
      </c>
      <c r="E49" s="938"/>
      <c r="F49" s="939"/>
      <c r="G49" s="938"/>
      <c r="H49" s="938"/>
      <c r="I49" s="940" t="s">
        <v>74</v>
      </c>
      <c r="J49" s="940">
        <v>12</v>
      </c>
      <c r="K49" s="941">
        <v>550000</v>
      </c>
      <c r="L49" s="942"/>
      <c r="M49" s="941">
        <f t="shared" si="0"/>
        <v>6600000</v>
      </c>
      <c r="N49" s="943"/>
    </row>
    <row r="50" spans="1:14" s="737" customFormat="1" ht="9">
      <c r="A50" s="948"/>
      <c r="B50" s="949"/>
      <c r="C50" s="950"/>
      <c r="D50" s="951"/>
      <c r="E50" s="951"/>
      <c r="F50" s="952"/>
      <c r="G50" s="951"/>
      <c r="H50" s="951"/>
      <c r="I50" s="953" t="s">
        <v>36</v>
      </c>
      <c r="J50" s="953">
        <v>24</v>
      </c>
      <c r="K50" s="954">
        <v>450000</v>
      </c>
      <c r="L50" s="955"/>
      <c r="M50" s="924">
        <f t="shared" si="0"/>
        <v>10800000</v>
      </c>
      <c r="N50" s="956"/>
    </row>
    <row r="51" spans="1:14" s="737" customFormat="1" ht="9">
      <c r="A51" s="957">
        <v>356</v>
      </c>
      <c r="B51" s="958" t="s">
        <v>586</v>
      </c>
      <c r="C51" s="957"/>
      <c r="D51" s="959" t="s">
        <v>1548</v>
      </c>
      <c r="E51" s="959" t="s">
        <v>241</v>
      </c>
      <c r="F51" s="960"/>
      <c r="G51" s="959"/>
      <c r="H51" s="959"/>
      <c r="I51" s="961" t="s">
        <v>30</v>
      </c>
      <c r="J51" s="961">
        <v>24</v>
      </c>
      <c r="K51" s="962">
        <v>465000</v>
      </c>
      <c r="L51" s="963"/>
      <c r="M51" s="962">
        <f t="shared" si="0"/>
        <v>11160000</v>
      </c>
      <c r="N51" s="964"/>
    </row>
    <row r="52" spans="1:14" s="737" customFormat="1" ht="9">
      <c r="A52" s="965"/>
      <c r="B52" s="966"/>
      <c r="C52" s="965"/>
      <c r="D52" s="967"/>
      <c r="E52" s="967"/>
      <c r="F52" s="968"/>
      <c r="G52" s="967"/>
      <c r="H52" s="967"/>
      <c r="I52" s="969" t="s">
        <v>50</v>
      </c>
      <c r="J52" s="969">
        <v>48</v>
      </c>
      <c r="K52" s="970">
        <v>475000</v>
      </c>
      <c r="L52" s="971"/>
      <c r="M52" s="970">
        <f t="shared" si="0"/>
        <v>22800000</v>
      </c>
      <c r="N52" s="972"/>
    </row>
    <row r="53" spans="1:14" s="737" customFormat="1" ht="9">
      <c r="A53" s="965"/>
      <c r="B53" s="966"/>
      <c r="C53" s="965"/>
      <c r="D53" s="967"/>
      <c r="E53" s="967"/>
      <c r="F53" s="968"/>
      <c r="G53" s="967"/>
      <c r="H53" s="967"/>
      <c r="I53" s="969" t="s">
        <v>45</v>
      </c>
      <c r="J53" s="969">
        <v>24</v>
      </c>
      <c r="K53" s="970">
        <v>485000</v>
      </c>
      <c r="L53" s="971"/>
      <c r="M53" s="970">
        <f t="shared" si="0"/>
        <v>11640000</v>
      </c>
      <c r="N53" s="972"/>
    </row>
    <row r="54" spans="1:14" s="737" customFormat="1" ht="9">
      <c r="A54" s="965"/>
      <c r="B54" s="966"/>
      <c r="C54" s="965"/>
      <c r="D54" s="967"/>
      <c r="E54" s="967"/>
      <c r="F54" s="968"/>
      <c r="G54" s="967"/>
      <c r="H54" s="967"/>
      <c r="I54" s="969" t="s">
        <v>34</v>
      </c>
      <c r="J54" s="969">
        <v>48</v>
      </c>
      <c r="K54" s="970">
        <v>455000</v>
      </c>
      <c r="L54" s="971"/>
      <c r="M54" s="970">
        <f t="shared" si="0"/>
        <v>21840000</v>
      </c>
      <c r="N54" s="972"/>
    </row>
    <row r="55" spans="1:14" s="737" customFormat="1" ht="9">
      <c r="A55" s="973"/>
      <c r="B55" s="974"/>
      <c r="C55" s="973"/>
      <c r="D55" s="975"/>
      <c r="E55" s="975"/>
      <c r="F55" s="976"/>
      <c r="G55" s="975"/>
      <c r="H55" s="975"/>
      <c r="I55" s="977" t="s">
        <v>46</v>
      </c>
      <c r="J55" s="977">
        <v>12</v>
      </c>
      <c r="K55" s="978">
        <v>455000</v>
      </c>
      <c r="L55" s="979"/>
      <c r="M55" s="978">
        <f t="shared" si="0"/>
        <v>5460000</v>
      </c>
      <c r="N55" s="980"/>
    </row>
    <row r="56" spans="1:14" s="737" customFormat="1" ht="18">
      <c r="A56" s="928">
        <v>365</v>
      </c>
      <c r="B56" s="981" t="s">
        <v>607</v>
      </c>
      <c r="C56" s="930"/>
      <c r="D56" s="931" t="s">
        <v>1549</v>
      </c>
      <c r="E56" s="893" t="s">
        <v>483</v>
      </c>
      <c r="F56" s="932"/>
      <c r="G56" s="931"/>
      <c r="H56" s="931"/>
      <c r="I56" s="592" t="s">
        <v>1550</v>
      </c>
      <c r="J56" s="592">
        <v>24</v>
      </c>
      <c r="K56" s="918">
        <v>485000</v>
      </c>
      <c r="L56" s="933"/>
      <c r="M56" s="918">
        <f t="shared" si="0"/>
        <v>11640000</v>
      </c>
      <c r="N56" s="934"/>
    </row>
    <row r="57" spans="1:14" s="737" customFormat="1" ht="18">
      <c r="A57" s="882">
        <v>362</v>
      </c>
      <c r="B57" s="982"/>
      <c r="C57" s="884"/>
      <c r="D57" s="885" t="s">
        <v>153</v>
      </c>
      <c r="E57" s="885" t="s">
        <v>1551</v>
      </c>
      <c r="F57" s="914"/>
      <c r="G57" s="885"/>
      <c r="H57" s="885"/>
      <c r="I57" s="886" t="s">
        <v>36</v>
      </c>
      <c r="J57" s="886">
        <v>3</v>
      </c>
      <c r="K57" s="887">
        <v>450000</v>
      </c>
      <c r="L57" s="888"/>
      <c r="M57" s="887">
        <f t="shared" si="0"/>
        <v>1350000</v>
      </c>
      <c r="N57" s="889"/>
    </row>
    <row r="58" spans="1:14" s="737" customFormat="1" ht="18">
      <c r="A58" s="935">
        <v>1001</v>
      </c>
      <c r="B58" s="945"/>
      <c r="C58" s="937"/>
      <c r="D58" s="938" t="s">
        <v>1549</v>
      </c>
      <c r="E58" s="938" t="s">
        <v>483</v>
      </c>
      <c r="F58" s="939"/>
      <c r="G58" s="938"/>
      <c r="H58" s="938"/>
      <c r="I58" s="940" t="s">
        <v>60</v>
      </c>
      <c r="J58" s="940">
        <v>22</v>
      </c>
      <c r="K58" s="941">
        <v>455000</v>
      </c>
      <c r="L58" s="942"/>
      <c r="M58" s="941">
        <f t="shared" si="0"/>
        <v>10010000</v>
      </c>
      <c r="N58" s="943"/>
    </row>
    <row r="59" spans="1:14" s="737" customFormat="1" ht="9">
      <c r="A59" s="905"/>
      <c r="B59" s="947"/>
      <c r="C59" s="907"/>
      <c r="D59" s="908"/>
      <c r="E59" s="908"/>
      <c r="F59" s="909"/>
      <c r="G59" s="908"/>
      <c r="H59" s="908"/>
      <c r="I59" s="910" t="s">
        <v>42</v>
      </c>
      <c r="J59" s="910">
        <v>48</v>
      </c>
      <c r="K59" s="911">
        <v>265000</v>
      </c>
      <c r="L59" s="912"/>
      <c r="M59" s="918">
        <f t="shared" si="0"/>
        <v>12720000</v>
      </c>
      <c r="N59" s="913"/>
    </row>
    <row r="60" spans="1:14" s="737" customFormat="1" ht="10.5">
      <c r="A60" s="648">
        <v>1010</v>
      </c>
      <c r="B60" s="665">
        <v>44014</v>
      </c>
      <c r="C60" s="647"/>
      <c r="D60" s="647" t="s">
        <v>1701</v>
      </c>
      <c r="E60" s="647" t="s">
        <v>1702</v>
      </c>
      <c r="F60" s="647"/>
      <c r="I60" s="648" t="s">
        <v>60</v>
      </c>
      <c r="J60" s="648">
        <v>6</v>
      </c>
      <c r="K60" s="654">
        <v>455000</v>
      </c>
      <c r="M60" s="654">
        <f t="shared" ref="M60:M85" si="1">J60*K60</f>
        <v>2730000</v>
      </c>
      <c r="N60" s="897"/>
    </row>
    <row r="61" spans="1:14" s="737" customFormat="1" ht="10.5">
      <c r="A61" s="648"/>
      <c r="B61" s="665"/>
      <c r="C61" s="647"/>
      <c r="D61" s="647" t="s">
        <v>1701</v>
      </c>
      <c r="E61" s="647" t="s">
        <v>1702</v>
      </c>
      <c r="F61" s="647"/>
      <c r="I61" s="648" t="s">
        <v>42</v>
      </c>
      <c r="J61" s="648">
        <v>15</v>
      </c>
      <c r="K61" s="654">
        <v>265000</v>
      </c>
      <c r="M61" s="654">
        <f t="shared" si="1"/>
        <v>3975000</v>
      </c>
      <c r="N61" s="904"/>
    </row>
    <row r="62" spans="1:14" s="737" customFormat="1" ht="10.5">
      <c r="A62" s="648"/>
      <c r="B62" s="665"/>
      <c r="C62" s="647"/>
      <c r="D62" s="647" t="s">
        <v>1701</v>
      </c>
      <c r="E62" s="647" t="s">
        <v>1702</v>
      </c>
      <c r="F62" s="647"/>
      <c r="I62" s="648" t="s">
        <v>30</v>
      </c>
      <c r="J62" s="648">
        <v>10</v>
      </c>
      <c r="K62" s="654">
        <v>465000</v>
      </c>
      <c r="M62" s="654">
        <f t="shared" si="1"/>
        <v>4650000</v>
      </c>
      <c r="N62" s="897"/>
    </row>
    <row r="63" spans="1:14" s="737" customFormat="1" ht="10.5">
      <c r="A63" s="648"/>
      <c r="B63" s="665"/>
      <c r="C63" s="647"/>
      <c r="D63" s="647" t="s">
        <v>1701</v>
      </c>
      <c r="E63" s="647" t="s">
        <v>1702</v>
      </c>
      <c r="F63" s="647"/>
      <c r="I63" s="648" t="s">
        <v>50</v>
      </c>
      <c r="J63" s="648">
        <v>10</v>
      </c>
      <c r="K63" s="654">
        <v>475000</v>
      </c>
      <c r="M63" s="654">
        <f t="shared" si="1"/>
        <v>4750000</v>
      </c>
      <c r="N63" s="904"/>
    </row>
    <row r="64" spans="1:14" s="984" customFormat="1" ht="10.5">
      <c r="A64" s="648"/>
      <c r="B64" s="665"/>
      <c r="C64" s="647"/>
      <c r="D64" s="647" t="s">
        <v>1701</v>
      </c>
      <c r="E64" s="647" t="s">
        <v>1702</v>
      </c>
      <c r="F64" s="647"/>
      <c r="I64" s="648" t="s">
        <v>74</v>
      </c>
      <c r="J64" s="648">
        <v>18</v>
      </c>
      <c r="K64" s="654">
        <v>550000</v>
      </c>
      <c r="M64" s="654">
        <f t="shared" si="1"/>
        <v>9900000</v>
      </c>
      <c r="N64" s="983"/>
    </row>
    <row r="65" spans="1:14" s="984" customFormat="1" ht="10.5">
      <c r="A65" s="648"/>
      <c r="B65" s="665"/>
      <c r="C65" s="647"/>
      <c r="D65" s="647" t="s">
        <v>1701</v>
      </c>
      <c r="E65" s="647" t="s">
        <v>1702</v>
      </c>
      <c r="F65" s="647"/>
      <c r="I65" s="648" t="s">
        <v>34</v>
      </c>
      <c r="J65" s="648">
        <v>2</v>
      </c>
      <c r="K65" s="654">
        <v>455000</v>
      </c>
      <c r="M65" s="654">
        <f t="shared" si="1"/>
        <v>910000</v>
      </c>
      <c r="N65" s="985"/>
    </row>
    <row r="66" spans="1:14" s="984" customFormat="1" ht="10.5">
      <c r="A66" s="648">
        <v>1011</v>
      </c>
      <c r="B66" s="665">
        <v>44014</v>
      </c>
      <c r="C66" s="647"/>
      <c r="D66" s="647" t="s">
        <v>1649</v>
      </c>
      <c r="E66" s="647" t="s">
        <v>1546</v>
      </c>
      <c r="F66" s="647"/>
      <c r="I66" s="648" t="s">
        <v>45</v>
      </c>
      <c r="J66" s="648">
        <v>24</v>
      </c>
      <c r="K66" s="654">
        <v>485000</v>
      </c>
      <c r="M66" s="654">
        <f t="shared" si="1"/>
        <v>11640000</v>
      </c>
      <c r="N66" s="985"/>
    </row>
    <row r="67" spans="1:14">
      <c r="A67" s="648"/>
      <c r="B67" s="665"/>
      <c r="C67" s="647"/>
      <c r="D67" s="647" t="s">
        <v>1649</v>
      </c>
      <c r="E67" s="647" t="s">
        <v>1546</v>
      </c>
      <c r="F67" s="647"/>
      <c r="I67" s="648" t="s">
        <v>46</v>
      </c>
      <c r="J67" s="648">
        <v>2</v>
      </c>
      <c r="K67" s="654">
        <v>455000</v>
      </c>
      <c r="M67" s="654">
        <f t="shared" si="1"/>
        <v>910000</v>
      </c>
      <c r="N67" s="986"/>
    </row>
    <row r="68" spans="1:14">
      <c r="A68" s="1176">
        <v>1014</v>
      </c>
      <c r="B68" s="1171">
        <v>44014</v>
      </c>
      <c r="C68" s="1172"/>
      <c r="D68" s="1172" t="s">
        <v>1545</v>
      </c>
      <c r="E68" s="1172" t="s">
        <v>145</v>
      </c>
      <c r="F68" s="1172"/>
      <c r="I68" s="1176" t="s">
        <v>45</v>
      </c>
      <c r="J68" s="1176">
        <v>12</v>
      </c>
      <c r="K68" s="1184">
        <v>485000</v>
      </c>
      <c r="M68" s="1184">
        <f t="shared" si="1"/>
        <v>5820000</v>
      </c>
    </row>
    <row r="69" spans="1:14">
      <c r="A69" s="648"/>
      <c r="B69" s="665"/>
      <c r="C69" s="647"/>
      <c r="D69" s="647" t="s">
        <v>1545</v>
      </c>
      <c r="E69" s="647" t="s">
        <v>145</v>
      </c>
      <c r="F69" s="647"/>
      <c r="I69" s="648" t="s">
        <v>46</v>
      </c>
      <c r="J69" s="648">
        <v>10</v>
      </c>
      <c r="K69" s="654">
        <v>455000</v>
      </c>
      <c r="M69" s="654">
        <f t="shared" si="1"/>
        <v>4550000</v>
      </c>
    </row>
    <row r="70" spans="1:14">
      <c r="A70" s="648">
        <v>1020</v>
      </c>
      <c r="B70" s="665">
        <v>44076</v>
      </c>
      <c r="C70" s="647"/>
      <c r="D70" s="647" t="s">
        <v>1703</v>
      </c>
      <c r="E70" s="647" t="s">
        <v>328</v>
      </c>
      <c r="F70" s="647"/>
      <c r="I70" s="648" t="s">
        <v>30</v>
      </c>
      <c r="J70" s="648">
        <v>60</v>
      </c>
      <c r="K70" s="654">
        <v>465000</v>
      </c>
      <c r="M70" s="654">
        <f t="shared" si="1"/>
        <v>27900000</v>
      </c>
    </row>
    <row r="71" spans="1:14">
      <c r="A71" s="648"/>
      <c r="B71" s="665"/>
      <c r="C71" s="647"/>
      <c r="D71" s="647" t="s">
        <v>1703</v>
      </c>
      <c r="E71" s="647" t="s">
        <v>328</v>
      </c>
      <c r="F71" s="647"/>
      <c r="I71" s="648" t="s">
        <v>50</v>
      </c>
      <c r="J71" s="648">
        <v>60</v>
      </c>
      <c r="K71" s="654">
        <v>475000</v>
      </c>
      <c r="M71" s="654">
        <f t="shared" si="1"/>
        <v>28500000</v>
      </c>
    </row>
    <row r="72" spans="1:14">
      <c r="A72" s="648"/>
      <c r="B72" s="665"/>
      <c r="C72" s="647"/>
      <c r="D72" s="647" t="s">
        <v>1703</v>
      </c>
      <c r="E72" s="647" t="s">
        <v>328</v>
      </c>
      <c r="F72" s="647"/>
      <c r="I72" s="648" t="s">
        <v>45</v>
      </c>
      <c r="J72" s="648">
        <v>60</v>
      </c>
      <c r="K72" s="654">
        <v>485000</v>
      </c>
      <c r="M72" s="654">
        <f t="shared" si="1"/>
        <v>29100000</v>
      </c>
    </row>
    <row r="73" spans="1:14">
      <c r="A73" s="648"/>
      <c r="B73" s="665"/>
      <c r="C73" s="647"/>
      <c r="D73" s="647" t="s">
        <v>1703</v>
      </c>
      <c r="E73" s="647" t="s">
        <v>328</v>
      </c>
      <c r="F73" s="647"/>
      <c r="I73" s="648" t="s">
        <v>34</v>
      </c>
      <c r="J73" s="648">
        <v>60</v>
      </c>
      <c r="K73" s="654">
        <v>455000</v>
      </c>
      <c r="M73" s="654">
        <f t="shared" si="1"/>
        <v>27300000</v>
      </c>
    </row>
    <row r="74" spans="1:14">
      <c r="A74" s="1176">
        <v>1018</v>
      </c>
      <c r="B74" s="1171">
        <v>44076</v>
      </c>
      <c r="C74" s="1172"/>
      <c r="D74" s="1172" t="s">
        <v>565</v>
      </c>
      <c r="E74" s="1172" t="s">
        <v>1650</v>
      </c>
      <c r="F74" s="1172"/>
      <c r="I74" s="1176" t="s">
        <v>60</v>
      </c>
      <c r="J74" s="1176">
        <v>24</v>
      </c>
      <c r="K74" s="1184">
        <v>455000</v>
      </c>
      <c r="M74" s="1184">
        <f t="shared" si="1"/>
        <v>10920000</v>
      </c>
    </row>
    <row r="75" spans="1:14">
      <c r="A75" s="648">
        <v>1017</v>
      </c>
      <c r="B75" s="648" t="s">
        <v>1598</v>
      </c>
      <c r="C75" s="647"/>
      <c r="D75" s="647" t="s">
        <v>1703</v>
      </c>
      <c r="E75" s="647" t="s">
        <v>328</v>
      </c>
      <c r="F75" s="647"/>
      <c r="I75" s="648" t="s">
        <v>30</v>
      </c>
      <c r="J75" s="648">
        <v>72</v>
      </c>
      <c r="K75" s="654">
        <v>465000</v>
      </c>
      <c r="M75" s="654">
        <f t="shared" si="1"/>
        <v>33480000</v>
      </c>
    </row>
    <row r="76" spans="1:14">
      <c r="A76" s="648"/>
      <c r="B76" s="648"/>
      <c r="C76" s="647"/>
      <c r="D76" s="647" t="s">
        <v>1703</v>
      </c>
      <c r="E76" s="647" t="s">
        <v>328</v>
      </c>
      <c r="F76" s="647"/>
      <c r="I76" s="648" t="s">
        <v>50</v>
      </c>
      <c r="J76" s="648">
        <v>36</v>
      </c>
      <c r="K76" s="654">
        <v>475000</v>
      </c>
      <c r="M76" s="654">
        <f t="shared" si="1"/>
        <v>17100000</v>
      </c>
    </row>
    <row r="77" spans="1:14">
      <c r="A77" s="648"/>
      <c r="B77" s="648"/>
      <c r="C77" s="647"/>
      <c r="D77" s="647" t="s">
        <v>1703</v>
      </c>
      <c r="E77" s="647" t="s">
        <v>328</v>
      </c>
      <c r="F77" s="647"/>
      <c r="I77" s="648" t="s">
        <v>45</v>
      </c>
      <c r="J77" s="648">
        <v>48</v>
      </c>
      <c r="K77" s="654">
        <v>485000</v>
      </c>
      <c r="M77" s="654">
        <f t="shared" si="1"/>
        <v>23280000</v>
      </c>
    </row>
    <row r="78" spans="1:14">
      <c r="A78" s="648"/>
      <c r="B78" s="648"/>
      <c r="C78" s="647"/>
      <c r="D78" s="647" t="s">
        <v>1703</v>
      </c>
      <c r="E78" s="647" t="s">
        <v>328</v>
      </c>
      <c r="F78" s="647"/>
      <c r="I78" s="648" t="s">
        <v>34</v>
      </c>
      <c r="J78" s="648">
        <v>48</v>
      </c>
      <c r="K78" s="654">
        <v>455000</v>
      </c>
      <c r="M78" s="654">
        <f t="shared" si="1"/>
        <v>21840000</v>
      </c>
    </row>
    <row r="79" spans="1:14">
      <c r="A79" s="648"/>
      <c r="B79" s="648"/>
      <c r="C79" s="647"/>
      <c r="D79" s="647" t="s">
        <v>1703</v>
      </c>
      <c r="E79" s="647" t="s">
        <v>328</v>
      </c>
      <c r="F79" s="647"/>
      <c r="I79" s="648" t="s">
        <v>46</v>
      </c>
      <c r="J79" s="648">
        <v>36</v>
      </c>
      <c r="K79" s="654">
        <v>455000</v>
      </c>
      <c r="M79" s="654">
        <f t="shared" si="1"/>
        <v>16380000</v>
      </c>
    </row>
    <row r="80" spans="1:14">
      <c r="A80" s="1176">
        <v>1034</v>
      </c>
      <c r="B80" s="1176" t="s">
        <v>1668</v>
      </c>
      <c r="C80" s="1172"/>
      <c r="D80" s="1172" t="s">
        <v>1649</v>
      </c>
      <c r="E80" s="1172" t="s">
        <v>1546</v>
      </c>
      <c r="F80" s="1172"/>
      <c r="I80" s="1176" t="s">
        <v>253</v>
      </c>
      <c r="J80" s="1176">
        <v>10</v>
      </c>
      <c r="K80" s="1184">
        <v>255000</v>
      </c>
      <c r="M80" s="1184">
        <f t="shared" si="1"/>
        <v>2550000</v>
      </c>
    </row>
    <row r="81" spans="1:13">
      <c r="A81" s="648">
        <v>1040</v>
      </c>
      <c r="B81" s="648" t="s">
        <v>1627</v>
      </c>
      <c r="C81" s="647"/>
      <c r="D81" s="647" t="s">
        <v>1545</v>
      </c>
      <c r="E81" s="647" t="s">
        <v>145</v>
      </c>
      <c r="F81" s="647"/>
      <c r="I81" s="648" t="s">
        <v>30</v>
      </c>
      <c r="J81" s="648">
        <v>5</v>
      </c>
      <c r="K81" s="654">
        <v>465000</v>
      </c>
      <c r="M81" s="654">
        <f t="shared" si="1"/>
        <v>2325000</v>
      </c>
    </row>
    <row r="82" spans="1:13">
      <c r="A82" s="648"/>
      <c r="B82" s="648"/>
      <c r="C82" s="647"/>
      <c r="D82" s="647" t="s">
        <v>1545</v>
      </c>
      <c r="E82" s="647" t="s">
        <v>145</v>
      </c>
      <c r="F82" s="647"/>
      <c r="I82" s="648" t="s">
        <v>50</v>
      </c>
      <c r="J82" s="648">
        <v>5</v>
      </c>
      <c r="K82" s="654">
        <v>475000</v>
      </c>
      <c r="M82" s="654">
        <f t="shared" si="1"/>
        <v>2375000</v>
      </c>
    </row>
    <row r="83" spans="1:13">
      <c r="A83" s="648">
        <v>1042</v>
      </c>
      <c r="B83" s="648" t="s">
        <v>1624</v>
      </c>
      <c r="C83" s="647"/>
      <c r="D83" s="647" t="s">
        <v>1677</v>
      </c>
      <c r="E83" s="647" t="s">
        <v>1661</v>
      </c>
      <c r="F83" s="647"/>
      <c r="I83" s="648" t="s">
        <v>74</v>
      </c>
      <c r="J83" s="648">
        <v>52</v>
      </c>
      <c r="K83" s="654">
        <v>550000</v>
      </c>
      <c r="M83" s="654">
        <f t="shared" si="1"/>
        <v>28600000</v>
      </c>
    </row>
    <row r="84" spans="1:13">
      <c r="A84" s="648">
        <v>1049</v>
      </c>
      <c r="B84" s="648" t="s">
        <v>1635</v>
      </c>
      <c r="C84" s="647"/>
      <c r="D84" s="647" t="s">
        <v>1649</v>
      </c>
      <c r="E84" s="647" t="s">
        <v>1546</v>
      </c>
      <c r="F84" s="647"/>
      <c r="I84" s="648" t="s">
        <v>50</v>
      </c>
      <c r="J84" s="648">
        <v>12</v>
      </c>
      <c r="K84" s="654">
        <v>475000</v>
      </c>
      <c r="M84" s="654">
        <f t="shared" si="1"/>
        <v>5700000</v>
      </c>
    </row>
    <row r="85" spans="1:13">
      <c r="A85" s="1215"/>
      <c r="B85" s="1215" t="s">
        <v>1637</v>
      </c>
      <c r="C85" s="1216"/>
      <c r="D85" s="1216" t="s">
        <v>1704</v>
      </c>
      <c r="E85" s="1216" t="s">
        <v>483</v>
      </c>
      <c r="F85" s="1216"/>
      <c r="I85" s="1215" t="s">
        <v>73</v>
      </c>
      <c r="J85" s="1215">
        <v>11</v>
      </c>
      <c r="K85" s="1217">
        <v>485000</v>
      </c>
      <c r="M85" s="1217">
        <f t="shared" si="1"/>
        <v>5335000</v>
      </c>
    </row>
    <row r="86" spans="1:13">
      <c r="A86" s="1921" t="s">
        <v>105</v>
      </c>
      <c r="B86" s="1922"/>
      <c r="C86" s="1922"/>
      <c r="D86" s="1922"/>
      <c r="E86" s="1923"/>
      <c r="F86" s="647"/>
      <c r="G86" s="1218"/>
      <c r="H86" s="1218"/>
      <c r="I86" s="648"/>
      <c r="J86" s="1220">
        <f>SUM(J8:J85)</f>
        <v>1394</v>
      </c>
      <c r="K86" s="654"/>
      <c r="L86" s="654"/>
      <c r="M86" s="1219">
        <f>SUM(M8:M85)</f>
        <v>525734500</v>
      </c>
    </row>
    <row r="87" spans="1:13">
      <c r="D87" s="732"/>
      <c r="E87" s="732"/>
      <c r="F87" s="732"/>
      <c r="L87" s="732"/>
    </row>
    <row r="88" spans="1:13">
      <c r="D88" s="732"/>
      <c r="E88" s="732"/>
      <c r="F88" s="732"/>
      <c r="L88" s="732"/>
    </row>
    <row r="89" spans="1:13">
      <c r="D89" s="732"/>
      <c r="E89" s="732"/>
      <c r="F89" s="732"/>
      <c r="L89" s="732"/>
    </row>
    <row r="90" spans="1:13">
      <c r="D90" s="732"/>
      <c r="E90" s="732"/>
      <c r="F90" s="732"/>
      <c r="L90" s="732"/>
    </row>
    <row r="91" spans="1:13">
      <c r="D91" s="732"/>
      <c r="E91" s="732"/>
      <c r="F91" s="732"/>
      <c r="L91" s="732"/>
    </row>
    <row r="92" spans="1:13">
      <c r="D92" s="732"/>
      <c r="E92" s="732"/>
      <c r="F92" s="732"/>
      <c r="L92" s="732"/>
    </row>
    <row r="93" spans="1:13">
      <c r="D93" s="732"/>
      <c r="E93" s="732"/>
      <c r="F93" s="732"/>
      <c r="L93" s="732"/>
    </row>
    <row r="94" spans="1:13">
      <c r="D94" s="732"/>
      <c r="E94" s="732"/>
      <c r="F94" s="732"/>
      <c r="L94" s="732"/>
    </row>
    <row r="95" spans="1:13">
      <c r="D95" s="732"/>
      <c r="E95" s="732"/>
      <c r="F95" s="732"/>
      <c r="L95" s="732"/>
    </row>
    <row r="96" spans="1:13">
      <c r="D96" s="732"/>
      <c r="E96" s="732"/>
      <c r="F96" s="732"/>
      <c r="L96" s="732"/>
    </row>
    <row r="97" spans="4:12">
      <c r="D97" s="732"/>
      <c r="E97" s="732"/>
      <c r="F97" s="732"/>
      <c r="L97" s="732"/>
    </row>
    <row r="98" spans="4:12">
      <c r="D98" s="732"/>
      <c r="E98" s="732"/>
      <c r="F98" s="732"/>
      <c r="L98" s="732"/>
    </row>
    <row r="99" spans="4:12">
      <c r="D99" s="732"/>
      <c r="E99" s="732"/>
      <c r="F99" s="732"/>
      <c r="L99" s="732"/>
    </row>
    <row r="100" spans="4:12">
      <c r="D100" s="732"/>
      <c r="E100" s="732"/>
      <c r="F100" s="732"/>
      <c r="L100" s="732"/>
    </row>
    <row r="101" spans="4:12">
      <c r="D101" s="732"/>
      <c r="E101" s="732"/>
      <c r="F101" s="732"/>
      <c r="L101" s="732"/>
    </row>
    <row r="102" spans="4:12">
      <c r="D102" s="732"/>
      <c r="E102" s="732"/>
      <c r="F102" s="732"/>
      <c r="L102" s="732"/>
    </row>
    <row r="103" spans="4:12">
      <c r="D103" s="732"/>
      <c r="E103" s="732"/>
      <c r="F103" s="732"/>
      <c r="L103" s="732"/>
    </row>
    <row r="104" spans="4:12">
      <c r="D104" s="732"/>
      <c r="E104" s="732"/>
      <c r="F104" s="732"/>
      <c r="L104" s="732"/>
    </row>
    <row r="105" spans="4:12">
      <c r="D105" s="732"/>
      <c r="E105" s="732"/>
      <c r="F105" s="732"/>
      <c r="L105" s="732"/>
    </row>
    <row r="106" spans="4:12">
      <c r="D106" s="732"/>
      <c r="E106" s="732"/>
      <c r="F106" s="732"/>
      <c r="L106" s="732"/>
    </row>
    <row r="107" spans="4:12">
      <c r="D107" s="732"/>
      <c r="E107" s="732"/>
      <c r="F107" s="732"/>
      <c r="L107" s="732"/>
    </row>
    <row r="108" spans="4:12">
      <c r="D108" s="732"/>
      <c r="E108" s="732"/>
      <c r="F108" s="732"/>
      <c r="L108" s="732"/>
    </row>
    <row r="109" spans="4:12">
      <c r="D109" s="732"/>
      <c r="E109" s="732"/>
      <c r="F109" s="732"/>
      <c r="L109" s="732"/>
    </row>
    <row r="110" spans="4:12">
      <c r="D110" s="732"/>
      <c r="E110" s="732"/>
      <c r="F110" s="732"/>
      <c r="L110" s="732"/>
    </row>
    <row r="111" spans="4:12">
      <c r="D111" s="732"/>
      <c r="E111" s="732"/>
      <c r="F111" s="732"/>
      <c r="L111" s="732"/>
    </row>
  </sheetData>
  <mergeCells count="11">
    <mergeCell ref="A86:E86"/>
    <mergeCell ref="A3:N3"/>
    <mergeCell ref="A4:N4"/>
    <mergeCell ref="A6:A7"/>
    <mergeCell ref="B6:B7"/>
    <mergeCell ref="C6:C7"/>
    <mergeCell ref="D6:F6"/>
    <mergeCell ref="G6:H6"/>
    <mergeCell ref="I6:L6"/>
    <mergeCell ref="M6:M7"/>
    <mergeCell ref="N6:N7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1" sqref="C21"/>
    </sheetView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7" sqref="H27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72"/>
  <sheetViews>
    <sheetView topLeftCell="E108" zoomScaleNormal="100" workbookViewId="0">
      <selection activeCell="O129" sqref="O129"/>
    </sheetView>
  </sheetViews>
  <sheetFormatPr defaultRowHeight="15"/>
  <cols>
    <col min="1" max="1" width="4.5703125" customWidth="1"/>
    <col min="2" max="2" width="5.28515625" customWidth="1"/>
    <col min="4" max="4" width="12.42578125" customWidth="1"/>
    <col min="5" max="5" width="16.28515625" customWidth="1"/>
    <col min="7" max="7" width="7.140625" customWidth="1"/>
    <col min="8" max="8" width="8.28515625" customWidth="1"/>
    <col min="9" max="9" width="8.140625" customWidth="1"/>
    <col min="10" max="10" width="13.42578125" customWidth="1"/>
    <col min="11" max="11" width="5.140625" customWidth="1"/>
    <col min="12" max="12" width="11.5703125" customWidth="1"/>
    <col min="14" max="14" width="10.85546875" customWidth="1"/>
    <col min="16" max="16" width="10.5703125" customWidth="1"/>
    <col min="18" max="18" width="10.5703125" customWidth="1"/>
  </cols>
  <sheetData>
    <row r="1" spans="1:19" ht="16.5">
      <c r="A1" s="391" t="s">
        <v>0</v>
      </c>
      <c r="B1" s="410"/>
      <c r="C1" s="411"/>
      <c r="D1" s="392"/>
      <c r="E1" s="392"/>
      <c r="F1" s="392"/>
      <c r="G1" s="315"/>
      <c r="H1" s="315"/>
      <c r="I1" s="1650" t="s">
        <v>1</v>
      </c>
      <c r="J1" s="1650"/>
      <c r="K1" s="1650"/>
      <c r="L1" s="1650"/>
      <c r="M1" s="1650"/>
      <c r="N1" s="1650"/>
      <c r="O1" s="1650"/>
      <c r="P1" s="1650"/>
      <c r="Q1" s="1650"/>
      <c r="R1" s="1650"/>
      <c r="S1" s="1650"/>
    </row>
    <row r="2" spans="1:19" ht="15.75">
      <c r="A2" s="393" t="s">
        <v>2</v>
      </c>
      <c r="B2" s="412"/>
      <c r="C2" s="413"/>
      <c r="D2" s="394"/>
      <c r="E2" s="394"/>
      <c r="F2" s="394"/>
      <c r="G2" s="315"/>
      <c r="H2" s="315"/>
      <c r="I2" s="1651" t="s">
        <v>3</v>
      </c>
      <c r="J2" s="1651"/>
      <c r="K2" s="1651"/>
      <c r="L2" s="1651"/>
      <c r="M2" s="1651"/>
      <c r="N2" s="1651"/>
      <c r="O2" s="1651"/>
      <c r="P2" s="1651"/>
      <c r="Q2" s="1651"/>
      <c r="R2" s="1651"/>
      <c r="S2" s="1651"/>
    </row>
    <row r="3" spans="1:19" ht="20.25">
      <c r="A3" s="1661" t="s">
        <v>4</v>
      </c>
      <c r="B3" s="1661"/>
      <c r="C3" s="1661"/>
      <c r="D3" s="1661"/>
      <c r="E3" s="1661"/>
      <c r="F3" s="1661"/>
      <c r="G3" s="1661"/>
      <c r="H3" s="1661"/>
      <c r="I3" s="1661"/>
      <c r="J3" s="1661"/>
      <c r="K3" s="1662"/>
      <c r="L3" s="1661"/>
      <c r="M3" s="1661"/>
      <c r="N3" s="1661"/>
      <c r="O3" s="1661"/>
      <c r="P3" s="1661"/>
      <c r="Q3" s="1661"/>
      <c r="R3" s="1661"/>
      <c r="S3" s="1661"/>
    </row>
    <row r="4" spans="1:19" ht="15.75" thickBot="1">
      <c r="A4" s="1684" t="s">
        <v>215</v>
      </c>
      <c r="B4" s="1684"/>
      <c r="C4" s="1684"/>
      <c r="D4" s="1684"/>
      <c r="E4" s="1684"/>
      <c r="F4" s="1684"/>
      <c r="G4" s="1684"/>
      <c r="H4" s="1684"/>
      <c r="I4" s="1684"/>
      <c r="J4" s="1684"/>
      <c r="K4" s="1685"/>
      <c r="L4" s="1684"/>
      <c r="M4" s="1684"/>
      <c r="N4" s="1684"/>
      <c r="O4" s="1684"/>
      <c r="P4" s="1684"/>
      <c r="Q4" s="1684"/>
      <c r="R4" s="1684"/>
      <c r="S4" s="1684"/>
    </row>
    <row r="5" spans="1:19" ht="15.75" thickTop="1">
      <c r="A5" s="1672" t="s">
        <v>6</v>
      </c>
      <c r="B5" s="1686" t="s">
        <v>7</v>
      </c>
      <c r="C5" s="1688" t="s">
        <v>8</v>
      </c>
      <c r="D5" s="1674" t="s">
        <v>9</v>
      </c>
      <c r="E5" s="1674"/>
      <c r="F5" s="1674"/>
      <c r="G5" s="1690" t="s">
        <v>119</v>
      </c>
      <c r="H5" s="1690"/>
      <c r="I5" s="1690"/>
      <c r="J5" s="1690"/>
      <c r="K5" s="1691"/>
      <c r="L5" s="1634" t="s">
        <v>120</v>
      </c>
      <c r="M5" s="1690" t="s">
        <v>12</v>
      </c>
      <c r="N5" s="1690"/>
      <c r="O5" s="1690"/>
      <c r="P5" s="1690"/>
      <c r="Q5" s="1690"/>
      <c r="R5" s="1690"/>
      <c r="S5" s="1692" t="s">
        <v>13</v>
      </c>
    </row>
    <row r="6" spans="1:19" ht="27">
      <c r="A6" s="1673"/>
      <c r="B6" s="1687"/>
      <c r="C6" s="1689"/>
      <c r="D6" s="395" t="s">
        <v>14</v>
      </c>
      <c r="E6" s="320" t="s">
        <v>15</v>
      </c>
      <c r="F6" s="320" t="s">
        <v>16</v>
      </c>
      <c r="G6" s="320" t="s">
        <v>17</v>
      </c>
      <c r="H6" s="320" t="s">
        <v>18</v>
      </c>
      <c r="I6" s="320" t="s">
        <v>19</v>
      </c>
      <c r="J6" s="316" t="s">
        <v>20</v>
      </c>
      <c r="K6" s="396" t="s">
        <v>21</v>
      </c>
      <c r="L6" s="1635"/>
      <c r="M6" s="320" t="s">
        <v>121</v>
      </c>
      <c r="N6" s="320" t="s">
        <v>23</v>
      </c>
      <c r="O6" s="320" t="s">
        <v>122</v>
      </c>
      <c r="P6" s="320" t="s">
        <v>23</v>
      </c>
      <c r="Q6" s="320" t="s">
        <v>25</v>
      </c>
      <c r="R6" s="320" t="s">
        <v>23</v>
      </c>
      <c r="S6" s="1693"/>
    </row>
    <row r="7" spans="1:19">
      <c r="A7" s="355">
        <v>1</v>
      </c>
      <c r="B7" s="372" t="s">
        <v>216</v>
      </c>
      <c r="C7" s="397" t="s">
        <v>27</v>
      </c>
      <c r="D7" s="357" t="s">
        <v>86</v>
      </c>
      <c r="E7" s="357"/>
      <c r="F7" s="356"/>
      <c r="G7" s="359" t="s">
        <v>34</v>
      </c>
      <c r="H7" s="398">
        <v>1</v>
      </c>
      <c r="I7" s="326">
        <v>455000</v>
      </c>
      <c r="J7" s="326">
        <v>455000</v>
      </c>
      <c r="K7" s="360">
        <v>1</v>
      </c>
      <c r="L7" s="326">
        <v>0</v>
      </c>
      <c r="M7" s="326"/>
      <c r="N7" s="326"/>
      <c r="O7" s="326"/>
      <c r="P7" s="326"/>
      <c r="Q7" s="326"/>
      <c r="R7" s="326"/>
      <c r="S7" s="361" t="s">
        <v>217</v>
      </c>
    </row>
    <row r="8" spans="1:19">
      <c r="A8" s="331">
        <v>2</v>
      </c>
      <c r="B8" s="370" t="s">
        <v>218</v>
      </c>
      <c r="C8" s="414" t="s">
        <v>27</v>
      </c>
      <c r="D8" s="333" t="s">
        <v>86</v>
      </c>
      <c r="E8" s="333"/>
      <c r="F8" s="332"/>
      <c r="G8" s="334" t="s">
        <v>72</v>
      </c>
      <c r="H8" s="431">
        <v>1</v>
      </c>
      <c r="I8" s="324">
        <v>285000</v>
      </c>
      <c r="J8" s="336">
        <v>285000</v>
      </c>
      <c r="K8" s="335">
        <v>1</v>
      </c>
      <c r="L8" s="324">
        <v>0</v>
      </c>
      <c r="M8" s="324"/>
      <c r="N8" s="324"/>
      <c r="O8" s="324"/>
      <c r="P8" s="324"/>
      <c r="Q8" s="324"/>
      <c r="R8" s="324"/>
      <c r="S8" s="337" t="s">
        <v>219</v>
      </c>
    </row>
    <row r="9" spans="1:19">
      <c r="A9" s="344"/>
      <c r="B9" s="370" t="s">
        <v>218</v>
      </c>
      <c r="C9" s="414" t="s">
        <v>27</v>
      </c>
      <c r="D9" s="333" t="s">
        <v>86</v>
      </c>
      <c r="E9" s="346"/>
      <c r="F9" s="345"/>
      <c r="G9" s="347" t="s">
        <v>36</v>
      </c>
      <c r="H9" s="401">
        <v>3</v>
      </c>
      <c r="I9" s="325">
        <v>450000</v>
      </c>
      <c r="J9" s="325">
        <v>1350000</v>
      </c>
      <c r="K9" s="348">
        <v>1</v>
      </c>
      <c r="L9" s="325">
        <v>0</v>
      </c>
      <c r="M9" s="325"/>
      <c r="N9" s="325"/>
      <c r="O9" s="325"/>
      <c r="P9" s="325"/>
      <c r="Q9" s="325"/>
      <c r="R9" s="325"/>
      <c r="S9" s="350" t="s">
        <v>217</v>
      </c>
    </row>
    <row r="10" spans="1:19">
      <c r="A10" s="355">
        <v>3</v>
      </c>
      <c r="B10" s="372" t="s">
        <v>218</v>
      </c>
      <c r="C10" s="397" t="s">
        <v>124</v>
      </c>
      <c r="D10" s="357" t="s">
        <v>86</v>
      </c>
      <c r="E10" s="357"/>
      <c r="F10" s="356"/>
      <c r="G10" s="359" t="s">
        <v>45</v>
      </c>
      <c r="H10" s="398">
        <v>1</v>
      </c>
      <c r="I10" s="326">
        <v>485000</v>
      </c>
      <c r="J10" s="326">
        <v>485000</v>
      </c>
      <c r="K10" s="360">
        <v>0.41</v>
      </c>
      <c r="L10" s="326">
        <v>286150.00000000006</v>
      </c>
      <c r="M10" s="326"/>
      <c r="N10" s="326"/>
      <c r="O10" s="326">
        <v>112</v>
      </c>
      <c r="P10" s="326">
        <v>286150.00000000006</v>
      </c>
      <c r="Q10" s="326"/>
      <c r="R10" s="326"/>
      <c r="S10" s="361" t="s">
        <v>127</v>
      </c>
    </row>
    <row r="11" spans="1:19">
      <c r="A11" s="355">
        <v>4</v>
      </c>
      <c r="B11" s="372" t="s">
        <v>218</v>
      </c>
      <c r="C11" s="397" t="s">
        <v>27</v>
      </c>
      <c r="D11" s="357" t="s">
        <v>220</v>
      </c>
      <c r="E11" s="357" t="s">
        <v>221</v>
      </c>
      <c r="F11" s="358" t="s">
        <v>222</v>
      </c>
      <c r="G11" s="359" t="s">
        <v>74</v>
      </c>
      <c r="H11" s="398">
        <v>1</v>
      </c>
      <c r="I11" s="326">
        <v>550000</v>
      </c>
      <c r="J11" s="326">
        <v>550000</v>
      </c>
      <c r="K11" s="360">
        <v>0.41</v>
      </c>
      <c r="L11" s="326">
        <v>324500.00000000006</v>
      </c>
      <c r="M11" s="326"/>
      <c r="N11" s="326"/>
      <c r="O11" s="326">
        <v>112</v>
      </c>
      <c r="P11" s="326">
        <v>325000</v>
      </c>
      <c r="Q11" s="326"/>
      <c r="R11" s="326"/>
      <c r="S11" s="361"/>
    </row>
    <row r="12" spans="1:19" ht="64.5">
      <c r="A12" s="355">
        <v>5</v>
      </c>
      <c r="B12" s="372" t="s">
        <v>223</v>
      </c>
      <c r="C12" s="397" t="s">
        <v>224</v>
      </c>
      <c r="D12" s="357" t="s">
        <v>86</v>
      </c>
      <c r="E12" s="357"/>
      <c r="F12" s="358"/>
      <c r="G12" s="359" t="s">
        <v>72</v>
      </c>
      <c r="H12" s="398">
        <v>6</v>
      </c>
      <c r="I12" s="326">
        <v>285000</v>
      </c>
      <c r="J12" s="326">
        <v>1710000</v>
      </c>
      <c r="K12" s="360">
        <v>0.41</v>
      </c>
      <c r="L12" s="326">
        <v>1008900.0000000001</v>
      </c>
      <c r="M12" s="326">
        <v>111</v>
      </c>
      <c r="N12" s="326">
        <v>1008900.0000000001</v>
      </c>
      <c r="O12" s="326"/>
      <c r="P12" s="326"/>
      <c r="Q12" s="326"/>
      <c r="R12" s="326"/>
      <c r="S12" s="368" t="s">
        <v>88</v>
      </c>
    </row>
    <row r="13" spans="1:19" ht="19.5">
      <c r="A13" s="331">
        <v>6</v>
      </c>
      <c r="B13" s="370" t="s">
        <v>216</v>
      </c>
      <c r="C13" s="333" t="s">
        <v>87</v>
      </c>
      <c r="D13" s="333" t="s">
        <v>225</v>
      </c>
      <c r="E13" s="333" t="s">
        <v>226</v>
      </c>
      <c r="F13" s="351"/>
      <c r="G13" s="334" t="s">
        <v>30</v>
      </c>
      <c r="H13" s="436">
        <v>0</v>
      </c>
      <c r="I13" s="324">
        <v>465000</v>
      </c>
      <c r="J13" s="336">
        <v>0</v>
      </c>
      <c r="K13" s="335">
        <v>0.5</v>
      </c>
      <c r="L13" s="324">
        <v>0</v>
      </c>
      <c r="M13" s="324"/>
      <c r="N13" s="324"/>
      <c r="O13" s="324"/>
      <c r="P13" s="324"/>
      <c r="Q13" s="324">
        <v>131</v>
      </c>
      <c r="R13" s="324">
        <v>2797500</v>
      </c>
      <c r="S13" s="415" t="s">
        <v>227</v>
      </c>
    </row>
    <row r="14" spans="1:19" ht="19.5">
      <c r="A14" s="338"/>
      <c r="B14" s="370" t="s">
        <v>216</v>
      </c>
      <c r="C14" s="333" t="s">
        <v>87</v>
      </c>
      <c r="D14" s="333" t="s">
        <v>225</v>
      </c>
      <c r="E14" s="333"/>
      <c r="F14" s="341"/>
      <c r="G14" s="330" t="s">
        <v>33</v>
      </c>
      <c r="H14" s="437">
        <v>1</v>
      </c>
      <c r="I14" s="321">
        <v>285000</v>
      </c>
      <c r="J14" s="321">
        <v>285000</v>
      </c>
      <c r="K14" s="339">
        <v>0.5</v>
      </c>
      <c r="L14" s="324">
        <v>142500</v>
      </c>
      <c r="M14" s="321"/>
      <c r="N14" s="321"/>
      <c r="O14" s="321"/>
      <c r="P14" s="321"/>
      <c r="Q14" s="321"/>
      <c r="R14" s="321"/>
      <c r="S14" s="340" t="s">
        <v>228</v>
      </c>
    </row>
    <row r="15" spans="1:19" ht="19.5">
      <c r="A15" s="405"/>
      <c r="B15" s="370" t="s">
        <v>216</v>
      </c>
      <c r="C15" s="333" t="s">
        <v>87</v>
      </c>
      <c r="D15" s="333" t="s">
        <v>225</v>
      </c>
      <c r="E15" s="333"/>
      <c r="F15" s="416"/>
      <c r="G15" s="390" t="s">
        <v>45</v>
      </c>
      <c r="H15" s="438">
        <v>0</v>
      </c>
      <c r="I15" s="322">
        <v>485000</v>
      </c>
      <c r="J15" s="321">
        <v>0</v>
      </c>
      <c r="K15" s="406">
        <v>0.5</v>
      </c>
      <c r="L15" s="328">
        <v>0</v>
      </c>
      <c r="M15" s="322"/>
      <c r="N15" s="322"/>
      <c r="O15" s="322"/>
      <c r="P15" s="322"/>
      <c r="Q15" s="322"/>
      <c r="R15" s="322"/>
      <c r="S15" s="407" t="s">
        <v>229</v>
      </c>
    </row>
    <row r="16" spans="1:19" ht="19.5">
      <c r="A16" s="338"/>
      <c r="B16" s="370" t="s">
        <v>216</v>
      </c>
      <c r="C16" s="333" t="s">
        <v>87</v>
      </c>
      <c r="D16" s="333" t="s">
        <v>225</v>
      </c>
      <c r="E16" s="333"/>
      <c r="F16" s="341"/>
      <c r="G16" s="330" t="s">
        <v>74</v>
      </c>
      <c r="H16" s="437">
        <v>8</v>
      </c>
      <c r="I16" s="321">
        <v>550000</v>
      </c>
      <c r="J16" s="321">
        <v>4400000</v>
      </c>
      <c r="K16" s="339">
        <v>0.5</v>
      </c>
      <c r="L16" s="321">
        <v>2200000</v>
      </c>
      <c r="M16" s="321"/>
      <c r="N16" s="321"/>
      <c r="O16" s="321"/>
      <c r="P16" s="321"/>
      <c r="Q16" s="321"/>
      <c r="R16" s="321"/>
      <c r="S16" s="340" t="s">
        <v>230</v>
      </c>
    </row>
    <row r="17" spans="1:19" ht="19.5">
      <c r="A17" s="405"/>
      <c r="B17" s="370" t="s">
        <v>216</v>
      </c>
      <c r="C17" s="333" t="s">
        <v>87</v>
      </c>
      <c r="D17" s="333" t="s">
        <v>225</v>
      </c>
      <c r="E17" s="375"/>
      <c r="F17" s="416"/>
      <c r="G17" s="390" t="s">
        <v>46</v>
      </c>
      <c r="H17" s="438">
        <v>2</v>
      </c>
      <c r="I17" s="322">
        <v>455000</v>
      </c>
      <c r="J17" s="349">
        <v>910000</v>
      </c>
      <c r="K17" s="406">
        <v>0.5</v>
      </c>
      <c r="L17" s="328">
        <v>455000</v>
      </c>
      <c r="M17" s="322"/>
      <c r="N17" s="322"/>
      <c r="O17" s="322"/>
      <c r="P17" s="322"/>
      <c r="Q17" s="322"/>
      <c r="R17" s="322"/>
      <c r="S17" s="407" t="s">
        <v>231</v>
      </c>
    </row>
    <row r="18" spans="1:19">
      <c r="A18" s="362">
        <v>7</v>
      </c>
      <c r="B18" s="402" t="s">
        <v>232</v>
      </c>
      <c r="C18" s="432" t="s">
        <v>96</v>
      </c>
      <c r="D18" s="369" t="s">
        <v>86</v>
      </c>
      <c r="E18" s="363"/>
      <c r="F18" s="364"/>
      <c r="G18" s="365" t="s">
        <v>32</v>
      </c>
      <c r="H18" s="429">
        <v>1</v>
      </c>
      <c r="I18" s="327">
        <v>275000</v>
      </c>
      <c r="J18" s="336">
        <v>275000</v>
      </c>
      <c r="K18" s="366">
        <v>0.41</v>
      </c>
      <c r="L18" s="327">
        <v>162250.00000000003</v>
      </c>
      <c r="M18" s="327">
        <v>111</v>
      </c>
      <c r="N18" s="327">
        <v>427750</v>
      </c>
      <c r="O18" s="327"/>
      <c r="P18" s="327"/>
      <c r="Q18" s="327"/>
      <c r="R18" s="327"/>
      <c r="S18" s="367"/>
    </row>
    <row r="19" spans="1:19">
      <c r="A19" s="381"/>
      <c r="B19" s="371" t="s">
        <v>232</v>
      </c>
      <c r="C19" s="430" t="s">
        <v>96</v>
      </c>
      <c r="D19" s="346" t="s">
        <v>86</v>
      </c>
      <c r="E19" s="352"/>
      <c r="F19" s="382"/>
      <c r="G19" s="383" t="s">
        <v>36</v>
      </c>
      <c r="H19" s="428">
        <v>1</v>
      </c>
      <c r="I19" s="349">
        <v>450000</v>
      </c>
      <c r="J19" s="325">
        <v>450000</v>
      </c>
      <c r="K19" s="385">
        <v>0.41</v>
      </c>
      <c r="L19" s="349">
        <v>265500.00000000006</v>
      </c>
      <c r="M19" s="349"/>
      <c r="N19" s="349"/>
      <c r="O19" s="349"/>
      <c r="P19" s="349"/>
      <c r="Q19" s="349"/>
      <c r="R19" s="349"/>
      <c r="S19" s="384"/>
    </row>
    <row r="20" spans="1:19" ht="37.5">
      <c r="A20" s="331">
        <v>8</v>
      </c>
      <c r="B20" s="370" t="s">
        <v>232</v>
      </c>
      <c r="C20" s="414" t="s">
        <v>27</v>
      </c>
      <c r="D20" s="333" t="s">
        <v>233</v>
      </c>
      <c r="E20" s="343"/>
      <c r="F20" s="341"/>
      <c r="G20" s="330" t="s">
        <v>33</v>
      </c>
      <c r="H20" s="427">
        <v>1</v>
      </c>
      <c r="I20" s="321">
        <v>285000</v>
      </c>
      <c r="J20" s="336">
        <v>285000</v>
      </c>
      <c r="K20" s="335">
        <v>1</v>
      </c>
      <c r="L20" s="324">
        <v>0</v>
      </c>
      <c r="M20" s="321"/>
      <c r="N20" s="321"/>
      <c r="O20" s="321"/>
      <c r="P20" s="321"/>
      <c r="Q20" s="321"/>
      <c r="R20" s="321"/>
      <c r="S20" s="342" t="s">
        <v>234</v>
      </c>
    </row>
    <row r="21" spans="1:19" ht="19.5">
      <c r="A21" s="338"/>
      <c r="B21" s="370" t="s">
        <v>232</v>
      </c>
      <c r="C21" s="414" t="s">
        <v>27</v>
      </c>
      <c r="D21" s="333" t="s">
        <v>233</v>
      </c>
      <c r="E21" s="343"/>
      <c r="F21" s="341"/>
      <c r="G21" s="330" t="s">
        <v>74</v>
      </c>
      <c r="H21" s="427">
        <v>1</v>
      </c>
      <c r="I21" s="321">
        <v>550000</v>
      </c>
      <c r="J21" s="321">
        <v>550000</v>
      </c>
      <c r="K21" s="335">
        <v>1</v>
      </c>
      <c r="L21" s="324">
        <v>0</v>
      </c>
      <c r="M21" s="321"/>
      <c r="N21" s="321"/>
      <c r="O21" s="321"/>
      <c r="P21" s="321"/>
      <c r="Q21" s="321"/>
      <c r="R21" s="321"/>
      <c r="S21" s="340"/>
    </row>
    <row r="22" spans="1:19" ht="19.5">
      <c r="A22" s="338"/>
      <c r="B22" s="370" t="s">
        <v>232</v>
      </c>
      <c r="C22" s="414" t="s">
        <v>27</v>
      </c>
      <c r="D22" s="333" t="s">
        <v>233</v>
      </c>
      <c r="E22" s="343"/>
      <c r="F22" s="341"/>
      <c r="G22" s="330" t="s">
        <v>36</v>
      </c>
      <c r="H22" s="427">
        <v>2</v>
      </c>
      <c r="I22" s="321">
        <v>450000</v>
      </c>
      <c r="J22" s="321">
        <v>900000</v>
      </c>
      <c r="K22" s="335">
        <v>1</v>
      </c>
      <c r="L22" s="324">
        <v>0</v>
      </c>
      <c r="M22" s="321"/>
      <c r="N22" s="321"/>
      <c r="O22" s="321"/>
      <c r="P22" s="321"/>
      <c r="Q22" s="321"/>
      <c r="R22" s="321"/>
      <c r="S22" s="340"/>
    </row>
    <row r="23" spans="1:19" ht="19.5">
      <c r="A23" s="338"/>
      <c r="B23" s="370" t="s">
        <v>232</v>
      </c>
      <c r="C23" s="414" t="s">
        <v>27</v>
      </c>
      <c r="D23" s="333" t="s">
        <v>233</v>
      </c>
      <c r="E23" s="343"/>
      <c r="F23" s="341"/>
      <c r="G23" s="330" t="s">
        <v>34</v>
      </c>
      <c r="H23" s="427">
        <v>1</v>
      </c>
      <c r="I23" s="321">
        <v>455000</v>
      </c>
      <c r="J23" s="321">
        <v>455000</v>
      </c>
      <c r="K23" s="335">
        <v>1</v>
      </c>
      <c r="L23" s="321">
        <v>0</v>
      </c>
      <c r="M23" s="321"/>
      <c r="N23" s="321"/>
      <c r="O23" s="321"/>
      <c r="P23" s="321"/>
      <c r="Q23" s="321"/>
      <c r="R23" s="321"/>
      <c r="S23" s="340"/>
    </row>
    <row r="24" spans="1:19" ht="19.5">
      <c r="A24" s="344"/>
      <c r="B24" s="371" t="s">
        <v>232</v>
      </c>
      <c r="C24" s="414" t="s">
        <v>27</v>
      </c>
      <c r="D24" s="333" t="s">
        <v>233</v>
      </c>
      <c r="E24" s="346"/>
      <c r="F24" s="353"/>
      <c r="G24" s="347" t="s">
        <v>46</v>
      </c>
      <c r="H24" s="401">
        <v>1</v>
      </c>
      <c r="I24" s="325">
        <v>455000</v>
      </c>
      <c r="J24" s="349">
        <v>455000</v>
      </c>
      <c r="K24" s="335">
        <v>1</v>
      </c>
      <c r="L24" s="349">
        <v>0</v>
      </c>
      <c r="M24" s="325"/>
      <c r="N24" s="325"/>
      <c r="O24" s="325"/>
      <c r="P24" s="325"/>
      <c r="Q24" s="325"/>
      <c r="R24" s="325"/>
      <c r="S24" s="350"/>
    </row>
    <row r="25" spans="1:19" ht="19.5">
      <c r="A25" s="362">
        <v>9</v>
      </c>
      <c r="B25" s="402" t="s">
        <v>235</v>
      </c>
      <c r="C25" s="433" t="s">
        <v>96</v>
      </c>
      <c r="D25" s="369" t="s">
        <v>236</v>
      </c>
      <c r="E25" s="363"/>
      <c r="F25" s="364"/>
      <c r="G25" s="365" t="s">
        <v>42</v>
      </c>
      <c r="H25" s="429">
        <v>1</v>
      </c>
      <c r="I25" s="327">
        <v>265000</v>
      </c>
      <c r="J25" s="336">
        <v>265000</v>
      </c>
      <c r="K25" s="366">
        <v>0.41</v>
      </c>
      <c r="L25" s="327">
        <v>156350.00000000003</v>
      </c>
      <c r="M25" s="327">
        <v>111</v>
      </c>
      <c r="N25" s="327">
        <v>430000</v>
      </c>
      <c r="O25" s="327"/>
      <c r="P25" s="327"/>
      <c r="Q25" s="327"/>
      <c r="R25" s="327"/>
      <c r="S25" s="367"/>
    </row>
    <row r="26" spans="1:19" ht="19.5">
      <c r="A26" s="344"/>
      <c r="B26" s="371" t="s">
        <v>235</v>
      </c>
      <c r="C26" s="434" t="s">
        <v>96</v>
      </c>
      <c r="D26" s="346" t="s">
        <v>236</v>
      </c>
      <c r="E26" s="346"/>
      <c r="F26" s="353"/>
      <c r="G26" s="347" t="s">
        <v>50</v>
      </c>
      <c r="H26" s="401">
        <v>1</v>
      </c>
      <c r="I26" s="325">
        <v>475000</v>
      </c>
      <c r="J26" s="325">
        <v>475000</v>
      </c>
      <c r="K26" s="348">
        <v>0.41</v>
      </c>
      <c r="L26" s="349">
        <v>280250.00000000006</v>
      </c>
      <c r="M26" s="325"/>
      <c r="N26" s="325"/>
      <c r="O26" s="325"/>
      <c r="P26" s="325"/>
      <c r="Q26" s="325"/>
      <c r="R26" s="325"/>
      <c r="S26" s="350"/>
    </row>
    <row r="27" spans="1:19" ht="19.5">
      <c r="A27" s="331">
        <v>10</v>
      </c>
      <c r="B27" s="370" t="s">
        <v>237</v>
      </c>
      <c r="C27" s="333" t="s">
        <v>87</v>
      </c>
      <c r="D27" s="333" t="s">
        <v>238</v>
      </c>
      <c r="E27" s="333" t="s">
        <v>200</v>
      </c>
      <c r="F27" s="351"/>
      <c r="G27" s="334" t="s">
        <v>30</v>
      </c>
      <c r="H27" s="431">
        <v>12</v>
      </c>
      <c r="I27" s="324">
        <v>465000</v>
      </c>
      <c r="J27" s="336">
        <v>5580000</v>
      </c>
      <c r="K27" s="335">
        <v>0.5</v>
      </c>
      <c r="L27" s="324">
        <v>2790000</v>
      </c>
      <c r="M27" s="324"/>
      <c r="N27" s="324"/>
      <c r="O27" s="324"/>
      <c r="P27" s="324"/>
      <c r="Q27" s="324">
        <v>131</v>
      </c>
      <c r="R27" s="324">
        <v>15735000</v>
      </c>
      <c r="S27" s="380"/>
    </row>
    <row r="28" spans="1:19" ht="19.5">
      <c r="A28" s="338"/>
      <c r="B28" s="370" t="s">
        <v>237</v>
      </c>
      <c r="C28" s="333" t="s">
        <v>87</v>
      </c>
      <c r="D28" s="333" t="s">
        <v>238</v>
      </c>
      <c r="E28" s="343"/>
      <c r="F28" s="341"/>
      <c r="G28" s="330" t="s">
        <v>50</v>
      </c>
      <c r="H28" s="427">
        <v>30</v>
      </c>
      <c r="I28" s="321">
        <v>475000</v>
      </c>
      <c r="J28" s="321">
        <v>14250000</v>
      </c>
      <c r="K28" s="339">
        <v>0.5</v>
      </c>
      <c r="L28" s="324">
        <v>7125000</v>
      </c>
      <c r="M28" s="321"/>
      <c r="N28" s="321"/>
      <c r="O28" s="321"/>
      <c r="P28" s="321"/>
      <c r="Q28" s="321"/>
      <c r="R28" s="321"/>
      <c r="S28" s="340"/>
    </row>
    <row r="29" spans="1:19" ht="19.5">
      <c r="A29" s="344"/>
      <c r="B29" s="371" t="s">
        <v>237</v>
      </c>
      <c r="C29" s="333" t="s">
        <v>87</v>
      </c>
      <c r="D29" s="333" t="s">
        <v>238</v>
      </c>
      <c r="E29" s="346"/>
      <c r="F29" s="353"/>
      <c r="G29" s="347" t="s">
        <v>45</v>
      </c>
      <c r="H29" s="401">
        <v>24</v>
      </c>
      <c r="I29" s="325">
        <v>485000</v>
      </c>
      <c r="J29" s="349">
        <v>11640000</v>
      </c>
      <c r="K29" s="348">
        <v>0.5</v>
      </c>
      <c r="L29" s="325">
        <v>5820000</v>
      </c>
      <c r="M29" s="325"/>
      <c r="N29" s="325"/>
      <c r="O29" s="325"/>
      <c r="P29" s="325"/>
      <c r="Q29" s="325"/>
      <c r="R29" s="325"/>
      <c r="S29" s="350"/>
    </row>
    <row r="30" spans="1:19">
      <c r="A30" s="331">
        <v>12</v>
      </c>
      <c r="B30" s="370" t="s">
        <v>239</v>
      </c>
      <c r="C30" s="432" t="s">
        <v>27</v>
      </c>
      <c r="D30" s="369" t="s">
        <v>240</v>
      </c>
      <c r="E30" s="333" t="s">
        <v>241</v>
      </c>
      <c r="F30" s="351"/>
      <c r="G30" s="334" t="s">
        <v>60</v>
      </c>
      <c r="H30" s="431">
        <v>24</v>
      </c>
      <c r="I30" s="324">
        <v>455000</v>
      </c>
      <c r="J30" s="336">
        <v>10920000</v>
      </c>
      <c r="K30" s="335">
        <v>0.41</v>
      </c>
      <c r="L30" s="324">
        <v>6442800.0000000009</v>
      </c>
      <c r="M30" s="324"/>
      <c r="N30" s="324"/>
      <c r="O30" s="324">
        <v>112</v>
      </c>
      <c r="P30" s="324">
        <v>16531800.000000002</v>
      </c>
      <c r="Q30" s="324"/>
      <c r="R30" s="324"/>
      <c r="S30" s="1681" t="s">
        <v>242</v>
      </c>
    </row>
    <row r="31" spans="1:19">
      <c r="A31" s="338"/>
      <c r="B31" s="370" t="s">
        <v>239</v>
      </c>
      <c r="C31" s="435" t="s">
        <v>27</v>
      </c>
      <c r="D31" s="343" t="s">
        <v>240</v>
      </c>
      <c r="E31" s="333"/>
      <c r="F31" s="341"/>
      <c r="G31" s="330" t="s">
        <v>45</v>
      </c>
      <c r="H31" s="427">
        <v>12</v>
      </c>
      <c r="I31" s="321">
        <v>485000</v>
      </c>
      <c r="J31" s="321">
        <v>5820000</v>
      </c>
      <c r="K31" s="339">
        <v>0.41</v>
      </c>
      <c r="L31" s="324">
        <v>3433800.0000000005</v>
      </c>
      <c r="M31" s="321"/>
      <c r="N31" s="321"/>
      <c r="O31" s="321">
        <v>112</v>
      </c>
      <c r="P31" s="321"/>
      <c r="Q31" s="321"/>
      <c r="R31" s="321"/>
      <c r="S31" s="1682"/>
    </row>
    <row r="32" spans="1:19">
      <c r="A32" s="338"/>
      <c r="B32" s="370" t="s">
        <v>239</v>
      </c>
      <c r="C32" s="435" t="s">
        <v>27</v>
      </c>
      <c r="D32" s="343" t="s">
        <v>240</v>
      </c>
      <c r="E32" s="333"/>
      <c r="F32" s="341"/>
      <c r="G32" s="330" t="s">
        <v>73</v>
      </c>
      <c r="H32" s="427">
        <v>12</v>
      </c>
      <c r="I32" s="321">
        <v>485000</v>
      </c>
      <c r="J32" s="321">
        <v>5820000</v>
      </c>
      <c r="K32" s="339">
        <v>0.41</v>
      </c>
      <c r="L32" s="324">
        <v>3433800.0000000005</v>
      </c>
      <c r="M32" s="321"/>
      <c r="N32" s="321"/>
      <c r="O32" s="321">
        <v>112</v>
      </c>
      <c r="P32" s="321"/>
      <c r="Q32" s="321"/>
      <c r="R32" s="321"/>
      <c r="S32" s="1682"/>
    </row>
    <row r="33" spans="1:19">
      <c r="A33" s="344"/>
      <c r="B33" s="370" t="s">
        <v>239</v>
      </c>
      <c r="C33" s="414" t="s">
        <v>27</v>
      </c>
      <c r="D33" s="333" t="s">
        <v>240</v>
      </c>
      <c r="E33" s="333"/>
      <c r="F33" s="353"/>
      <c r="G33" s="347" t="s">
        <v>46</v>
      </c>
      <c r="H33" s="401">
        <v>12</v>
      </c>
      <c r="I33" s="325">
        <v>455000</v>
      </c>
      <c r="J33" s="349">
        <v>5460000</v>
      </c>
      <c r="K33" s="348">
        <v>0.41</v>
      </c>
      <c r="L33" s="325">
        <v>3221400.0000000005</v>
      </c>
      <c r="M33" s="325"/>
      <c r="N33" s="325"/>
      <c r="O33" s="325">
        <v>112</v>
      </c>
      <c r="P33" s="325"/>
      <c r="Q33" s="325"/>
      <c r="R33" s="325"/>
      <c r="S33" s="1683"/>
    </row>
    <row r="34" spans="1:19">
      <c r="A34" s="362"/>
      <c r="B34" s="402" t="s">
        <v>243</v>
      </c>
      <c r="C34" s="417" t="s">
        <v>96</v>
      </c>
      <c r="D34" s="363" t="s">
        <v>86</v>
      </c>
      <c r="E34" s="363"/>
      <c r="F34" s="364"/>
      <c r="G34" s="365" t="s">
        <v>50</v>
      </c>
      <c r="H34" s="429">
        <v>1</v>
      </c>
      <c r="I34" s="327">
        <v>475000</v>
      </c>
      <c r="J34" s="336">
        <v>475000</v>
      </c>
      <c r="K34" s="366">
        <v>0.41</v>
      </c>
      <c r="L34" s="327">
        <v>280250.00000000006</v>
      </c>
      <c r="M34" s="327">
        <v>111</v>
      </c>
      <c r="N34" s="327">
        <v>566400</v>
      </c>
      <c r="O34" s="327"/>
      <c r="P34" s="327"/>
      <c r="Q34" s="327"/>
      <c r="R34" s="327"/>
      <c r="S34" s="367"/>
    </row>
    <row r="35" spans="1:19">
      <c r="A35" s="344"/>
      <c r="B35" s="371"/>
      <c r="C35" s="417" t="s">
        <v>96</v>
      </c>
      <c r="D35" s="363" t="s">
        <v>86</v>
      </c>
      <c r="E35" s="333"/>
      <c r="F35" s="353"/>
      <c r="G35" s="347" t="s">
        <v>45</v>
      </c>
      <c r="H35" s="401">
        <v>1</v>
      </c>
      <c r="I35" s="325">
        <v>485000</v>
      </c>
      <c r="J35" s="325">
        <v>485000</v>
      </c>
      <c r="K35" s="348">
        <v>0.41</v>
      </c>
      <c r="L35" s="349">
        <v>286150.00000000006</v>
      </c>
      <c r="M35" s="325"/>
      <c r="N35" s="325"/>
      <c r="O35" s="325"/>
      <c r="P35" s="325"/>
      <c r="Q35" s="325"/>
      <c r="R35" s="325"/>
      <c r="S35" s="350"/>
    </row>
    <row r="36" spans="1:19" ht="19.5">
      <c r="A36" s="362">
        <v>14</v>
      </c>
      <c r="B36" s="402" t="s">
        <v>244</v>
      </c>
      <c r="C36" s="432" t="s">
        <v>27</v>
      </c>
      <c r="D36" s="369" t="s">
        <v>245</v>
      </c>
      <c r="E36" s="363"/>
      <c r="F36" s="364"/>
      <c r="G36" s="365" t="s">
        <v>50</v>
      </c>
      <c r="H36" s="429">
        <v>1</v>
      </c>
      <c r="I36" s="327">
        <v>475000</v>
      </c>
      <c r="J36" s="336">
        <v>475000</v>
      </c>
      <c r="K36" s="366">
        <v>1</v>
      </c>
      <c r="L36" s="327">
        <v>0</v>
      </c>
      <c r="M36" s="327"/>
      <c r="N36" s="327"/>
      <c r="O36" s="327"/>
      <c r="P36" s="327"/>
      <c r="Q36" s="327"/>
      <c r="R36" s="327"/>
      <c r="S36" s="367"/>
    </row>
    <row r="37" spans="1:19" ht="19.5">
      <c r="A37" s="344"/>
      <c r="B37" s="371" t="s">
        <v>244</v>
      </c>
      <c r="C37" s="430" t="s">
        <v>27</v>
      </c>
      <c r="D37" s="346" t="s">
        <v>245</v>
      </c>
      <c r="E37" s="346"/>
      <c r="F37" s="353"/>
      <c r="G37" s="347" t="s">
        <v>34</v>
      </c>
      <c r="H37" s="401">
        <v>1</v>
      </c>
      <c r="I37" s="325">
        <v>455000</v>
      </c>
      <c r="J37" s="325">
        <v>455000</v>
      </c>
      <c r="K37" s="348">
        <v>1</v>
      </c>
      <c r="L37" s="349">
        <v>0</v>
      </c>
      <c r="M37" s="325"/>
      <c r="N37" s="325"/>
      <c r="O37" s="325"/>
      <c r="P37" s="325"/>
      <c r="Q37" s="325"/>
      <c r="R37" s="325"/>
      <c r="S37" s="350"/>
    </row>
    <row r="38" spans="1:19">
      <c r="A38" s="331">
        <v>15</v>
      </c>
      <c r="B38" s="370" t="s">
        <v>246</v>
      </c>
      <c r="C38" s="414" t="s">
        <v>27</v>
      </c>
      <c r="D38" s="333" t="s">
        <v>247</v>
      </c>
      <c r="E38" s="333"/>
      <c r="F38" s="351" t="s">
        <v>248</v>
      </c>
      <c r="G38" s="334" t="s">
        <v>45</v>
      </c>
      <c r="H38" s="431">
        <v>2</v>
      </c>
      <c r="I38" s="324">
        <v>485000</v>
      </c>
      <c r="J38" s="336">
        <v>970000</v>
      </c>
      <c r="K38" s="335">
        <v>0.41</v>
      </c>
      <c r="L38" s="324">
        <v>572300.00000000012</v>
      </c>
      <c r="M38" s="324"/>
      <c r="N38" s="324"/>
      <c r="O38" s="324">
        <v>112</v>
      </c>
      <c r="P38" s="324">
        <v>1109200.0000000002</v>
      </c>
      <c r="Q38" s="324"/>
      <c r="R38" s="324"/>
      <c r="S38" s="337"/>
    </row>
    <row r="39" spans="1:19">
      <c r="A39" s="344"/>
      <c r="B39" s="371" t="s">
        <v>246</v>
      </c>
      <c r="C39" s="430" t="s">
        <v>27</v>
      </c>
      <c r="D39" s="346" t="s">
        <v>247</v>
      </c>
      <c r="E39" s="346"/>
      <c r="F39" s="353" t="s">
        <v>248</v>
      </c>
      <c r="G39" s="347" t="s">
        <v>46</v>
      </c>
      <c r="H39" s="401">
        <v>2</v>
      </c>
      <c r="I39" s="325">
        <v>455000</v>
      </c>
      <c r="J39" s="325">
        <v>910000</v>
      </c>
      <c r="K39" s="348">
        <v>0.41</v>
      </c>
      <c r="L39" s="325">
        <v>536900.00000000012</v>
      </c>
      <c r="M39" s="325"/>
      <c r="N39" s="325"/>
      <c r="O39" s="325"/>
      <c r="P39" s="325"/>
      <c r="Q39" s="325"/>
      <c r="R39" s="325"/>
      <c r="S39" s="350"/>
    </row>
    <row r="40" spans="1:19" ht="28.5">
      <c r="A40" s="331">
        <v>16</v>
      </c>
      <c r="B40" s="370" t="s">
        <v>244</v>
      </c>
      <c r="C40" s="414" t="s">
        <v>27</v>
      </c>
      <c r="D40" s="333" t="s">
        <v>249</v>
      </c>
      <c r="E40" s="333" t="s">
        <v>250</v>
      </c>
      <c r="F40" s="351"/>
      <c r="G40" s="334" t="s">
        <v>60</v>
      </c>
      <c r="H40" s="431">
        <v>5</v>
      </c>
      <c r="I40" s="324">
        <v>455000</v>
      </c>
      <c r="J40" s="336">
        <v>2275000</v>
      </c>
      <c r="K40" s="335">
        <v>0.41</v>
      </c>
      <c r="L40" s="324">
        <v>1342250.0000000002</v>
      </c>
      <c r="M40" s="324"/>
      <c r="N40" s="324"/>
      <c r="O40" s="324">
        <v>112</v>
      </c>
      <c r="P40" s="324">
        <v>1767050.0000000002</v>
      </c>
      <c r="Q40" s="324"/>
      <c r="R40" s="324"/>
      <c r="S40" s="337"/>
    </row>
    <row r="41" spans="1:19" ht="19.5">
      <c r="A41" s="338"/>
      <c r="B41" s="370" t="s">
        <v>244</v>
      </c>
      <c r="C41" s="414" t="s">
        <v>27</v>
      </c>
      <c r="D41" s="333" t="s">
        <v>249</v>
      </c>
      <c r="E41" s="343"/>
      <c r="F41" s="341"/>
      <c r="G41" s="330" t="s">
        <v>42</v>
      </c>
      <c r="H41" s="427">
        <v>1</v>
      </c>
      <c r="I41" s="321">
        <v>265000</v>
      </c>
      <c r="J41" s="321">
        <v>265000</v>
      </c>
      <c r="K41" s="339">
        <v>0.41</v>
      </c>
      <c r="L41" s="324">
        <v>156350.00000000003</v>
      </c>
      <c r="M41" s="321"/>
      <c r="N41" s="321"/>
      <c r="O41" s="321"/>
      <c r="P41" s="321"/>
      <c r="Q41" s="321"/>
      <c r="R41" s="321"/>
      <c r="S41" s="340"/>
    </row>
    <row r="42" spans="1:19" ht="46.5">
      <c r="A42" s="344"/>
      <c r="B42" s="371" t="s">
        <v>244</v>
      </c>
      <c r="C42" s="430" t="s">
        <v>27</v>
      </c>
      <c r="D42" s="346" t="s">
        <v>249</v>
      </c>
      <c r="E42" s="346"/>
      <c r="F42" s="353"/>
      <c r="G42" s="347" t="s">
        <v>34</v>
      </c>
      <c r="H42" s="439">
        <v>1</v>
      </c>
      <c r="I42" s="325">
        <v>455000</v>
      </c>
      <c r="J42" s="349">
        <v>455000</v>
      </c>
      <c r="K42" s="348">
        <v>0.41</v>
      </c>
      <c r="L42" s="325">
        <v>268450.00000000006</v>
      </c>
      <c r="M42" s="325"/>
      <c r="N42" s="325"/>
      <c r="O42" s="325"/>
      <c r="P42" s="325"/>
      <c r="Q42" s="325"/>
      <c r="R42" s="325"/>
      <c r="S42" s="354" t="s">
        <v>251</v>
      </c>
    </row>
    <row r="43" spans="1:19" ht="19.5">
      <c r="A43" s="355">
        <v>17</v>
      </c>
      <c r="B43" s="372" t="s">
        <v>246</v>
      </c>
      <c r="C43" s="397" t="s">
        <v>96</v>
      </c>
      <c r="D43" s="357" t="s">
        <v>252</v>
      </c>
      <c r="E43" s="357"/>
      <c r="F43" s="358"/>
      <c r="G43" s="359" t="s">
        <v>253</v>
      </c>
      <c r="H43" s="398">
        <v>1</v>
      </c>
      <c r="I43" s="326">
        <v>255000</v>
      </c>
      <c r="J43" s="326">
        <v>255000</v>
      </c>
      <c r="K43" s="360">
        <v>0.41</v>
      </c>
      <c r="L43" s="326">
        <v>150450.00000000003</v>
      </c>
      <c r="M43" s="326">
        <v>111</v>
      </c>
      <c r="N43" s="326">
        <v>142000</v>
      </c>
      <c r="O43" s="326"/>
      <c r="P43" s="326"/>
      <c r="Q43" s="326"/>
      <c r="R43" s="326"/>
      <c r="S43" s="368"/>
    </row>
    <row r="44" spans="1:19" ht="19.5">
      <c r="A44" s="331">
        <v>18</v>
      </c>
      <c r="B44" s="370" t="s">
        <v>254</v>
      </c>
      <c r="C44" s="414" t="s">
        <v>27</v>
      </c>
      <c r="D44" s="333" t="s">
        <v>240</v>
      </c>
      <c r="E44" s="333" t="s">
        <v>255</v>
      </c>
      <c r="F44" s="351"/>
      <c r="G44" s="334" t="s">
        <v>253</v>
      </c>
      <c r="H44" s="431">
        <v>24</v>
      </c>
      <c r="I44" s="324">
        <v>255000</v>
      </c>
      <c r="J44" s="336">
        <v>6120000</v>
      </c>
      <c r="K44" s="335">
        <v>0.41</v>
      </c>
      <c r="L44" s="324">
        <v>3610800.0000000005</v>
      </c>
      <c r="M44" s="324"/>
      <c r="N44" s="324"/>
      <c r="O44" s="324"/>
      <c r="P44" s="324"/>
      <c r="Q44" s="324">
        <v>131</v>
      </c>
      <c r="R44" s="324">
        <v>10266000.000000002</v>
      </c>
      <c r="S44" s="337"/>
    </row>
    <row r="45" spans="1:19">
      <c r="A45" s="338"/>
      <c r="B45" s="370" t="s">
        <v>254</v>
      </c>
      <c r="C45" s="414" t="s">
        <v>27</v>
      </c>
      <c r="D45" s="333" t="s">
        <v>240</v>
      </c>
      <c r="E45" s="343"/>
      <c r="F45" s="341"/>
      <c r="G45" s="330" t="s">
        <v>60</v>
      </c>
      <c r="H45" s="427">
        <v>12</v>
      </c>
      <c r="I45" s="321">
        <v>455000</v>
      </c>
      <c r="J45" s="321">
        <v>5460000</v>
      </c>
      <c r="K45" s="339">
        <v>0.41</v>
      </c>
      <c r="L45" s="324">
        <v>3221400.0000000005</v>
      </c>
      <c r="M45" s="321"/>
      <c r="N45" s="321"/>
      <c r="O45" s="321"/>
      <c r="P45" s="321"/>
      <c r="Q45" s="321"/>
      <c r="R45" s="321"/>
      <c r="S45" s="340"/>
    </row>
    <row r="46" spans="1:19">
      <c r="A46" s="344"/>
      <c r="B46" s="370" t="s">
        <v>254</v>
      </c>
      <c r="C46" s="430" t="s">
        <v>27</v>
      </c>
      <c r="D46" s="346" t="s">
        <v>240</v>
      </c>
      <c r="E46" s="346"/>
      <c r="F46" s="353"/>
      <c r="G46" s="347" t="s">
        <v>73</v>
      </c>
      <c r="H46" s="401">
        <v>12</v>
      </c>
      <c r="I46" s="325">
        <v>485000</v>
      </c>
      <c r="J46" s="349">
        <v>5820000</v>
      </c>
      <c r="K46" s="348">
        <v>0.41</v>
      </c>
      <c r="L46" s="325">
        <v>3433800.0000000005</v>
      </c>
      <c r="M46" s="325"/>
      <c r="N46" s="325"/>
      <c r="O46" s="325"/>
      <c r="P46" s="325"/>
      <c r="Q46" s="325"/>
      <c r="R46" s="325"/>
      <c r="S46" s="350"/>
    </row>
    <row r="47" spans="1:19">
      <c r="A47" s="331">
        <v>19</v>
      </c>
      <c r="B47" s="374" t="s">
        <v>256</v>
      </c>
      <c r="C47" s="414" t="s">
        <v>87</v>
      </c>
      <c r="D47" s="333" t="s">
        <v>257</v>
      </c>
      <c r="E47" s="333"/>
      <c r="F47" s="351"/>
      <c r="G47" s="334" t="s">
        <v>74</v>
      </c>
      <c r="H47" s="431">
        <v>1</v>
      </c>
      <c r="I47" s="324">
        <v>550000</v>
      </c>
      <c r="J47" s="336">
        <v>550000</v>
      </c>
      <c r="K47" s="335">
        <v>0.4</v>
      </c>
      <c r="L47" s="324">
        <v>330000</v>
      </c>
      <c r="M47" s="324">
        <v>111</v>
      </c>
      <c r="N47" s="324">
        <v>603000</v>
      </c>
      <c r="O47" s="324"/>
      <c r="P47" s="324"/>
      <c r="Q47" s="324"/>
      <c r="R47" s="324"/>
      <c r="S47" s="337"/>
    </row>
    <row r="48" spans="1:19">
      <c r="A48" s="344"/>
      <c r="B48" s="370" t="s">
        <v>256</v>
      </c>
      <c r="C48" s="414" t="s">
        <v>87</v>
      </c>
      <c r="D48" s="333" t="s">
        <v>257</v>
      </c>
      <c r="E48" s="346"/>
      <c r="F48" s="353"/>
      <c r="G48" s="347" t="s">
        <v>46</v>
      </c>
      <c r="H48" s="401">
        <v>1</v>
      </c>
      <c r="I48" s="325">
        <v>455000</v>
      </c>
      <c r="J48" s="325">
        <v>455000</v>
      </c>
      <c r="K48" s="348">
        <v>0.4</v>
      </c>
      <c r="L48" s="325">
        <v>273000</v>
      </c>
      <c r="M48" s="325"/>
      <c r="N48" s="325"/>
      <c r="O48" s="325"/>
      <c r="P48" s="325"/>
      <c r="Q48" s="325"/>
      <c r="R48" s="325"/>
      <c r="S48" s="350"/>
    </row>
    <row r="49" spans="1:19">
      <c r="A49" s="355">
        <v>20</v>
      </c>
      <c r="B49" s="372" t="s">
        <v>256</v>
      </c>
      <c r="C49" s="397" t="s">
        <v>27</v>
      </c>
      <c r="D49" s="357" t="s">
        <v>258</v>
      </c>
      <c r="E49" s="357" t="s">
        <v>259</v>
      </c>
      <c r="F49" s="358" t="s">
        <v>260</v>
      </c>
      <c r="G49" s="359" t="s">
        <v>253</v>
      </c>
      <c r="H49" s="398">
        <v>5</v>
      </c>
      <c r="I49" s="326">
        <v>255000</v>
      </c>
      <c r="J49" s="326">
        <v>1275000</v>
      </c>
      <c r="K49" s="360">
        <v>0.5</v>
      </c>
      <c r="L49" s="326">
        <v>637500</v>
      </c>
      <c r="M49" s="326"/>
      <c r="N49" s="326"/>
      <c r="O49" s="326"/>
      <c r="P49" s="326"/>
      <c r="Q49" s="326">
        <v>131</v>
      </c>
      <c r="R49" s="326">
        <v>637500</v>
      </c>
      <c r="S49" s="361"/>
    </row>
    <row r="50" spans="1:19">
      <c r="A50" s="355">
        <v>21</v>
      </c>
      <c r="B50" s="372" t="s">
        <v>261</v>
      </c>
      <c r="C50" s="397" t="s">
        <v>27</v>
      </c>
      <c r="D50" s="357" t="s">
        <v>262</v>
      </c>
      <c r="E50" s="357" t="s">
        <v>263</v>
      </c>
      <c r="F50" s="358"/>
      <c r="G50" s="359" t="s">
        <v>45</v>
      </c>
      <c r="H50" s="398">
        <v>12</v>
      </c>
      <c r="I50" s="326">
        <v>485000</v>
      </c>
      <c r="J50" s="326">
        <v>5820000</v>
      </c>
      <c r="K50" s="360">
        <v>0.3</v>
      </c>
      <c r="L50" s="326">
        <v>4073999.9999999995</v>
      </c>
      <c r="M50" s="326"/>
      <c r="N50" s="326"/>
      <c r="O50" s="326">
        <v>112</v>
      </c>
      <c r="P50" s="326">
        <v>4073999.9999999995</v>
      </c>
      <c r="Q50" s="326"/>
      <c r="R50" s="326"/>
      <c r="S50" s="361"/>
    </row>
    <row r="51" spans="1:19" ht="55.5">
      <c r="A51" s="331">
        <v>22</v>
      </c>
      <c r="B51" s="370" t="s">
        <v>264</v>
      </c>
      <c r="C51" s="333" t="s">
        <v>87</v>
      </c>
      <c r="D51" s="333" t="s">
        <v>265</v>
      </c>
      <c r="E51" s="333"/>
      <c r="F51" s="351"/>
      <c r="G51" s="334" t="s">
        <v>253</v>
      </c>
      <c r="H51" s="431">
        <v>5</v>
      </c>
      <c r="I51" s="324">
        <v>255000</v>
      </c>
      <c r="J51" s="336">
        <v>1275000</v>
      </c>
      <c r="K51" s="335">
        <v>0.3</v>
      </c>
      <c r="L51" s="324">
        <v>892500</v>
      </c>
      <c r="M51" s="324"/>
      <c r="N51" s="324"/>
      <c r="O51" s="324"/>
      <c r="P51" s="324"/>
      <c r="Q51" s="324">
        <v>131</v>
      </c>
      <c r="R51" s="324">
        <v>26638500</v>
      </c>
      <c r="S51" s="404" t="s">
        <v>266</v>
      </c>
    </row>
    <row r="52" spans="1:19" ht="19.5">
      <c r="A52" s="338"/>
      <c r="B52" s="370" t="s">
        <v>264</v>
      </c>
      <c r="C52" s="333" t="s">
        <v>87</v>
      </c>
      <c r="D52" s="333" t="s">
        <v>265</v>
      </c>
      <c r="E52" s="343"/>
      <c r="F52" s="341"/>
      <c r="G52" s="330" t="s">
        <v>60</v>
      </c>
      <c r="H52" s="427">
        <v>6</v>
      </c>
      <c r="I52" s="321">
        <v>455000</v>
      </c>
      <c r="J52" s="321">
        <v>2730000</v>
      </c>
      <c r="K52" s="339">
        <v>0.3</v>
      </c>
      <c r="L52" s="324">
        <v>1910999.9999999998</v>
      </c>
      <c r="M52" s="321"/>
      <c r="N52" s="321"/>
      <c r="O52" s="321"/>
      <c r="P52" s="321"/>
      <c r="Q52" s="321"/>
      <c r="R52" s="321"/>
      <c r="S52" s="1694" t="s">
        <v>267</v>
      </c>
    </row>
    <row r="53" spans="1:19" ht="19.5">
      <c r="A53" s="338"/>
      <c r="B53" s="370" t="s">
        <v>264</v>
      </c>
      <c r="C53" s="333" t="s">
        <v>87</v>
      </c>
      <c r="D53" s="333" t="s">
        <v>265</v>
      </c>
      <c r="E53" s="343"/>
      <c r="F53" s="341"/>
      <c r="G53" s="330" t="s">
        <v>42</v>
      </c>
      <c r="H53" s="427">
        <v>15</v>
      </c>
      <c r="I53" s="321">
        <v>265000</v>
      </c>
      <c r="J53" s="321">
        <v>3975000</v>
      </c>
      <c r="K53" s="339">
        <v>0.3</v>
      </c>
      <c r="L53" s="324">
        <v>2782500</v>
      </c>
      <c r="M53" s="321"/>
      <c r="N53" s="321"/>
      <c r="O53" s="321"/>
      <c r="P53" s="321"/>
      <c r="Q53" s="321"/>
      <c r="R53" s="321"/>
      <c r="S53" s="1695"/>
    </row>
    <row r="54" spans="1:19" ht="19.5">
      <c r="A54" s="338"/>
      <c r="B54" s="370" t="s">
        <v>264</v>
      </c>
      <c r="C54" s="333" t="s">
        <v>87</v>
      </c>
      <c r="D54" s="333" t="s">
        <v>265</v>
      </c>
      <c r="E54" s="343"/>
      <c r="F54" s="341"/>
      <c r="G54" s="330" t="s">
        <v>30</v>
      </c>
      <c r="H54" s="427">
        <v>10</v>
      </c>
      <c r="I54" s="321">
        <v>465000</v>
      </c>
      <c r="J54" s="321">
        <v>4650000</v>
      </c>
      <c r="K54" s="339">
        <v>0.3</v>
      </c>
      <c r="L54" s="324">
        <v>3255000</v>
      </c>
      <c r="M54" s="321"/>
      <c r="N54" s="321"/>
      <c r="O54" s="321"/>
      <c r="P54" s="321"/>
      <c r="Q54" s="321"/>
      <c r="R54" s="321"/>
      <c r="S54" s="1695"/>
    </row>
    <row r="55" spans="1:19" ht="19.5">
      <c r="A55" s="338"/>
      <c r="B55" s="370" t="s">
        <v>264</v>
      </c>
      <c r="C55" s="333" t="s">
        <v>87</v>
      </c>
      <c r="D55" s="333" t="s">
        <v>265</v>
      </c>
      <c r="E55" s="343"/>
      <c r="F55" s="341"/>
      <c r="G55" s="330" t="s">
        <v>50</v>
      </c>
      <c r="H55" s="427">
        <v>10</v>
      </c>
      <c r="I55" s="321">
        <v>475000</v>
      </c>
      <c r="J55" s="321">
        <v>4750000</v>
      </c>
      <c r="K55" s="339">
        <v>0.3</v>
      </c>
      <c r="L55" s="324">
        <v>3325000</v>
      </c>
      <c r="M55" s="321"/>
      <c r="N55" s="321"/>
      <c r="O55" s="321"/>
      <c r="P55" s="321"/>
      <c r="Q55" s="321"/>
      <c r="R55" s="321"/>
      <c r="S55" s="1695"/>
    </row>
    <row r="56" spans="1:19" ht="19.5">
      <c r="A56" s="338"/>
      <c r="B56" s="370" t="s">
        <v>264</v>
      </c>
      <c r="C56" s="333" t="s">
        <v>87</v>
      </c>
      <c r="D56" s="333" t="s">
        <v>265</v>
      </c>
      <c r="E56" s="343"/>
      <c r="F56" s="341"/>
      <c r="G56" s="330" t="s">
        <v>45</v>
      </c>
      <c r="H56" s="427">
        <v>12</v>
      </c>
      <c r="I56" s="321">
        <v>485000</v>
      </c>
      <c r="J56" s="321">
        <v>5820000</v>
      </c>
      <c r="K56" s="339">
        <v>0.3</v>
      </c>
      <c r="L56" s="324">
        <v>4073999.9999999995</v>
      </c>
      <c r="M56" s="321"/>
      <c r="N56" s="321"/>
      <c r="O56" s="321"/>
      <c r="P56" s="321"/>
      <c r="Q56" s="321"/>
      <c r="R56" s="321"/>
      <c r="S56" s="1695"/>
    </row>
    <row r="57" spans="1:19" ht="19.5">
      <c r="A57" s="338"/>
      <c r="B57" s="370" t="s">
        <v>264</v>
      </c>
      <c r="C57" s="333" t="s">
        <v>87</v>
      </c>
      <c r="D57" s="333" t="s">
        <v>265</v>
      </c>
      <c r="E57" s="343"/>
      <c r="F57" s="341"/>
      <c r="G57" s="330" t="s">
        <v>74</v>
      </c>
      <c r="H57" s="427">
        <v>18</v>
      </c>
      <c r="I57" s="321">
        <v>550000</v>
      </c>
      <c r="J57" s="321">
        <v>9900000</v>
      </c>
      <c r="K57" s="339">
        <v>0.3</v>
      </c>
      <c r="L57" s="324">
        <v>6930000</v>
      </c>
      <c r="M57" s="321"/>
      <c r="N57" s="321"/>
      <c r="O57" s="321"/>
      <c r="P57" s="321"/>
      <c r="Q57" s="321"/>
      <c r="R57" s="321"/>
      <c r="S57" s="1695"/>
    </row>
    <row r="58" spans="1:19" ht="19.5">
      <c r="A58" s="338"/>
      <c r="B58" s="370" t="s">
        <v>264</v>
      </c>
      <c r="C58" s="333" t="s">
        <v>87</v>
      </c>
      <c r="D58" s="333" t="s">
        <v>265</v>
      </c>
      <c r="E58" s="343"/>
      <c r="F58" s="341"/>
      <c r="G58" s="330" t="s">
        <v>36</v>
      </c>
      <c r="H58" s="427">
        <v>10</v>
      </c>
      <c r="I58" s="321">
        <v>450000</v>
      </c>
      <c r="J58" s="321">
        <v>4500000</v>
      </c>
      <c r="K58" s="339">
        <v>0.3</v>
      </c>
      <c r="L58" s="324">
        <v>3150000</v>
      </c>
      <c r="M58" s="321"/>
      <c r="N58" s="321"/>
      <c r="O58" s="321"/>
      <c r="P58" s="321"/>
      <c r="Q58" s="321"/>
      <c r="R58" s="321"/>
      <c r="S58" s="1696"/>
    </row>
    <row r="59" spans="1:19" ht="46.5">
      <c r="A59" s="344"/>
      <c r="B59" s="371" t="s">
        <v>264</v>
      </c>
      <c r="C59" s="346" t="s">
        <v>87</v>
      </c>
      <c r="D59" s="346" t="s">
        <v>265</v>
      </c>
      <c r="E59" s="346"/>
      <c r="F59" s="353"/>
      <c r="G59" s="347" t="s">
        <v>34</v>
      </c>
      <c r="H59" s="401">
        <v>1</v>
      </c>
      <c r="I59" s="325">
        <v>455000</v>
      </c>
      <c r="J59" s="349">
        <v>455000</v>
      </c>
      <c r="K59" s="348">
        <v>0.3</v>
      </c>
      <c r="L59" s="325">
        <v>318500</v>
      </c>
      <c r="M59" s="325"/>
      <c r="N59" s="325"/>
      <c r="O59" s="325"/>
      <c r="P59" s="325"/>
      <c r="Q59" s="325"/>
      <c r="R59" s="325"/>
      <c r="S59" s="354" t="s">
        <v>268</v>
      </c>
    </row>
    <row r="60" spans="1:19">
      <c r="A60" s="331">
        <v>23</v>
      </c>
      <c r="B60" s="370" t="s">
        <v>269</v>
      </c>
      <c r="C60" s="414" t="s">
        <v>27</v>
      </c>
      <c r="D60" s="333" t="s">
        <v>270</v>
      </c>
      <c r="E60" s="333"/>
      <c r="F60" s="351"/>
      <c r="G60" s="334" t="s">
        <v>60</v>
      </c>
      <c r="H60" s="431">
        <v>1</v>
      </c>
      <c r="I60" s="324">
        <v>455000</v>
      </c>
      <c r="J60" s="336">
        <v>455000</v>
      </c>
      <c r="K60" s="335">
        <v>0.2</v>
      </c>
      <c r="L60" s="324">
        <v>364000</v>
      </c>
      <c r="M60" s="324"/>
      <c r="N60" s="324"/>
      <c r="O60" s="324"/>
      <c r="P60" s="324"/>
      <c r="Q60" s="324">
        <v>131</v>
      </c>
      <c r="R60" s="324">
        <v>804000</v>
      </c>
      <c r="S60" s="337"/>
    </row>
    <row r="61" spans="1:19">
      <c r="A61" s="344"/>
      <c r="B61" s="370" t="s">
        <v>269</v>
      </c>
      <c r="C61" s="414" t="s">
        <v>27</v>
      </c>
      <c r="D61" s="333" t="s">
        <v>270</v>
      </c>
      <c r="E61" s="346"/>
      <c r="F61" s="353"/>
      <c r="G61" s="347" t="s">
        <v>74</v>
      </c>
      <c r="H61" s="401">
        <v>1</v>
      </c>
      <c r="I61" s="325">
        <v>550000</v>
      </c>
      <c r="J61" s="325">
        <v>550000</v>
      </c>
      <c r="K61" s="348">
        <v>0.2</v>
      </c>
      <c r="L61" s="325">
        <v>440000</v>
      </c>
      <c r="M61" s="325"/>
      <c r="N61" s="325"/>
      <c r="O61" s="325"/>
      <c r="P61" s="325"/>
      <c r="Q61" s="325"/>
      <c r="R61" s="325"/>
      <c r="S61" s="350"/>
    </row>
    <row r="62" spans="1:19">
      <c r="A62" s="355">
        <v>24</v>
      </c>
      <c r="B62" s="372" t="s">
        <v>269</v>
      </c>
      <c r="C62" s="397" t="s">
        <v>27</v>
      </c>
      <c r="D62" s="357" t="s">
        <v>271</v>
      </c>
      <c r="E62" s="357" t="s">
        <v>272</v>
      </c>
      <c r="F62" s="358"/>
      <c r="G62" s="359" t="s">
        <v>73</v>
      </c>
      <c r="H62" s="398">
        <v>1</v>
      </c>
      <c r="I62" s="326">
        <v>485000</v>
      </c>
      <c r="J62" s="326">
        <v>485000</v>
      </c>
      <c r="K62" s="360"/>
      <c r="L62" s="326">
        <v>485000</v>
      </c>
      <c r="M62" s="326">
        <v>111</v>
      </c>
      <c r="N62" s="326">
        <v>485000</v>
      </c>
      <c r="O62" s="326"/>
      <c r="P62" s="326"/>
      <c r="Q62" s="326"/>
      <c r="R62" s="326"/>
      <c r="S62" s="361"/>
    </row>
    <row r="63" spans="1:19">
      <c r="A63" s="355">
        <v>25</v>
      </c>
      <c r="B63" s="372" t="s">
        <v>269</v>
      </c>
      <c r="C63" s="397" t="s">
        <v>27</v>
      </c>
      <c r="D63" s="357" t="s">
        <v>273</v>
      </c>
      <c r="E63" s="357"/>
      <c r="F63" s="358" t="s">
        <v>274</v>
      </c>
      <c r="G63" s="359" t="s">
        <v>74</v>
      </c>
      <c r="H63" s="398">
        <v>2</v>
      </c>
      <c r="I63" s="326">
        <v>550000</v>
      </c>
      <c r="J63" s="326">
        <v>1100000</v>
      </c>
      <c r="K63" s="360">
        <v>0.41</v>
      </c>
      <c r="L63" s="326">
        <v>649000.00000000012</v>
      </c>
      <c r="M63" s="326"/>
      <c r="N63" s="326"/>
      <c r="O63" s="326"/>
      <c r="P63" s="326"/>
      <c r="Q63" s="326">
        <v>131</v>
      </c>
      <c r="R63" s="326">
        <v>649000.00000000012</v>
      </c>
      <c r="S63" s="361"/>
    </row>
    <row r="64" spans="1:19" ht="19.5">
      <c r="A64" s="331">
        <v>26</v>
      </c>
      <c r="B64" s="370" t="s">
        <v>275</v>
      </c>
      <c r="C64" s="333" t="s">
        <v>87</v>
      </c>
      <c r="D64" s="333" t="s">
        <v>276</v>
      </c>
      <c r="E64" s="333" t="s">
        <v>277</v>
      </c>
      <c r="F64" s="351"/>
      <c r="G64" s="334" t="s">
        <v>253</v>
      </c>
      <c r="H64" s="431">
        <v>24</v>
      </c>
      <c r="I64" s="324">
        <v>255000</v>
      </c>
      <c r="J64" s="336">
        <v>6120000</v>
      </c>
      <c r="K64" s="335">
        <v>0.5</v>
      </c>
      <c r="L64" s="324">
        <v>3060000</v>
      </c>
      <c r="M64" s="324"/>
      <c r="N64" s="324"/>
      <c r="O64" s="324"/>
      <c r="P64" s="324"/>
      <c r="Q64" s="324">
        <v>131</v>
      </c>
      <c r="R64" s="324">
        <v>92610000</v>
      </c>
      <c r="S64" s="337"/>
    </row>
    <row r="65" spans="1:19" ht="19.5">
      <c r="A65" s="338"/>
      <c r="B65" s="370" t="s">
        <v>275</v>
      </c>
      <c r="C65" s="333" t="s">
        <v>87</v>
      </c>
      <c r="D65" s="333" t="s">
        <v>276</v>
      </c>
      <c r="E65" s="333"/>
      <c r="F65" s="341"/>
      <c r="G65" s="330" t="s">
        <v>60</v>
      </c>
      <c r="H65" s="427">
        <v>12</v>
      </c>
      <c r="I65" s="321">
        <v>455000</v>
      </c>
      <c r="J65" s="321">
        <v>5460000</v>
      </c>
      <c r="K65" s="339">
        <v>0.5</v>
      </c>
      <c r="L65" s="324">
        <v>2730000</v>
      </c>
      <c r="M65" s="321"/>
      <c r="N65" s="321"/>
      <c r="O65" s="321"/>
      <c r="P65" s="321"/>
      <c r="Q65" s="321"/>
      <c r="R65" s="321"/>
      <c r="S65" s="340"/>
    </row>
    <row r="66" spans="1:19" ht="19.5">
      <c r="A66" s="338"/>
      <c r="B66" s="370" t="s">
        <v>275</v>
      </c>
      <c r="C66" s="333" t="s">
        <v>87</v>
      </c>
      <c r="D66" s="333" t="s">
        <v>276</v>
      </c>
      <c r="E66" s="333"/>
      <c r="F66" s="341"/>
      <c r="G66" s="330" t="s">
        <v>42</v>
      </c>
      <c r="H66" s="427">
        <v>48</v>
      </c>
      <c r="I66" s="321">
        <v>265000</v>
      </c>
      <c r="J66" s="321">
        <v>12720000</v>
      </c>
      <c r="K66" s="339">
        <v>0.5</v>
      </c>
      <c r="L66" s="324">
        <v>6360000</v>
      </c>
      <c r="M66" s="321"/>
      <c r="N66" s="321"/>
      <c r="O66" s="321"/>
      <c r="P66" s="321"/>
      <c r="Q66" s="321"/>
      <c r="R66" s="321"/>
      <c r="S66" s="340"/>
    </row>
    <row r="67" spans="1:19" ht="19.5">
      <c r="A67" s="338"/>
      <c r="B67" s="370" t="s">
        <v>275</v>
      </c>
      <c r="C67" s="333" t="s">
        <v>87</v>
      </c>
      <c r="D67" s="333" t="s">
        <v>276</v>
      </c>
      <c r="E67" s="333"/>
      <c r="F67" s="341"/>
      <c r="G67" s="330" t="s">
        <v>30</v>
      </c>
      <c r="H67" s="427">
        <v>36</v>
      </c>
      <c r="I67" s="321">
        <v>465000</v>
      </c>
      <c r="J67" s="321">
        <v>16740000</v>
      </c>
      <c r="K67" s="339">
        <v>0.5</v>
      </c>
      <c r="L67" s="324">
        <v>8370000</v>
      </c>
      <c r="M67" s="321"/>
      <c r="N67" s="321"/>
      <c r="O67" s="321"/>
      <c r="P67" s="321"/>
      <c r="Q67" s="321"/>
      <c r="R67" s="321"/>
      <c r="S67" s="340"/>
    </row>
    <row r="68" spans="1:19" ht="19.5">
      <c r="A68" s="338"/>
      <c r="B68" s="370" t="s">
        <v>275</v>
      </c>
      <c r="C68" s="333" t="s">
        <v>87</v>
      </c>
      <c r="D68" s="333" t="s">
        <v>276</v>
      </c>
      <c r="E68" s="333"/>
      <c r="F68" s="341"/>
      <c r="G68" s="330" t="s">
        <v>50</v>
      </c>
      <c r="H68" s="427">
        <v>36</v>
      </c>
      <c r="I68" s="321">
        <v>475000</v>
      </c>
      <c r="J68" s="321">
        <v>17100000</v>
      </c>
      <c r="K68" s="339">
        <v>0.5</v>
      </c>
      <c r="L68" s="324">
        <v>8550000</v>
      </c>
      <c r="M68" s="321"/>
      <c r="N68" s="321"/>
      <c r="O68" s="321"/>
      <c r="P68" s="321"/>
      <c r="Q68" s="321"/>
      <c r="R68" s="321"/>
      <c r="S68" s="340"/>
    </row>
    <row r="69" spans="1:19" ht="19.5">
      <c r="A69" s="338"/>
      <c r="B69" s="370" t="s">
        <v>275</v>
      </c>
      <c r="C69" s="333" t="s">
        <v>87</v>
      </c>
      <c r="D69" s="333" t="s">
        <v>276</v>
      </c>
      <c r="E69" s="333"/>
      <c r="F69" s="341"/>
      <c r="G69" s="330" t="s">
        <v>45</v>
      </c>
      <c r="H69" s="427">
        <v>36</v>
      </c>
      <c r="I69" s="321">
        <v>485000</v>
      </c>
      <c r="J69" s="321">
        <v>17460000</v>
      </c>
      <c r="K69" s="339">
        <v>0.5</v>
      </c>
      <c r="L69" s="324">
        <v>8730000</v>
      </c>
      <c r="M69" s="321"/>
      <c r="N69" s="321"/>
      <c r="O69" s="321"/>
      <c r="P69" s="321"/>
      <c r="Q69" s="321"/>
      <c r="R69" s="321"/>
      <c r="S69" s="340"/>
    </row>
    <row r="70" spans="1:19" ht="19.5">
      <c r="A70" s="338"/>
      <c r="B70" s="370" t="s">
        <v>275</v>
      </c>
      <c r="C70" s="333" t="s">
        <v>87</v>
      </c>
      <c r="D70" s="333" t="s">
        <v>276</v>
      </c>
      <c r="E70" s="333"/>
      <c r="F70" s="341"/>
      <c r="G70" s="330" t="s">
        <v>74</v>
      </c>
      <c r="H70" s="427">
        <v>48</v>
      </c>
      <c r="I70" s="321">
        <v>550000</v>
      </c>
      <c r="J70" s="321">
        <v>26400000</v>
      </c>
      <c r="K70" s="339">
        <v>0.5</v>
      </c>
      <c r="L70" s="324">
        <v>13200000</v>
      </c>
      <c r="M70" s="321"/>
      <c r="N70" s="321"/>
      <c r="O70" s="321"/>
      <c r="P70" s="321"/>
      <c r="Q70" s="321"/>
      <c r="R70" s="321"/>
      <c r="S70" s="340"/>
    </row>
    <row r="71" spans="1:19" ht="19.5">
      <c r="A71" s="338"/>
      <c r="B71" s="370" t="s">
        <v>275</v>
      </c>
      <c r="C71" s="333" t="s">
        <v>87</v>
      </c>
      <c r="D71" s="333" t="s">
        <v>276</v>
      </c>
      <c r="E71" s="333"/>
      <c r="F71" s="341"/>
      <c r="G71" s="330" t="s">
        <v>36</v>
      </c>
      <c r="H71" s="427">
        <v>100</v>
      </c>
      <c r="I71" s="321">
        <v>450000</v>
      </c>
      <c r="J71" s="321">
        <v>45000000</v>
      </c>
      <c r="K71" s="339">
        <v>0.5</v>
      </c>
      <c r="L71" s="324">
        <v>22500000</v>
      </c>
      <c r="M71" s="321"/>
      <c r="N71" s="321"/>
      <c r="O71" s="321"/>
      <c r="P71" s="321"/>
      <c r="Q71" s="321"/>
      <c r="R71" s="321"/>
      <c r="S71" s="340"/>
    </row>
    <row r="72" spans="1:19" ht="19.5">
      <c r="A72" s="338"/>
      <c r="B72" s="319" t="s">
        <v>275</v>
      </c>
      <c r="C72" s="343" t="s">
        <v>87</v>
      </c>
      <c r="D72" s="343" t="s">
        <v>276</v>
      </c>
      <c r="E72" s="333"/>
      <c r="F72" s="341"/>
      <c r="G72" s="330" t="s">
        <v>34</v>
      </c>
      <c r="H72" s="427">
        <v>60</v>
      </c>
      <c r="I72" s="321">
        <v>455000</v>
      </c>
      <c r="J72" s="321">
        <v>27300000</v>
      </c>
      <c r="K72" s="339">
        <v>0.5</v>
      </c>
      <c r="L72" s="324">
        <v>13650000</v>
      </c>
      <c r="M72" s="321"/>
      <c r="N72" s="321"/>
      <c r="O72" s="321"/>
      <c r="P72" s="321"/>
      <c r="Q72" s="321"/>
      <c r="R72" s="321"/>
      <c r="S72" s="340"/>
    </row>
    <row r="73" spans="1:19" ht="19.5">
      <c r="A73" s="344"/>
      <c r="B73" s="418" t="s">
        <v>275</v>
      </c>
      <c r="C73" s="352" t="s">
        <v>87</v>
      </c>
      <c r="D73" s="352" t="s">
        <v>276</v>
      </c>
      <c r="E73" s="346"/>
      <c r="F73" s="353"/>
      <c r="G73" s="347" t="s">
        <v>46</v>
      </c>
      <c r="H73" s="401">
        <v>24</v>
      </c>
      <c r="I73" s="325">
        <v>455000</v>
      </c>
      <c r="J73" s="349">
        <v>10920000</v>
      </c>
      <c r="K73" s="348">
        <v>0.5</v>
      </c>
      <c r="L73" s="325">
        <v>5460000</v>
      </c>
      <c r="M73" s="325"/>
      <c r="N73" s="325"/>
      <c r="O73" s="325"/>
      <c r="P73" s="325"/>
      <c r="Q73" s="325"/>
      <c r="R73" s="325"/>
      <c r="S73" s="350"/>
    </row>
    <row r="74" spans="1:19" ht="37.5">
      <c r="A74" s="355">
        <v>27</v>
      </c>
      <c r="B74" s="372" t="s">
        <v>275</v>
      </c>
      <c r="C74" s="397" t="s">
        <v>278</v>
      </c>
      <c r="D74" s="357" t="s">
        <v>86</v>
      </c>
      <c r="E74" s="357"/>
      <c r="F74" s="358"/>
      <c r="G74" s="359" t="s">
        <v>34</v>
      </c>
      <c r="H74" s="398">
        <v>1</v>
      </c>
      <c r="I74" s="326">
        <v>455000</v>
      </c>
      <c r="J74" s="326">
        <v>455000</v>
      </c>
      <c r="K74" s="360">
        <v>0.41</v>
      </c>
      <c r="L74" s="326">
        <v>268450.00000000006</v>
      </c>
      <c r="M74" s="326">
        <v>111</v>
      </c>
      <c r="N74" s="326">
        <v>268450.00000000006</v>
      </c>
      <c r="O74" s="326"/>
      <c r="P74" s="326"/>
      <c r="Q74" s="326"/>
      <c r="R74" s="326"/>
      <c r="S74" s="368" t="s">
        <v>279</v>
      </c>
    </row>
    <row r="75" spans="1:19">
      <c r="A75" s="355"/>
      <c r="B75" s="372" t="s">
        <v>275</v>
      </c>
      <c r="C75" s="397" t="s">
        <v>278</v>
      </c>
      <c r="D75" s="357" t="s">
        <v>86</v>
      </c>
      <c r="E75" s="357"/>
      <c r="F75" s="358"/>
      <c r="G75" s="359" t="s">
        <v>45</v>
      </c>
      <c r="H75" s="398">
        <v>1</v>
      </c>
      <c r="I75" s="326">
        <v>485000</v>
      </c>
      <c r="J75" s="326">
        <v>485000</v>
      </c>
      <c r="K75" s="360">
        <v>0.41</v>
      </c>
      <c r="L75" s="318">
        <v>286150.00000000006</v>
      </c>
      <c r="M75" s="318">
        <v>111</v>
      </c>
      <c r="N75" s="318">
        <v>286150.00000000006</v>
      </c>
      <c r="O75" s="326"/>
      <c r="P75" s="326"/>
      <c r="Q75" s="326"/>
      <c r="R75" s="326"/>
      <c r="S75" s="361" t="s">
        <v>127</v>
      </c>
    </row>
    <row r="76" spans="1:19">
      <c r="A76" s="355">
        <v>28</v>
      </c>
      <c r="B76" s="372" t="s">
        <v>246</v>
      </c>
      <c r="C76" s="397" t="s">
        <v>27</v>
      </c>
      <c r="D76" s="357"/>
      <c r="E76" s="357"/>
      <c r="F76" s="358"/>
      <c r="G76" s="359" t="s">
        <v>60</v>
      </c>
      <c r="H76" s="398">
        <v>1</v>
      </c>
      <c r="I76" s="326">
        <v>455000</v>
      </c>
      <c r="J76" s="326">
        <v>455000</v>
      </c>
      <c r="K76" s="360">
        <v>1</v>
      </c>
      <c r="L76" s="326">
        <v>0</v>
      </c>
      <c r="M76" s="326"/>
      <c r="N76" s="326"/>
      <c r="O76" s="326"/>
      <c r="P76" s="326"/>
      <c r="Q76" s="326"/>
      <c r="R76" s="326"/>
      <c r="S76" s="361" t="s">
        <v>217</v>
      </c>
    </row>
    <row r="77" spans="1:19">
      <c r="A77" s="355">
        <v>29</v>
      </c>
      <c r="B77" s="372" t="s">
        <v>254</v>
      </c>
      <c r="C77" s="397" t="s">
        <v>224</v>
      </c>
      <c r="D77" s="357" t="s">
        <v>280</v>
      </c>
      <c r="E77" s="357"/>
      <c r="F77" s="358"/>
      <c r="G77" s="359" t="s">
        <v>33</v>
      </c>
      <c r="H77" s="398">
        <v>2</v>
      </c>
      <c r="I77" s="326">
        <v>285000</v>
      </c>
      <c r="J77" s="326">
        <v>570000</v>
      </c>
      <c r="K77" s="360">
        <v>1</v>
      </c>
      <c r="L77" s="326">
        <v>0</v>
      </c>
      <c r="M77" s="326"/>
      <c r="N77" s="326"/>
      <c r="O77" s="326"/>
      <c r="P77" s="326"/>
      <c r="Q77" s="326"/>
      <c r="R77" s="326"/>
      <c r="S77" s="361"/>
    </row>
    <row r="78" spans="1:19">
      <c r="A78" s="331">
        <v>30</v>
      </c>
      <c r="B78" s="370" t="s">
        <v>281</v>
      </c>
      <c r="C78" s="414" t="s">
        <v>27</v>
      </c>
      <c r="D78" s="333" t="s">
        <v>282</v>
      </c>
      <c r="E78" s="333"/>
      <c r="F78" s="351"/>
      <c r="G78" s="334" t="s">
        <v>45</v>
      </c>
      <c r="H78" s="431">
        <v>1</v>
      </c>
      <c r="I78" s="324">
        <v>485000</v>
      </c>
      <c r="J78" s="336">
        <v>485000</v>
      </c>
      <c r="K78" s="335">
        <v>0.41</v>
      </c>
      <c r="L78" s="324">
        <v>286150.00000000006</v>
      </c>
      <c r="M78" s="324"/>
      <c r="N78" s="324"/>
      <c r="O78" s="324"/>
      <c r="P78" s="324"/>
      <c r="Q78" s="324">
        <v>131</v>
      </c>
      <c r="R78" s="324">
        <v>554600.00000000012</v>
      </c>
      <c r="S78" s="337"/>
    </row>
    <row r="79" spans="1:19">
      <c r="A79" s="344"/>
      <c r="B79" s="371" t="s">
        <v>281</v>
      </c>
      <c r="C79" s="430" t="s">
        <v>27</v>
      </c>
      <c r="D79" s="346" t="s">
        <v>282</v>
      </c>
      <c r="E79" s="346"/>
      <c r="F79" s="353"/>
      <c r="G79" s="347" t="s">
        <v>46</v>
      </c>
      <c r="H79" s="401">
        <v>1</v>
      </c>
      <c r="I79" s="325">
        <v>455000</v>
      </c>
      <c r="J79" s="325">
        <v>455000</v>
      </c>
      <c r="K79" s="348">
        <v>0.41</v>
      </c>
      <c r="L79" s="325">
        <v>268450.00000000006</v>
      </c>
      <c r="M79" s="325"/>
      <c r="N79" s="325"/>
      <c r="O79" s="325"/>
      <c r="P79" s="325"/>
      <c r="Q79" s="325"/>
      <c r="R79" s="325"/>
      <c r="S79" s="350"/>
    </row>
    <row r="80" spans="1:19" ht="28.5">
      <c r="A80" s="331">
        <v>31</v>
      </c>
      <c r="B80" s="370" t="s">
        <v>281</v>
      </c>
      <c r="C80" s="414" t="s">
        <v>27</v>
      </c>
      <c r="D80" s="333" t="s">
        <v>283</v>
      </c>
      <c r="E80" s="333" t="s">
        <v>284</v>
      </c>
      <c r="F80" s="351"/>
      <c r="G80" s="334" t="s">
        <v>60</v>
      </c>
      <c r="H80" s="431">
        <v>3</v>
      </c>
      <c r="I80" s="324">
        <v>455000</v>
      </c>
      <c r="J80" s="336">
        <v>1365000</v>
      </c>
      <c r="K80" s="335">
        <v>1</v>
      </c>
      <c r="L80" s="324">
        <v>0</v>
      </c>
      <c r="M80" s="324"/>
      <c r="N80" s="324"/>
      <c r="O80" s="324"/>
      <c r="P80" s="324"/>
      <c r="Q80" s="324"/>
      <c r="R80" s="324"/>
      <c r="S80" s="337"/>
    </row>
    <row r="81" spans="1:19" ht="19.5">
      <c r="A81" s="338"/>
      <c r="B81" s="370" t="s">
        <v>281</v>
      </c>
      <c r="C81" s="414" t="s">
        <v>27</v>
      </c>
      <c r="D81" s="333" t="s">
        <v>283</v>
      </c>
      <c r="E81" s="343"/>
      <c r="F81" s="341"/>
      <c r="G81" s="330" t="s">
        <v>30</v>
      </c>
      <c r="H81" s="427">
        <v>5</v>
      </c>
      <c r="I81" s="321">
        <v>465000</v>
      </c>
      <c r="J81" s="321">
        <v>2325000</v>
      </c>
      <c r="K81" s="339">
        <v>1</v>
      </c>
      <c r="L81" s="324">
        <v>0</v>
      </c>
      <c r="M81" s="321"/>
      <c r="N81" s="321"/>
      <c r="O81" s="321"/>
      <c r="P81" s="321"/>
      <c r="Q81" s="321"/>
      <c r="R81" s="321"/>
      <c r="S81" s="340"/>
    </row>
    <row r="82" spans="1:19" ht="19.5">
      <c r="A82" s="338"/>
      <c r="B82" s="370" t="s">
        <v>281</v>
      </c>
      <c r="C82" s="414" t="s">
        <v>27</v>
      </c>
      <c r="D82" s="333" t="s">
        <v>283</v>
      </c>
      <c r="E82" s="343"/>
      <c r="F82" s="341"/>
      <c r="G82" s="330" t="s">
        <v>50</v>
      </c>
      <c r="H82" s="427">
        <v>5</v>
      </c>
      <c r="I82" s="321">
        <v>475000</v>
      </c>
      <c r="J82" s="321">
        <v>2375000</v>
      </c>
      <c r="K82" s="339">
        <v>1</v>
      </c>
      <c r="L82" s="324">
        <v>0</v>
      </c>
      <c r="M82" s="321"/>
      <c r="N82" s="321"/>
      <c r="O82" s="321"/>
      <c r="P82" s="321"/>
      <c r="Q82" s="321"/>
      <c r="R82" s="321"/>
      <c r="S82" s="340"/>
    </row>
    <row r="83" spans="1:19" ht="19.5">
      <c r="A83" s="338"/>
      <c r="B83" s="370" t="s">
        <v>281</v>
      </c>
      <c r="C83" s="414" t="s">
        <v>27</v>
      </c>
      <c r="D83" s="333" t="s">
        <v>283</v>
      </c>
      <c r="E83" s="343"/>
      <c r="F83" s="341"/>
      <c r="G83" s="330" t="s">
        <v>45</v>
      </c>
      <c r="H83" s="427">
        <v>3</v>
      </c>
      <c r="I83" s="321">
        <v>485000</v>
      </c>
      <c r="J83" s="321">
        <v>1455000</v>
      </c>
      <c r="K83" s="339">
        <v>1</v>
      </c>
      <c r="L83" s="324">
        <v>0</v>
      </c>
      <c r="M83" s="321"/>
      <c r="N83" s="321"/>
      <c r="O83" s="321"/>
      <c r="P83" s="321"/>
      <c r="Q83" s="321"/>
      <c r="R83" s="321"/>
      <c r="S83" s="340"/>
    </row>
    <row r="84" spans="1:19" ht="19.5">
      <c r="A84" s="338"/>
      <c r="B84" s="370" t="s">
        <v>281</v>
      </c>
      <c r="C84" s="414" t="s">
        <v>27</v>
      </c>
      <c r="D84" s="333" t="s">
        <v>283</v>
      </c>
      <c r="E84" s="343"/>
      <c r="F84" s="341"/>
      <c r="G84" s="330" t="s">
        <v>74</v>
      </c>
      <c r="H84" s="427">
        <v>3</v>
      </c>
      <c r="I84" s="321">
        <v>550000</v>
      </c>
      <c r="J84" s="321">
        <v>1650000</v>
      </c>
      <c r="K84" s="339">
        <v>1</v>
      </c>
      <c r="L84" s="324">
        <v>0</v>
      </c>
      <c r="M84" s="321"/>
      <c r="N84" s="321"/>
      <c r="O84" s="321"/>
      <c r="P84" s="321"/>
      <c r="Q84" s="321"/>
      <c r="R84" s="321"/>
      <c r="S84" s="340"/>
    </row>
    <row r="85" spans="1:19" ht="19.5">
      <c r="A85" s="344"/>
      <c r="B85" s="370" t="s">
        <v>281</v>
      </c>
      <c r="C85" s="414" t="s">
        <v>27</v>
      </c>
      <c r="D85" s="333" t="s">
        <v>283</v>
      </c>
      <c r="E85" s="346"/>
      <c r="F85" s="353"/>
      <c r="G85" s="347" t="s">
        <v>36</v>
      </c>
      <c r="H85" s="401">
        <v>3</v>
      </c>
      <c r="I85" s="325">
        <v>450000</v>
      </c>
      <c r="J85" s="349">
        <v>1350000</v>
      </c>
      <c r="K85" s="348">
        <v>1</v>
      </c>
      <c r="L85" s="325">
        <v>0</v>
      </c>
      <c r="M85" s="325"/>
      <c r="N85" s="325"/>
      <c r="O85" s="325"/>
      <c r="P85" s="325"/>
      <c r="Q85" s="325"/>
      <c r="R85" s="325"/>
      <c r="S85" s="350"/>
    </row>
    <row r="86" spans="1:19" ht="19.5">
      <c r="A86" s="355">
        <v>32</v>
      </c>
      <c r="B86" s="372" t="s">
        <v>285</v>
      </c>
      <c r="C86" s="397" t="s">
        <v>27</v>
      </c>
      <c r="D86" s="357" t="s">
        <v>286</v>
      </c>
      <c r="E86" s="357" t="s">
        <v>287</v>
      </c>
      <c r="F86" s="358"/>
      <c r="G86" s="359" t="s">
        <v>34</v>
      </c>
      <c r="H86" s="398">
        <v>60</v>
      </c>
      <c r="I86" s="326">
        <v>455000</v>
      </c>
      <c r="J86" s="326">
        <v>27300000</v>
      </c>
      <c r="K86" s="360">
        <v>0.62</v>
      </c>
      <c r="L86" s="326">
        <v>10374000</v>
      </c>
      <c r="M86" s="326"/>
      <c r="N86" s="326"/>
      <c r="O86" s="326"/>
      <c r="P86" s="326"/>
      <c r="Q86" s="326">
        <v>131</v>
      </c>
      <c r="R86" s="326">
        <v>10374000</v>
      </c>
      <c r="S86" s="361"/>
    </row>
    <row r="87" spans="1:19">
      <c r="A87" s="355">
        <v>33</v>
      </c>
      <c r="B87" s="372" t="s">
        <v>288</v>
      </c>
      <c r="C87" s="397" t="s">
        <v>278</v>
      </c>
      <c r="D87" s="357" t="s">
        <v>86</v>
      </c>
      <c r="E87" s="357"/>
      <c r="F87" s="358"/>
      <c r="G87" s="359" t="s">
        <v>34</v>
      </c>
      <c r="H87" s="398">
        <v>1</v>
      </c>
      <c r="I87" s="326">
        <v>455000</v>
      </c>
      <c r="J87" s="326">
        <v>455000</v>
      </c>
      <c r="K87" s="360">
        <v>0.41</v>
      </c>
      <c r="L87" s="326">
        <v>268450.00000000006</v>
      </c>
      <c r="M87" s="326">
        <v>111</v>
      </c>
      <c r="N87" s="326">
        <v>268450.00000000006</v>
      </c>
      <c r="O87" s="326"/>
      <c r="P87" s="326"/>
      <c r="Q87" s="326"/>
      <c r="R87" s="326"/>
      <c r="S87" s="361" t="s">
        <v>127</v>
      </c>
    </row>
    <row r="88" spans="1:19">
      <c r="A88" s="355">
        <v>34</v>
      </c>
      <c r="B88" s="372" t="s">
        <v>289</v>
      </c>
      <c r="C88" s="397" t="s">
        <v>27</v>
      </c>
      <c r="D88" s="357" t="s">
        <v>290</v>
      </c>
      <c r="E88" s="357" t="s">
        <v>145</v>
      </c>
      <c r="F88" s="358"/>
      <c r="G88" s="359" t="s">
        <v>253</v>
      </c>
      <c r="H88" s="398">
        <v>24</v>
      </c>
      <c r="I88" s="326">
        <v>255000</v>
      </c>
      <c r="J88" s="326">
        <v>6120000</v>
      </c>
      <c r="K88" s="360">
        <v>0.5</v>
      </c>
      <c r="L88" s="326">
        <v>3060000</v>
      </c>
      <c r="M88" s="326"/>
      <c r="N88" s="326"/>
      <c r="O88" s="326"/>
      <c r="P88" s="326"/>
      <c r="Q88" s="326">
        <v>131</v>
      </c>
      <c r="R88" s="326">
        <v>3060000</v>
      </c>
      <c r="S88" s="361"/>
    </row>
    <row r="89" spans="1:19" ht="19.5">
      <c r="A89" s="331">
        <v>35</v>
      </c>
      <c r="B89" s="370" t="s">
        <v>289</v>
      </c>
      <c r="C89" s="333" t="s">
        <v>87</v>
      </c>
      <c r="D89" s="333" t="s">
        <v>276</v>
      </c>
      <c r="E89" s="333" t="s">
        <v>291</v>
      </c>
      <c r="F89" s="351"/>
      <c r="G89" s="334" t="s">
        <v>60</v>
      </c>
      <c r="H89" s="431">
        <v>12</v>
      </c>
      <c r="I89" s="324">
        <v>455000</v>
      </c>
      <c r="J89" s="336">
        <v>5460000</v>
      </c>
      <c r="K89" s="335">
        <v>0.5</v>
      </c>
      <c r="L89" s="324">
        <v>2730000</v>
      </c>
      <c r="M89" s="324"/>
      <c r="N89" s="324"/>
      <c r="O89" s="324"/>
      <c r="P89" s="324"/>
      <c r="Q89" s="324">
        <v>131</v>
      </c>
      <c r="R89" s="324">
        <v>37500000</v>
      </c>
      <c r="S89" s="337"/>
    </row>
    <row r="90" spans="1:19" ht="19.5">
      <c r="A90" s="338"/>
      <c r="B90" s="370" t="s">
        <v>289</v>
      </c>
      <c r="C90" s="333" t="s">
        <v>87</v>
      </c>
      <c r="D90" s="333" t="s">
        <v>276</v>
      </c>
      <c r="E90" s="333"/>
      <c r="F90" s="341"/>
      <c r="G90" s="330" t="s">
        <v>30</v>
      </c>
      <c r="H90" s="427">
        <v>24</v>
      </c>
      <c r="I90" s="321">
        <v>465000</v>
      </c>
      <c r="J90" s="321">
        <v>11160000</v>
      </c>
      <c r="K90" s="339">
        <v>0.5</v>
      </c>
      <c r="L90" s="324">
        <v>5580000</v>
      </c>
      <c r="M90" s="321"/>
      <c r="N90" s="321"/>
      <c r="O90" s="321"/>
      <c r="P90" s="321"/>
      <c r="Q90" s="321"/>
      <c r="R90" s="321"/>
      <c r="S90" s="340"/>
    </row>
    <row r="91" spans="1:19" ht="19.5">
      <c r="A91" s="338"/>
      <c r="B91" s="370" t="s">
        <v>289</v>
      </c>
      <c r="C91" s="333" t="s">
        <v>87</v>
      </c>
      <c r="D91" s="333" t="s">
        <v>276</v>
      </c>
      <c r="E91" s="333"/>
      <c r="F91" s="341"/>
      <c r="G91" s="330" t="s">
        <v>50</v>
      </c>
      <c r="H91" s="427">
        <v>24</v>
      </c>
      <c r="I91" s="321">
        <v>475000</v>
      </c>
      <c r="J91" s="321">
        <v>11400000</v>
      </c>
      <c r="K91" s="339">
        <v>0.5</v>
      </c>
      <c r="L91" s="324">
        <v>5700000</v>
      </c>
      <c r="M91" s="321"/>
      <c r="N91" s="321"/>
      <c r="O91" s="321"/>
      <c r="P91" s="321"/>
      <c r="Q91" s="321"/>
      <c r="R91" s="321"/>
      <c r="S91" s="340"/>
    </row>
    <row r="92" spans="1:19" ht="19.5">
      <c r="A92" s="338"/>
      <c r="B92" s="370" t="s">
        <v>289</v>
      </c>
      <c r="C92" s="333" t="s">
        <v>87</v>
      </c>
      <c r="D92" s="333" t="s">
        <v>276</v>
      </c>
      <c r="E92" s="333"/>
      <c r="F92" s="341"/>
      <c r="G92" s="330" t="s">
        <v>73</v>
      </c>
      <c r="H92" s="427">
        <v>12</v>
      </c>
      <c r="I92" s="321">
        <v>485000</v>
      </c>
      <c r="J92" s="321">
        <v>5820000</v>
      </c>
      <c r="K92" s="339">
        <v>0.5</v>
      </c>
      <c r="L92" s="324">
        <v>2910000</v>
      </c>
      <c r="M92" s="321"/>
      <c r="N92" s="321"/>
      <c r="O92" s="321"/>
      <c r="P92" s="321"/>
      <c r="Q92" s="321"/>
      <c r="R92" s="321"/>
      <c r="S92" s="340"/>
    </row>
    <row r="93" spans="1:19" ht="19.5">
      <c r="A93" s="338"/>
      <c r="B93" s="370" t="s">
        <v>289</v>
      </c>
      <c r="C93" s="333" t="s">
        <v>87</v>
      </c>
      <c r="D93" s="333" t="s">
        <v>276</v>
      </c>
      <c r="E93" s="333"/>
      <c r="F93" s="341"/>
      <c r="G93" s="330" t="s">
        <v>74</v>
      </c>
      <c r="H93" s="427">
        <v>24</v>
      </c>
      <c r="I93" s="321">
        <v>550000</v>
      </c>
      <c r="J93" s="321">
        <v>13200000</v>
      </c>
      <c r="K93" s="339">
        <v>0.5</v>
      </c>
      <c r="L93" s="324">
        <v>6600000</v>
      </c>
      <c r="M93" s="321"/>
      <c r="N93" s="321"/>
      <c r="O93" s="321"/>
      <c r="P93" s="321"/>
      <c r="Q93" s="321"/>
      <c r="R93" s="321"/>
      <c r="S93" s="340"/>
    </row>
    <row r="94" spans="1:19" ht="19.5">
      <c r="A94" s="338"/>
      <c r="B94" s="370" t="s">
        <v>289</v>
      </c>
      <c r="C94" s="333" t="s">
        <v>87</v>
      </c>
      <c r="D94" s="333" t="s">
        <v>276</v>
      </c>
      <c r="E94" s="333"/>
      <c r="F94" s="341"/>
      <c r="G94" s="330" t="s">
        <v>36</v>
      </c>
      <c r="H94" s="427">
        <v>50</v>
      </c>
      <c r="I94" s="321">
        <v>450000</v>
      </c>
      <c r="J94" s="321">
        <v>22500000</v>
      </c>
      <c r="K94" s="339">
        <v>0.5</v>
      </c>
      <c r="L94" s="324">
        <v>11250000</v>
      </c>
      <c r="M94" s="321"/>
      <c r="N94" s="321"/>
      <c r="O94" s="321"/>
      <c r="P94" s="321"/>
      <c r="Q94" s="321"/>
      <c r="R94" s="321"/>
      <c r="S94" s="340"/>
    </row>
    <row r="95" spans="1:19" ht="19.5">
      <c r="A95" s="344"/>
      <c r="B95" s="371" t="s">
        <v>289</v>
      </c>
      <c r="C95" s="346" t="s">
        <v>87</v>
      </c>
      <c r="D95" s="346" t="s">
        <v>276</v>
      </c>
      <c r="E95" s="346"/>
      <c r="F95" s="353"/>
      <c r="G95" s="347" t="s">
        <v>46</v>
      </c>
      <c r="H95" s="401">
        <v>12</v>
      </c>
      <c r="I95" s="325">
        <v>455000</v>
      </c>
      <c r="J95" s="349">
        <v>5460000</v>
      </c>
      <c r="K95" s="348">
        <v>0.5</v>
      </c>
      <c r="L95" s="325">
        <v>2730000</v>
      </c>
      <c r="M95" s="325"/>
      <c r="N95" s="325"/>
      <c r="O95" s="325"/>
      <c r="P95" s="325"/>
      <c r="Q95" s="325"/>
      <c r="R95" s="325"/>
      <c r="S95" s="350"/>
    </row>
    <row r="96" spans="1:19" ht="19.5">
      <c r="A96" s="331">
        <v>36</v>
      </c>
      <c r="B96" s="370" t="s">
        <v>288</v>
      </c>
      <c r="C96" s="414" t="s">
        <v>96</v>
      </c>
      <c r="D96" s="333" t="s">
        <v>292</v>
      </c>
      <c r="E96" s="333"/>
      <c r="F96" s="351"/>
      <c r="G96" s="334" t="s">
        <v>42</v>
      </c>
      <c r="H96" s="431">
        <v>5</v>
      </c>
      <c r="I96" s="324">
        <v>265000</v>
      </c>
      <c r="J96" s="336">
        <v>1325000</v>
      </c>
      <c r="K96" s="335">
        <v>0.41</v>
      </c>
      <c r="L96" s="324">
        <v>781750.00000000012</v>
      </c>
      <c r="M96" s="324">
        <v>111</v>
      </c>
      <c r="N96" s="324">
        <v>8584500</v>
      </c>
      <c r="O96" s="324"/>
      <c r="P96" s="324"/>
      <c r="Q96" s="324"/>
      <c r="R96" s="324"/>
      <c r="S96" s="337"/>
    </row>
    <row r="97" spans="1:19" ht="19.5">
      <c r="A97" s="338"/>
      <c r="B97" s="370" t="s">
        <v>288</v>
      </c>
      <c r="C97" s="414" t="s">
        <v>96</v>
      </c>
      <c r="D97" s="333" t="s">
        <v>292</v>
      </c>
      <c r="E97" s="343"/>
      <c r="F97" s="341"/>
      <c r="G97" s="330" t="s">
        <v>30</v>
      </c>
      <c r="H97" s="427">
        <v>7</v>
      </c>
      <c r="I97" s="321">
        <v>465000</v>
      </c>
      <c r="J97" s="321">
        <v>3255000</v>
      </c>
      <c r="K97" s="339">
        <v>0.41</v>
      </c>
      <c r="L97" s="324">
        <v>1920450.0000000002</v>
      </c>
      <c r="M97" s="321"/>
      <c r="N97" s="321"/>
      <c r="O97" s="321"/>
      <c r="P97" s="321"/>
      <c r="Q97" s="321"/>
      <c r="R97" s="321"/>
      <c r="S97" s="340"/>
    </row>
    <row r="98" spans="1:19" ht="19.5">
      <c r="A98" s="338"/>
      <c r="B98" s="370" t="s">
        <v>288</v>
      </c>
      <c r="C98" s="414" t="s">
        <v>96</v>
      </c>
      <c r="D98" s="333" t="s">
        <v>292</v>
      </c>
      <c r="E98" s="343"/>
      <c r="F98" s="341"/>
      <c r="G98" s="330" t="s">
        <v>33</v>
      </c>
      <c r="H98" s="427">
        <v>4</v>
      </c>
      <c r="I98" s="321">
        <v>285000</v>
      </c>
      <c r="J98" s="321">
        <v>1140000</v>
      </c>
      <c r="K98" s="339">
        <v>0.41</v>
      </c>
      <c r="L98" s="324">
        <v>672600.00000000012</v>
      </c>
      <c r="M98" s="321"/>
      <c r="N98" s="321"/>
      <c r="O98" s="321"/>
      <c r="P98" s="321"/>
      <c r="Q98" s="321"/>
      <c r="R98" s="321"/>
      <c r="S98" s="340"/>
    </row>
    <row r="99" spans="1:19" ht="19.5">
      <c r="A99" s="338"/>
      <c r="B99" s="370" t="s">
        <v>288</v>
      </c>
      <c r="C99" s="414" t="s">
        <v>96</v>
      </c>
      <c r="D99" s="333" t="s">
        <v>292</v>
      </c>
      <c r="E99" s="343"/>
      <c r="F99" s="341"/>
      <c r="G99" s="330" t="s">
        <v>45</v>
      </c>
      <c r="H99" s="427">
        <v>7</v>
      </c>
      <c r="I99" s="321">
        <v>485000</v>
      </c>
      <c r="J99" s="321">
        <v>3395000</v>
      </c>
      <c r="K99" s="339">
        <v>0.41</v>
      </c>
      <c r="L99" s="324">
        <v>2003050.0000000002</v>
      </c>
      <c r="M99" s="321"/>
      <c r="N99" s="321"/>
      <c r="O99" s="321"/>
      <c r="P99" s="321"/>
      <c r="Q99" s="321"/>
      <c r="R99" s="321"/>
      <c r="S99" s="340"/>
    </row>
    <row r="100" spans="1:19" ht="19.5">
      <c r="A100" s="338"/>
      <c r="B100" s="370" t="s">
        <v>288</v>
      </c>
      <c r="C100" s="414" t="s">
        <v>96</v>
      </c>
      <c r="D100" s="333" t="s">
        <v>292</v>
      </c>
      <c r="E100" s="343"/>
      <c r="F100" s="341"/>
      <c r="G100" s="330" t="s">
        <v>36</v>
      </c>
      <c r="H100" s="427">
        <v>5</v>
      </c>
      <c r="I100" s="321">
        <v>450000</v>
      </c>
      <c r="J100" s="321">
        <v>2250000</v>
      </c>
      <c r="K100" s="339">
        <v>0.41</v>
      </c>
      <c r="L100" s="324">
        <v>1327500.0000000002</v>
      </c>
      <c r="M100" s="321"/>
      <c r="N100" s="321"/>
      <c r="O100" s="321"/>
      <c r="P100" s="321"/>
      <c r="Q100" s="321"/>
      <c r="R100" s="321"/>
      <c r="S100" s="340"/>
    </row>
    <row r="101" spans="1:19" ht="19.5">
      <c r="A101" s="344"/>
      <c r="B101" s="371" t="s">
        <v>288</v>
      </c>
      <c r="C101" s="430" t="s">
        <v>96</v>
      </c>
      <c r="D101" s="346" t="s">
        <v>292</v>
      </c>
      <c r="E101" s="346"/>
      <c r="F101" s="353"/>
      <c r="G101" s="347" t="s">
        <v>46</v>
      </c>
      <c r="H101" s="401">
        <v>7</v>
      </c>
      <c r="I101" s="325">
        <v>455000</v>
      </c>
      <c r="J101" s="349">
        <v>3185000</v>
      </c>
      <c r="K101" s="348">
        <v>0.41</v>
      </c>
      <c r="L101" s="325">
        <v>1879150.0000000002</v>
      </c>
      <c r="M101" s="325"/>
      <c r="N101" s="325"/>
      <c r="O101" s="325"/>
      <c r="P101" s="325"/>
      <c r="Q101" s="325"/>
      <c r="R101" s="325"/>
      <c r="S101" s="350"/>
    </row>
    <row r="102" spans="1:19" ht="19.5">
      <c r="A102" s="331">
        <v>37</v>
      </c>
      <c r="B102" s="370" t="s">
        <v>293</v>
      </c>
      <c r="C102" s="333" t="s">
        <v>87</v>
      </c>
      <c r="D102" s="333" t="s">
        <v>276</v>
      </c>
      <c r="E102" s="333" t="s">
        <v>291</v>
      </c>
      <c r="F102" s="351"/>
      <c r="G102" s="334" t="s">
        <v>30</v>
      </c>
      <c r="H102" s="431">
        <v>36</v>
      </c>
      <c r="I102" s="324">
        <v>465000</v>
      </c>
      <c r="J102" s="336">
        <v>16740000</v>
      </c>
      <c r="K102" s="335">
        <v>0.5</v>
      </c>
      <c r="L102" s="324">
        <v>8370000</v>
      </c>
      <c r="M102" s="324"/>
      <c r="N102" s="324"/>
      <c r="O102" s="324"/>
      <c r="P102" s="324"/>
      <c r="Q102" s="324">
        <v>131</v>
      </c>
      <c r="R102" s="324">
        <v>28320000</v>
      </c>
      <c r="S102" s="337"/>
    </row>
    <row r="103" spans="1:19" ht="19.5">
      <c r="A103" s="338"/>
      <c r="B103" s="370" t="s">
        <v>293</v>
      </c>
      <c r="C103" s="333" t="s">
        <v>87</v>
      </c>
      <c r="D103" s="333" t="s">
        <v>276</v>
      </c>
      <c r="E103" s="333"/>
      <c r="F103" s="341"/>
      <c r="G103" s="330" t="s">
        <v>50</v>
      </c>
      <c r="H103" s="427">
        <v>48</v>
      </c>
      <c r="I103" s="321">
        <v>475000</v>
      </c>
      <c r="J103" s="321">
        <v>22800000</v>
      </c>
      <c r="K103" s="339">
        <v>0.5</v>
      </c>
      <c r="L103" s="324">
        <v>11400000</v>
      </c>
      <c r="M103" s="321"/>
      <c r="N103" s="321"/>
      <c r="O103" s="321"/>
      <c r="P103" s="321"/>
      <c r="Q103" s="321"/>
      <c r="R103" s="321"/>
      <c r="S103" s="340"/>
    </row>
    <row r="104" spans="1:19" ht="19.5">
      <c r="A104" s="338"/>
      <c r="B104" s="370" t="s">
        <v>293</v>
      </c>
      <c r="C104" s="333" t="s">
        <v>87</v>
      </c>
      <c r="D104" s="333" t="s">
        <v>276</v>
      </c>
      <c r="E104" s="333"/>
      <c r="F104" s="341"/>
      <c r="G104" s="330" t="s">
        <v>45</v>
      </c>
      <c r="H104" s="427">
        <v>24</v>
      </c>
      <c r="I104" s="321">
        <v>485000</v>
      </c>
      <c r="J104" s="321">
        <v>11640000</v>
      </c>
      <c r="K104" s="339">
        <v>0.5</v>
      </c>
      <c r="L104" s="324">
        <v>5820000</v>
      </c>
      <c r="M104" s="321"/>
      <c r="N104" s="321"/>
      <c r="O104" s="321"/>
      <c r="P104" s="321"/>
      <c r="Q104" s="321"/>
      <c r="R104" s="321"/>
      <c r="S104" s="340"/>
    </row>
    <row r="105" spans="1:19" ht="19.5">
      <c r="A105" s="344"/>
      <c r="B105" s="370" t="s">
        <v>293</v>
      </c>
      <c r="C105" s="333" t="s">
        <v>87</v>
      </c>
      <c r="D105" s="333" t="s">
        <v>276</v>
      </c>
      <c r="E105" s="346"/>
      <c r="F105" s="353"/>
      <c r="G105" s="347" t="s">
        <v>34</v>
      </c>
      <c r="H105" s="401">
        <v>12</v>
      </c>
      <c r="I105" s="325">
        <v>455000</v>
      </c>
      <c r="J105" s="349">
        <v>5460000</v>
      </c>
      <c r="K105" s="348">
        <v>0.5</v>
      </c>
      <c r="L105" s="325">
        <v>2730000</v>
      </c>
      <c r="M105" s="325"/>
      <c r="N105" s="325"/>
      <c r="O105" s="325"/>
      <c r="P105" s="325"/>
      <c r="Q105" s="325"/>
      <c r="R105" s="325"/>
      <c r="S105" s="350"/>
    </row>
    <row r="106" spans="1:19" ht="19.5">
      <c r="A106" s="377">
        <v>38</v>
      </c>
      <c r="B106" s="402" t="s">
        <v>243</v>
      </c>
      <c r="C106" s="432" t="s">
        <v>27</v>
      </c>
      <c r="D106" s="369" t="s">
        <v>294</v>
      </c>
      <c r="E106" s="363" t="s">
        <v>200</v>
      </c>
      <c r="F106" s="426" t="s">
        <v>295</v>
      </c>
      <c r="G106" s="365" t="s">
        <v>60</v>
      </c>
      <c r="H106" s="429">
        <v>24</v>
      </c>
      <c r="I106" s="327">
        <v>455000</v>
      </c>
      <c r="J106" s="327">
        <v>10920000</v>
      </c>
      <c r="K106" s="366">
        <v>0.5</v>
      </c>
      <c r="L106" s="327">
        <v>5460000</v>
      </c>
      <c r="M106" s="327"/>
      <c r="N106" s="327"/>
      <c r="O106" s="327"/>
      <c r="P106" s="327"/>
      <c r="Q106" s="327">
        <v>131</v>
      </c>
      <c r="R106" s="327">
        <v>8370000</v>
      </c>
      <c r="S106" s="367"/>
    </row>
    <row r="107" spans="1:19" ht="64.5">
      <c r="A107" s="377"/>
      <c r="B107" s="371" t="s">
        <v>243</v>
      </c>
      <c r="C107" s="430" t="s">
        <v>27</v>
      </c>
      <c r="D107" s="346" t="s">
        <v>294</v>
      </c>
      <c r="E107" s="378"/>
      <c r="F107" s="420"/>
      <c r="G107" s="379" t="s">
        <v>73</v>
      </c>
      <c r="H107" s="399">
        <v>12</v>
      </c>
      <c r="I107" s="328">
        <v>485000</v>
      </c>
      <c r="J107" s="349">
        <v>5820000</v>
      </c>
      <c r="K107" s="376">
        <v>0.5</v>
      </c>
      <c r="L107" s="328">
        <v>2910000</v>
      </c>
      <c r="M107" s="328"/>
      <c r="N107" s="328"/>
      <c r="O107" s="328"/>
      <c r="P107" s="328"/>
      <c r="Q107" s="328"/>
      <c r="R107" s="328"/>
      <c r="S107" s="419" t="s">
        <v>296</v>
      </c>
    </row>
    <row r="108" spans="1:19">
      <c r="A108" s="355">
        <v>39</v>
      </c>
      <c r="B108" s="372" t="s">
        <v>235</v>
      </c>
      <c r="C108" s="397"/>
      <c r="D108" s="357" t="s">
        <v>297</v>
      </c>
      <c r="E108" s="357" t="s">
        <v>217</v>
      </c>
      <c r="F108" s="421"/>
      <c r="G108" s="359" t="s">
        <v>42</v>
      </c>
      <c r="H108" s="398">
        <v>1</v>
      </c>
      <c r="I108" s="326">
        <v>265000</v>
      </c>
      <c r="J108" s="326">
        <v>265000</v>
      </c>
      <c r="K108" s="360">
        <v>1</v>
      </c>
      <c r="L108" s="326">
        <v>0</v>
      </c>
      <c r="M108" s="326"/>
      <c r="N108" s="326"/>
      <c r="O108" s="326"/>
      <c r="P108" s="326"/>
      <c r="Q108" s="326"/>
      <c r="R108" s="326"/>
      <c r="S108" s="361"/>
    </row>
    <row r="109" spans="1:19">
      <c r="A109" s="355">
        <v>40</v>
      </c>
      <c r="B109" s="372" t="s">
        <v>244</v>
      </c>
      <c r="C109" s="397" t="s">
        <v>27</v>
      </c>
      <c r="D109" s="357" t="s">
        <v>298</v>
      </c>
      <c r="E109" s="357"/>
      <c r="F109" s="421"/>
      <c r="G109" s="359" t="s">
        <v>74</v>
      </c>
      <c r="H109" s="398">
        <v>2</v>
      </c>
      <c r="I109" s="326">
        <v>550000</v>
      </c>
      <c r="J109" s="326">
        <v>1100000</v>
      </c>
      <c r="K109" s="360">
        <v>0.41</v>
      </c>
      <c r="L109" s="326">
        <v>649000.00000000012</v>
      </c>
      <c r="M109" s="326"/>
      <c r="N109" s="326"/>
      <c r="O109" s="326">
        <v>112</v>
      </c>
      <c r="P109" s="326">
        <v>649000.00000000012</v>
      </c>
      <c r="Q109" s="326"/>
      <c r="R109" s="326"/>
      <c r="S109" s="361"/>
    </row>
    <row r="110" spans="1:19">
      <c r="A110" s="386">
        <v>41</v>
      </c>
      <c r="B110" s="402" t="s">
        <v>299</v>
      </c>
      <c r="C110" s="369" t="s">
        <v>300</v>
      </c>
      <c r="D110" s="369" t="s">
        <v>301</v>
      </c>
      <c r="E110" s="369"/>
      <c r="F110" s="424"/>
      <c r="G110" s="387" t="s">
        <v>45</v>
      </c>
      <c r="H110" s="403">
        <v>1</v>
      </c>
      <c r="I110" s="336">
        <v>485000</v>
      </c>
      <c r="J110" s="336">
        <v>485000</v>
      </c>
      <c r="K110" s="388">
        <v>1</v>
      </c>
      <c r="L110" s="336">
        <v>0</v>
      </c>
      <c r="M110" s="336"/>
      <c r="N110" s="336"/>
      <c r="O110" s="336"/>
      <c r="P110" s="336"/>
      <c r="Q110" s="336"/>
      <c r="R110" s="336"/>
      <c r="S110" s="389"/>
    </row>
    <row r="111" spans="1:19">
      <c r="A111" s="338"/>
      <c r="B111" s="400" t="s">
        <v>299</v>
      </c>
      <c r="C111" s="343" t="s">
        <v>300</v>
      </c>
      <c r="D111" s="343" t="s">
        <v>302</v>
      </c>
      <c r="E111" s="343"/>
      <c r="F111" s="425"/>
      <c r="G111" s="330" t="s">
        <v>72</v>
      </c>
      <c r="H111" s="427">
        <v>2</v>
      </c>
      <c r="I111" s="321">
        <v>285000</v>
      </c>
      <c r="J111" s="321">
        <v>570000</v>
      </c>
      <c r="K111" s="339">
        <v>1</v>
      </c>
      <c r="L111" s="321">
        <v>0</v>
      </c>
      <c r="M111" s="321"/>
      <c r="N111" s="321"/>
      <c r="O111" s="321"/>
      <c r="P111" s="321"/>
      <c r="Q111" s="321"/>
      <c r="R111" s="321"/>
      <c r="S111" s="340"/>
    </row>
    <row r="112" spans="1:19">
      <c r="A112" s="338"/>
      <c r="B112" s="319" t="s">
        <v>299</v>
      </c>
      <c r="C112" s="343" t="s">
        <v>300</v>
      </c>
      <c r="D112" s="343" t="s">
        <v>278</v>
      </c>
      <c r="E112" s="343"/>
      <c r="F112" s="425"/>
      <c r="G112" s="330" t="s">
        <v>32</v>
      </c>
      <c r="H112" s="427">
        <v>2</v>
      </c>
      <c r="I112" s="321">
        <v>275000</v>
      </c>
      <c r="J112" s="321">
        <v>550000</v>
      </c>
      <c r="K112" s="339">
        <v>1</v>
      </c>
      <c r="L112" s="321">
        <v>0</v>
      </c>
      <c r="M112" s="321"/>
      <c r="N112" s="321"/>
      <c r="O112" s="321"/>
      <c r="P112" s="321"/>
      <c r="Q112" s="321"/>
      <c r="R112" s="321"/>
      <c r="S112" s="340"/>
    </row>
    <row r="113" spans="1:20">
      <c r="A113" s="338"/>
      <c r="B113" s="319" t="s">
        <v>299</v>
      </c>
      <c r="C113" s="343" t="s">
        <v>300</v>
      </c>
      <c r="D113" s="343" t="s">
        <v>303</v>
      </c>
      <c r="E113" s="343"/>
      <c r="F113" s="425"/>
      <c r="G113" s="330" t="s">
        <v>33</v>
      </c>
      <c r="H113" s="427">
        <v>1</v>
      </c>
      <c r="I113" s="321">
        <v>285000</v>
      </c>
      <c r="J113" s="321">
        <v>285000</v>
      </c>
      <c r="K113" s="339">
        <v>1</v>
      </c>
      <c r="L113" s="321">
        <v>0</v>
      </c>
      <c r="M113" s="321"/>
      <c r="N113" s="321"/>
      <c r="O113" s="321"/>
      <c r="P113" s="321"/>
      <c r="Q113" s="321"/>
      <c r="R113" s="321"/>
      <c r="S113" s="340"/>
      <c r="T113" s="317"/>
    </row>
    <row r="114" spans="1:20">
      <c r="A114" s="338"/>
      <c r="B114" s="370" t="s">
        <v>299</v>
      </c>
      <c r="C114" s="343" t="s">
        <v>300</v>
      </c>
      <c r="D114" s="343" t="s">
        <v>303</v>
      </c>
      <c r="E114" s="343"/>
      <c r="F114" s="425"/>
      <c r="G114" s="330" t="s">
        <v>32</v>
      </c>
      <c r="H114" s="427">
        <v>1</v>
      </c>
      <c r="I114" s="321">
        <v>275000</v>
      </c>
      <c r="J114" s="321">
        <v>275000</v>
      </c>
      <c r="K114" s="339">
        <v>1</v>
      </c>
      <c r="L114" s="321">
        <v>0</v>
      </c>
      <c r="M114" s="321"/>
      <c r="N114" s="321"/>
      <c r="O114" s="321"/>
      <c r="P114" s="321"/>
      <c r="Q114" s="321"/>
      <c r="R114" s="321"/>
      <c r="S114" s="340"/>
      <c r="T114" s="317"/>
    </row>
    <row r="115" spans="1:20">
      <c r="A115" s="377"/>
      <c r="B115" s="373" t="s">
        <v>299</v>
      </c>
      <c r="C115" s="378" t="s">
        <v>300</v>
      </c>
      <c r="D115" s="378" t="s">
        <v>304</v>
      </c>
      <c r="E115" s="378"/>
      <c r="F115" s="420"/>
      <c r="G115" s="379" t="s">
        <v>32</v>
      </c>
      <c r="H115" s="399">
        <v>2</v>
      </c>
      <c r="I115" s="349">
        <v>275000</v>
      </c>
      <c r="J115" s="349">
        <v>550000</v>
      </c>
      <c r="K115" s="385">
        <v>1</v>
      </c>
      <c r="L115" s="349">
        <v>0</v>
      </c>
      <c r="M115" s="328"/>
      <c r="N115" s="328"/>
      <c r="O115" s="328"/>
      <c r="P115" s="328"/>
      <c r="Q115" s="328"/>
      <c r="R115" s="328"/>
      <c r="S115" s="380"/>
      <c r="T115" s="317"/>
    </row>
    <row r="116" spans="1:20">
      <c r="A116" s="1645" t="s">
        <v>105</v>
      </c>
      <c r="B116" s="1646"/>
      <c r="C116" s="1646"/>
      <c r="D116" s="1646"/>
      <c r="E116" s="1646"/>
      <c r="F116" s="1646"/>
      <c r="G116" s="1646"/>
      <c r="H116" s="440">
        <v>1234</v>
      </c>
      <c r="I116" s="441"/>
      <c r="J116" s="440">
        <v>546725000</v>
      </c>
      <c r="K116" s="441"/>
      <c r="L116" s="440">
        <v>276143450</v>
      </c>
      <c r="M116" s="440"/>
      <c r="N116" s="440">
        <v>13070600</v>
      </c>
      <c r="O116" s="440"/>
      <c r="P116" s="440">
        <v>24742200</v>
      </c>
      <c r="Q116" s="440"/>
      <c r="R116" s="440">
        <v>238316100</v>
      </c>
      <c r="S116" s="447"/>
      <c r="T116" s="442"/>
    </row>
    <row r="117" spans="1:20">
      <c r="A117" s="1653" t="s">
        <v>305</v>
      </c>
      <c r="B117" s="1654"/>
      <c r="C117" s="1654"/>
      <c r="D117" s="1654"/>
      <c r="E117" s="1654"/>
      <c r="F117" s="1654"/>
      <c r="G117" s="1654"/>
      <c r="H117" s="449">
        <v>1234</v>
      </c>
      <c r="I117" s="448"/>
      <c r="J117" s="448"/>
      <c r="K117" s="448"/>
      <c r="L117" s="449">
        <v>276143450</v>
      </c>
      <c r="M117" s="449"/>
      <c r="N117" s="449"/>
      <c r="O117" s="449"/>
      <c r="P117" s="449"/>
      <c r="Q117" s="449"/>
      <c r="R117" s="449"/>
      <c r="S117" s="450"/>
      <c r="T117" s="442"/>
    </row>
    <row r="118" spans="1:20">
      <c r="A118" s="1653" t="s">
        <v>306</v>
      </c>
      <c r="B118" s="1654"/>
      <c r="C118" s="1654"/>
      <c r="D118" s="1654"/>
      <c r="E118" s="1654"/>
      <c r="F118" s="1654"/>
      <c r="G118" s="1654"/>
      <c r="H118" s="449"/>
      <c r="I118" s="448"/>
      <c r="J118" s="448"/>
      <c r="K118" s="448"/>
      <c r="L118" s="449">
        <v>13070600</v>
      </c>
      <c r="M118" s="449"/>
      <c r="N118" s="449"/>
      <c r="O118" s="449"/>
      <c r="P118" s="449"/>
      <c r="Q118" s="449"/>
      <c r="R118" s="449"/>
      <c r="S118" s="450"/>
      <c r="T118" s="443"/>
    </row>
    <row r="119" spans="1:20">
      <c r="A119" s="1653" t="s">
        <v>307</v>
      </c>
      <c r="B119" s="1654"/>
      <c r="C119" s="1654"/>
      <c r="D119" s="1654"/>
      <c r="E119" s="1654"/>
      <c r="F119" s="1654"/>
      <c r="G119" s="1654"/>
      <c r="H119" s="449"/>
      <c r="I119" s="448"/>
      <c r="J119" s="448"/>
      <c r="K119" s="448"/>
      <c r="L119" s="449">
        <v>24742200</v>
      </c>
      <c r="M119" s="449"/>
      <c r="N119" s="449"/>
      <c r="O119" s="449"/>
      <c r="P119" s="449"/>
      <c r="Q119" s="449"/>
      <c r="R119" s="449"/>
      <c r="S119" s="450"/>
      <c r="T119" s="443"/>
    </row>
    <row r="120" spans="1:20">
      <c r="A120" s="1653" t="s">
        <v>308</v>
      </c>
      <c r="B120" s="1654"/>
      <c r="C120" s="1654"/>
      <c r="D120" s="1654"/>
      <c r="E120" s="1654"/>
      <c r="F120" s="1654"/>
      <c r="G120" s="1654"/>
      <c r="H120" s="449"/>
      <c r="I120" s="448"/>
      <c r="J120" s="448"/>
      <c r="K120" s="448"/>
      <c r="L120" s="449">
        <v>238316100</v>
      </c>
      <c r="M120" s="449"/>
      <c r="N120" s="449"/>
      <c r="O120" s="449"/>
      <c r="P120" s="449"/>
      <c r="Q120" s="449"/>
      <c r="R120" s="449"/>
      <c r="S120" s="450"/>
      <c r="T120" s="443"/>
    </row>
    <row r="121" spans="1:20">
      <c r="A121" s="1647" t="s">
        <v>309</v>
      </c>
      <c r="B121" s="1648"/>
      <c r="C121" s="1648"/>
      <c r="D121" s="1648"/>
      <c r="E121" s="1648"/>
      <c r="F121" s="1648"/>
      <c r="G121" s="1649"/>
      <c r="H121" s="449"/>
      <c r="I121" s="448"/>
      <c r="J121" s="448"/>
      <c r="K121" s="448"/>
      <c r="L121" s="449">
        <v>319000</v>
      </c>
      <c r="M121" s="449"/>
      <c r="N121" s="449"/>
      <c r="O121" s="449"/>
      <c r="P121" s="449"/>
      <c r="Q121" s="449"/>
      <c r="R121" s="449"/>
      <c r="S121" s="450"/>
      <c r="T121" s="443"/>
    </row>
    <row r="122" spans="1:20">
      <c r="A122" s="1655" t="s">
        <v>310</v>
      </c>
      <c r="B122" s="1656"/>
      <c r="C122" s="1656"/>
      <c r="D122" s="1656"/>
      <c r="E122" s="1656"/>
      <c r="F122" s="1656"/>
      <c r="G122" s="1656"/>
      <c r="H122" s="444"/>
      <c r="I122" s="444"/>
      <c r="J122" s="444"/>
      <c r="K122" s="444"/>
      <c r="L122" s="445">
        <v>59655650</v>
      </c>
      <c r="M122" s="444"/>
      <c r="N122" s="444"/>
      <c r="O122" s="444"/>
      <c r="P122" s="444"/>
      <c r="Q122" s="444"/>
      <c r="R122" s="444"/>
      <c r="S122" s="451"/>
      <c r="T122" s="446"/>
    </row>
    <row r="123" spans="1:20">
      <c r="A123" s="1655" t="s">
        <v>311</v>
      </c>
      <c r="B123" s="1656"/>
      <c r="C123" s="1656"/>
      <c r="D123" s="1656"/>
      <c r="E123" s="1656"/>
      <c r="F123" s="1656"/>
      <c r="G123" s="1656"/>
      <c r="H123" s="444"/>
      <c r="I123" s="444"/>
      <c r="J123" s="444"/>
      <c r="K123" s="444"/>
      <c r="L123" s="445">
        <v>211410500</v>
      </c>
      <c r="M123" s="444"/>
      <c r="N123" s="444"/>
      <c r="O123" s="444"/>
      <c r="P123" s="444"/>
      <c r="Q123" s="444"/>
      <c r="R123" s="444"/>
      <c r="S123" s="451"/>
      <c r="T123" s="446"/>
    </row>
    <row r="124" spans="1:20">
      <c r="A124" s="1655" t="s">
        <v>312</v>
      </c>
      <c r="B124" s="1656"/>
      <c r="C124" s="1656"/>
      <c r="D124" s="1656"/>
      <c r="E124" s="1656"/>
      <c r="F124" s="1656"/>
      <c r="G124" s="1656"/>
      <c r="H124" s="444"/>
      <c r="I124" s="444"/>
      <c r="J124" s="444"/>
      <c r="K124" s="444"/>
      <c r="L124" s="445">
        <v>287000</v>
      </c>
      <c r="M124" s="444"/>
      <c r="N124" s="444"/>
      <c r="O124" s="444"/>
      <c r="P124" s="444"/>
      <c r="Q124" s="444"/>
      <c r="R124" s="444"/>
      <c r="S124" s="451"/>
      <c r="T124" s="446"/>
    </row>
    <row r="125" spans="1:20">
      <c r="A125" s="1655" t="s">
        <v>313</v>
      </c>
      <c r="B125" s="1656"/>
      <c r="C125" s="1656"/>
      <c r="D125" s="1656"/>
      <c r="E125" s="1656"/>
      <c r="F125" s="1656"/>
      <c r="G125" s="1656"/>
      <c r="H125" s="444"/>
      <c r="I125" s="444"/>
      <c r="J125" s="444"/>
      <c r="K125" s="444"/>
      <c r="L125" s="445">
        <v>1008900</v>
      </c>
      <c r="M125" s="444"/>
      <c r="N125" s="444"/>
      <c r="O125" s="444"/>
      <c r="P125" s="444"/>
      <c r="Q125" s="444"/>
      <c r="R125" s="444"/>
      <c r="S125" s="451"/>
      <c r="T125" s="446"/>
    </row>
    <row r="126" spans="1:20">
      <c r="A126" s="1655" t="s">
        <v>314</v>
      </c>
      <c r="B126" s="1656"/>
      <c r="C126" s="1656"/>
      <c r="D126" s="1656"/>
      <c r="E126" s="1656"/>
      <c r="F126" s="1656"/>
      <c r="G126" s="1656"/>
      <c r="H126" s="444"/>
      <c r="I126" s="444"/>
      <c r="J126" s="444"/>
      <c r="K126" s="444"/>
      <c r="L126" s="445">
        <v>10165700</v>
      </c>
      <c r="M126" s="444"/>
      <c r="N126" s="444"/>
      <c r="O126" s="444"/>
      <c r="P126" s="444"/>
      <c r="Q126" s="444"/>
      <c r="R126" s="444"/>
      <c r="S126" s="451"/>
      <c r="T126" s="446"/>
    </row>
    <row r="127" spans="1:20">
      <c r="A127" s="1655" t="s">
        <v>315</v>
      </c>
      <c r="B127" s="1656"/>
      <c r="C127" s="1656"/>
      <c r="D127" s="1656"/>
      <c r="E127" s="1656"/>
      <c r="F127" s="1656"/>
      <c r="G127" s="1656"/>
      <c r="H127" s="444"/>
      <c r="I127" s="444"/>
      <c r="J127" s="444"/>
      <c r="K127" s="444"/>
      <c r="L127" s="445">
        <v>823050</v>
      </c>
      <c r="M127" s="444"/>
      <c r="N127" s="444"/>
      <c r="O127" s="444"/>
      <c r="P127" s="444"/>
      <c r="Q127" s="444"/>
      <c r="R127" s="444"/>
      <c r="S127" s="451"/>
      <c r="T127" s="446"/>
    </row>
    <row r="129" spans="1:19">
      <c r="A129" s="1670"/>
      <c r="B129" s="1670"/>
      <c r="C129" s="1670"/>
      <c r="D129" s="1670"/>
      <c r="E129" s="1670"/>
      <c r="F129" s="1670"/>
      <c r="G129" s="1670"/>
      <c r="H129" s="315"/>
      <c r="I129" s="315"/>
      <c r="J129" s="315"/>
      <c r="K129" s="315"/>
      <c r="L129" s="422"/>
      <c r="M129" s="315"/>
      <c r="N129" s="315"/>
      <c r="O129" s="315"/>
      <c r="P129" s="423"/>
      <c r="Q129" s="315"/>
      <c r="R129" s="315"/>
      <c r="S129" s="315"/>
    </row>
    <row r="130" spans="1:19">
      <c r="A130" s="315"/>
      <c r="B130" s="315"/>
      <c r="C130" s="1652" t="s">
        <v>114</v>
      </c>
      <c r="D130" s="1652"/>
      <c r="E130" s="1652"/>
      <c r="F130" s="408"/>
      <c r="G130" s="329"/>
      <c r="H130" s="315"/>
      <c r="I130" s="329"/>
      <c r="J130" s="329"/>
      <c r="K130" s="408" t="s">
        <v>115</v>
      </c>
      <c r="L130" s="329"/>
      <c r="M130" s="329"/>
      <c r="N130" s="329"/>
      <c r="O130" s="329"/>
      <c r="P130" s="329"/>
      <c r="Q130" s="315"/>
      <c r="R130" s="329" t="s">
        <v>214</v>
      </c>
      <c r="S130" s="409"/>
    </row>
    <row r="136" spans="1:19">
      <c r="A136" s="315"/>
      <c r="B136" s="315"/>
      <c r="C136" s="315"/>
      <c r="D136" s="323"/>
      <c r="E136" s="323"/>
      <c r="F136" s="323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</row>
    <row r="137" spans="1:19">
      <c r="A137" s="315"/>
      <c r="B137" s="315"/>
      <c r="C137" s="315"/>
      <c r="D137" s="323"/>
      <c r="E137" s="323"/>
      <c r="F137" s="323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</row>
    <row r="138" spans="1:19">
      <c r="A138" s="315"/>
      <c r="B138" s="315"/>
      <c r="C138" s="315"/>
      <c r="D138" s="323"/>
      <c r="E138" s="323"/>
      <c r="F138" s="323"/>
      <c r="G138" s="315"/>
      <c r="H138" s="315"/>
      <c r="I138" s="315"/>
      <c r="J138" s="315"/>
      <c r="K138" s="323"/>
      <c r="L138" s="315"/>
      <c r="M138" s="315"/>
      <c r="N138" s="315"/>
      <c r="O138" s="315"/>
      <c r="P138" s="315"/>
      <c r="Q138" s="315"/>
      <c r="R138" s="315"/>
      <c r="S138" s="315"/>
    </row>
    <row r="139" spans="1:19">
      <c r="A139" s="315"/>
      <c r="B139" s="315"/>
      <c r="C139" s="315"/>
      <c r="D139" s="323"/>
      <c r="E139" s="323"/>
      <c r="F139" s="323"/>
      <c r="G139" s="315"/>
      <c r="H139" s="315"/>
      <c r="I139" s="315"/>
      <c r="J139" s="315"/>
      <c r="K139" s="323"/>
      <c r="L139" s="315"/>
      <c r="M139" s="315"/>
      <c r="N139" s="315"/>
      <c r="O139" s="315"/>
      <c r="P139" s="315"/>
      <c r="Q139" s="315"/>
      <c r="R139" s="315"/>
      <c r="S139" s="315"/>
    </row>
    <row r="140" spans="1:19">
      <c r="A140" s="315"/>
      <c r="B140" s="315"/>
      <c r="C140" s="315"/>
      <c r="D140" s="323"/>
      <c r="E140" s="323"/>
      <c r="F140" s="323"/>
      <c r="G140" s="315"/>
      <c r="H140" s="315"/>
      <c r="I140" s="315"/>
      <c r="J140" s="315"/>
      <c r="K140" s="323"/>
      <c r="L140" s="315"/>
      <c r="M140" s="315"/>
      <c r="N140" s="315"/>
      <c r="O140" s="315"/>
      <c r="P140" s="315"/>
      <c r="Q140" s="315"/>
      <c r="R140" s="315"/>
      <c r="S140" s="315"/>
    </row>
    <row r="141" spans="1:19">
      <c r="A141" s="315"/>
      <c r="B141" s="323"/>
      <c r="C141" s="323"/>
      <c r="D141" s="323"/>
      <c r="E141" s="323"/>
      <c r="F141" s="323"/>
      <c r="G141" s="315"/>
      <c r="H141" s="315"/>
      <c r="I141" s="315"/>
      <c r="J141" s="315"/>
      <c r="K141" s="323"/>
      <c r="L141" s="315"/>
      <c r="M141" s="315"/>
      <c r="N141" s="315"/>
      <c r="O141" s="315"/>
      <c r="P141" s="315"/>
      <c r="Q141" s="315"/>
      <c r="R141" s="315"/>
      <c r="S141" s="315"/>
    </row>
    <row r="142" spans="1:19">
      <c r="A142" s="315"/>
      <c r="B142" s="323"/>
      <c r="C142" s="323"/>
      <c r="D142" s="323"/>
      <c r="E142" s="323"/>
      <c r="F142" s="323"/>
      <c r="G142" s="315"/>
      <c r="H142" s="315"/>
      <c r="I142" s="315"/>
      <c r="J142" s="315"/>
      <c r="K142" s="323"/>
      <c r="L142" s="315"/>
      <c r="M142" s="315"/>
      <c r="N142" s="315"/>
      <c r="O142" s="315"/>
      <c r="P142" s="315"/>
      <c r="Q142" s="315"/>
      <c r="R142" s="315"/>
      <c r="S142" s="315"/>
    </row>
    <row r="143" spans="1:19">
      <c r="A143" s="315"/>
      <c r="B143" s="323"/>
      <c r="C143" s="323"/>
      <c r="D143" s="323"/>
      <c r="E143" s="323"/>
      <c r="F143" s="323"/>
      <c r="G143" s="315"/>
      <c r="H143" s="315"/>
      <c r="I143" s="315"/>
      <c r="J143" s="315"/>
      <c r="K143" s="323"/>
      <c r="L143" s="315"/>
      <c r="M143" s="315"/>
      <c r="N143" s="315"/>
      <c r="O143" s="315"/>
      <c r="P143" s="315"/>
      <c r="Q143" s="315"/>
      <c r="R143" s="315"/>
      <c r="S143" s="315"/>
    </row>
    <row r="144" spans="1:19">
      <c r="A144" s="315"/>
      <c r="B144" s="323"/>
      <c r="C144" s="323"/>
      <c r="D144" s="323"/>
      <c r="E144" s="323"/>
      <c r="F144" s="323"/>
      <c r="G144" s="315"/>
      <c r="H144" s="315"/>
      <c r="I144" s="315"/>
      <c r="J144" s="315"/>
      <c r="K144" s="323"/>
      <c r="L144" s="315"/>
      <c r="M144" s="315"/>
      <c r="N144" s="315"/>
      <c r="O144" s="315"/>
      <c r="P144" s="315"/>
      <c r="Q144" s="315"/>
      <c r="R144" s="315"/>
      <c r="S144" s="315"/>
    </row>
    <row r="145" spans="2:11">
      <c r="B145" s="323"/>
      <c r="C145" s="323"/>
      <c r="D145" s="323"/>
      <c r="E145" s="323"/>
      <c r="F145" s="323"/>
      <c r="G145" s="315"/>
      <c r="H145" s="315"/>
      <c r="I145" s="315"/>
      <c r="J145" s="315"/>
      <c r="K145" s="323"/>
    </row>
    <row r="146" spans="2:11">
      <c r="B146" s="323"/>
      <c r="C146" s="323"/>
      <c r="D146" s="323"/>
      <c r="E146" s="323"/>
      <c r="F146" s="323"/>
      <c r="G146" s="315"/>
      <c r="H146" s="315"/>
      <c r="I146" s="315"/>
      <c r="J146" s="315"/>
      <c r="K146" s="323"/>
    </row>
    <row r="147" spans="2:11">
      <c r="B147" s="323"/>
      <c r="C147" s="323"/>
      <c r="D147" s="323"/>
      <c r="E147" s="323"/>
      <c r="F147" s="323"/>
      <c r="G147" s="315"/>
      <c r="H147" s="315"/>
      <c r="I147" s="315"/>
      <c r="J147" s="315"/>
      <c r="K147" s="323"/>
    </row>
    <row r="148" spans="2:11">
      <c r="B148" s="323"/>
      <c r="C148" s="323"/>
      <c r="D148" s="323"/>
      <c r="E148" s="323"/>
      <c r="F148" s="323"/>
      <c r="G148" s="315"/>
      <c r="H148" s="315"/>
      <c r="I148" s="315"/>
      <c r="J148" s="315"/>
      <c r="K148" s="323"/>
    </row>
    <row r="149" spans="2:11">
      <c r="B149" s="323"/>
      <c r="C149" s="323"/>
      <c r="D149" s="323"/>
      <c r="E149" s="323"/>
      <c r="F149" s="323"/>
      <c r="G149" s="315"/>
      <c r="H149" s="315"/>
      <c r="I149" s="315"/>
      <c r="J149" s="315"/>
      <c r="K149" s="323"/>
    </row>
    <row r="150" spans="2:11">
      <c r="B150" s="323"/>
      <c r="C150" s="323"/>
      <c r="D150" s="323"/>
      <c r="E150" s="323"/>
      <c r="F150" s="323"/>
      <c r="G150" s="315"/>
      <c r="H150" s="315"/>
      <c r="I150" s="315"/>
      <c r="J150" s="315"/>
      <c r="K150" s="323"/>
    </row>
    <row r="151" spans="2:11">
      <c r="B151" s="323"/>
      <c r="C151" s="323"/>
      <c r="D151" s="323"/>
      <c r="E151" s="323"/>
      <c r="F151" s="323"/>
      <c r="G151" s="315"/>
      <c r="H151" s="315"/>
      <c r="I151" s="315"/>
      <c r="J151" s="315"/>
      <c r="K151" s="323"/>
    </row>
    <row r="152" spans="2:11">
      <c r="B152" s="323"/>
      <c r="C152" s="323"/>
      <c r="D152" s="323"/>
      <c r="E152" s="323"/>
      <c r="F152" s="323"/>
      <c r="G152" s="315"/>
      <c r="H152" s="315"/>
      <c r="I152" s="315"/>
      <c r="J152" s="315"/>
      <c r="K152" s="323"/>
    </row>
    <row r="153" spans="2:11">
      <c r="B153" s="323"/>
      <c r="C153" s="323"/>
      <c r="D153" s="323"/>
      <c r="E153" s="323"/>
      <c r="F153" s="323"/>
      <c r="G153" s="315"/>
      <c r="H153" s="315"/>
      <c r="I153" s="315"/>
      <c r="J153" s="315"/>
      <c r="K153" s="323"/>
    </row>
    <row r="154" spans="2:11">
      <c r="B154" s="323"/>
      <c r="C154" s="323"/>
      <c r="D154" s="323"/>
      <c r="E154" s="323"/>
      <c r="F154" s="323"/>
      <c r="G154" s="315"/>
      <c r="H154" s="315"/>
      <c r="I154" s="315"/>
      <c r="J154" s="315"/>
      <c r="K154" s="323"/>
    </row>
    <row r="155" spans="2:11">
      <c r="B155" s="323"/>
      <c r="C155" s="323"/>
      <c r="D155" s="323"/>
      <c r="E155" s="323"/>
      <c r="F155" s="323"/>
      <c r="G155" s="315"/>
      <c r="H155" s="315"/>
      <c r="I155" s="315"/>
      <c r="J155" s="315"/>
      <c r="K155" s="323"/>
    </row>
    <row r="156" spans="2:11">
      <c r="B156" s="323"/>
      <c r="C156" s="323"/>
      <c r="D156" s="323"/>
      <c r="E156" s="323"/>
      <c r="F156" s="323"/>
      <c r="G156" s="315"/>
      <c r="H156" s="315"/>
      <c r="I156" s="315"/>
      <c r="J156" s="315"/>
      <c r="K156" s="323"/>
    </row>
    <row r="157" spans="2:11">
      <c r="B157" s="323"/>
      <c r="C157" s="323"/>
      <c r="D157" s="323"/>
      <c r="E157" s="323"/>
      <c r="F157" s="323"/>
      <c r="G157" s="315"/>
      <c r="H157" s="315"/>
      <c r="I157" s="315"/>
      <c r="J157" s="315"/>
      <c r="K157" s="323"/>
    </row>
    <row r="158" spans="2:11">
      <c r="B158" s="323"/>
      <c r="C158" s="323"/>
      <c r="D158" s="323"/>
      <c r="E158" s="323"/>
      <c r="F158" s="323"/>
      <c r="G158" s="315"/>
      <c r="H158" s="315"/>
      <c r="I158" s="315"/>
      <c r="J158" s="315"/>
      <c r="K158" s="323"/>
    </row>
    <row r="159" spans="2:11">
      <c r="B159" s="323"/>
      <c r="C159" s="323"/>
      <c r="D159" s="323"/>
      <c r="E159" s="323"/>
      <c r="F159" s="323"/>
      <c r="G159" s="315"/>
      <c r="H159" s="315"/>
      <c r="I159" s="315"/>
      <c r="J159" s="315"/>
      <c r="K159" s="323"/>
    </row>
    <row r="160" spans="2:11">
      <c r="B160" s="323"/>
      <c r="C160" s="323"/>
      <c r="D160" s="323"/>
      <c r="E160" s="323"/>
      <c r="F160" s="323"/>
      <c r="G160" s="315"/>
      <c r="H160" s="315"/>
      <c r="I160" s="315"/>
      <c r="J160" s="315"/>
      <c r="K160" s="323"/>
    </row>
    <row r="161" spans="2:11">
      <c r="B161" s="323"/>
      <c r="C161" s="323"/>
      <c r="D161" s="323"/>
      <c r="E161" s="323"/>
      <c r="F161" s="323"/>
      <c r="G161" s="315"/>
      <c r="H161" s="315"/>
      <c r="I161" s="315"/>
      <c r="J161" s="315"/>
      <c r="K161" s="323"/>
    </row>
    <row r="162" spans="2:11">
      <c r="B162" s="323"/>
      <c r="C162" s="323"/>
      <c r="D162" s="323"/>
      <c r="E162" s="323"/>
      <c r="F162" s="323"/>
      <c r="G162" s="315"/>
      <c r="H162" s="315"/>
      <c r="I162" s="315"/>
      <c r="J162" s="315"/>
      <c r="K162" s="323"/>
    </row>
    <row r="163" spans="2:11">
      <c r="B163" s="323"/>
      <c r="C163" s="323"/>
      <c r="D163" s="323"/>
      <c r="E163" s="323"/>
      <c r="F163" s="323"/>
      <c r="G163" s="315"/>
      <c r="H163" s="315"/>
      <c r="I163" s="315"/>
      <c r="J163" s="315"/>
      <c r="K163" s="323"/>
    </row>
    <row r="164" spans="2:11">
      <c r="B164" s="323"/>
      <c r="C164" s="323"/>
      <c r="D164" s="323"/>
      <c r="E164" s="323"/>
      <c r="F164" s="323"/>
      <c r="G164" s="315"/>
      <c r="H164" s="315"/>
      <c r="I164" s="315"/>
      <c r="J164" s="315"/>
      <c r="K164" s="323"/>
    </row>
    <row r="165" spans="2:11">
      <c r="B165" s="323"/>
      <c r="C165" s="323"/>
      <c r="D165" s="323"/>
      <c r="E165" s="323"/>
      <c r="F165" s="323"/>
      <c r="G165" s="315"/>
      <c r="H165" s="315"/>
      <c r="I165" s="315"/>
      <c r="J165" s="315"/>
      <c r="K165" s="323"/>
    </row>
    <row r="166" spans="2:11">
      <c r="B166" s="323"/>
      <c r="C166" s="323"/>
      <c r="D166" s="323"/>
      <c r="E166" s="323"/>
      <c r="F166" s="323"/>
      <c r="G166" s="315"/>
      <c r="H166" s="315"/>
      <c r="I166" s="315"/>
      <c r="J166" s="315"/>
      <c r="K166" s="323"/>
    </row>
    <row r="167" spans="2:11">
      <c r="B167" s="323"/>
      <c r="C167" s="323"/>
      <c r="D167" s="323"/>
      <c r="E167" s="323"/>
      <c r="F167" s="323"/>
      <c r="G167" s="315"/>
      <c r="H167" s="315"/>
      <c r="I167" s="315"/>
      <c r="J167" s="315"/>
      <c r="K167" s="323"/>
    </row>
    <row r="168" spans="2:11">
      <c r="B168" s="323"/>
      <c r="C168" s="323"/>
      <c r="D168" s="323"/>
      <c r="E168" s="323"/>
      <c r="F168" s="323"/>
      <c r="G168" s="315"/>
      <c r="H168" s="315"/>
      <c r="I168" s="315"/>
      <c r="J168" s="315"/>
      <c r="K168" s="323"/>
    </row>
    <row r="169" spans="2:11">
      <c r="B169" s="323"/>
      <c r="C169" s="323"/>
      <c r="D169" s="323"/>
      <c r="E169" s="323"/>
      <c r="F169" s="323"/>
      <c r="G169" s="315"/>
      <c r="H169" s="315"/>
      <c r="I169" s="315"/>
      <c r="J169" s="315"/>
      <c r="K169" s="323"/>
    </row>
    <row r="170" spans="2:11">
      <c r="B170" s="323"/>
      <c r="C170" s="323"/>
      <c r="D170" s="323"/>
      <c r="E170" s="323"/>
      <c r="F170" s="323"/>
      <c r="G170" s="315"/>
      <c r="H170" s="315"/>
      <c r="I170" s="315"/>
      <c r="J170" s="315"/>
      <c r="K170" s="323"/>
    </row>
    <row r="171" spans="2:11">
      <c r="B171" s="323"/>
      <c r="C171" s="323"/>
      <c r="D171" s="323"/>
      <c r="E171" s="323"/>
      <c r="F171" s="323"/>
      <c r="G171" s="315"/>
      <c r="H171" s="315"/>
      <c r="I171" s="315"/>
      <c r="J171" s="315"/>
      <c r="K171" s="323"/>
    </row>
    <row r="172" spans="2:11">
      <c r="B172" s="323"/>
      <c r="C172" s="323"/>
      <c r="D172" s="323"/>
      <c r="E172" s="323"/>
      <c r="F172" s="323"/>
      <c r="G172" s="315"/>
      <c r="H172" s="315"/>
      <c r="I172" s="315"/>
      <c r="J172" s="315"/>
      <c r="K172" s="323"/>
    </row>
  </sheetData>
  <mergeCells count="28">
    <mergeCell ref="S52:S58"/>
    <mergeCell ref="A119:G119"/>
    <mergeCell ref="A122:G122"/>
    <mergeCell ref="A124:G124"/>
    <mergeCell ref="A121:G121"/>
    <mergeCell ref="A117:G117"/>
    <mergeCell ref="A118:G118"/>
    <mergeCell ref="A129:G129"/>
    <mergeCell ref="A125:G125"/>
    <mergeCell ref="A126:G126"/>
    <mergeCell ref="A127:G127"/>
    <mergeCell ref="A123:G123"/>
    <mergeCell ref="I1:S1"/>
    <mergeCell ref="I2:S2"/>
    <mergeCell ref="S30:S33"/>
    <mergeCell ref="C130:E130"/>
    <mergeCell ref="A120:G120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A116:G116"/>
  </mergeCells>
  <pageMargins left="0.7" right="0.7" top="0.75" bottom="0.75" header="0.3" footer="0.3"/>
  <pageSetup paperSize="9" scale="71" orientation="landscape" verticalDpi="0" r:id="rId1"/>
  <rowBreaks count="1" manualBreakCount="1">
    <brk id="93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T237"/>
  <sheetViews>
    <sheetView topLeftCell="A175" zoomScaleNormal="100" workbookViewId="0">
      <selection activeCell="H193" sqref="H193"/>
    </sheetView>
  </sheetViews>
  <sheetFormatPr defaultColWidth="9.140625" defaultRowHeight="15"/>
  <cols>
    <col min="1" max="1" width="3.140625" style="634" customWidth="1"/>
    <col min="2" max="2" width="4.140625" style="500" customWidth="1"/>
    <col min="3" max="3" width="7" style="634" customWidth="1"/>
    <col min="4" max="4" width="5.85546875" style="509" customWidth="1"/>
    <col min="5" max="5" width="9.5703125" style="509" customWidth="1"/>
    <col min="6" max="6" width="7.42578125" style="509" customWidth="1"/>
    <col min="7" max="7" width="5.140625" style="634" customWidth="1"/>
    <col min="8" max="8" width="6.42578125" style="500" customWidth="1"/>
    <col min="9" max="9" width="7.140625" style="634" customWidth="1"/>
    <col min="10" max="10" width="14.140625" style="634" customWidth="1"/>
    <col min="11" max="11" width="4.42578125" style="505" customWidth="1"/>
    <col min="12" max="12" width="12.42578125" style="634" customWidth="1"/>
    <col min="13" max="13" width="4.5703125" style="634" customWidth="1"/>
    <col min="14" max="14" width="10.42578125" style="634" customWidth="1"/>
    <col min="15" max="15" width="4.5703125" style="634" customWidth="1"/>
    <col min="16" max="16" width="10.5703125" style="634" customWidth="1"/>
    <col min="17" max="17" width="5" style="634" customWidth="1"/>
    <col min="18" max="18" width="11.42578125" style="634" customWidth="1"/>
    <col min="19" max="19" width="8.85546875" style="634" customWidth="1"/>
    <col min="20" max="16384" width="9.140625" style="634"/>
  </cols>
  <sheetData>
    <row r="1" spans="1:19" ht="16.5">
      <c r="A1" s="635" t="s">
        <v>0</v>
      </c>
      <c r="B1" s="645"/>
      <c r="C1" s="636"/>
      <c r="D1" s="637"/>
      <c r="E1" s="637"/>
      <c r="F1" s="637"/>
      <c r="I1" s="1082"/>
      <c r="J1" s="1082"/>
      <c r="K1" s="638"/>
      <c r="L1" s="1082"/>
      <c r="M1" s="1082"/>
      <c r="N1" s="1082"/>
      <c r="O1" s="636"/>
      <c r="R1" s="1082" t="s">
        <v>1</v>
      </c>
      <c r="S1" s="1082"/>
    </row>
    <row r="2" spans="1:19" ht="15.75">
      <c r="A2" s="639" t="s">
        <v>2</v>
      </c>
      <c r="B2" s="646"/>
      <c r="C2" s="640"/>
      <c r="D2" s="641"/>
      <c r="E2" s="641"/>
      <c r="F2" s="641"/>
      <c r="I2" s="1078"/>
      <c r="J2" s="1078"/>
      <c r="K2" s="642"/>
      <c r="L2" s="1078"/>
      <c r="M2" s="1078"/>
      <c r="N2" s="1078"/>
      <c r="O2" s="640"/>
      <c r="R2" s="1078" t="s">
        <v>3</v>
      </c>
      <c r="S2" s="1078"/>
    </row>
    <row r="3" spans="1:19" ht="20.25">
      <c r="A3" s="1661" t="s">
        <v>4</v>
      </c>
      <c r="B3" s="1661"/>
      <c r="C3" s="1661"/>
      <c r="D3" s="1661"/>
      <c r="E3" s="1661"/>
      <c r="F3" s="1661"/>
      <c r="G3" s="1661"/>
      <c r="H3" s="1661"/>
      <c r="I3" s="1661"/>
      <c r="J3" s="1661"/>
      <c r="K3" s="1662"/>
      <c r="L3" s="1661"/>
      <c r="M3" s="1661"/>
      <c r="N3" s="1661"/>
      <c r="O3" s="1661"/>
      <c r="P3" s="1661"/>
      <c r="Q3" s="1661"/>
      <c r="R3" s="1661"/>
      <c r="S3" s="1661"/>
    </row>
    <row r="4" spans="1:19" ht="15.75" thickBot="1">
      <c r="A4" s="1684" t="s">
        <v>316</v>
      </c>
      <c r="B4" s="1684"/>
      <c r="C4" s="1684"/>
      <c r="D4" s="1684"/>
      <c r="E4" s="1684"/>
      <c r="F4" s="1684"/>
      <c r="G4" s="1684"/>
      <c r="H4" s="1684"/>
      <c r="I4" s="1684"/>
      <c r="J4" s="1684"/>
      <c r="K4" s="1685"/>
      <c r="L4" s="1684"/>
      <c r="M4" s="1684"/>
      <c r="N4" s="1684"/>
      <c r="O4" s="1684"/>
      <c r="P4" s="1684"/>
      <c r="Q4" s="1684"/>
      <c r="R4" s="1684"/>
      <c r="S4" s="1684"/>
    </row>
    <row r="5" spans="1:19" s="317" customFormat="1" ht="15.75" customHeight="1" thickTop="1">
      <c r="A5" s="1672" t="s">
        <v>6</v>
      </c>
      <c r="B5" s="1686" t="s">
        <v>7</v>
      </c>
      <c r="C5" s="1674" t="s">
        <v>8</v>
      </c>
      <c r="D5" s="1674" t="s">
        <v>9</v>
      </c>
      <c r="E5" s="1674"/>
      <c r="F5" s="1674"/>
      <c r="G5" s="1690" t="s">
        <v>119</v>
      </c>
      <c r="H5" s="1690"/>
      <c r="I5" s="1690"/>
      <c r="J5" s="1690"/>
      <c r="K5" s="1691"/>
      <c r="L5" s="1634" t="s">
        <v>120</v>
      </c>
      <c r="M5" s="1690" t="s">
        <v>12</v>
      </c>
      <c r="N5" s="1690"/>
      <c r="O5" s="1690"/>
      <c r="P5" s="1690"/>
      <c r="Q5" s="1690"/>
      <c r="R5" s="1690"/>
      <c r="S5" s="1692" t="s">
        <v>13</v>
      </c>
    </row>
    <row r="6" spans="1:19" s="317" customFormat="1" ht="36" customHeight="1">
      <c r="A6" s="1673"/>
      <c r="B6" s="1687"/>
      <c r="C6" s="1675"/>
      <c r="D6" s="643" t="s">
        <v>14</v>
      </c>
      <c r="E6" s="1079" t="s">
        <v>15</v>
      </c>
      <c r="F6" s="1079" t="s">
        <v>16</v>
      </c>
      <c r="G6" s="1079" t="s">
        <v>17</v>
      </c>
      <c r="H6" s="1080" t="s">
        <v>18</v>
      </c>
      <c r="I6" s="1079" t="s">
        <v>19</v>
      </c>
      <c r="J6" s="1076" t="s">
        <v>20</v>
      </c>
      <c r="K6" s="644" t="s">
        <v>21</v>
      </c>
      <c r="L6" s="1635"/>
      <c r="M6" s="1079" t="s">
        <v>121</v>
      </c>
      <c r="N6" s="1079" t="s">
        <v>23</v>
      </c>
      <c r="O6" s="1079" t="s">
        <v>122</v>
      </c>
      <c r="P6" s="1079" t="s">
        <v>23</v>
      </c>
      <c r="Q6" s="1079" t="s">
        <v>25</v>
      </c>
      <c r="R6" s="1079" t="s">
        <v>23</v>
      </c>
      <c r="S6" s="1693"/>
    </row>
    <row r="7" spans="1:19" s="572" customFormat="1" ht="18">
      <c r="A7" s="568">
        <v>1</v>
      </c>
      <c r="B7" s="495" t="s">
        <v>317</v>
      </c>
      <c r="C7" s="567" t="s">
        <v>318</v>
      </c>
      <c r="D7" s="547" t="s">
        <v>86</v>
      </c>
      <c r="E7" s="547" t="s">
        <v>319</v>
      </c>
      <c r="F7" s="567"/>
      <c r="G7" s="569" t="s">
        <v>253</v>
      </c>
      <c r="H7" s="569">
        <v>9</v>
      </c>
      <c r="I7" s="486">
        <v>255000</v>
      </c>
      <c r="J7" s="486">
        <f>H7*I7</f>
        <v>2295000</v>
      </c>
      <c r="K7" s="570">
        <v>0.35</v>
      </c>
      <c r="L7" s="544">
        <f t="shared" ref="L7:L70" si="0">H7*I7*(1-K7)</f>
        <v>1491750</v>
      </c>
      <c r="M7" s="486"/>
      <c r="N7" s="486"/>
      <c r="O7" s="486"/>
      <c r="P7" s="486"/>
      <c r="Q7" s="486">
        <v>131</v>
      </c>
      <c r="R7" s="486">
        <f>SUM(L7:L18)</f>
        <v>31619250</v>
      </c>
      <c r="S7" s="571"/>
    </row>
    <row r="8" spans="1:19" s="572" customFormat="1" ht="18">
      <c r="A8" s="556"/>
      <c r="B8" s="495" t="s">
        <v>317</v>
      </c>
      <c r="C8" s="567" t="s">
        <v>318</v>
      </c>
      <c r="D8" s="547" t="s">
        <v>86</v>
      </c>
      <c r="E8" s="547"/>
      <c r="F8" s="554"/>
      <c r="G8" s="557" t="s">
        <v>60</v>
      </c>
      <c r="H8" s="557">
        <v>4</v>
      </c>
      <c r="I8" s="483">
        <v>455000</v>
      </c>
      <c r="J8" s="486">
        <f t="shared" ref="J8:J74" si="1">H8*I8</f>
        <v>1820000</v>
      </c>
      <c r="K8" s="570">
        <v>0.35</v>
      </c>
      <c r="L8" s="483">
        <f t="shared" si="0"/>
        <v>1183000</v>
      </c>
      <c r="M8" s="483"/>
      <c r="N8" s="483"/>
      <c r="O8" s="483"/>
      <c r="P8" s="483"/>
      <c r="Q8" s="486"/>
      <c r="R8" s="483"/>
      <c r="S8" s="573"/>
    </row>
    <row r="9" spans="1:19" s="572" customFormat="1" ht="18">
      <c r="A9" s="556"/>
      <c r="B9" s="495" t="s">
        <v>317</v>
      </c>
      <c r="C9" s="567" t="s">
        <v>318</v>
      </c>
      <c r="D9" s="547" t="s">
        <v>86</v>
      </c>
      <c r="E9" s="547"/>
      <c r="F9" s="554"/>
      <c r="G9" s="557" t="s">
        <v>42</v>
      </c>
      <c r="H9" s="557">
        <v>23</v>
      </c>
      <c r="I9" s="483">
        <v>265000</v>
      </c>
      <c r="J9" s="486">
        <f t="shared" si="1"/>
        <v>6095000</v>
      </c>
      <c r="K9" s="570">
        <v>0.35</v>
      </c>
      <c r="L9" s="483">
        <f t="shared" si="0"/>
        <v>3961750</v>
      </c>
      <c r="M9" s="483"/>
      <c r="N9" s="483"/>
      <c r="O9" s="483"/>
      <c r="P9" s="483"/>
      <c r="Q9" s="486"/>
      <c r="R9" s="483"/>
      <c r="S9" s="573"/>
    </row>
    <row r="10" spans="1:19" s="572" customFormat="1" ht="18">
      <c r="A10" s="556"/>
      <c r="B10" s="495" t="s">
        <v>317</v>
      </c>
      <c r="C10" s="567" t="s">
        <v>318</v>
      </c>
      <c r="D10" s="547" t="s">
        <v>86</v>
      </c>
      <c r="E10" s="547"/>
      <c r="F10" s="562"/>
      <c r="G10" s="557" t="s">
        <v>30</v>
      </c>
      <c r="H10" s="557">
        <v>7</v>
      </c>
      <c r="I10" s="483">
        <v>465000</v>
      </c>
      <c r="J10" s="486">
        <f t="shared" si="1"/>
        <v>3255000</v>
      </c>
      <c r="K10" s="570">
        <v>0.35</v>
      </c>
      <c r="L10" s="483">
        <f t="shared" si="0"/>
        <v>2115750</v>
      </c>
      <c r="M10" s="483"/>
      <c r="N10" s="483"/>
      <c r="O10" s="483"/>
      <c r="P10" s="483"/>
      <c r="Q10" s="486"/>
      <c r="R10" s="483"/>
      <c r="S10" s="573"/>
    </row>
    <row r="11" spans="1:19" s="572" customFormat="1" ht="18">
      <c r="A11" s="556"/>
      <c r="B11" s="495" t="s">
        <v>317</v>
      </c>
      <c r="C11" s="567" t="s">
        <v>318</v>
      </c>
      <c r="D11" s="547" t="s">
        <v>86</v>
      </c>
      <c r="E11" s="547"/>
      <c r="F11" s="562"/>
      <c r="G11" s="557" t="s">
        <v>32</v>
      </c>
      <c r="H11" s="557">
        <v>4</v>
      </c>
      <c r="I11" s="483">
        <v>275000</v>
      </c>
      <c r="J11" s="486">
        <f t="shared" si="1"/>
        <v>1100000</v>
      </c>
      <c r="K11" s="570">
        <v>0.35</v>
      </c>
      <c r="L11" s="483">
        <f t="shared" si="0"/>
        <v>715000</v>
      </c>
      <c r="M11" s="483"/>
      <c r="N11" s="483"/>
      <c r="O11" s="483"/>
      <c r="P11" s="483"/>
      <c r="Q11" s="486"/>
      <c r="R11" s="483"/>
      <c r="S11" s="573"/>
    </row>
    <row r="12" spans="1:19" s="572" customFormat="1" ht="18">
      <c r="A12" s="556"/>
      <c r="B12" s="495" t="s">
        <v>317</v>
      </c>
      <c r="C12" s="567" t="s">
        <v>318</v>
      </c>
      <c r="D12" s="547" t="s">
        <v>86</v>
      </c>
      <c r="E12" s="547"/>
      <c r="F12" s="562"/>
      <c r="G12" s="557" t="s">
        <v>50</v>
      </c>
      <c r="H12" s="557">
        <v>4</v>
      </c>
      <c r="I12" s="483">
        <v>475000</v>
      </c>
      <c r="J12" s="486">
        <f t="shared" si="1"/>
        <v>1900000</v>
      </c>
      <c r="K12" s="570">
        <v>0.35</v>
      </c>
      <c r="L12" s="483">
        <f t="shared" si="0"/>
        <v>1235000</v>
      </c>
      <c r="M12" s="483"/>
      <c r="N12" s="483"/>
      <c r="O12" s="483"/>
      <c r="P12" s="483"/>
      <c r="Q12" s="486"/>
      <c r="R12" s="483"/>
      <c r="S12" s="574"/>
    </row>
    <row r="13" spans="1:19" s="572" customFormat="1" ht="27">
      <c r="A13" s="556"/>
      <c r="B13" s="495" t="s">
        <v>317</v>
      </c>
      <c r="C13" s="567" t="s">
        <v>318</v>
      </c>
      <c r="D13" s="547" t="s">
        <v>86</v>
      </c>
      <c r="E13" s="547"/>
      <c r="F13" s="562"/>
      <c r="G13" s="557" t="s">
        <v>33</v>
      </c>
      <c r="H13" s="557">
        <v>8</v>
      </c>
      <c r="I13" s="483">
        <v>285000</v>
      </c>
      <c r="J13" s="486">
        <f t="shared" si="1"/>
        <v>2280000</v>
      </c>
      <c r="K13" s="570">
        <v>0.35</v>
      </c>
      <c r="L13" s="483">
        <f t="shared" si="0"/>
        <v>1482000</v>
      </c>
      <c r="M13" s="483"/>
      <c r="N13" s="483"/>
      <c r="O13" s="483"/>
      <c r="P13" s="483"/>
      <c r="Q13" s="486"/>
      <c r="R13" s="483"/>
      <c r="S13" s="574" t="s">
        <v>320</v>
      </c>
    </row>
    <row r="14" spans="1:19" s="572" customFormat="1" ht="18">
      <c r="A14" s="556"/>
      <c r="B14" s="495" t="s">
        <v>317</v>
      </c>
      <c r="C14" s="567" t="s">
        <v>318</v>
      </c>
      <c r="D14" s="547" t="s">
        <v>86</v>
      </c>
      <c r="E14" s="547"/>
      <c r="F14" s="562"/>
      <c r="G14" s="557" t="s">
        <v>73</v>
      </c>
      <c r="H14" s="557">
        <v>7</v>
      </c>
      <c r="I14" s="483">
        <v>485000</v>
      </c>
      <c r="J14" s="486">
        <f t="shared" si="1"/>
        <v>3395000</v>
      </c>
      <c r="K14" s="570">
        <v>0.35</v>
      </c>
      <c r="L14" s="483">
        <f t="shared" si="0"/>
        <v>2206750</v>
      </c>
      <c r="M14" s="483"/>
      <c r="N14" s="483"/>
      <c r="O14" s="483"/>
      <c r="P14" s="483"/>
      <c r="Q14" s="486"/>
      <c r="R14" s="483"/>
      <c r="S14" s="573"/>
    </row>
    <row r="15" spans="1:19" s="572" customFormat="1" ht="18">
      <c r="A15" s="556"/>
      <c r="B15" s="495" t="s">
        <v>317</v>
      </c>
      <c r="C15" s="567" t="s">
        <v>318</v>
      </c>
      <c r="D15" s="547" t="s">
        <v>86</v>
      </c>
      <c r="E15" s="547"/>
      <c r="F15" s="562"/>
      <c r="G15" s="557" t="s">
        <v>74</v>
      </c>
      <c r="H15" s="557">
        <v>17</v>
      </c>
      <c r="I15" s="483">
        <v>550000</v>
      </c>
      <c r="J15" s="486">
        <f t="shared" si="1"/>
        <v>9350000</v>
      </c>
      <c r="K15" s="570">
        <v>0.35</v>
      </c>
      <c r="L15" s="483">
        <f t="shared" si="0"/>
        <v>6077500</v>
      </c>
      <c r="M15" s="483"/>
      <c r="N15" s="483"/>
      <c r="O15" s="483"/>
      <c r="P15" s="483"/>
      <c r="Q15" s="486"/>
      <c r="R15" s="483"/>
      <c r="S15" s="573"/>
    </row>
    <row r="16" spans="1:19" s="572" customFormat="1" ht="18">
      <c r="A16" s="556"/>
      <c r="B16" s="495" t="s">
        <v>317</v>
      </c>
      <c r="C16" s="567" t="s">
        <v>318</v>
      </c>
      <c r="D16" s="547" t="s">
        <v>86</v>
      </c>
      <c r="E16" s="547"/>
      <c r="F16" s="562"/>
      <c r="G16" s="557" t="s">
        <v>36</v>
      </c>
      <c r="H16" s="557">
        <v>27</v>
      </c>
      <c r="I16" s="483">
        <v>450000</v>
      </c>
      <c r="J16" s="486">
        <f t="shared" si="1"/>
        <v>12150000</v>
      </c>
      <c r="K16" s="570">
        <v>0.35</v>
      </c>
      <c r="L16" s="483">
        <f t="shared" si="0"/>
        <v>7897500</v>
      </c>
      <c r="M16" s="483"/>
      <c r="N16" s="483"/>
      <c r="O16" s="483"/>
      <c r="P16" s="483"/>
      <c r="Q16" s="486"/>
      <c r="R16" s="483"/>
      <c r="S16" s="573"/>
    </row>
    <row r="17" spans="1:19" s="572" customFormat="1" ht="18">
      <c r="A17" s="556"/>
      <c r="B17" s="495" t="s">
        <v>317</v>
      </c>
      <c r="C17" s="567" t="s">
        <v>318</v>
      </c>
      <c r="D17" s="547" t="s">
        <v>86</v>
      </c>
      <c r="E17" s="547"/>
      <c r="F17" s="562"/>
      <c r="G17" s="557" t="s">
        <v>34</v>
      </c>
      <c r="H17" s="557">
        <v>3</v>
      </c>
      <c r="I17" s="483">
        <v>455000</v>
      </c>
      <c r="J17" s="486">
        <f t="shared" si="1"/>
        <v>1365000</v>
      </c>
      <c r="K17" s="570">
        <v>0.35</v>
      </c>
      <c r="L17" s="483">
        <f t="shared" si="0"/>
        <v>887250</v>
      </c>
      <c r="M17" s="483"/>
      <c r="N17" s="483"/>
      <c r="O17" s="483"/>
      <c r="P17" s="483"/>
      <c r="Q17" s="486"/>
      <c r="R17" s="483"/>
      <c r="S17" s="573"/>
    </row>
    <row r="18" spans="1:19" s="572" customFormat="1" ht="18">
      <c r="A18" s="532"/>
      <c r="B18" s="495" t="s">
        <v>317</v>
      </c>
      <c r="C18" s="567" t="s">
        <v>318</v>
      </c>
      <c r="D18" s="547" t="s">
        <v>86</v>
      </c>
      <c r="E18" s="547"/>
      <c r="F18" s="575"/>
      <c r="G18" s="535" t="s">
        <v>46</v>
      </c>
      <c r="H18" s="535">
        <v>8</v>
      </c>
      <c r="I18" s="488">
        <v>455000</v>
      </c>
      <c r="J18" s="523">
        <f t="shared" si="1"/>
        <v>3640000</v>
      </c>
      <c r="K18" s="536">
        <v>0.35</v>
      </c>
      <c r="L18" s="488">
        <f t="shared" si="0"/>
        <v>2366000</v>
      </c>
      <c r="M18" s="488"/>
      <c r="N18" s="488"/>
      <c r="O18" s="488"/>
      <c r="P18" s="488"/>
      <c r="Q18" s="486"/>
      <c r="R18" s="488"/>
      <c r="S18" s="576"/>
    </row>
    <row r="19" spans="1:19" s="572" customFormat="1" ht="18">
      <c r="A19" s="514">
        <v>2</v>
      </c>
      <c r="B19" s="497" t="s">
        <v>317</v>
      </c>
      <c r="C19" s="515" t="s">
        <v>278</v>
      </c>
      <c r="D19" s="516" t="s">
        <v>86</v>
      </c>
      <c r="E19" s="516"/>
      <c r="F19" s="566"/>
      <c r="G19" s="517" t="s">
        <v>34</v>
      </c>
      <c r="H19" s="517">
        <v>1</v>
      </c>
      <c r="I19" s="489">
        <v>455000</v>
      </c>
      <c r="J19" s="489">
        <f t="shared" si="1"/>
        <v>455000</v>
      </c>
      <c r="K19" s="518">
        <v>0.41</v>
      </c>
      <c r="L19" s="489">
        <f t="shared" si="0"/>
        <v>268450.00000000006</v>
      </c>
      <c r="M19" s="489"/>
      <c r="N19" s="489"/>
      <c r="O19" s="489">
        <v>112</v>
      </c>
      <c r="P19" s="489">
        <f>L19</f>
        <v>268450.00000000006</v>
      </c>
      <c r="Q19" s="489"/>
      <c r="R19" s="489"/>
      <c r="S19" s="549" t="s">
        <v>127</v>
      </c>
    </row>
    <row r="20" spans="1:19" s="572" customFormat="1" ht="54">
      <c r="A20" s="568">
        <v>3</v>
      </c>
      <c r="B20" s="495" t="s">
        <v>321</v>
      </c>
      <c r="C20" s="567" t="s">
        <v>27</v>
      </c>
      <c r="D20" s="547" t="s">
        <v>322</v>
      </c>
      <c r="E20" s="547" t="s">
        <v>323</v>
      </c>
      <c r="F20" s="577"/>
      <c r="G20" s="569" t="s">
        <v>60</v>
      </c>
      <c r="H20" s="569">
        <v>12</v>
      </c>
      <c r="I20" s="486">
        <v>455000</v>
      </c>
      <c r="J20" s="486">
        <f t="shared" si="1"/>
        <v>5460000</v>
      </c>
      <c r="K20" s="570">
        <v>0.41</v>
      </c>
      <c r="L20" s="486">
        <f t="shared" si="0"/>
        <v>3221400.0000000005</v>
      </c>
      <c r="M20" s="486"/>
      <c r="N20" s="486"/>
      <c r="O20" s="486"/>
      <c r="P20" s="486"/>
      <c r="Q20" s="486">
        <v>131</v>
      </c>
      <c r="R20" s="486">
        <f>SUM(L20:L23)</f>
        <v>13310400.000000002</v>
      </c>
      <c r="S20" s="587" t="s">
        <v>324</v>
      </c>
    </row>
    <row r="21" spans="1:19" s="572" customFormat="1" ht="9">
      <c r="A21" s="556"/>
      <c r="B21" s="495" t="s">
        <v>321</v>
      </c>
      <c r="C21" s="567" t="s">
        <v>27</v>
      </c>
      <c r="D21" s="547" t="s">
        <v>322</v>
      </c>
      <c r="E21" s="548"/>
      <c r="F21" s="562"/>
      <c r="G21" s="557" t="s">
        <v>30</v>
      </c>
      <c r="H21" s="557">
        <v>12</v>
      </c>
      <c r="I21" s="483">
        <v>465000</v>
      </c>
      <c r="J21" s="486">
        <f t="shared" si="1"/>
        <v>5580000</v>
      </c>
      <c r="K21" s="578">
        <v>0.41</v>
      </c>
      <c r="L21" s="483">
        <f t="shared" si="0"/>
        <v>3292200.0000000005</v>
      </c>
      <c r="M21" s="483"/>
      <c r="N21" s="483"/>
      <c r="O21" s="483"/>
      <c r="P21" s="483"/>
      <c r="Q21" s="483"/>
      <c r="R21" s="483"/>
      <c r="S21" s="573"/>
    </row>
    <row r="22" spans="1:19" s="572" customFormat="1" ht="9">
      <c r="A22" s="556"/>
      <c r="B22" s="495" t="s">
        <v>321</v>
      </c>
      <c r="C22" s="554" t="s">
        <v>27</v>
      </c>
      <c r="D22" s="548" t="s">
        <v>322</v>
      </c>
      <c r="E22" s="548"/>
      <c r="F22" s="562"/>
      <c r="G22" s="557" t="s">
        <v>50</v>
      </c>
      <c r="H22" s="557">
        <v>12</v>
      </c>
      <c r="I22" s="483">
        <v>475000</v>
      </c>
      <c r="J22" s="486">
        <f t="shared" si="1"/>
        <v>5700000</v>
      </c>
      <c r="K22" s="578">
        <v>0.41</v>
      </c>
      <c r="L22" s="483">
        <f t="shared" si="0"/>
        <v>3363000.0000000005</v>
      </c>
      <c r="M22" s="483"/>
      <c r="N22" s="483"/>
      <c r="O22" s="483"/>
      <c r="P22" s="483"/>
      <c r="Q22" s="483"/>
      <c r="R22" s="483"/>
      <c r="S22" s="573"/>
    </row>
    <row r="23" spans="1:19" s="572" customFormat="1" ht="9">
      <c r="A23" s="532"/>
      <c r="B23" s="495" t="s">
        <v>321</v>
      </c>
      <c r="C23" s="513" t="s">
        <v>27</v>
      </c>
      <c r="D23" s="533" t="s">
        <v>322</v>
      </c>
      <c r="E23" s="618"/>
      <c r="F23" s="575"/>
      <c r="G23" s="535" t="s">
        <v>45</v>
      </c>
      <c r="H23" s="535">
        <v>12</v>
      </c>
      <c r="I23" s="488">
        <v>485000</v>
      </c>
      <c r="J23" s="488">
        <f t="shared" si="1"/>
        <v>5820000</v>
      </c>
      <c r="K23" s="536">
        <v>0.41</v>
      </c>
      <c r="L23" s="488">
        <f t="shared" si="0"/>
        <v>3433800.0000000005</v>
      </c>
      <c r="M23" s="488"/>
      <c r="N23" s="488"/>
      <c r="O23" s="488"/>
      <c r="P23" s="488"/>
      <c r="Q23" s="488"/>
      <c r="R23" s="488"/>
      <c r="S23" s="537"/>
    </row>
    <row r="24" spans="1:19" s="572" customFormat="1" ht="27">
      <c r="A24" s="568">
        <v>4</v>
      </c>
      <c r="B24" s="499" t="s">
        <v>321</v>
      </c>
      <c r="C24" s="456" t="s">
        <v>27</v>
      </c>
      <c r="D24" s="547" t="s">
        <v>325</v>
      </c>
      <c r="E24" s="547" t="s">
        <v>326</v>
      </c>
      <c r="F24" s="577"/>
      <c r="G24" s="569" t="s">
        <v>34</v>
      </c>
      <c r="H24" s="569">
        <v>10</v>
      </c>
      <c r="I24" s="486">
        <v>455000</v>
      </c>
      <c r="J24" s="486">
        <f>H24*I24</f>
        <v>4550000</v>
      </c>
      <c r="K24" s="570">
        <v>1</v>
      </c>
      <c r="L24" s="486">
        <f t="shared" si="0"/>
        <v>0</v>
      </c>
      <c r="M24" s="486"/>
      <c r="N24" s="486"/>
      <c r="O24" s="486"/>
      <c r="P24" s="486"/>
      <c r="Q24" s="486"/>
      <c r="R24" s="486"/>
      <c r="S24" s="571"/>
    </row>
    <row r="25" spans="1:19" s="572" customFormat="1" ht="9">
      <c r="A25" s="532"/>
      <c r="B25" s="496" t="s">
        <v>321</v>
      </c>
      <c r="C25" s="457" t="s">
        <v>27</v>
      </c>
      <c r="D25" s="618" t="s">
        <v>325</v>
      </c>
      <c r="E25" s="618"/>
      <c r="F25" s="575"/>
      <c r="G25" s="535" t="s">
        <v>60</v>
      </c>
      <c r="H25" s="535">
        <v>1</v>
      </c>
      <c r="I25" s="488">
        <v>455000</v>
      </c>
      <c r="J25" s="488">
        <f>H25*I25</f>
        <v>455000</v>
      </c>
      <c r="K25" s="536">
        <v>1</v>
      </c>
      <c r="L25" s="488">
        <f>H25*I25*(1-K25)</f>
        <v>0</v>
      </c>
      <c r="M25" s="488"/>
      <c r="N25" s="488"/>
      <c r="O25" s="488"/>
      <c r="P25" s="488"/>
      <c r="Q25" s="488"/>
      <c r="R25" s="488"/>
      <c r="S25" s="537"/>
    </row>
    <row r="26" spans="1:19" s="572" customFormat="1" ht="18">
      <c r="A26" s="568">
        <v>5</v>
      </c>
      <c r="B26" s="495" t="s">
        <v>321</v>
      </c>
      <c r="C26" s="567" t="s">
        <v>27</v>
      </c>
      <c r="D26" s="547" t="s">
        <v>327</v>
      </c>
      <c r="E26" s="547" t="s">
        <v>328</v>
      </c>
      <c r="F26" s="577"/>
      <c r="G26" s="569" t="s">
        <v>60</v>
      </c>
      <c r="H26" s="569">
        <v>1</v>
      </c>
      <c r="I26" s="486">
        <v>455000</v>
      </c>
      <c r="J26" s="486">
        <f t="shared" si="1"/>
        <v>455000</v>
      </c>
      <c r="K26" s="570">
        <v>0.5</v>
      </c>
      <c r="L26" s="486">
        <f t="shared" si="0"/>
        <v>227500</v>
      </c>
      <c r="M26" s="486"/>
      <c r="N26" s="486"/>
      <c r="O26" s="486"/>
      <c r="P26" s="486"/>
      <c r="Q26" s="486">
        <v>131</v>
      </c>
      <c r="R26" s="486">
        <f>SUM(L26:L35)</f>
        <v>2165000</v>
      </c>
      <c r="S26" s="571"/>
    </row>
    <row r="27" spans="1:19" s="572" customFormat="1" ht="18">
      <c r="A27" s="556"/>
      <c r="B27" s="495" t="s">
        <v>321</v>
      </c>
      <c r="C27" s="567" t="s">
        <v>27</v>
      </c>
      <c r="D27" s="547" t="s">
        <v>327</v>
      </c>
      <c r="E27" s="548"/>
      <c r="F27" s="562"/>
      <c r="G27" s="557" t="s">
        <v>42</v>
      </c>
      <c r="H27" s="557">
        <v>1</v>
      </c>
      <c r="I27" s="483">
        <v>265000</v>
      </c>
      <c r="J27" s="486">
        <f t="shared" si="1"/>
        <v>265000</v>
      </c>
      <c r="K27" s="578">
        <v>0.5</v>
      </c>
      <c r="L27" s="483">
        <f t="shared" si="0"/>
        <v>132500</v>
      </c>
      <c r="M27" s="483"/>
      <c r="N27" s="483"/>
      <c r="O27" s="483"/>
      <c r="P27" s="483"/>
      <c r="Q27" s="483"/>
      <c r="R27" s="483"/>
      <c r="S27" s="573"/>
    </row>
    <row r="28" spans="1:19" s="572" customFormat="1" ht="18">
      <c r="A28" s="556"/>
      <c r="B28" s="495" t="s">
        <v>321</v>
      </c>
      <c r="C28" s="567" t="s">
        <v>27</v>
      </c>
      <c r="D28" s="547" t="s">
        <v>327</v>
      </c>
      <c r="E28" s="548"/>
      <c r="F28" s="562"/>
      <c r="G28" s="557" t="s">
        <v>30</v>
      </c>
      <c r="H28" s="557">
        <v>1</v>
      </c>
      <c r="I28" s="483">
        <v>465000</v>
      </c>
      <c r="J28" s="486">
        <f t="shared" si="1"/>
        <v>465000</v>
      </c>
      <c r="K28" s="578">
        <v>0.5</v>
      </c>
      <c r="L28" s="483">
        <f t="shared" si="0"/>
        <v>232500</v>
      </c>
      <c r="M28" s="483"/>
      <c r="N28" s="483"/>
      <c r="O28" s="483"/>
      <c r="P28" s="483"/>
      <c r="Q28" s="483"/>
      <c r="R28" s="483"/>
      <c r="S28" s="573"/>
    </row>
    <row r="29" spans="1:19" s="572" customFormat="1" ht="18">
      <c r="A29" s="556"/>
      <c r="B29" s="495" t="s">
        <v>321</v>
      </c>
      <c r="C29" s="567" t="s">
        <v>27</v>
      </c>
      <c r="D29" s="547" t="s">
        <v>327</v>
      </c>
      <c r="E29" s="548"/>
      <c r="F29" s="562"/>
      <c r="G29" s="557" t="s">
        <v>32</v>
      </c>
      <c r="H29" s="557">
        <v>1</v>
      </c>
      <c r="I29" s="483">
        <v>275000</v>
      </c>
      <c r="J29" s="486">
        <f t="shared" si="1"/>
        <v>275000</v>
      </c>
      <c r="K29" s="578">
        <v>0.5</v>
      </c>
      <c r="L29" s="483">
        <f t="shared" si="0"/>
        <v>137500</v>
      </c>
      <c r="M29" s="483"/>
      <c r="N29" s="483"/>
      <c r="O29" s="483"/>
      <c r="P29" s="483"/>
      <c r="Q29" s="483"/>
      <c r="R29" s="483"/>
      <c r="S29" s="573"/>
    </row>
    <row r="30" spans="1:19" s="572" customFormat="1" ht="18">
      <c r="A30" s="556"/>
      <c r="B30" s="495" t="s">
        <v>321</v>
      </c>
      <c r="C30" s="567" t="s">
        <v>27</v>
      </c>
      <c r="D30" s="547" t="s">
        <v>327</v>
      </c>
      <c r="E30" s="548"/>
      <c r="F30" s="562"/>
      <c r="G30" s="557" t="s">
        <v>50</v>
      </c>
      <c r="H30" s="557">
        <v>1</v>
      </c>
      <c r="I30" s="483">
        <v>475000</v>
      </c>
      <c r="J30" s="486">
        <f t="shared" si="1"/>
        <v>475000</v>
      </c>
      <c r="K30" s="578">
        <v>0.5</v>
      </c>
      <c r="L30" s="483">
        <f t="shared" si="0"/>
        <v>237500</v>
      </c>
      <c r="M30" s="483"/>
      <c r="N30" s="483"/>
      <c r="O30" s="483"/>
      <c r="P30" s="483"/>
      <c r="Q30" s="483"/>
      <c r="R30" s="483"/>
      <c r="S30" s="573"/>
    </row>
    <row r="31" spans="1:19" s="572" customFormat="1" ht="18">
      <c r="A31" s="556"/>
      <c r="B31" s="495" t="s">
        <v>321</v>
      </c>
      <c r="C31" s="567" t="s">
        <v>27</v>
      </c>
      <c r="D31" s="547" t="s">
        <v>327</v>
      </c>
      <c r="E31" s="548"/>
      <c r="F31" s="562"/>
      <c r="G31" s="557" t="s">
        <v>45</v>
      </c>
      <c r="H31" s="557">
        <v>1</v>
      </c>
      <c r="I31" s="483">
        <v>485000</v>
      </c>
      <c r="J31" s="486">
        <f t="shared" si="1"/>
        <v>485000</v>
      </c>
      <c r="K31" s="578">
        <v>0.5</v>
      </c>
      <c r="L31" s="483">
        <f t="shared" si="0"/>
        <v>242500</v>
      </c>
      <c r="M31" s="483"/>
      <c r="N31" s="483"/>
      <c r="O31" s="483"/>
      <c r="P31" s="483"/>
      <c r="Q31" s="483"/>
      <c r="R31" s="483"/>
      <c r="S31" s="573"/>
    </row>
    <row r="32" spans="1:19" s="572" customFormat="1" ht="18">
      <c r="A32" s="556"/>
      <c r="B32" s="495" t="s">
        <v>321</v>
      </c>
      <c r="C32" s="567" t="s">
        <v>27</v>
      </c>
      <c r="D32" s="547" t="s">
        <v>327</v>
      </c>
      <c r="E32" s="548"/>
      <c r="F32" s="562"/>
      <c r="G32" s="557" t="s">
        <v>74</v>
      </c>
      <c r="H32" s="557">
        <v>1</v>
      </c>
      <c r="I32" s="483">
        <v>550000</v>
      </c>
      <c r="J32" s="486">
        <f t="shared" si="1"/>
        <v>550000</v>
      </c>
      <c r="K32" s="578">
        <v>0.5</v>
      </c>
      <c r="L32" s="483">
        <f t="shared" si="0"/>
        <v>275000</v>
      </c>
      <c r="M32" s="483"/>
      <c r="N32" s="483"/>
      <c r="O32" s="483"/>
      <c r="P32" s="483"/>
      <c r="Q32" s="483"/>
      <c r="R32" s="483"/>
      <c r="S32" s="573"/>
    </row>
    <row r="33" spans="1:19" s="572" customFormat="1" ht="18">
      <c r="A33" s="556"/>
      <c r="B33" s="495" t="s">
        <v>321</v>
      </c>
      <c r="C33" s="567" t="s">
        <v>27</v>
      </c>
      <c r="D33" s="547" t="s">
        <v>327</v>
      </c>
      <c r="E33" s="548"/>
      <c r="F33" s="562"/>
      <c r="G33" s="557" t="s">
        <v>36</v>
      </c>
      <c r="H33" s="557">
        <v>1</v>
      </c>
      <c r="I33" s="483">
        <v>450000</v>
      </c>
      <c r="J33" s="486">
        <f t="shared" si="1"/>
        <v>450000</v>
      </c>
      <c r="K33" s="578">
        <v>0.5</v>
      </c>
      <c r="L33" s="483">
        <f t="shared" si="0"/>
        <v>225000</v>
      </c>
      <c r="M33" s="483"/>
      <c r="N33" s="483"/>
      <c r="O33" s="483"/>
      <c r="P33" s="483"/>
      <c r="Q33" s="483"/>
      <c r="R33" s="483"/>
      <c r="S33" s="573"/>
    </row>
    <row r="34" spans="1:19" s="572" customFormat="1" ht="18">
      <c r="A34" s="556"/>
      <c r="B34" s="495" t="s">
        <v>321</v>
      </c>
      <c r="C34" s="567" t="s">
        <v>27</v>
      </c>
      <c r="D34" s="547" t="s">
        <v>327</v>
      </c>
      <c r="E34" s="548"/>
      <c r="F34" s="562"/>
      <c r="G34" s="557" t="s">
        <v>34</v>
      </c>
      <c r="H34" s="557">
        <v>1</v>
      </c>
      <c r="I34" s="483">
        <v>455000</v>
      </c>
      <c r="J34" s="486">
        <f t="shared" si="1"/>
        <v>455000</v>
      </c>
      <c r="K34" s="578">
        <v>0.5</v>
      </c>
      <c r="L34" s="483">
        <f t="shared" si="0"/>
        <v>227500</v>
      </c>
      <c r="M34" s="483"/>
      <c r="N34" s="483"/>
      <c r="O34" s="483"/>
      <c r="P34" s="483"/>
      <c r="Q34" s="483"/>
      <c r="R34" s="483"/>
      <c r="S34" s="574"/>
    </row>
    <row r="35" spans="1:19" s="572" customFormat="1" ht="18">
      <c r="A35" s="532"/>
      <c r="B35" s="495" t="s">
        <v>321</v>
      </c>
      <c r="C35" s="567" t="s">
        <v>27</v>
      </c>
      <c r="D35" s="547" t="s">
        <v>327</v>
      </c>
      <c r="E35" s="618"/>
      <c r="F35" s="575"/>
      <c r="G35" s="535" t="s">
        <v>46</v>
      </c>
      <c r="H35" s="535">
        <v>1</v>
      </c>
      <c r="I35" s="488">
        <v>455000</v>
      </c>
      <c r="J35" s="523">
        <f t="shared" si="1"/>
        <v>455000</v>
      </c>
      <c r="K35" s="536">
        <v>0.5</v>
      </c>
      <c r="L35" s="488">
        <f t="shared" si="0"/>
        <v>227500</v>
      </c>
      <c r="M35" s="488"/>
      <c r="N35" s="488"/>
      <c r="O35" s="488"/>
      <c r="P35" s="488"/>
      <c r="Q35" s="488"/>
      <c r="R35" s="488"/>
      <c r="S35" s="537"/>
    </row>
    <row r="36" spans="1:19" s="572" customFormat="1" ht="18">
      <c r="A36" s="514">
        <v>6</v>
      </c>
      <c r="B36" s="497" t="s">
        <v>329</v>
      </c>
      <c r="C36" s="515" t="s">
        <v>96</v>
      </c>
      <c r="D36" s="516" t="s">
        <v>86</v>
      </c>
      <c r="E36" s="516"/>
      <c r="F36" s="566"/>
      <c r="G36" s="517" t="s">
        <v>45</v>
      </c>
      <c r="H36" s="517">
        <v>6</v>
      </c>
      <c r="I36" s="489">
        <v>485000</v>
      </c>
      <c r="J36" s="489">
        <f t="shared" si="1"/>
        <v>2910000</v>
      </c>
      <c r="K36" s="518">
        <v>0.41</v>
      </c>
      <c r="L36" s="489">
        <f t="shared" si="0"/>
        <v>1716900.0000000002</v>
      </c>
      <c r="M36" s="489">
        <v>111</v>
      </c>
      <c r="N36" s="489">
        <v>1700000</v>
      </c>
      <c r="O36" s="489"/>
      <c r="P36" s="489"/>
      <c r="Q36" s="489"/>
      <c r="R36" s="489"/>
      <c r="S36" s="519"/>
    </row>
    <row r="37" spans="1:19" s="572" customFormat="1" ht="18">
      <c r="A37" s="514">
        <v>7</v>
      </c>
      <c r="B37" s="497" t="s">
        <v>329</v>
      </c>
      <c r="C37" s="515" t="s">
        <v>96</v>
      </c>
      <c r="D37" s="516" t="s">
        <v>330</v>
      </c>
      <c r="E37" s="516" t="s">
        <v>331</v>
      </c>
      <c r="F37" s="566"/>
      <c r="G37" s="517" t="s">
        <v>33</v>
      </c>
      <c r="H37" s="517">
        <v>1</v>
      </c>
      <c r="I37" s="489">
        <v>285000</v>
      </c>
      <c r="J37" s="489">
        <f t="shared" si="1"/>
        <v>285000</v>
      </c>
      <c r="K37" s="518">
        <v>1</v>
      </c>
      <c r="L37" s="489">
        <f t="shared" si="0"/>
        <v>0</v>
      </c>
      <c r="M37" s="489"/>
      <c r="N37" s="489"/>
      <c r="O37" s="489"/>
      <c r="P37" s="489"/>
      <c r="Q37" s="489"/>
      <c r="R37" s="489"/>
      <c r="S37" s="519" t="s">
        <v>332</v>
      </c>
    </row>
    <row r="38" spans="1:19" s="572" customFormat="1" ht="27">
      <c r="A38" s="514">
        <v>8</v>
      </c>
      <c r="B38" s="497" t="s">
        <v>329</v>
      </c>
      <c r="C38" s="458" t="s">
        <v>333</v>
      </c>
      <c r="D38" s="516" t="s">
        <v>334</v>
      </c>
      <c r="E38" s="516" t="s">
        <v>335</v>
      </c>
      <c r="F38" s="515"/>
      <c r="G38" s="517" t="s">
        <v>34</v>
      </c>
      <c r="H38" s="517">
        <v>84</v>
      </c>
      <c r="I38" s="489">
        <v>455000</v>
      </c>
      <c r="J38" s="489">
        <f t="shared" si="1"/>
        <v>38220000</v>
      </c>
      <c r="K38" s="518">
        <v>0.5</v>
      </c>
      <c r="L38" s="489">
        <f>H38*I38*(1-K38)</f>
        <v>19110000</v>
      </c>
      <c r="M38" s="489"/>
      <c r="N38" s="489"/>
      <c r="O38" s="489"/>
      <c r="P38" s="489"/>
      <c r="Q38" s="489">
        <v>131</v>
      </c>
      <c r="R38" s="489">
        <f>L38</f>
        <v>19110000</v>
      </c>
      <c r="S38" s="519"/>
    </row>
    <row r="39" spans="1:19" s="572" customFormat="1" ht="9">
      <c r="A39" s="514">
        <v>9</v>
      </c>
      <c r="B39" s="497" t="s">
        <v>329</v>
      </c>
      <c r="C39" s="515" t="s">
        <v>27</v>
      </c>
      <c r="D39" s="516"/>
      <c r="E39" s="516"/>
      <c r="F39" s="566"/>
      <c r="G39" s="517" t="s">
        <v>50</v>
      </c>
      <c r="H39" s="517">
        <v>3</v>
      </c>
      <c r="I39" s="489">
        <v>475000</v>
      </c>
      <c r="J39" s="489">
        <f t="shared" si="1"/>
        <v>1425000</v>
      </c>
      <c r="K39" s="518">
        <v>1</v>
      </c>
      <c r="L39" s="489">
        <f t="shared" si="0"/>
        <v>0</v>
      </c>
      <c r="M39" s="489"/>
      <c r="N39" s="489"/>
      <c r="O39" s="489"/>
      <c r="P39" s="489"/>
      <c r="Q39" s="489"/>
      <c r="R39" s="489"/>
      <c r="S39" s="519" t="s">
        <v>35</v>
      </c>
    </row>
    <row r="40" spans="1:19" s="572" customFormat="1" ht="9">
      <c r="A40" s="563">
        <v>10</v>
      </c>
      <c r="B40" s="539" t="s">
        <v>336</v>
      </c>
      <c r="C40" s="579" t="s">
        <v>27</v>
      </c>
      <c r="D40" s="542" t="s">
        <v>337</v>
      </c>
      <c r="E40" s="541" t="s">
        <v>145</v>
      </c>
      <c r="F40" s="564"/>
      <c r="G40" s="565" t="s">
        <v>30</v>
      </c>
      <c r="H40" s="565">
        <v>12</v>
      </c>
      <c r="I40" s="487">
        <v>465000</v>
      </c>
      <c r="J40" s="486">
        <f t="shared" si="1"/>
        <v>5580000</v>
      </c>
      <c r="K40" s="580">
        <v>1</v>
      </c>
      <c r="L40" s="487">
        <f t="shared" si="0"/>
        <v>0</v>
      </c>
      <c r="M40" s="487"/>
      <c r="N40" s="487"/>
      <c r="O40" s="487"/>
      <c r="P40" s="487"/>
      <c r="Q40" s="487"/>
      <c r="R40" s="487">
        <f>SUM(L40:L42)</f>
        <v>0</v>
      </c>
      <c r="S40" s="581"/>
    </row>
    <row r="41" spans="1:19" s="572" customFormat="1" ht="9">
      <c r="A41" s="556"/>
      <c r="B41" s="490" t="s">
        <v>336</v>
      </c>
      <c r="C41" s="554" t="s">
        <v>27</v>
      </c>
      <c r="D41" s="548" t="s">
        <v>337</v>
      </c>
      <c r="E41" s="547"/>
      <c r="F41" s="562"/>
      <c r="G41" s="557" t="s">
        <v>45</v>
      </c>
      <c r="H41" s="557">
        <v>3</v>
      </c>
      <c r="I41" s="483">
        <v>485000</v>
      </c>
      <c r="J41" s="486">
        <f t="shared" si="1"/>
        <v>1455000</v>
      </c>
      <c r="K41" s="578">
        <v>1</v>
      </c>
      <c r="L41" s="483">
        <f t="shared" si="0"/>
        <v>0</v>
      </c>
      <c r="M41" s="483"/>
      <c r="N41" s="483"/>
      <c r="O41" s="483"/>
      <c r="P41" s="483"/>
      <c r="Q41" s="483"/>
      <c r="R41" s="483"/>
      <c r="S41" s="574"/>
    </row>
    <row r="42" spans="1:19" s="572" customFormat="1" ht="9">
      <c r="A42" s="532"/>
      <c r="B42" s="496" t="s">
        <v>336</v>
      </c>
      <c r="C42" s="546" t="s">
        <v>27</v>
      </c>
      <c r="D42" s="618" t="s">
        <v>337</v>
      </c>
      <c r="E42" s="533"/>
      <c r="F42" s="575"/>
      <c r="G42" s="535" t="s">
        <v>36</v>
      </c>
      <c r="H42" s="535">
        <v>10</v>
      </c>
      <c r="I42" s="488">
        <v>450000</v>
      </c>
      <c r="J42" s="488">
        <f t="shared" si="1"/>
        <v>4500000</v>
      </c>
      <c r="K42" s="536">
        <v>1</v>
      </c>
      <c r="L42" s="488">
        <f t="shared" si="0"/>
        <v>0</v>
      </c>
      <c r="M42" s="488"/>
      <c r="N42" s="488"/>
      <c r="O42" s="488"/>
      <c r="P42" s="488"/>
      <c r="Q42" s="488"/>
      <c r="R42" s="488"/>
      <c r="S42" s="537"/>
    </row>
    <row r="43" spans="1:19" s="572" customFormat="1" ht="18">
      <c r="A43" s="568">
        <v>11</v>
      </c>
      <c r="B43" s="495" t="s">
        <v>329</v>
      </c>
      <c r="C43" s="567" t="s">
        <v>27</v>
      </c>
      <c r="D43" s="547" t="s">
        <v>338</v>
      </c>
      <c r="E43" s="547" t="s">
        <v>339</v>
      </c>
      <c r="F43" s="577"/>
      <c r="G43" s="569" t="s">
        <v>34</v>
      </c>
      <c r="H43" s="569">
        <v>11</v>
      </c>
      <c r="I43" s="486">
        <v>455000</v>
      </c>
      <c r="J43" s="486">
        <f t="shared" si="1"/>
        <v>5005000</v>
      </c>
      <c r="K43" s="570">
        <v>1</v>
      </c>
      <c r="L43" s="486">
        <f t="shared" si="0"/>
        <v>0</v>
      </c>
      <c r="M43" s="486"/>
      <c r="N43" s="486"/>
      <c r="O43" s="486"/>
      <c r="P43" s="486"/>
      <c r="Q43" s="486"/>
      <c r="R43" s="486"/>
      <c r="S43" s="571"/>
    </row>
    <row r="44" spans="1:19" s="572" customFormat="1" ht="18">
      <c r="A44" s="532"/>
      <c r="B44" s="496" t="s">
        <v>329</v>
      </c>
      <c r="C44" s="546" t="s">
        <v>27</v>
      </c>
      <c r="D44" s="618" t="s">
        <v>338</v>
      </c>
      <c r="E44" s="618"/>
      <c r="F44" s="575"/>
      <c r="G44" s="535" t="s">
        <v>46</v>
      </c>
      <c r="H44" s="535">
        <v>11</v>
      </c>
      <c r="I44" s="488">
        <v>455000</v>
      </c>
      <c r="J44" s="488">
        <f t="shared" si="1"/>
        <v>5005000</v>
      </c>
      <c r="K44" s="536">
        <v>1</v>
      </c>
      <c r="L44" s="488">
        <f t="shared" si="0"/>
        <v>0</v>
      </c>
      <c r="M44" s="488"/>
      <c r="N44" s="488"/>
      <c r="O44" s="488"/>
      <c r="P44" s="488"/>
      <c r="Q44" s="488"/>
      <c r="R44" s="488"/>
      <c r="S44" s="537"/>
    </row>
    <row r="45" spans="1:19" s="572" customFormat="1" ht="18">
      <c r="A45" s="514">
        <v>12</v>
      </c>
      <c r="B45" s="497" t="s">
        <v>336</v>
      </c>
      <c r="C45" s="515" t="s">
        <v>318</v>
      </c>
      <c r="D45" s="516" t="s">
        <v>86</v>
      </c>
      <c r="E45" s="516" t="s">
        <v>319</v>
      </c>
      <c r="F45" s="566"/>
      <c r="G45" s="517" t="s">
        <v>34</v>
      </c>
      <c r="H45" s="517">
        <v>2</v>
      </c>
      <c r="I45" s="489">
        <v>455000</v>
      </c>
      <c r="J45" s="489">
        <f t="shared" si="1"/>
        <v>910000</v>
      </c>
      <c r="K45" s="518">
        <v>0.35</v>
      </c>
      <c r="L45" s="489">
        <f t="shared" si="0"/>
        <v>591500</v>
      </c>
      <c r="M45" s="489"/>
      <c r="N45" s="489"/>
      <c r="O45" s="489"/>
      <c r="P45" s="489"/>
      <c r="Q45" s="489">
        <v>131</v>
      </c>
      <c r="R45" s="489">
        <f>L45</f>
        <v>591500</v>
      </c>
      <c r="S45" s="519"/>
    </row>
    <row r="46" spans="1:19" s="572" customFormat="1" ht="18">
      <c r="A46" s="514">
        <v>13</v>
      </c>
      <c r="B46" s="497" t="s">
        <v>336</v>
      </c>
      <c r="C46" s="515" t="s">
        <v>27</v>
      </c>
      <c r="D46" s="516" t="s">
        <v>340</v>
      </c>
      <c r="E46" s="516" t="s">
        <v>341</v>
      </c>
      <c r="F46" s="566"/>
      <c r="G46" s="517" t="s">
        <v>34</v>
      </c>
      <c r="H46" s="517">
        <v>1</v>
      </c>
      <c r="I46" s="489">
        <v>455000</v>
      </c>
      <c r="J46" s="489">
        <f t="shared" si="1"/>
        <v>455000</v>
      </c>
      <c r="K46" s="518">
        <v>0.41</v>
      </c>
      <c r="L46" s="489">
        <f t="shared" si="0"/>
        <v>268450.00000000006</v>
      </c>
      <c r="M46" s="489">
        <v>111</v>
      </c>
      <c r="N46" s="489">
        <f>L46</f>
        <v>268450.00000000006</v>
      </c>
      <c r="O46" s="489"/>
      <c r="P46" s="489"/>
      <c r="Q46" s="489"/>
      <c r="R46" s="489"/>
      <c r="S46" s="549"/>
    </row>
    <row r="47" spans="1:19" s="572" customFormat="1" ht="18">
      <c r="A47" s="514">
        <v>14</v>
      </c>
      <c r="B47" s="497" t="s">
        <v>342</v>
      </c>
      <c r="C47" s="515" t="s">
        <v>278</v>
      </c>
      <c r="D47" s="516" t="s">
        <v>86</v>
      </c>
      <c r="E47" s="516"/>
      <c r="F47" s="566"/>
      <c r="G47" s="517" t="s">
        <v>34</v>
      </c>
      <c r="H47" s="517">
        <v>1</v>
      </c>
      <c r="I47" s="489">
        <v>455000</v>
      </c>
      <c r="J47" s="489">
        <f t="shared" si="1"/>
        <v>455000</v>
      </c>
      <c r="K47" s="518">
        <v>0.41</v>
      </c>
      <c r="L47" s="489">
        <f t="shared" si="0"/>
        <v>268450.00000000006</v>
      </c>
      <c r="M47" s="489"/>
      <c r="N47" s="489"/>
      <c r="O47" s="489">
        <v>112</v>
      </c>
      <c r="P47" s="489">
        <f>L47</f>
        <v>268450.00000000006</v>
      </c>
      <c r="Q47" s="489"/>
      <c r="R47" s="489"/>
      <c r="S47" s="549" t="s">
        <v>127</v>
      </c>
    </row>
    <row r="48" spans="1:19" s="572" customFormat="1" ht="27">
      <c r="A48" s="568">
        <v>15</v>
      </c>
      <c r="B48" s="495" t="s">
        <v>342</v>
      </c>
      <c r="C48" s="567" t="s">
        <v>27</v>
      </c>
      <c r="D48" s="547" t="s">
        <v>343</v>
      </c>
      <c r="E48" s="547" t="s">
        <v>344</v>
      </c>
      <c r="F48" s="577"/>
      <c r="G48" s="569" t="s">
        <v>60</v>
      </c>
      <c r="H48" s="569">
        <v>1</v>
      </c>
      <c r="I48" s="486">
        <v>455000</v>
      </c>
      <c r="J48" s="486">
        <f t="shared" si="1"/>
        <v>455000</v>
      </c>
      <c r="K48" s="570">
        <v>0.3</v>
      </c>
      <c r="L48" s="486">
        <f t="shared" si="0"/>
        <v>318500</v>
      </c>
      <c r="M48" s="486"/>
      <c r="N48" s="486"/>
      <c r="O48" s="486"/>
      <c r="P48" s="486"/>
      <c r="Q48" s="486">
        <v>131</v>
      </c>
      <c r="R48" s="486">
        <f>SUM(L48:L52)</f>
        <v>1288000</v>
      </c>
      <c r="S48" s="571"/>
    </row>
    <row r="49" spans="1:19" s="572" customFormat="1" ht="27">
      <c r="A49" s="556"/>
      <c r="B49" s="495" t="s">
        <v>342</v>
      </c>
      <c r="C49" s="567" t="s">
        <v>27</v>
      </c>
      <c r="D49" s="547" t="s">
        <v>343</v>
      </c>
      <c r="E49" s="547"/>
      <c r="F49" s="562"/>
      <c r="G49" s="557" t="s">
        <v>32</v>
      </c>
      <c r="H49" s="557">
        <v>1</v>
      </c>
      <c r="I49" s="483">
        <v>275000</v>
      </c>
      <c r="J49" s="486">
        <f t="shared" si="1"/>
        <v>275000</v>
      </c>
      <c r="K49" s="570">
        <v>1</v>
      </c>
      <c r="L49" s="483">
        <f t="shared" si="0"/>
        <v>0</v>
      </c>
      <c r="M49" s="483"/>
      <c r="N49" s="483"/>
      <c r="O49" s="483"/>
      <c r="P49" s="483"/>
      <c r="Q49" s="483"/>
      <c r="R49" s="483"/>
      <c r="S49" s="573"/>
    </row>
    <row r="50" spans="1:19" s="572" customFormat="1" ht="27">
      <c r="A50" s="556"/>
      <c r="B50" s="495" t="s">
        <v>342</v>
      </c>
      <c r="C50" s="567" t="s">
        <v>27</v>
      </c>
      <c r="D50" s="547" t="s">
        <v>343</v>
      </c>
      <c r="E50" s="547"/>
      <c r="F50" s="562"/>
      <c r="G50" s="557" t="s">
        <v>50</v>
      </c>
      <c r="H50" s="557">
        <v>1</v>
      </c>
      <c r="I50" s="483">
        <v>475000</v>
      </c>
      <c r="J50" s="486">
        <f t="shared" si="1"/>
        <v>475000</v>
      </c>
      <c r="K50" s="570">
        <v>0.3</v>
      </c>
      <c r="L50" s="483">
        <f t="shared" si="0"/>
        <v>332500</v>
      </c>
      <c r="M50" s="483"/>
      <c r="N50" s="483"/>
      <c r="O50" s="483"/>
      <c r="P50" s="483"/>
      <c r="Q50" s="483"/>
      <c r="R50" s="483"/>
      <c r="S50" s="573"/>
    </row>
    <row r="51" spans="1:19" s="572" customFormat="1" ht="27">
      <c r="A51" s="556"/>
      <c r="B51" s="495" t="s">
        <v>342</v>
      </c>
      <c r="C51" s="567" t="s">
        <v>27</v>
      </c>
      <c r="D51" s="547" t="s">
        <v>343</v>
      </c>
      <c r="E51" s="547"/>
      <c r="F51" s="562"/>
      <c r="G51" s="557" t="s">
        <v>34</v>
      </c>
      <c r="H51" s="557">
        <v>1</v>
      </c>
      <c r="I51" s="483">
        <v>455000</v>
      </c>
      <c r="J51" s="486">
        <f t="shared" si="1"/>
        <v>455000</v>
      </c>
      <c r="K51" s="570">
        <v>0.3</v>
      </c>
      <c r="L51" s="483">
        <f t="shared" si="0"/>
        <v>318500</v>
      </c>
      <c r="M51" s="483"/>
      <c r="N51" s="483"/>
      <c r="O51" s="483"/>
      <c r="P51" s="483"/>
      <c r="Q51" s="483"/>
      <c r="R51" s="483"/>
      <c r="S51" s="573"/>
    </row>
    <row r="52" spans="1:19" s="572" customFormat="1" ht="27">
      <c r="A52" s="532"/>
      <c r="B52" s="496" t="s">
        <v>342</v>
      </c>
      <c r="C52" s="546" t="s">
        <v>27</v>
      </c>
      <c r="D52" s="618" t="s">
        <v>343</v>
      </c>
      <c r="E52" s="618"/>
      <c r="F52" s="575"/>
      <c r="G52" s="535" t="s">
        <v>46</v>
      </c>
      <c r="H52" s="535">
        <v>1</v>
      </c>
      <c r="I52" s="488">
        <v>455000</v>
      </c>
      <c r="J52" s="488">
        <f t="shared" si="1"/>
        <v>455000</v>
      </c>
      <c r="K52" s="536">
        <v>0.3</v>
      </c>
      <c r="L52" s="488">
        <f t="shared" si="0"/>
        <v>318500</v>
      </c>
      <c r="M52" s="488"/>
      <c r="N52" s="488"/>
      <c r="O52" s="488"/>
      <c r="P52" s="488"/>
      <c r="Q52" s="488"/>
      <c r="R52" s="488"/>
      <c r="S52" s="537"/>
    </row>
    <row r="53" spans="1:19" s="572" customFormat="1" ht="18">
      <c r="A53" s="568">
        <v>16</v>
      </c>
      <c r="B53" s="495" t="s">
        <v>342</v>
      </c>
      <c r="C53" s="567" t="s">
        <v>27</v>
      </c>
      <c r="D53" s="547" t="s">
        <v>220</v>
      </c>
      <c r="E53" s="547" t="s">
        <v>345</v>
      </c>
      <c r="F53" s="577"/>
      <c r="G53" s="569" t="s">
        <v>60</v>
      </c>
      <c r="H53" s="569">
        <v>7</v>
      </c>
      <c r="I53" s="486">
        <v>455000</v>
      </c>
      <c r="J53" s="486">
        <f t="shared" si="1"/>
        <v>3185000</v>
      </c>
      <c r="K53" s="570">
        <v>0.25</v>
      </c>
      <c r="L53" s="486">
        <f t="shared" si="0"/>
        <v>2388750</v>
      </c>
      <c r="M53" s="486"/>
      <c r="N53" s="486"/>
      <c r="O53" s="486">
        <v>112</v>
      </c>
      <c r="P53" s="486">
        <f>SUM(L53:L54)</f>
        <v>3213750</v>
      </c>
      <c r="Q53" s="486"/>
      <c r="R53" s="486"/>
      <c r="S53" s="571"/>
    </row>
    <row r="54" spans="1:19" s="572" customFormat="1" ht="9">
      <c r="A54" s="532"/>
      <c r="B54" s="495" t="s">
        <v>342</v>
      </c>
      <c r="C54" s="567" t="s">
        <v>27</v>
      </c>
      <c r="D54" s="547" t="s">
        <v>220</v>
      </c>
      <c r="E54" s="618"/>
      <c r="F54" s="575"/>
      <c r="G54" s="535" t="s">
        <v>74</v>
      </c>
      <c r="H54" s="535">
        <v>2</v>
      </c>
      <c r="I54" s="488">
        <v>550000</v>
      </c>
      <c r="J54" s="523">
        <f t="shared" si="1"/>
        <v>1100000</v>
      </c>
      <c r="K54" s="536">
        <v>0.25</v>
      </c>
      <c r="L54" s="488">
        <f t="shared" si="0"/>
        <v>825000</v>
      </c>
      <c r="M54" s="488"/>
      <c r="N54" s="488"/>
      <c r="O54" s="488"/>
      <c r="P54" s="488"/>
      <c r="Q54" s="488"/>
      <c r="R54" s="488"/>
      <c r="S54" s="537"/>
    </row>
    <row r="55" spans="1:19" s="572" customFormat="1" ht="18">
      <c r="A55" s="514">
        <v>17</v>
      </c>
      <c r="B55" s="497" t="s">
        <v>342</v>
      </c>
      <c r="C55" s="458" t="s">
        <v>96</v>
      </c>
      <c r="D55" s="516" t="s">
        <v>86</v>
      </c>
      <c r="E55" s="516"/>
      <c r="F55" s="566"/>
      <c r="G55" s="517" t="s">
        <v>253</v>
      </c>
      <c r="H55" s="517">
        <v>1</v>
      </c>
      <c r="I55" s="489">
        <v>255000</v>
      </c>
      <c r="J55" s="489">
        <f>H55*I55</f>
        <v>255000</v>
      </c>
      <c r="K55" s="518">
        <v>0.41</v>
      </c>
      <c r="L55" s="489">
        <f>H55*I55*(1-K55)</f>
        <v>150450.00000000003</v>
      </c>
      <c r="M55" s="489"/>
      <c r="N55" s="489"/>
      <c r="O55" s="489">
        <v>112</v>
      </c>
      <c r="P55" s="489">
        <f>L55</f>
        <v>150450.00000000003</v>
      </c>
      <c r="Q55" s="489"/>
      <c r="R55" s="489"/>
      <c r="S55" s="519" t="s">
        <v>127</v>
      </c>
    </row>
    <row r="56" spans="1:19" s="572" customFormat="1" ht="18">
      <c r="A56" s="514">
        <v>18</v>
      </c>
      <c r="B56" s="497" t="s">
        <v>342</v>
      </c>
      <c r="C56" s="458" t="s">
        <v>333</v>
      </c>
      <c r="D56" s="516" t="s">
        <v>346</v>
      </c>
      <c r="E56" s="516" t="s">
        <v>347</v>
      </c>
      <c r="F56" s="566"/>
      <c r="G56" s="517" t="s">
        <v>45</v>
      </c>
      <c r="H56" s="517">
        <v>24</v>
      </c>
      <c r="I56" s="489">
        <v>485000</v>
      </c>
      <c r="J56" s="489">
        <f t="shared" si="1"/>
        <v>11640000</v>
      </c>
      <c r="K56" s="518">
        <v>1</v>
      </c>
      <c r="L56" s="489">
        <f>H56*I56*(1-K56)</f>
        <v>0</v>
      </c>
      <c r="M56" s="489"/>
      <c r="N56" s="489"/>
      <c r="O56" s="489"/>
      <c r="P56" s="489"/>
      <c r="Q56" s="489">
        <v>131</v>
      </c>
      <c r="R56" s="489">
        <f>L56</f>
        <v>0</v>
      </c>
      <c r="S56" s="519"/>
    </row>
    <row r="57" spans="1:19" s="572" customFormat="1" ht="18">
      <c r="A57" s="514">
        <v>19</v>
      </c>
      <c r="B57" s="497" t="s">
        <v>342</v>
      </c>
      <c r="C57" s="458" t="s">
        <v>96</v>
      </c>
      <c r="D57" s="516" t="s">
        <v>86</v>
      </c>
      <c r="E57" s="516"/>
      <c r="F57" s="566"/>
      <c r="G57" s="517" t="s">
        <v>36</v>
      </c>
      <c r="H57" s="517">
        <v>1</v>
      </c>
      <c r="I57" s="489">
        <v>450000</v>
      </c>
      <c r="J57" s="489">
        <f t="shared" si="1"/>
        <v>450000</v>
      </c>
      <c r="K57" s="518">
        <v>0.41</v>
      </c>
      <c r="L57" s="489">
        <f t="shared" si="0"/>
        <v>265500.00000000006</v>
      </c>
      <c r="M57" s="489"/>
      <c r="N57" s="489"/>
      <c r="O57" s="489">
        <v>112</v>
      </c>
      <c r="P57" s="489">
        <f>L57</f>
        <v>265500.00000000006</v>
      </c>
      <c r="Q57" s="489"/>
      <c r="R57" s="489"/>
      <c r="S57" s="519" t="s">
        <v>127</v>
      </c>
    </row>
    <row r="58" spans="1:19" s="572" customFormat="1" ht="45">
      <c r="A58" s="568">
        <v>19</v>
      </c>
      <c r="B58" s="495" t="s">
        <v>348</v>
      </c>
      <c r="C58" s="547" t="s">
        <v>27</v>
      </c>
      <c r="D58" s="547" t="s">
        <v>349</v>
      </c>
      <c r="E58" s="547" t="s">
        <v>350</v>
      </c>
      <c r="F58" s="577" t="s">
        <v>351</v>
      </c>
      <c r="G58" s="569" t="s">
        <v>60</v>
      </c>
      <c r="H58" s="569">
        <v>3</v>
      </c>
      <c r="I58" s="486">
        <v>455000</v>
      </c>
      <c r="J58" s="486">
        <f t="shared" si="1"/>
        <v>1365000</v>
      </c>
      <c r="K58" s="570">
        <v>0.41</v>
      </c>
      <c r="L58" s="486">
        <f t="shared" si="0"/>
        <v>805350.00000000012</v>
      </c>
      <c r="M58" s="486"/>
      <c r="N58" s="486"/>
      <c r="O58" s="486"/>
      <c r="P58" s="486"/>
      <c r="Q58" s="486">
        <v>131</v>
      </c>
      <c r="R58" s="486">
        <f>SUM(L58:L69)</f>
        <v>9027000.0000000019</v>
      </c>
      <c r="S58" s="571"/>
    </row>
    <row r="59" spans="1:19" s="572" customFormat="1" ht="45">
      <c r="A59" s="556"/>
      <c r="B59" s="495" t="s">
        <v>348</v>
      </c>
      <c r="C59" s="547" t="s">
        <v>27</v>
      </c>
      <c r="D59" s="547" t="s">
        <v>349</v>
      </c>
      <c r="E59" s="547"/>
      <c r="F59" s="562"/>
      <c r="G59" s="557" t="s">
        <v>42</v>
      </c>
      <c r="H59" s="557">
        <v>3</v>
      </c>
      <c r="I59" s="483">
        <v>265000</v>
      </c>
      <c r="J59" s="486">
        <f t="shared" si="1"/>
        <v>795000</v>
      </c>
      <c r="K59" s="578">
        <v>0.41</v>
      </c>
      <c r="L59" s="483">
        <f t="shared" si="0"/>
        <v>469050.00000000006</v>
      </c>
      <c r="M59" s="483"/>
      <c r="N59" s="483"/>
      <c r="O59" s="483"/>
      <c r="P59" s="483"/>
      <c r="Q59" s="483"/>
      <c r="R59" s="483"/>
      <c r="S59" s="573"/>
    </row>
    <row r="60" spans="1:19" s="572" customFormat="1" ht="45">
      <c r="A60" s="556"/>
      <c r="B60" s="495" t="s">
        <v>348</v>
      </c>
      <c r="C60" s="547" t="s">
        <v>27</v>
      </c>
      <c r="D60" s="547" t="s">
        <v>349</v>
      </c>
      <c r="E60" s="547"/>
      <c r="F60" s="562"/>
      <c r="G60" s="557" t="s">
        <v>30</v>
      </c>
      <c r="H60" s="557">
        <v>3</v>
      </c>
      <c r="I60" s="483">
        <v>465000</v>
      </c>
      <c r="J60" s="486">
        <f t="shared" si="1"/>
        <v>1395000</v>
      </c>
      <c r="K60" s="578">
        <v>0.41</v>
      </c>
      <c r="L60" s="483">
        <f t="shared" si="0"/>
        <v>823050.00000000012</v>
      </c>
      <c r="M60" s="483"/>
      <c r="N60" s="483"/>
      <c r="O60" s="483"/>
      <c r="P60" s="483"/>
      <c r="Q60" s="483"/>
      <c r="R60" s="483"/>
      <c r="S60" s="573"/>
    </row>
    <row r="61" spans="1:19" s="572" customFormat="1" ht="45">
      <c r="A61" s="556"/>
      <c r="B61" s="495" t="s">
        <v>348</v>
      </c>
      <c r="C61" s="547" t="s">
        <v>27</v>
      </c>
      <c r="D61" s="547" t="s">
        <v>349</v>
      </c>
      <c r="E61" s="547"/>
      <c r="F61" s="562"/>
      <c r="G61" s="557" t="s">
        <v>32</v>
      </c>
      <c r="H61" s="557">
        <v>3</v>
      </c>
      <c r="I61" s="483">
        <v>275000</v>
      </c>
      <c r="J61" s="486">
        <f t="shared" si="1"/>
        <v>825000</v>
      </c>
      <c r="K61" s="578">
        <v>0.41</v>
      </c>
      <c r="L61" s="483">
        <f t="shared" si="0"/>
        <v>486750.00000000006</v>
      </c>
      <c r="M61" s="483"/>
      <c r="N61" s="483"/>
      <c r="O61" s="483"/>
      <c r="P61" s="483"/>
      <c r="Q61" s="483"/>
      <c r="R61" s="483"/>
      <c r="S61" s="573"/>
    </row>
    <row r="62" spans="1:19" s="572" customFormat="1" ht="45">
      <c r="A62" s="556"/>
      <c r="B62" s="495" t="s">
        <v>348</v>
      </c>
      <c r="C62" s="547" t="s">
        <v>27</v>
      </c>
      <c r="D62" s="547" t="s">
        <v>349</v>
      </c>
      <c r="E62" s="547"/>
      <c r="F62" s="562"/>
      <c r="G62" s="557" t="s">
        <v>50</v>
      </c>
      <c r="H62" s="557">
        <v>3</v>
      </c>
      <c r="I62" s="483">
        <v>475000</v>
      </c>
      <c r="J62" s="486">
        <f t="shared" si="1"/>
        <v>1425000</v>
      </c>
      <c r="K62" s="578">
        <v>0.41</v>
      </c>
      <c r="L62" s="483">
        <f t="shared" si="0"/>
        <v>840750.00000000012</v>
      </c>
      <c r="M62" s="483"/>
      <c r="N62" s="483"/>
      <c r="O62" s="483"/>
      <c r="P62" s="483"/>
      <c r="Q62" s="483"/>
      <c r="R62" s="483"/>
      <c r="S62" s="573"/>
    </row>
    <row r="63" spans="1:19" s="572" customFormat="1" ht="45">
      <c r="A63" s="556"/>
      <c r="B63" s="495" t="s">
        <v>348</v>
      </c>
      <c r="C63" s="547" t="s">
        <v>27</v>
      </c>
      <c r="D63" s="547" t="s">
        <v>349</v>
      </c>
      <c r="E63" s="547"/>
      <c r="F63" s="562"/>
      <c r="G63" s="557" t="s">
        <v>45</v>
      </c>
      <c r="H63" s="557">
        <v>3</v>
      </c>
      <c r="I63" s="483">
        <v>485000</v>
      </c>
      <c r="J63" s="486">
        <f t="shared" si="1"/>
        <v>1455000</v>
      </c>
      <c r="K63" s="578">
        <v>0.41</v>
      </c>
      <c r="L63" s="483">
        <f t="shared" si="0"/>
        <v>858450.00000000012</v>
      </c>
      <c r="M63" s="483"/>
      <c r="N63" s="483"/>
      <c r="O63" s="483"/>
      <c r="P63" s="483"/>
      <c r="Q63" s="483"/>
      <c r="R63" s="483"/>
      <c r="S63" s="573"/>
    </row>
    <row r="64" spans="1:19" s="572" customFormat="1" ht="45">
      <c r="A64" s="556"/>
      <c r="B64" s="495" t="s">
        <v>348</v>
      </c>
      <c r="C64" s="547" t="s">
        <v>27</v>
      </c>
      <c r="D64" s="547" t="s">
        <v>349</v>
      </c>
      <c r="E64" s="547"/>
      <c r="F64" s="562"/>
      <c r="G64" s="557" t="s">
        <v>72</v>
      </c>
      <c r="H64" s="557">
        <v>3</v>
      </c>
      <c r="I64" s="483">
        <v>285000</v>
      </c>
      <c r="J64" s="486">
        <f t="shared" si="1"/>
        <v>855000</v>
      </c>
      <c r="K64" s="578">
        <v>0.41</v>
      </c>
      <c r="L64" s="483">
        <f t="shared" si="0"/>
        <v>504450.00000000006</v>
      </c>
      <c r="M64" s="483"/>
      <c r="N64" s="483"/>
      <c r="O64" s="483"/>
      <c r="P64" s="483"/>
      <c r="Q64" s="483"/>
      <c r="R64" s="483"/>
      <c r="S64" s="573"/>
    </row>
    <row r="65" spans="1:19" s="572" customFormat="1" ht="45">
      <c r="A65" s="556"/>
      <c r="B65" s="495" t="s">
        <v>348</v>
      </c>
      <c r="C65" s="547" t="s">
        <v>27</v>
      </c>
      <c r="D65" s="547" t="s">
        <v>349</v>
      </c>
      <c r="E65" s="547"/>
      <c r="F65" s="562"/>
      <c r="G65" s="557" t="s">
        <v>73</v>
      </c>
      <c r="H65" s="557">
        <v>3</v>
      </c>
      <c r="I65" s="483">
        <v>485000</v>
      </c>
      <c r="J65" s="486">
        <f t="shared" si="1"/>
        <v>1455000</v>
      </c>
      <c r="K65" s="578">
        <v>0.41</v>
      </c>
      <c r="L65" s="483">
        <f t="shared" si="0"/>
        <v>858450.00000000012</v>
      </c>
      <c r="M65" s="483"/>
      <c r="N65" s="483"/>
      <c r="O65" s="483"/>
      <c r="P65" s="483"/>
      <c r="Q65" s="483"/>
      <c r="R65" s="483"/>
      <c r="S65" s="573"/>
    </row>
    <row r="66" spans="1:19" s="572" customFormat="1" ht="45">
      <c r="A66" s="556"/>
      <c r="B66" s="495" t="s">
        <v>348</v>
      </c>
      <c r="C66" s="547" t="s">
        <v>27</v>
      </c>
      <c r="D66" s="547" t="s">
        <v>349</v>
      </c>
      <c r="E66" s="547"/>
      <c r="F66" s="562"/>
      <c r="G66" s="557" t="s">
        <v>74</v>
      </c>
      <c r="H66" s="557">
        <v>3</v>
      </c>
      <c r="I66" s="483">
        <v>550000</v>
      </c>
      <c r="J66" s="486">
        <f t="shared" si="1"/>
        <v>1650000</v>
      </c>
      <c r="K66" s="578">
        <v>0.41</v>
      </c>
      <c r="L66" s="483">
        <f t="shared" si="0"/>
        <v>973500.00000000012</v>
      </c>
      <c r="M66" s="483"/>
      <c r="N66" s="483"/>
      <c r="O66" s="483"/>
      <c r="P66" s="483"/>
      <c r="Q66" s="483"/>
      <c r="R66" s="483"/>
      <c r="S66" s="573"/>
    </row>
    <row r="67" spans="1:19" s="572" customFormat="1" ht="45">
      <c r="A67" s="556"/>
      <c r="B67" s="495" t="s">
        <v>348</v>
      </c>
      <c r="C67" s="547" t="s">
        <v>27</v>
      </c>
      <c r="D67" s="547" t="s">
        <v>349</v>
      </c>
      <c r="E67" s="547"/>
      <c r="F67" s="562"/>
      <c r="G67" s="557" t="s">
        <v>36</v>
      </c>
      <c r="H67" s="557">
        <v>3</v>
      </c>
      <c r="I67" s="483">
        <v>450000</v>
      </c>
      <c r="J67" s="486">
        <f t="shared" si="1"/>
        <v>1350000</v>
      </c>
      <c r="K67" s="578">
        <v>0.41</v>
      </c>
      <c r="L67" s="483">
        <f t="shared" si="0"/>
        <v>796500.00000000012</v>
      </c>
      <c r="M67" s="483"/>
      <c r="N67" s="483"/>
      <c r="O67" s="483"/>
      <c r="P67" s="483"/>
      <c r="Q67" s="483"/>
      <c r="R67" s="483"/>
      <c r="S67" s="573"/>
    </row>
    <row r="68" spans="1:19" s="572" customFormat="1" ht="45">
      <c r="A68" s="556"/>
      <c r="B68" s="495" t="s">
        <v>348</v>
      </c>
      <c r="C68" s="547" t="s">
        <v>27</v>
      </c>
      <c r="D68" s="547" t="s">
        <v>349</v>
      </c>
      <c r="E68" s="547"/>
      <c r="F68" s="562"/>
      <c r="G68" s="557" t="s">
        <v>34</v>
      </c>
      <c r="H68" s="557">
        <v>3</v>
      </c>
      <c r="I68" s="483">
        <v>455000</v>
      </c>
      <c r="J68" s="486">
        <f t="shared" si="1"/>
        <v>1365000</v>
      </c>
      <c r="K68" s="578">
        <v>0.41</v>
      </c>
      <c r="L68" s="483">
        <f t="shared" si="0"/>
        <v>805350.00000000012</v>
      </c>
      <c r="M68" s="483"/>
      <c r="N68" s="483"/>
      <c r="O68" s="483"/>
      <c r="P68" s="483"/>
      <c r="Q68" s="483"/>
      <c r="R68" s="483"/>
      <c r="S68" s="573"/>
    </row>
    <row r="69" spans="1:19" s="572" customFormat="1" ht="45">
      <c r="A69" s="532"/>
      <c r="B69" s="496" t="s">
        <v>348</v>
      </c>
      <c r="C69" s="618" t="s">
        <v>27</v>
      </c>
      <c r="D69" s="618" t="s">
        <v>349</v>
      </c>
      <c r="E69" s="618"/>
      <c r="F69" s="575"/>
      <c r="G69" s="535" t="s">
        <v>46</v>
      </c>
      <c r="H69" s="535">
        <v>3</v>
      </c>
      <c r="I69" s="488">
        <v>455000</v>
      </c>
      <c r="J69" s="523">
        <f t="shared" si="1"/>
        <v>1365000</v>
      </c>
      <c r="K69" s="536">
        <v>0.41</v>
      </c>
      <c r="L69" s="488">
        <f t="shared" si="0"/>
        <v>805350.00000000012</v>
      </c>
      <c r="M69" s="488"/>
      <c r="N69" s="488"/>
      <c r="O69" s="488"/>
      <c r="P69" s="488"/>
      <c r="Q69" s="488"/>
      <c r="R69" s="488"/>
      <c r="S69" s="537"/>
    </row>
    <row r="70" spans="1:19" s="572" customFormat="1" ht="36">
      <c r="A70" s="514">
        <v>20</v>
      </c>
      <c r="B70" s="497" t="s">
        <v>352</v>
      </c>
      <c r="C70" s="458" t="s">
        <v>318</v>
      </c>
      <c r="D70" s="516" t="s">
        <v>86</v>
      </c>
      <c r="E70" s="516" t="s">
        <v>353</v>
      </c>
      <c r="F70" s="566"/>
      <c r="G70" s="517" t="s">
        <v>45</v>
      </c>
      <c r="H70" s="517">
        <v>0</v>
      </c>
      <c r="I70" s="489">
        <v>485000</v>
      </c>
      <c r="J70" s="489">
        <f t="shared" si="1"/>
        <v>0</v>
      </c>
      <c r="K70" s="536">
        <v>0.35</v>
      </c>
      <c r="L70" s="489">
        <f t="shared" si="0"/>
        <v>0</v>
      </c>
      <c r="M70" s="489"/>
      <c r="N70" s="489"/>
      <c r="O70" s="489"/>
      <c r="P70" s="489"/>
      <c r="Q70" s="489">
        <v>131</v>
      </c>
      <c r="R70" s="489">
        <f>L70</f>
        <v>0</v>
      </c>
      <c r="S70" s="830" t="s">
        <v>1682</v>
      </c>
    </row>
    <row r="71" spans="1:19" s="572" customFormat="1" ht="27">
      <c r="A71" s="514">
        <v>21</v>
      </c>
      <c r="B71" s="497" t="s">
        <v>348</v>
      </c>
      <c r="C71" s="458" t="s">
        <v>27</v>
      </c>
      <c r="D71" s="516" t="s">
        <v>354</v>
      </c>
      <c r="E71" s="516" t="s">
        <v>355</v>
      </c>
      <c r="F71" s="566"/>
      <c r="G71" s="517" t="s">
        <v>60</v>
      </c>
      <c r="H71" s="517">
        <v>2</v>
      </c>
      <c r="I71" s="489">
        <v>455000</v>
      </c>
      <c r="J71" s="582">
        <f t="shared" si="1"/>
        <v>910000</v>
      </c>
      <c r="K71" s="518">
        <v>0.2</v>
      </c>
      <c r="L71" s="489">
        <f t="shared" ref="L71:L122" si="2">H71*I71*(1-K71)</f>
        <v>728000</v>
      </c>
      <c r="M71" s="489"/>
      <c r="N71" s="489"/>
      <c r="O71" s="489"/>
      <c r="P71" s="489"/>
      <c r="Q71" s="489">
        <v>131</v>
      </c>
      <c r="R71" s="489">
        <f>L71</f>
        <v>728000</v>
      </c>
      <c r="S71" s="519"/>
    </row>
    <row r="72" spans="1:19" s="572" customFormat="1" ht="18">
      <c r="A72" s="568">
        <v>22</v>
      </c>
      <c r="B72" s="495" t="s">
        <v>348</v>
      </c>
      <c r="C72" s="456" t="s">
        <v>96</v>
      </c>
      <c r="D72" s="547" t="s">
        <v>86</v>
      </c>
      <c r="E72" s="547"/>
      <c r="F72" s="577"/>
      <c r="G72" s="569" t="s">
        <v>42</v>
      </c>
      <c r="H72" s="569">
        <v>1</v>
      </c>
      <c r="I72" s="486">
        <v>265000</v>
      </c>
      <c r="J72" s="486">
        <f t="shared" si="1"/>
        <v>265000</v>
      </c>
      <c r="K72" s="570">
        <v>0.41</v>
      </c>
      <c r="L72" s="486">
        <f t="shared" si="2"/>
        <v>156350.00000000003</v>
      </c>
      <c r="M72" s="486"/>
      <c r="N72" s="486"/>
      <c r="O72" s="486">
        <v>112</v>
      </c>
      <c r="P72" s="486">
        <f>L72+L73</f>
        <v>728650.00000000012</v>
      </c>
      <c r="Q72" s="486"/>
      <c r="R72" s="486"/>
      <c r="S72" s="571" t="s">
        <v>127</v>
      </c>
    </row>
    <row r="73" spans="1:19" s="572" customFormat="1" ht="18">
      <c r="A73" s="532"/>
      <c r="B73" s="496" t="s">
        <v>348</v>
      </c>
      <c r="C73" s="457" t="s">
        <v>96</v>
      </c>
      <c r="D73" s="618" t="s">
        <v>86</v>
      </c>
      <c r="E73" s="618"/>
      <c r="F73" s="575"/>
      <c r="G73" s="535" t="s">
        <v>45</v>
      </c>
      <c r="H73" s="535">
        <v>2</v>
      </c>
      <c r="I73" s="488">
        <v>485000</v>
      </c>
      <c r="J73" s="488">
        <f t="shared" si="1"/>
        <v>970000</v>
      </c>
      <c r="K73" s="536">
        <v>0.41</v>
      </c>
      <c r="L73" s="488">
        <f t="shared" si="2"/>
        <v>572300.00000000012</v>
      </c>
      <c r="M73" s="488"/>
      <c r="N73" s="488"/>
      <c r="O73" s="488"/>
      <c r="P73" s="488"/>
      <c r="Q73" s="488"/>
      <c r="R73" s="488"/>
      <c r="S73" s="537"/>
    </row>
    <row r="74" spans="1:19" s="572" customFormat="1" ht="27">
      <c r="A74" s="568">
        <v>23</v>
      </c>
      <c r="B74" s="495" t="s">
        <v>356</v>
      </c>
      <c r="C74" s="456" t="s">
        <v>357</v>
      </c>
      <c r="D74" s="547" t="s">
        <v>358</v>
      </c>
      <c r="E74" s="547" t="s">
        <v>359</v>
      </c>
      <c r="F74" s="577"/>
      <c r="G74" s="569" t="s">
        <v>60</v>
      </c>
      <c r="H74" s="569">
        <v>36</v>
      </c>
      <c r="I74" s="486">
        <v>455000</v>
      </c>
      <c r="J74" s="486">
        <f t="shared" si="1"/>
        <v>16380000</v>
      </c>
      <c r="K74" s="570">
        <v>0.35</v>
      </c>
      <c r="L74" s="486">
        <f t="shared" si="2"/>
        <v>10647000</v>
      </c>
      <c r="M74" s="486"/>
      <c r="N74" s="486"/>
      <c r="O74" s="486"/>
      <c r="P74" s="486"/>
      <c r="Q74" s="486">
        <v>131</v>
      </c>
      <c r="R74" s="486">
        <f>SUM(L74:L81)</f>
        <v>82836000</v>
      </c>
      <c r="S74" s="1663" t="s">
        <v>1683</v>
      </c>
    </row>
    <row r="75" spans="1:19" s="572" customFormat="1" ht="18">
      <c r="A75" s="556"/>
      <c r="B75" s="495" t="s">
        <v>356</v>
      </c>
      <c r="C75" s="456" t="s">
        <v>357</v>
      </c>
      <c r="D75" s="547" t="s">
        <v>358</v>
      </c>
      <c r="E75" s="547"/>
      <c r="F75" s="577"/>
      <c r="G75" s="557" t="s">
        <v>30</v>
      </c>
      <c r="H75" s="557">
        <v>24</v>
      </c>
      <c r="I75" s="483">
        <v>465000</v>
      </c>
      <c r="J75" s="486">
        <f t="shared" ref="J75:J138" si="3">H75*I75</f>
        <v>11160000</v>
      </c>
      <c r="K75" s="570">
        <v>0.35</v>
      </c>
      <c r="L75" s="483">
        <f t="shared" si="2"/>
        <v>7254000</v>
      </c>
      <c r="M75" s="483"/>
      <c r="N75" s="483"/>
      <c r="O75" s="483"/>
      <c r="P75" s="483"/>
      <c r="Q75" s="483"/>
      <c r="R75" s="483"/>
      <c r="S75" s="1701"/>
    </row>
    <row r="76" spans="1:19" s="572" customFormat="1" ht="18">
      <c r="A76" s="556"/>
      <c r="B76" s="495" t="s">
        <v>356</v>
      </c>
      <c r="C76" s="456" t="s">
        <v>357</v>
      </c>
      <c r="D76" s="547" t="s">
        <v>358</v>
      </c>
      <c r="E76" s="547"/>
      <c r="F76" s="577"/>
      <c r="G76" s="557" t="s">
        <v>50</v>
      </c>
      <c r="H76" s="557">
        <v>36</v>
      </c>
      <c r="I76" s="483">
        <v>475000</v>
      </c>
      <c r="J76" s="486">
        <f t="shared" si="3"/>
        <v>17100000</v>
      </c>
      <c r="K76" s="570">
        <v>0.35</v>
      </c>
      <c r="L76" s="483">
        <f t="shared" si="2"/>
        <v>11115000</v>
      </c>
      <c r="M76" s="483"/>
      <c r="N76" s="483"/>
      <c r="O76" s="483"/>
      <c r="P76" s="483"/>
      <c r="Q76" s="483"/>
      <c r="R76" s="483"/>
      <c r="S76" s="1701"/>
    </row>
    <row r="77" spans="1:19" s="572" customFormat="1" ht="18">
      <c r="A77" s="556"/>
      <c r="B77" s="495" t="s">
        <v>356</v>
      </c>
      <c r="C77" s="456" t="s">
        <v>357</v>
      </c>
      <c r="D77" s="547" t="s">
        <v>358</v>
      </c>
      <c r="E77" s="547"/>
      <c r="F77" s="577"/>
      <c r="G77" s="557" t="s">
        <v>45</v>
      </c>
      <c r="H77" s="557">
        <v>36</v>
      </c>
      <c r="I77" s="483">
        <v>485000</v>
      </c>
      <c r="J77" s="486">
        <f t="shared" si="3"/>
        <v>17460000</v>
      </c>
      <c r="K77" s="570">
        <v>0.35</v>
      </c>
      <c r="L77" s="483">
        <f t="shared" si="2"/>
        <v>11349000</v>
      </c>
      <c r="M77" s="483"/>
      <c r="N77" s="483"/>
      <c r="O77" s="483"/>
      <c r="P77" s="483"/>
      <c r="Q77" s="483"/>
      <c r="R77" s="483"/>
      <c r="S77" s="1701"/>
    </row>
    <row r="78" spans="1:19" s="572" customFormat="1" ht="18">
      <c r="A78" s="556"/>
      <c r="B78" s="495" t="s">
        <v>356</v>
      </c>
      <c r="C78" s="456" t="s">
        <v>357</v>
      </c>
      <c r="D78" s="547" t="s">
        <v>358</v>
      </c>
      <c r="E78" s="547"/>
      <c r="F78" s="577"/>
      <c r="G78" s="557" t="s">
        <v>73</v>
      </c>
      <c r="H78" s="557">
        <v>24</v>
      </c>
      <c r="I78" s="483">
        <v>485000</v>
      </c>
      <c r="J78" s="486">
        <f t="shared" si="3"/>
        <v>11640000</v>
      </c>
      <c r="K78" s="570">
        <v>0.35</v>
      </c>
      <c r="L78" s="483">
        <f t="shared" si="2"/>
        <v>7566000</v>
      </c>
      <c r="M78" s="483"/>
      <c r="N78" s="483"/>
      <c r="O78" s="483"/>
      <c r="P78" s="483"/>
      <c r="Q78" s="483"/>
      <c r="R78" s="483"/>
      <c r="S78" s="1701"/>
    </row>
    <row r="79" spans="1:19" s="572" customFormat="1" ht="18">
      <c r="A79" s="556"/>
      <c r="B79" s="495" t="s">
        <v>356</v>
      </c>
      <c r="C79" s="456" t="s">
        <v>357</v>
      </c>
      <c r="D79" s="547" t="s">
        <v>358</v>
      </c>
      <c r="E79" s="547"/>
      <c r="F79" s="577"/>
      <c r="G79" s="557" t="s">
        <v>74</v>
      </c>
      <c r="H79" s="557">
        <v>48</v>
      </c>
      <c r="I79" s="483">
        <v>550000</v>
      </c>
      <c r="J79" s="486">
        <f t="shared" si="3"/>
        <v>26400000</v>
      </c>
      <c r="K79" s="570">
        <v>0.35</v>
      </c>
      <c r="L79" s="483">
        <f t="shared" si="2"/>
        <v>17160000</v>
      </c>
      <c r="M79" s="483"/>
      <c r="N79" s="483"/>
      <c r="O79" s="483"/>
      <c r="P79" s="483"/>
      <c r="Q79" s="483"/>
      <c r="R79" s="483"/>
      <c r="S79" s="1701"/>
    </row>
    <row r="80" spans="1:19" s="572" customFormat="1" ht="18">
      <c r="A80" s="556"/>
      <c r="B80" s="490" t="s">
        <v>356</v>
      </c>
      <c r="C80" s="456" t="s">
        <v>357</v>
      </c>
      <c r="D80" s="548" t="s">
        <v>358</v>
      </c>
      <c r="E80" s="547"/>
      <c r="F80" s="577"/>
      <c r="G80" s="557" t="s">
        <v>34</v>
      </c>
      <c r="H80" s="557">
        <v>36</v>
      </c>
      <c r="I80" s="483">
        <v>455000</v>
      </c>
      <c r="J80" s="486">
        <f t="shared" si="3"/>
        <v>16380000</v>
      </c>
      <c r="K80" s="570">
        <v>0.35</v>
      </c>
      <c r="L80" s="483">
        <f t="shared" si="2"/>
        <v>10647000</v>
      </c>
      <c r="M80" s="483"/>
      <c r="N80" s="483"/>
      <c r="O80" s="483"/>
      <c r="P80" s="483"/>
      <c r="Q80" s="483"/>
      <c r="R80" s="483"/>
      <c r="S80" s="1701"/>
    </row>
    <row r="81" spans="1:19" s="572" customFormat="1" ht="18">
      <c r="A81" s="532"/>
      <c r="B81" s="552" t="s">
        <v>356</v>
      </c>
      <c r="C81" s="457" t="s">
        <v>357</v>
      </c>
      <c r="D81" s="533" t="s">
        <v>358</v>
      </c>
      <c r="E81" s="618"/>
      <c r="F81" s="575"/>
      <c r="G81" s="535" t="s">
        <v>46</v>
      </c>
      <c r="H81" s="535">
        <v>24</v>
      </c>
      <c r="I81" s="488">
        <v>455000</v>
      </c>
      <c r="J81" s="488">
        <f t="shared" si="3"/>
        <v>10920000</v>
      </c>
      <c r="K81" s="536">
        <v>0.35</v>
      </c>
      <c r="L81" s="488">
        <f t="shared" si="2"/>
        <v>7098000</v>
      </c>
      <c r="M81" s="488"/>
      <c r="N81" s="488"/>
      <c r="O81" s="488"/>
      <c r="P81" s="488"/>
      <c r="Q81" s="488"/>
      <c r="R81" s="488"/>
      <c r="S81" s="1702"/>
    </row>
    <row r="82" spans="1:19" s="572" customFormat="1" ht="45">
      <c r="A82" s="514">
        <v>25</v>
      </c>
      <c r="B82" s="497" t="s">
        <v>356</v>
      </c>
      <c r="C82" s="458"/>
      <c r="D82" s="516" t="s">
        <v>360</v>
      </c>
      <c r="E82" s="516"/>
      <c r="F82" s="566"/>
      <c r="G82" s="517" t="s">
        <v>74</v>
      </c>
      <c r="H82" s="517">
        <v>2</v>
      </c>
      <c r="I82" s="489">
        <v>550000</v>
      </c>
      <c r="J82" s="489">
        <f t="shared" si="3"/>
        <v>1100000</v>
      </c>
      <c r="K82" s="518">
        <v>1</v>
      </c>
      <c r="L82" s="489">
        <f t="shared" si="2"/>
        <v>0</v>
      </c>
      <c r="M82" s="489"/>
      <c r="N82" s="489"/>
      <c r="O82" s="489"/>
      <c r="P82" s="489"/>
      <c r="Q82" s="489"/>
      <c r="R82" s="489"/>
      <c r="S82" s="519"/>
    </row>
    <row r="83" spans="1:19" s="572" customFormat="1" ht="18">
      <c r="A83" s="568">
        <v>26</v>
      </c>
      <c r="B83" s="495" t="s">
        <v>356</v>
      </c>
      <c r="C83" s="459" t="s">
        <v>333</v>
      </c>
      <c r="D83" s="547" t="s">
        <v>346</v>
      </c>
      <c r="E83" s="547" t="s">
        <v>361</v>
      </c>
      <c r="F83" s="577"/>
      <c r="G83" s="569" t="s">
        <v>253</v>
      </c>
      <c r="H83" s="569">
        <v>2</v>
      </c>
      <c r="I83" s="486">
        <v>255000</v>
      </c>
      <c r="J83" s="486">
        <f t="shared" si="3"/>
        <v>510000</v>
      </c>
      <c r="K83" s="570">
        <v>1</v>
      </c>
      <c r="L83" s="486">
        <f t="shared" si="2"/>
        <v>0</v>
      </c>
      <c r="M83" s="486"/>
      <c r="N83" s="486"/>
      <c r="O83" s="486"/>
      <c r="P83" s="486"/>
      <c r="Q83" s="486"/>
      <c r="R83" s="486">
        <f>SUM(L83:L84)</f>
        <v>0</v>
      </c>
      <c r="S83" s="571"/>
    </row>
    <row r="84" spans="1:19" s="572" customFormat="1" ht="18">
      <c r="A84" s="532"/>
      <c r="B84" s="495" t="s">
        <v>356</v>
      </c>
      <c r="C84" s="459" t="s">
        <v>333</v>
      </c>
      <c r="D84" s="547" t="s">
        <v>346</v>
      </c>
      <c r="E84" s="618"/>
      <c r="F84" s="575"/>
      <c r="G84" s="535" t="s">
        <v>45</v>
      </c>
      <c r="H84" s="535">
        <v>6</v>
      </c>
      <c r="I84" s="488">
        <v>485000</v>
      </c>
      <c r="J84" s="523">
        <f t="shared" si="3"/>
        <v>2910000</v>
      </c>
      <c r="K84" s="570">
        <v>1</v>
      </c>
      <c r="L84" s="488">
        <f t="shared" si="2"/>
        <v>0</v>
      </c>
      <c r="M84" s="488"/>
      <c r="N84" s="488"/>
      <c r="O84" s="488"/>
      <c r="P84" s="488"/>
      <c r="Q84" s="488"/>
      <c r="R84" s="488"/>
      <c r="S84" s="537"/>
    </row>
    <row r="85" spans="1:19" s="572" customFormat="1" ht="9">
      <c r="A85" s="514">
        <v>27</v>
      </c>
      <c r="B85" s="497" t="s">
        <v>356</v>
      </c>
      <c r="C85" s="458" t="s">
        <v>27</v>
      </c>
      <c r="D85" s="516" t="s">
        <v>220</v>
      </c>
      <c r="E85" s="516" t="s">
        <v>362</v>
      </c>
      <c r="F85" s="566"/>
      <c r="G85" s="517" t="s">
        <v>253</v>
      </c>
      <c r="H85" s="517">
        <v>1</v>
      </c>
      <c r="I85" s="489">
        <v>255000</v>
      </c>
      <c r="J85" s="489">
        <f t="shared" si="3"/>
        <v>255000</v>
      </c>
      <c r="K85" s="518">
        <v>0.25</v>
      </c>
      <c r="L85" s="460">
        <f t="shared" si="2"/>
        <v>191250</v>
      </c>
      <c r="M85" s="489"/>
      <c r="N85" s="489"/>
      <c r="O85" s="489"/>
      <c r="P85" s="489"/>
      <c r="Q85" s="489">
        <v>131</v>
      </c>
      <c r="R85" s="489">
        <f>SUM(L85:L85)</f>
        <v>191250</v>
      </c>
      <c r="S85" s="519"/>
    </row>
    <row r="86" spans="1:19" s="572" customFormat="1" ht="18">
      <c r="A86" s="563">
        <v>28</v>
      </c>
      <c r="B86" s="499" t="s">
        <v>356</v>
      </c>
      <c r="C86" s="461" t="s">
        <v>278</v>
      </c>
      <c r="D86" s="542" t="s">
        <v>86</v>
      </c>
      <c r="E86" s="541"/>
      <c r="F86" s="564"/>
      <c r="G86" s="565" t="s">
        <v>42</v>
      </c>
      <c r="H86" s="565">
        <v>1</v>
      </c>
      <c r="I86" s="487">
        <v>265000</v>
      </c>
      <c r="J86" s="486">
        <f t="shared" si="3"/>
        <v>265000</v>
      </c>
      <c r="K86" s="580">
        <v>0.41</v>
      </c>
      <c r="L86" s="462">
        <f t="shared" si="2"/>
        <v>156350.00000000003</v>
      </c>
      <c r="M86" s="487"/>
      <c r="N86" s="487"/>
      <c r="O86" s="487">
        <v>112</v>
      </c>
      <c r="P86" s="487">
        <f>L86+L87</f>
        <v>480850.00000000012</v>
      </c>
      <c r="Q86" s="487"/>
      <c r="R86" s="487"/>
      <c r="S86" s="581" t="s">
        <v>127</v>
      </c>
    </row>
    <row r="87" spans="1:19" s="572" customFormat="1" ht="18">
      <c r="A87" s="532"/>
      <c r="B87" s="496" t="s">
        <v>356</v>
      </c>
      <c r="C87" s="457" t="s">
        <v>278</v>
      </c>
      <c r="D87" s="618" t="s">
        <v>86</v>
      </c>
      <c r="E87" s="533"/>
      <c r="F87" s="575"/>
      <c r="G87" s="535" t="s">
        <v>74</v>
      </c>
      <c r="H87" s="535">
        <v>1</v>
      </c>
      <c r="I87" s="488">
        <v>550000</v>
      </c>
      <c r="J87" s="488">
        <f t="shared" si="3"/>
        <v>550000</v>
      </c>
      <c r="K87" s="536">
        <v>0.41</v>
      </c>
      <c r="L87" s="488">
        <f t="shared" si="2"/>
        <v>324500.00000000006</v>
      </c>
      <c r="M87" s="488"/>
      <c r="N87" s="488"/>
      <c r="O87" s="488"/>
      <c r="P87" s="488"/>
      <c r="Q87" s="488"/>
      <c r="R87" s="488"/>
      <c r="S87" s="537"/>
    </row>
    <row r="88" spans="1:19" s="572" customFormat="1" ht="36">
      <c r="A88" s="568">
        <v>29</v>
      </c>
      <c r="B88" s="495" t="s">
        <v>352</v>
      </c>
      <c r="C88" s="456" t="s">
        <v>333</v>
      </c>
      <c r="D88" s="547" t="s">
        <v>363</v>
      </c>
      <c r="E88" s="547" t="s">
        <v>364</v>
      </c>
      <c r="F88" s="577"/>
      <c r="G88" s="569" t="s">
        <v>60</v>
      </c>
      <c r="H88" s="569">
        <v>1</v>
      </c>
      <c r="I88" s="486">
        <v>455000</v>
      </c>
      <c r="J88" s="486">
        <f t="shared" si="3"/>
        <v>455000</v>
      </c>
      <c r="K88" s="570">
        <v>0.3</v>
      </c>
      <c r="L88" s="486">
        <f t="shared" si="2"/>
        <v>318500</v>
      </c>
      <c r="M88" s="486"/>
      <c r="N88" s="486"/>
      <c r="O88" s="486"/>
      <c r="P88" s="486"/>
      <c r="Q88" s="486">
        <v>131</v>
      </c>
      <c r="R88" s="486">
        <f>SUM(L88:L95)</f>
        <v>2677500</v>
      </c>
      <c r="S88" s="571" t="s">
        <v>365</v>
      </c>
    </row>
    <row r="89" spans="1:19" s="572" customFormat="1" ht="36">
      <c r="A89" s="556"/>
      <c r="B89" s="495" t="s">
        <v>352</v>
      </c>
      <c r="C89" s="456" t="s">
        <v>333</v>
      </c>
      <c r="D89" s="547" t="s">
        <v>363</v>
      </c>
      <c r="E89" s="548"/>
      <c r="F89" s="562"/>
      <c r="G89" s="557" t="s">
        <v>30</v>
      </c>
      <c r="H89" s="557">
        <v>1</v>
      </c>
      <c r="I89" s="483">
        <v>465000</v>
      </c>
      <c r="J89" s="486">
        <f t="shared" si="3"/>
        <v>465000</v>
      </c>
      <c r="K89" s="578">
        <v>0.3</v>
      </c>
      <c r="L89" s="483">
        <f t="shared" si="2"/>
        <v>325500</v>
      </c>
      <c r="M89" s="483"/>
      <c r="N89" s="483"/>
      <c r="O89" s="483"/>
      <c r="P89" s="483"/>
      <c r="Q89" s="483"/>
      <c r="R89" s="483"/>
      <c r="S89" s="573"/>
    </row>
    <row r="90" spans="1:19" s="572" customFormat="1" ht="36">
      <c r="A90" s="556"/>
      <c r="B90" s="495" t="s">
        <v>352</v>
      </c>
      <c r="C90" s="456" t="s">
        <v>333</v>
      </c>
      <c r="D90" s="547" t="s">
        <v>363</v>
      </c>
      <c r="E90" s="548"/>
      <c r="F90" s="562"/>
      <c r="G90" s="557" t="s">
        <v>50</v>
      </c>
      <c r="H90" s="557">
        <v>1</v>
      </c>
      <c r="I90" s="483">
        <v>475000</v>
      </c>
      <c r="J90" s="486">
        <f t="shared" si="3"/>
        <v>475000</v>
      </c>
      <c r="K90" s="578">
        <v>0.3</v>
      </c>
      <c r="L90" s="483">
        <f t="shared" si="2"/>
        <v>332500</v>
      </c>
      <c r="M90" s="483"/>
      <c r="N90" s="483"/>
      <c r="O90" s="483"/>
      <c r="P90" s="483"/>
      <c r="Q90" s="483"/>
      <c r="R90" s="483"/>
      <c r="S90" s="573"/>
    </row>
    <row r="91" spans="1:19" s="572" customFormat="1" ht="36">
      <c r="A91" s="556"/>
      <c r="B91" s="495" t="s">
        <v>352</v>
      </c>
      <c r="C91" s="456" t="s">
        <v>333</v>
      </c>
      <c r="D91" s="547" t="s">
        <v>363</v>
      </c>
      <c r="E91" s="548"/>
      <c r="F91" s="562"/>
      <c r="G91" s="557" t="s">
        <v>45</v>
      </c>
      <c r="H91" s="557">
        <v>1</v>
      </c>
      <c r="I91" s="483">
        <v>485000</v>
      </c>
      <c r="J91" s="486">
        <f t="shared" si="3"/>
        <v>485000</v>
      </c>
      <c r="K91" s="578">
        <v>0.3</v>
      </c>
      <c r="L91" s="483">
        <f t="shared" si="2"/>
        <v>339500</v>
      </c>
      <c r="M91" s="483"/>
      <c r="N91" s="483"/>
      <c r="O91" s="483"/>
      <c r="P91" s="483"/>
      <c r="Q91" s="483"/>
      <c r="R91" s="483"/>
      <c r="S91" s="573"/>
    </row>
    <row r="92" spans="1:19" s="572" customFormat="1" ht="36">
      <c r="A92" s="556"/>
      <c r="B92" s="495" t="s">
        <v>352</v>
      </c>
      <c r="C92" s="456" t="s">
        <v>333</v>
      </c>
      <c r="D92" s="547" t="s">
        <v>363</v>
      </c>
      <c r="E92" s="548"/>
      <c r="F92" s="562"/>
      <c r="G92" s="557" t="s">
        <v>73</v>
      </c>
      <c r="H92" s="557">
        <v>1</v>
      </c>
      <c r="I92" s="483">
        <v>485000</v>
      </c>
      <c r="J92" s="486">
        <f t="shared" si="3"/>
        <v>485000</v>
      </c>
      <c r="K92" s="578">
        <v>0.3</v>
      </c>
      <c r="L92" s="483">
        <f t="shared" si="2"/>
        <v>339500</v>
      </c>
      <c r="M92" s="483"/>
      <c r="N92" s="483"/>
      <c r="O92" s="483"/>
      <c r="P92" s="483"/>
      <c r="Q92" s="483"/>
      <c r="R92" s="483"/>
      <c r="S92" s="573"/>
    </row>
    <row r="93" spans="1:19" s="572" customFormat="1" ht="36">
      <c r="A93" s="556"/>
      <c r="B93" s="495" t="s">
        <v>352</v>
      </c>
      <c r="C93" s="456" t="s">
        <v>333</v>
      </c>
      <c r="D93" s="547" t="s">
        <v>363</v>
      </c>
      <c r="E93" s="548"/>
      <c r="F93" s="562"/>
      <c r="G93" s="557" t="s">
        <v>74</v>
      </c>
      <c r="H93" s="557">
        <v>1</v>
      </c>
      <c r="I93" s="483">
        <v>550000</v>
      </c>
      <c r="J93" s="486">
        <f t="shared" si="3"/>
        <v>550000</v>
      </c>
      <c r="K93" s="578">
        <v>0.3</v>
      </c>
      <c r="L93" s="483">
        <f t="shared" si="2"/>
        <v>385000</v>
      </c>
      <c r="M93" s="483"/>
      <c r="N93" s="483"/>
      <c r="O93" s="483"/>
      <c r="P93" s="483"/>
      <c r="Q93" s="483"/>
      <c r="R93" s="483"/>
      <c r="S93" s="573"/>
    </row>
    <row r="94" spans="1:19" s="572" customFormat="1" ht="36">
      <c r="A94" s="556"/>
      <c r="B94" s="495" t="s">
        <v>352</v>
      </c>
      <c r="C94" s="456" t="s">
        <v>333</v>
      </c>
      <c r="D94" s="547" t="s">
        <v>363</v>
      </c>
      <c r="E94" s="548"/>
      <c r="F94" s="562"/>
      <c r="G94" s="557" t="s">
        <v>34</v>
      </c>
      <c r="H94" s="557">
        <v>1</v>
      </c>
      <c r="I94" s="483">
        <v>455000</v>
      </c>
      <c r="J94" s="486">
        <f t="shared" si="3"/>
        <v>455000</v>
      </c>
      <c r="K94" s="578">
        <v>0.3</v>
      </c>
      <c r="L94" s="483">
        <f t="shared" si="2"/>
        <v>318500</v>
      </c>
      <c r="M94" s="483"/>
      <c r="N94" s="483"/>
      <c r="O94" s="483"/>
      <c r="P94" s="483"/>
      <c r="Q94" s="483"/>
      <c r="R94" s="483"/>
      <c r="S94" s="573"/>
    </row>
    <row r="95" spans="1:19" s="572" customFormat="1" ht="36">
      <c r="A95" s="532"/>
      <c r="B95" s="495" t="s">
        <v>352</v>
      </c>
      <c r="C95" s="456" t="s">
        <v>333</v>
      </c>
      <c r="D95" s="547" t="s">
        <v>363</v>
      </c>
      <c r="E95" s="618"/>
      <c r="F95" s="575"/>
      <c r="G95" s="535" t="s">
        <v>46</v>
      </c>
      <c r="H95" s="535">
        <v>1</v>
      </c>
      <c r="I95" s="488">
        <v>455000</v>
      </c>
      <c r="J95" s="523">
        <f t="shared" si="3"/>
        <v>455000</v>
      </c>
      <c r="K95" s="578">
        <v>0.3</v>
      </c>
      <c r="L95" s="488">
        <f t="shared" si="2"/>
        <v>318500</v>
      </c>
      <c r="M95" s="488"/>
      <c r="N95" s="488"/>
      <c r="O95" s="488"/>
      <c r="P95" s="488"/>
      <c r="Q95" s="488"/>
      <c r="R95" s="488"/>
      <c r="S95" s="537"/>
    </row>
    <row r="96" spans="1:19" s="572" customFormat="1" ht="18">
      <c r="A96" s="514">
        <v>30</v>
      </c>
      <c r="B96" s="497" t="s">
        <v>366</v>
      </c>
      <c r="C96" s="458" t="s">
        <v>333</v>
      </c>
      <c r="D96" s="516" t="s">
        <v>367</v>
      </c>
      <c r="E96" s="516" t="s">
        <v>368</v>
      </c>
      <c r="F96" s="566"/>
      <c r="G96" s="517" t="s">
        <v>34</v>
      </c>
      <c r="H96" s="517">
        <v>1</v>
      </c>
      <c r="I96" s="489">
        <v>455000</v>
      </c>
      <c r="J96" s="489">
        <f t="shared" si="3"/>
        <v>455000</v>
      </c>
      <c r="K96" s="518">
        <v>0.3</v>
      </c>
      <c r="L96" s="489">
        <f t="shared" si="2"/>
        <v>318500</v>
      </c>
      <c r="M96" s="489">
        <v>111</v>
      </c>
      <c r="N96" s="489">
        <f>L96</f>
        <v>318500</v>
      </c>
      <c r="O96" s="489"/>
      <c r="P96" s="489"/>
      <c r="Q96" s="489"/>
      <c r="R96" s="489"/>
      <c r="S96" s="519"/>
    </row>
    <row r="97" spans="1:20" s="572" customFormat="1" ht="18">
      <c r="A97" s="568">
        <v>31</v>
      </c>
      <c r="B97" s="495" t="s">
        <v>366</v>
      </c>
      <c r="C97" s="456" t="s">
        <v>333</v>
      </c>
      <c r="D97" s="547" t="s">
        <v>369</v>
      </c>
      <c r="E97" s="542" t="s">
        <v>368</v>
      </c>
      <c r="F97" s="577"/>
      <c r="G97" s="569" t="s">
        <v>74</v>
      </c>
      <c r="H97" s="569">
        <v>1</v>
      </c>
      <c r="I97" s="486">
        <v>550000</v>
      </c>
      <c r="J97" s="486">
        <f t="shared" si="3"/>
        <v>550000</v>
      </c>
      <c r="K97" s="570">
        <v>1</v>
      </c>
      <c r="L97" s="486">
        <f t="shared" si="2"/>
        <v>0</v>
      </c>
      <c r="M97" s="486">
        <v>111</v>
      </c>
      <c r="N97" s="486">
        <v>700000</v>
      </c>
      <c r="O97" s="486"/>
      <c r="P97" s="486"/>
      <c r="Q97" s="486"/>
      <c r="R97" s="486"/>
      <c r="S97" s="605" t="s">
        <v>370</v>
      </c>
    </row>
    <row r="98" spans="1:20" s="572" customFormat="1" ht="18">
      <c r="A98" s="554"/>
      <c r="B98" s="495" t="s">
        <v>366</v>
      </c>
      <c r="C98" s="456" t="s">
        <v>333</v>
      </c>
      <c r="D98" s="547" t="s">
        <v>369</v>
      </c>
      <c r="E98" s="548"/>
      <c r="F98" s="562"/>
      <c r="G98" s="557" t="s">
        <v>36</v>
      </c>
      <c r="H98" s="557">
        <v>1</v>
      </c>
      <c r="I98" s="483">
        <v>450000</v>
      </c>
      <c r="J98" s="486">
        <f t="shared" si="3"/>
        <v>450000</v>
      </c>
      <c r="K98" s="578">
        <v>0.2</v>
      </c>
      <c r="L98" s="483">
        <f t="shared" si="2"/>
        <v>360000</v>
      </c>
      <c r="M98" s="483"/>
      <c r="N98" s="483"/>
      <c r="O98" s="483"/>
      <c r="P98" s="483"/>
      <c r="Q98" s="483"/>
      <c r="R98" s="483"/>
      <c r="S98" s="573"/>
    </row>
    <row r="99" spans="1:20" s="572" customFormat="1" ht="18">
      <c r="A99" s="546"/>
      <c r="B99" s="496" t="s">
        <v>366</v>
      </c>
      <c r="C99" s="457" t="s">
        <v>333</v>
      </c>
      <c r="D99" s="618" t="s">
        <v>369</v>
      </c>
      <c r="E99" s="618"/>
      <c r="F99" s="575"/>
      <c r="G99" s="535" t="s">
        <v>34</v>
      </c>
      <c r="H99" s="535">
        <v>1</v>
      </c>
      <c r="I99" s="488">
        <v>455000</v>
      </c>
      <c r="J99" s="488">
        <f t="shared" si="3"/>
        <v>455000</v>
      </c>
      <c r="K99" s="536">
        <v>0.2</v>
      </c>
      <c r="L99" s="488">
        <f t="shared" si="2"/>
        <v>364000</v>
      </c>
      <c r="M99" s="488"/>
      <c r="N99" s="488"/>
      <c r="O99" s="488"/>
      <c r="P99" s="488"/>
      <c r="Q99" s="488"/>
      <c r="R99" s="488"/>
      <c r="S99" s="537"/>
    </row>
    <row r="100" spans="1:20" s="572" customFormat="1" ht="27">
      <c r="A100" s="568">
        <v>32</v>
      </c>
      <c r="B100" s="495" t="s">
        <v>366</v>
      </c>
      <c r="C100" s="456" t="s">
        <v>27</v>
      </c>
      <c r="D100" s="547" t="s">
        <v>371</v>
      </c>
      <c r="E100" s="547" t="s">
        <v>372</v>
      </c>
      <c r="F100" s="577"/>
      <c r="G100" s="569" t="s">
        <v>60</v>
      </c>
      <c r="H100" s="569">
        <v>1</v>
      </c>
      <c r="I100" s="486">
        <v>455000</v>
      </c>
      <c r="J100" s="486">
        <f t="shared" si="3"/>
        <v>455000</v>
      </c>
      <c r="K100" s="570">
        <v>0.41</v>
      </c>
      <c r="L100" s="486">
        <f t="shared" si="2"/>
        <v>268450.00000000006</v>
      </c>
      <c r="M100" s="486">
        <v>111</v>
      </c>
      <c r="N100" s="486">
        <v>1412000</v>
      </c>
      <c r="O100" s="486"/>
      <c r="P100" s="486"/>
      <c r="Q100" s="486"/>
      <c r="R100" s="486"/>
      <c r="S100" s="478" t="s">
        <v>373</v>
      </c>
      <c r="T100" s="583"/>
    </row>
    <row r="101" spans="1:20" s="572" customFormat="1" ht="27">
      <c r="A101" s="556"/>
      <c r="B101" s="495" t="s">
        <v>366</v>
      </c>
      <c r="C101" s="456" t="s">
        <v>27</v>
      </c>
      <c r="D101" s="547" t="s">
        <v>371</v>
      </c>
      <c r="E101" s="547"/>
      <c r="F101" s="562"/>
      <c r="G101" s="557" t="s">
        <v>30</v>
      </c>
      <c r="H101" s="557">
        <v>1</v>
      </c>
      <c r="I101" s="483">
        <v>465000</v>
      </c>
      <c r="J101" s="486">
        <f t="shared" si="3"/>
        <v>465000</v>
      </c>
      <c r="K101" s="570">
        <v>0.41</v>
      </c>
      <c r="L101" s="483">
        <f t="shared" si="2"/>
        <v>274350.00000000006</v>
      </c>
      <c r="M101" s="483"/>
      <c r="N101" s="483"/>
      <c r="O101" s="483"/>
      <c r="P101" s="483"/>
      <c r="Q101" s="483"/>
      <c r="R101" s="483"/>
      <c r="S101" s="573"/>
    </row>
    <row r="102" spans="1:20" s="572" customFormat="1" ht="27">
      <c r="A102" s="556"/>
      <c r="B102" s="495" t="s">
        <v>366</v>
      </c>
      <c r="C102" s="456" t="s">
        <v>27</v>
      </c>
      <c r="D102" s="547" t="s">
        <v>371</v>
      </c>
      <c r="E102" s="547"/>
      <c r="F102" s="562"/>
      <c r="G102" s="557" t="s">
        <v>50</v>
      </c>
      <c r="H102" s="557">
        <v>1</v>
      </c>
      <c r="I102" s="483">
        <v>475000</v>
      </c>
      <c r="J102" s="486">
        <f t="shared" si="3"/>
        <v>475000</v>
      </c>
      <c r="K102" s="570">
        <v>0.41</v>
      </c>
      <c r="L102" s="483">
        <f t="shared" si="2"/>
        <v>280250.00000000006</v>
      </c>
      <c r="M102" s="483"/>
      <c r="N102" s="483"/>
      <c r="O102" s="483"/>
      <c r="P102" s="483"/>
      <c r="Q102" s="483"/>
      <c r="R102" s="483"/>
      <c r="S102" s="573"/>
    </row>
    <row r="103" spans="1:20" s="572" customFormat="1" ht="27">
      <c r="A103" s="556"/>
      <c r="B103" s="495" t="s">
        <v>366</v>
      </c>
      <c r="C103" s="456" t="s">
        <v>27</v>
      </c>
      <c r="D103" s="547" t="s">
        <v>371</v>
      </c>
      <c r="E103" s="547"/>
      <c r="F103" s="562"/>
      <c r="G103" s="557" t="s">
        <v>45</v>
      </c>
      <c r="H103" s="557">
        <v>1</v>
      </c>
      <c r="I103" s="483">
        <v>485000</v>
      </c>
      <c r="J103" s="486">
        <f t="shared" si="3"/>
        <v>485000</v>
      </c>
      <c r="K103" s="570">
        <v>0.41</v>
      </c>
      <c r="L103" s="483">
        <f t="shared" si="2"/>
        <v>286150.00000000006</v>
      </c>
      <c r="M103" s="483"/>
      <c r="N103" s="483"/>
      <c r="O103" s="483"/>
      <c r="P103" s="483"/>
      <c r="Q103" s="483"/>
      <c r="R103" s="483"/>
      <c r="S103" s="573"/>
    </row>
    <row r="104" spans="1:20" s="572" customFormat="1" ht="27">
      <c r="A104" s="556"/>
      <c r="B104" s="495" t="s">
        <v>366</v>
      </c>
      <c r="C104" s="456" t="s">
        <v>27</v>
      </c>
      <c r="D104" s="547" t="s">
        <v>371</v>
      </c>
      <c r="E104" s="547"/>
      <c r="F104" s="562"/>
      <c r="G104" s="557" t="s">
        <v>73</v>
      </c>
      <c r="H104" s="557">
        <v>1</v>
      </c>
      <c r="I104" s="483">
        <v>485000</v>
      </c>
      <c r="J104" s="486">
        <f t="shared" si="3"/>
        <v>485000</v>
      </c>
      <c r="K104" s="524">
        <v>0.41</v>
      </c>
      <c r="L104" s="483">
        <f t="shared" si="2"/>
        <v>286150.00000000006</v>
      </c>
      <c r="M104" s="483"/>
      <c r="N104" s="483"/>
      <c r="O104" s="483"/>
      <c r="P104" s="483"/>
      <c r="Q104" s="483"/>
      <c r="R104" s="483"/>
      <c r="S104" s="573"/>
    </row>
    <row r="105" spans="1:20" s="572" customFormat="1" ht="27">
      <c r="A105" s="526"/>
      <c r="B105" s="495" t="s">
        <v>366</v>
      </c>
      <c r="C105" s="456" t="s">
        <v>27</v>
      </c>
      <c r="D105" s="547" t="s">
        <v>371</v>
      </c>
      <c r="E105" s="521"/>
      <c r="F105" s="584"/>
      <c r="G105" s="528" t="s">
        <v>34</v>
      </c>
      <c r="H105" s="528">
        <v>1</v>
      </c>
      <c r="I105" s="529">
        <v>455000</v>
      </c>
      <c r="J105" s="523">
        <f t="shared" si="3"/>
        <v>455000</v>
      </c>
      <c r="K105" s="524">
        <v>1</v>
      </c>
      <c r="L105" s="529">
        <f t="shared" si="2"/>
        <v>0</v>
      </c>
      <c r="M105" s="529"/>
      <c r="N105" s="529"/>
      <c r="O105" s="529"/>
      <c r="P105" s="529"/>
      <c r="Q105" s="529"/>
      <c r="R105" s="529"/>
      <c r="S105" s="531"/>
    </row>
    <row r="106" spans="1:20" s="572" customFormat="1" ht="27">
      <c r="A106" s="532"/>
      <c r="B106" s="496" t="s">
        <v>366</v>
      </c>
      <c r="C106" s="457" t="s">
        <v>27</v>
      </c>
      <c r="D106" s="618" t="s">
        <v>371</v>
      </c>
      <c r="E106" s="618"/>
      <c r="F106" s="575"/>
      <c r="G106" s="535" t="s">
        <v>46</v>
      </c>
      <c r="H106" s="535">
        <v>1</v>
      </c>
      <c r="I106" s="488">
        <v>455000</v>
      </c>
      <c r="J106" s="523">
        <f t="shared" si="3"/>
        <v>455000</v>
      </c>
      <c r="K106" s="536">
        <v>0.41</v>
      </c>
      <c r="L106" s="488">
        <f t="shared" si="2"/>
        <v>268450.00000000006</v>
      </c>
      <c r="M106" s="488"/>
      <c r="N106" s="488"/>
      <c r="O106" s="488"/>
      <c r="P106" s="488"/>
      <c r="Q106" s="488"/>
      <c r="R106" s="488"/>
      <c r="S106" s="537"/>
    </row>
    <row r="107" spans="1:20" s="572" customFormat="1" ht="18">
      <c r="A107" s="532">
        <v>33</v>
      </c>
      <c r="B107" s="552" t="s">
        <v>366</v>
      </c>
      <c r="C107" s="558" t="s">
        <v>96</v>
      </c>
      <c r="D107" s="533" t="s">
        <v>86</v>
      </c>
      <c r="E107" s="533" t="s">
        <v>241</v>
      </c>
      <c r="F107" s="575"/>
      <c r="G107" s="535" t="s">
        <v>36</v>
      </c>
      <c r="H107" s="535">
        <v>4</v>
      </c>
      <c r="I107" s="488">
        <v>450000</v>
      </c>
      <c r="J107" s="489">
        <f t="shared" si="3"/>
        <v>1800000</v>
      </c>
      <c r="K107" s="518">
        <v>0.41</v>
      </c>
      <c r="L107" s="488">
        <f t="shared" si="2"/>
        <v>1062000.0000000002</v>
      </c>
      <c r="M107" s="488"/>
      <c r="N107" s="488"/>
      <c r="O107" s="488">
        <v>112</v>
      </c>
      <c r="P107" s="488">
        <f>L107</f>
        <v>1062000.0000000002</v>
      </c>
      <c r="Q107" s="488"/>
      <c r="R107" s="488"/>
      <c r="S107" s="537" t="s">
        <v>127</v>
      </c>
    </row>
    <row r="108" spans="1:20" s="572" customFormat="1" ht="18">
      <c r="A108" s="520">
        <v>34</v>
      </c>
      <c r="B108" s="498" t="s">
        <v>366</v>
      </c>
      <c r="C108" s="455" t="s">
        <v>27</v>
      </c>
      <c r="D108" s="521" t="s">
        <v>240</v>
      </c>
      <c r="E108" s="521" t="s">
        <v>374</v>
      </c>
      <c r="F108" s="561"/>
      <c r="G108" s="522" t="s">
        <v>60</v>
      </c>
      <c r="H108" s="522">
        <v>5</v>
      </c>
      <c r="I108" s="523">
        <v>455000</v>
      </c>
      <c r="J108" s="486">
        <f t="shared" si="3"/>
        <v>2275000</v>
      </c>
      <c r="K108" s="570">
        <v>0.41</v>
      </c>
      <c r="L108" s="523">
        <f t="shared" si="2"/>
        <v>1342250.0000000002</v>
      </c>
      <c r="M108" s="523"/>
      <c r="N108" s="523"/>
      <c r="O108" s="523">
        <v>112</v>
      </c>
      <c r="P108" s="523">
        <v>8577000</v>
      </c>
      <c r="Q108" s="523"/>
      <c r="R108" s="523"/>
      <c r="S108" s="525"/>
    </row>
    <row r="109" spans="1:20" s="572" customFormat="1" ht="9">
      <c r="A109" s="556"/>
      <c r="B109" s="490" t="s">
        <v>366</v>
      </c>
      <c r="C109" s="463" t="s">
        <v>27</v>
      </c>
      <c r="D109" s="548" t="s">
        <v>240</v>
      </c>
      <c r="E109" s="452"/>
      <c r="F109" s="562"/>
      <c r="G109" s="557" t="s">
        <v>30</v>
      </c>
      <c r="H109" s="557">
        <v>9</v>
      </c>
      <c r="I109" s="483">
        <v>465000</v>
      </c>
      <c r="J109" s="486">
        <f t="shared" si="3"/>
        <v>4185000</v>
      </c>
      <c r="K109" s="570">
        <v>0.41</v>
      </c>
      <c r="L109" s="483">
        <f t="shared" si="2"/>
        <v>2469150.0000000005</v>
      </c>
      <c r="M109" s="483"/>
      <c r="N109" s="483"/>
      <c r="O109" s="483"/>
      <c r="P109" s="483"/>
      <c r="Q109" s="483"/>
      <c r="R109" s="483"/>
      <c r="S109" s="573"/>
    </row>
    <row r="110" spans="1:20" s="572" customFormat="1" ht="9">
      <c r="A110" s="556"/>
      <c r="B110" s="490" t="s">
        <v>366</v>
      </c>
      <c r="C110" s="463" t="s">
        <v>27</v>
      </c>
      <c r="D110" s="548" t="s">
        <v>240</v>
      </c>
      <c r="E110" s="452"/>
      <c r="F110" s="562"/>
      <c r="G110" s="557" t="s">
        <v>50</v>
      </c>
      <c r="H110" s="557">
        <v>10</v>
      </c>
      <c r="I110" s="483">
        <v>475000</v>
      </c>
      <c r="J110" s="486">
        <f t="shared" si="3"/>
        <v>4750000</v>
      </c>
      <c r="K110" s="570">
        <v>0.41</v>
      </c>
      <c r="L110" s="483">
        <f t="shared" si="2"/>
        <v>2802500.0000000005</v>
      </c>
      <c r="M110" s="483"/>
      <c r="N110" s="483"/>
      <c r="O110" s="483"/>
      <c r="P110" s="483"/>
      <c r="Q110" s="483"/>
      <c r="R110" s="483"/>
      <c r="S110" s="573"/>
    </row>
    <row r="111" spans="1:20" s="572" customFormat="1" ht="9">
      <c r="A111" s="532"/>
      <c r="B111" s="496" t="s">
        <v>366</v>
      </c>
      <c r="C111" s="457" t="s">
        <v>27</v>
      </c>
      <c r="D111" s="533" t="s">
        <v>240</v>
      </c>
      <c r="E111" s="618"/>
      <c r="F111" s="575"/>
      <c r="G111" s="535" t="s">
        <v>45</v>
      </c>
      <c r="H111" s="535">
        <v>7</v>
      </c>
      <c r="I111" s="488">
        <v>485000</v>
      </c>
      <c r="J111" s="488">
        <f t="shared" si="3"/>
        <v>3395000</v>
      </c>
      <c r="K111" s="536">
        <v>0.41</v>
      </c>
      <c r="L111" s="488">
        <f t="shared" si="2"/>
        <v>2003050.0000000002</v>
      </c>
      <c r="M111" s="488"/>
      <c r="N111" s="488"/>
      <c r="O111" s="488"/>
      <c r="P111" s="488"/>
      <c r="Q111" s="488"/>
      <c r="R111" s="488"/>
      <c r="S111" s="537"/>
    </row>
    <row r="112" spans="1:20" s="572" customFormat="1" ht="27">
      <c r="A112" s="568">
        <v>35</v>
      </c>
      <c r="B112" s="495" t="s">
        <v>366</v>
      </c>
      <c r="C112" s="456" t="s">
        <v>357</v>
      </c>
      <c r="D112" s="547" t="s">
        <v>358</v>
      </c>
      <c r="E112" s="547" t="s">
        <v>359</v>
      </c>
      <c r="F112" s="577"/>
      <c r="G112" s="569" t="s">
        <v>60</v>
      </c>
      <c r="H112" s="569">
        <v>12</v>
      </c>
      <c r="I112" s="486">
        <v>455000</v>
      </c>
      <c r="J112" s="486">
        <f t="shared" si="3"/>
        <v>5460000</v>
      </c>
      <c r="K112" s="570">
        <v>0.35</v>
      </c>
      <c r="L112" s="486">
        <f>H112*I112*(1-K112)</f>
        <v>3549000</v>
      </c>
      <c r="M112" s="486"/>
      <c r="N112" s="486"/>
      <c r="O112" s="486"/>
      <c r="P112" s="486"/>
      <c r="Q112" s="486">
        <v>131</v>
      </c>
      <c r="R112" s="486">
        <f>SUM(L112:L120)</f>
        <v>38512500</v>
      </c>
      <c r="S112" s="1663" t="s">
        <v>1684</v>
      </c>
    </row>
    <row r="113" spans="1:19" s="572" customFormat="1" ht="18">
      <c r="A113" s="556"/>
      <c r="B113" s="495" t="s">
        <v>366</v>
      </c>
      <c r="C113" s="456" t="s">
        <v>357</v>
      </c>
      <c r="D113" s="547" t="s">
        <v>358</v>
      </c>
      <c r="E113" s="548"/>
      <c r="F113" s="562"/>
      <c r="G113" s="557" t="s">
        <v>30</v>
      </c>
      <c r="H113" s="557">
        <v>12</v>
      </c>
      <c r="I113" s="483">
        <v>465000</v>
      </c>
      <c r="J113" s="486">
        <f t="shared" si="3"/>
        <v>5580000</v>
      </c>
      <c r="K113" s="570">
        <v>0.35</v>
      </c>
      <c r="L113" s="483">
        <f>H113*I113*(1-K113)</f>
        <v>3627000</v>
      </c>
      <c r="M113" s="483"/>
      <c r="N113" s="483"/>
      <c r="O113" s="483"/>
      <c r="P113" s="483"/>
      <c r="Q113" s="483"/>
      <c r="R113" s="483"/>
      <c r="S113" s="1701"/>
    </row>
    <row r="114" spans="1:19" s="572" customFormat="1" ht="18">
      <c r="A114" s="556"/>
      <c r="B114" s="495" t="s">
        <v>366</v>
      </c>
      <c r="C114" s="456" t="s">
        <v>357</v>
      </c>
      <c r="D114" s="547" t="s">
        <v>358</v>
      </c>
      <c r="E114" s="548"/>
      <c r="F114" s="562"/>
      <c r="G114" s="557" t="s">
        <v>50</v>
      </c>
      <c r="H114" s="557">
        <v>12</v>
      </c>
      <c r="I114" s="483">
        <v>475000</v>
      </c>
      <c r="J114" s="486">
        <f t="shared" si="3"/>
        <v>5700000</v>
      </c>
      <c r="K114" s="570">
        <v>0.35</v>
      </c>
      <c r="L114" s="483">
        <f>H114*I114*(1-K114)</f>
        <v>3705000</v>
      </c>
      <c r="M114" s="483"/>
      <c r="N114" s="483"/>
      <c r="O114" s="483"/>
      <c r="P114" s="483"/>
      <c r="Q114" s="483"/>
      <c r="R114" s="483"/>
      <c r="S114" s="1701"/>
    </row>
    <row r="115" spans="1:19" s="572" customFormat="1" ht="18">
      <c r="A115" s="556"/>
      <c r="B115" s="495" t="s">
        <v>366</v>
      </c>
      <c r="C115" s="456" t="s">
        <v>357</v>
      </c>
      <c r="D115" s="547" t="s">
        <v>358</v>
      </c>
      <c r="E115" s="548"/>
      <c r="F115" s="562"/>
      <c r="G115" s="557" t="s">
        <v>45</v>
      </c>
      <c r="H115" s="557">
        <v>12</v>
      </c>
      <c r="I115" s="483">
        <v>485000</v>
      </c>
      <c r="J115" s="486">
        <f t="shared" si="3"/>
        <v>5820000</v>
      </c>
      <c r="K115" s="570">
        <v>0.35</v>
      </c>
      <c r="L115" s="483">
        <f>H115*I115*(1-K115)</f>
        <v>3783000</v>
      </c>
      <c r="M115" s="483"/>
      <c r="N115" s="483"/>
      <c r="O115" s="483"/>
      <c r="P115" s="483"/>
      <c r="Q115" s="483"/>
      <c r="R115" s="483"/>
      <c r="S115" s="1701"/>
    </row>
    <row r="116" spans="1:19" s="572" customFormat="1" ht="18">
      <c r="A116" s="556"/>
      <c r="B116" s="495" t="s">
        <v>366</v>
      </c>
      <c r="C116" s="456" t="s">
        <v>357</v>
      </c>
      <c r="D116" s="547" t="s">
        <v>358</v>
      </c>
      <c r="E116" s="548"/>
      <c r="F116" s="562"/>
      <c r="G116" s="557" t="s">
        <v>73</v>
      </c>
      <c r="H116" s="557">
        <v>12</v>
      </c>
      <c r="I116" s="483">
        <v>485000</v>
      </c>
      <c r="J116" s="486">
        <f t="shared" si="3"/>
        <v>5820000</v>
      </c>
      <c r="K116" s="570">
        <v>0.35</v>
      </c>
      <c r="L116" s="483">
        <f t="shared" ref="L116:L119" si="4">H116*I116*(1-K116)</f>
        <v>3783000</v>
      </c>
      <c r="M116" s="483"/>
      <c r="N116" s="483"/>
      <c r="O116" s="483"/>
      <c r="P116" s="483"/>
      <c r="Q116" s="483"/>
      <c r="R116" s="483"/>
      <c r="S116" s="1701"/>
    </row>
    <row r="117" spans="1:19" s="572" customFormat="1" ht="18">
      <c r="A117" s="556"/>
      <c r="B117" s="495" t="s">
        <v>366</v>
      </c>
      <c r="C117" s="456" t="s">
        <v>357</v>
      </c>
      <c r="D117" s="547" t="s">
        <v>358</v>
      </c>
      <c r="E117" s="548"/>
      <c r="F117" s="562"/>
      <c r="G117" s="557" t="s">
        <v>74</v>
      </c>
      <c r="H117" s="557">
        <v>24</v>
      </c>
      <c r="I117" s="483">
        <v>550000</v>
      </c>
      <c r="J117" s="486">
        <f t="shared" si="3"/>
        <v>13200000</v>
      </c>
      <c r="K117" s="570">
        <v>0.35</v>
      </c>
      <c r="L117" s="483">
        <f t="shared" si="4"/>
        <v>8580000</v>
      </c>
      <c r="M117" s="483"/>
      <c r="N117" s="483"/>
      <c r="O117" s="483"/>
      <c r="P117" s="483"/>
      <c r="Q117" s="483"/>
      <c r="R117" s="483"/>
      <c r="S117" s="1701"/>
    </row>
    <row r="118" spans="1:19" s="572" customFormat="1" ht="18">
      <c r="A118" s="556"/>
      <c r="B118" s="495" t="s">
        <v>366</v>
      </c>
      <c r="C118" s="456" t="s">
        <v>357</v>
      </c>
      <c r="D118" s="547" t="s">
        <v>358</v>
      </c>
      <c r="E118" s="548"/>
      <c r="F118" s="562"/>
      <c r="G118" s="557" t="s">
        <v>36</v>
      </c>
      <c r="H118" s="557">
        <v>15</v>
      </c>
      <c r="I118" s="483">
        <v>450000</v>
      </c>
      <c r="J118" s="486">
        <f t="shared" si="3"/>
        <v>6750000</v>
      </c>
      <c r="K118" s="570">
        <v>0.35</v>
      </c>
      <c r="L118" s="483">
        <f t="shared" si="4"/>
        <v>4387500</v>
      </c>
      <c r="M118" s="483"/>
      <c r="N118" s="483"/>
      <c r="O118" s="483"/>
      <c r="P118" s="483"/>
      <c r="Q118" s="483"/>
      <c r="R118" s="483"/>
      <c r="S118" s="1701"/>
    </row>
    <row r="119" spans="1:19" s="572" customFormat="1" ht="18">
      <c r="A119" s="556"/>
      <c r="B119" s="495" t="s">
        <v>366</v>
      </c>
      <c r="C119" s="456" t="s">
        <v>357</v>
      </c>
      <c r="D119" s="547" t="s">
        <v>358</v>
      </c>
      <c r="E119" s="548"/>
      <c r="F119" s="562"/>
      <c r="G119" s="557" t="s">
        <v>34</v>
      </c>
      <c r="H119" s="557">
        <v>12</v>
      </c>
      <c r="I119" s="483">
        <v>455000</v>
      </c>
      <c r="J119" s="486">
        <f t="shared" si="3"/>
        <v>5460000</v>
      </c>
      <c r="K119" s="570">
        <v>0.35</v>
      </c>
      <c r="L119" s="483">
        <f t="shared" si="4"/>
        <v>3549000</v>
      </c>
      <c r="M119" s="483"/>
      <c r="N119" s="483"/>
      <c r="O119" s="483"/>
      <c r="P119" s="483"/>
      <c r="Q119" s="483"/>
      <c r="R119" s="483"/>
      <c r="S119" s="1701"/>
    </row>
    <row r="120" spans="1:19" s="572" customFormat="1" ht="18">
      <c r="A120" s="532"/>
      <c r="B120" s="496" t="s">
        <v>366</v>
      </c>
      <c r="C120" s="457" t="s">
        <v>357</v>
      </c>
      <c r="D120" s="618" t="s">
        <v>358</v>
      </c>
      <c r="E120" s="618"/>
      <c r="F120" s="575"/>
      <c r="G120" s="535" t="s">
        <v>46</v>
      </c>
      <c r="H120" s="535">
        <v>12</v>
      </c>
      <c r="I120" s="488">
        <v>455000</v>
      </c>
      <c r="J120" s="488">
        <f t="shared" si="3"/>
        <v>5460000</v>
      </c>
      <c r="K120" s="536">
        <v>0.35</v>
      </c>
      <c r="L120" s="488">
        <f>H120*I120*(1-K120)</f>
        <v>3549000</v>
      </c>
      <c r="M120" s="488"/>
      <c r="N120" s="488"/>
      <c r="O120" s="488"/>
      <c r="P120" s="488"/>
      <c r="Q120" s="488"/>
      <c r="R120" s="488"/>
      <c r="S120" s="1702"/>
    </row>
    <row r="121" spans="1:19" s="572" customFormat="1" ht="45">
      <c r="A121" s="555">
        <v>36</v>
      </c>
      <c r="B121" s="552" t="s">
        <v>366</v>
      </c>
      <c r="C121" s="558" t="s">
        <v>96</v>
      </c>
      <c r="D121" s="533" t="s">
        <v>375</v>
      </c>
      <c r="E121" s="533"/>
      <c r="F121" s="559"/>
      <c r="G121" s="560" t="s">
        <v>74</v>
      </c>
      <c r="H121" s="560">
        <v>1</v>
      </c>
      <c r="I121" s="582">
        <v>550000</v>
      </c>
      <c r="J121" s="489">
        <f t="shared" si="3"/>
        <v>550000</v>
      </c>
      <c r="K121" s="524">
        <v>1</v>
      </c>
      <c r="L121" s="582">
        <f>H121*I121*(1-K121)</f>
        <v>0</v>
      </c>
      <c r="M121" s="582"/>
      <c r="N121" s="582"/>
      <c r="O121" s="582"/>
      <c r="P121" s="582"/>
      <c r="Q121" s="582"/>
      <c r="R121" s="582"/>
      <c r="S121" s="585"/>
    </row>
    <row r="122" spans="1:19" s="572" customFormat="1" ht="18">
      <c r="A122" s="514">
        <v>37</v>
      </c>
      <c r="B122" s="497" t="s">
        <v>376</v>
      </c>
      <c r="C122" s="458" t="s">
        <v>333</v>
      </c>
      <c r="D122" s="516" t="s">
        <v>377</v>
      </c>
      <c r="E122" s="516" t="s">
        <v>190</v>
      </c>
      <c r="F122" s="566"/>
      <c r="G122" s="517" t="s">
        <v>34</v>
      </c>
      <c r="H122" s="517">
        <v>59</v>
      </c>
      <c r="I122" s="489">
        <v>455000</v>
      </c>
      <c r="J122" s="489">
        <f t="shared" si="3"/>
        <v>26845000</v>
      </c>
      <c r="K122" s="518">
        <v>0.62</v>
      </c>
      <c r="L122" s="489">
        <f t="shared" si="2"/>
        <v>10201100</v>
      </c>
      <c r="M122" s="489"/>
      <c r="N122" s="489"/>
      <c r="O122" s="489"/>
      <c r="P122" s="489"/>
      <c r="Q122" s="489">
        <v>131</v>
      </c>
      <c r="R122" s="489">
        <f>L122</f>
        <v>10201100</v>
      </c>
      <c r="S122" s="519"/>
    </row>
    <row r="123" spans="1:19" s="572" customFormat="1" ht="27">
      <c r="A123" s="514">
        <v>38</v>
      </c>
      <c r="B123" s="497" t="s">
        <v>378</v>
      </c>
      <c r="C123" s="458" t="s">
        <v>333</v>
      </c>
      <c r="D123" s="516" t="s">
        <v>334</v>
      </c>
      <c r="E123" s="516" t="s">
        <v>335</v>
      </c>
      <c r="F123" s="566"/>
      <c r="G123" s="517" t="s">
        <v>34</v>
      </c>
      <c r="H123" s="517">
        <v>84</v>
      </c>
      <c r="I123" s="489">
        <v>455000</v>
      </c>
      <c r="J123" s="489">
        <f t="shared" si="3"/>
        <v>38220000</v>
      </c>
      <c r="K123" s="518">
        <v>0.5</v>
      </c>
      <c r="L123" s="489">
        <f>H123*I123*(1-K123)</f>
        <v>19110000</v>
      </c>
      <c r="M123" s="489"/>
      <c r="N123" s="489"/>
      <c r="O123" s="489"/>
      <c r="P123" s="489"/>
      <c r="Q123" s="489">
        <v>131</v>
      </c>
      <c r="R123" s="489">
        <f>19110000+300000</f>
        <v>19410000</v>
      </c>
      <c r="S123" s="549" t="s">
        <v>379</v>
      </c>
    </row>
    <row r="124" spans="1:19" s="572" customFormat="1" ht="27">
      <c r="A124" s="568">
        <v>39</v>
      </c>
      <c r="B124" s="495" t="s">
        <v>378</v>
      </c>
      <c r="C124" s="456" t="s">
        <v>357</v>
      </c>
      <c r="D124" s="547" t="s">
        <v>358</v>
      </c>
      <c r="E124" s="547" t="s">
        <v>359</v>
      </c>
      <c r="F124" s="577"/>
      <c r="G124" s="569" t="s">
        <v>60</v>
      </c>
      <c r="H124" s="569">
        <v>12</v>
      </c>
      <c r="I124" s="486">
        <v>455000</v>
      </c>
      <c r="J124" s="486">
        <f t="shared" si="3"/>
        <v>5460000</v>
      </c>
      <c r="K124" s="570">
        <v>0.35</v>
      </c>
      <c r="L124" s="486">
        <f>H124*I124*(1-K124)</f>
        <v>3549000</v>
      </c>
      <c r="M124" s="486"/>
      <c r="N124" s="486"/>
      <c r="O124" s="486"/>
      <c r="P124" s="486"/>
      <c r="Q124" s="486">
        <v>131</v>
      </c>
      <c r="R124" s="486">
        <f>SUM(L124:L131)</f>
        <v>30927000</v>
      </c>
      <c r="S124" s="571"/>
    </row>
    <row r="125" spans="1:19" s="572" customFormat="1" ht="18">
      <c r="A125" s="568"/>
      <c r="B125" s="495" t="s">
        <v>378</v>
      </c>
      <c r="C125" s="456" t="s">
        <v>357</v>
      </c>
      <c r="D125" s="547" t="s">
        <v>358</v>
      </c>
      <c r="E125" s="547"/>
      <c r="F125" s="577"/>
      <c r="G125" s="569" t="s">
        <v>42</v>
      </c>
      <c r="H125" s="569">
        <v>24</v>
      </c>
      <c r="I125" s="486">
        <v>265000</v>
      </c>
      <c r="J125" s="486">
        <f t="shared" si="3"/>
        <v>6360000</v>
      </c>
      <c r="K125" s="570">
        <v>0.35</v>
      </c>
      <c r="L125" s="486">
        <f t="shared" ref="L125:L131" si="5">H125*I125*(1-K125)</f>
        <v>4134000</v>
      </c>
      <c r="M125" s="486"/>
      <c r="N125" s="486"/>
      <c r="O125" s="486"/>
      <c r="P125" s="486"/>
      <c r="Q125" s="486"/>
      <c r="R125" s="486"/>
      <c r="S125" s="571"/>
    </row>
    <row r="126" spans="1:19" s="572" customFormat="1" ht="18">
      <c r="A126" s="568"/>
      <c r="B126" s="495" t="s">
        <v>378</v>
      </c>
      <c r="C126" s="456" t="s">
        <v>357</v>
      </c>
      <c r="D126" s="547" t="s">
        <v>358</v>
      </c>
      <c r="E126" s="547"/>
      <c r="F126" s="577"/>
      <c r="G126" s="569" t="s">
        <v>30</v>
      </c>
      <c r="H126" s="569">
        <v>12</v>
      </c>
      <c r="I126" s="486">
        <v>465000</v>
      </c>
      <c r="J126" s="486">
        <f t="shared" si="3"/>
        <v>5580000</v>
      </c>
      <c r="K126" s="570">
        <v>0.35</v>
      </c>
      <c r="L126" s="486">
        <f t="shared" si="5"/>
        <v>3627000</v>
      </c>
      <c r="M126" s="486"/>
      <c r="N126" s="486"/>
      <c r="O126" s="486"/>
      <c r="P126" s="486"/>
      <c r="Q126" s="486"/>
      <c r="R126" s="486"/>
      <c r="S126" s="571"/>
    </row>
    <row r="127" spans="1:19" s="572" customFormat="1" ht="18">
      <c r="A127" s="568"/>
      <c r="B127" s="495" t="s">
        <v>378</v>
      </c>
      <c r="C127" s="456" t="s">
        <v>357</v>
      </c>
      <c r="D127" s="547" t="s">
        <v>358</v>
      </c>
      <c r="E127" s="547"/>
      <c r="F127" s="577"/>
      <c r="G127" s="569" t="s">
        <v>50</v>
      </c>
      <c r="H127" s="569">
        <v>12</v>
      </c>
      <c r="I127" s="486">
        <v>475000</v>
      </c>
      <c r="J127" s="486">
        <f t="shared" si="3"/>
        <v>5700000</v>
      </c>
      <c r="K127" s="570">
        <v>0.35</v>
      </c>
      <c r="L127" s="486">
        <f t="shared" si="5"/>
        <v>3705000</v>
      </c>
      <c r="M127" s="486"/>
      <c r="N127" s="486"/>
      <c r="O127" s="486"/>
      <c r="P127" s="486"/>
      <c r="Q127" s="486"/>
      <c r="R127" s="486"/>
      <c r="S127" s="571"/>
    </row>
    <row r="128" spans="1:19" s="572" customFormat="1" ht="18">
      <c r="A128" s="568"/>
      <c r="B128" s="495" t="s">
        <v>378</v>
      </c>
      <c r="C128" s="456" t="s">
        <v>357</v>
      </c>
      <c r="D128" s="547" t="s">
        <v>358</v>
      </c>
      <c r="E128" s="547"/>
      <c r="F128" s="577"/>
      <c r="G128" s="569" t="s">
        <v>45</v>
      </c>
      <c r="H128" s="569">
        <v>12</v>
      </c>
      <c r="I128" s="486">
        <v>485000</v>
      </c>
      <c r="J128" s="486">
        <f t="shared" si="3"/>
        <v>5820000</v>
      </c>
      <c r="K128" s="570">
        <v>0.35</v>
      </c>
      <c r="L128" s="486">
        <f t="shared" si="5"/>
        <v>3783000</v>
      </c>
      <c r="M128" s="486"/>
      <c r="N128" s="486"/>
      <c r="O128" s="486"/>
      <c r="P128" s="486"/>
      <c r="Q128" s="486"/>
      <c r="R128" s="486"/>
      <c r="S128" s="571"/>
    </row>
    <row r="129" spans="1:19" s="572" customFormat="1" ht="18">
      <c r="A129" s="568"/>
      <c r="B129" s="495" t="s">
        <v>378</v>
      </c>
      <c r="C129" s="456" t="s">
        <v>357</v>
      </c>
      <c r="D129" s="547" t="s">
        <v>358</v>
      </c>
      <c r="E129" s="547"/>
      <c r="F129" s="577"/>
      <c r="G129" s="569" t="s">
        <v>74</v>
      </c>
      <c r="H129" s="569">
        <v>24</v>
      </c>
      <c r="I129" s="486">
        <v>550000</v>
      </c>
      <c r="J129" s="486">
        <f t="shared" si="3"/>
        <v>13200000</v>
      </c>
      <c r="K129" s="570">
        <v>0.35</v>
      </c>
      <c r="L129" s="486">
        <f t="shared" si="5"/>
        <v>8580000</v>
      </c>
      <c r="M129" s="486"/>
      <c r="N129" s="486"/>
      <c r="O129" s="486"/>
      <c r="P129" s="486"/>
      <c r="Q129" s="486"/>
      <c r="R129" s="486"/>
      <c r="S129" s="571"/>
    </row>
    <row r="130" spans="1:19" s="572" customFormat="1" ht="18">
      <c r="A130" s="556"/>
      <c r="B130" s="495" t="s">
        <v>378</v>
      </c>
      <c r="C130" s="456" t="s">
        <v>357</v>
      </c>
      <c r="D130" s="547" t="s">
        <v>358</v>
      </c>
      <c r="E130" s="548"/>
      <c r="F130" s="562"/>
      <c r="G130" s="557" t="s">
        <v>34</v>
      </c>
      <c r="H130" s="557">
        <v>0</v>
      </c>
      <c r="I130" s="483">
        <v>455000</v>
      </c>
      <c r="J130" s="486">
        <f t="shared" si="3"/>
        <v>0</v>
      </c>
      <c r="K130" s="578">
        <v>0.35</v>
      </c>
      <c r="L130" s="483">
        <f t="shared" si="5"/>
        <v>0</v>
      </c>
      <c r="M130" s="483"/>
      <c r="N130" s="483"/>
      <c r="O130" s="483"/>
      <c r="P130" s="483"/>
      <c r="Q130" s="483"/>
      <c r="R130" s="483"/>
      <c r="S130" s="573"/>
    </row>
    <row r="131" spans="1:19" s="572" customFormat="1" ht="18">
      <c r="A131" s="532"/>
      <c r="B131" s="496" t="s">
        <v>378</v>
      </c>
      <c r="C131" s="457" t="s">
        <v>357</v>
      </c>
      <c r="D131" s="618" t="s">
        <v>358</v>
      </c>
      <c r="E131" s="533"/>
      <c r="F131" s="575"/>
      <c r="G131" s="535" t="s">
        <v>46</v>
      </c>
      <c r="H131" s="535">
        <v>12</v>
      </c>
      <c r="I131" s="488">
        <v>455000</v>
      </c>
      <c r="J131" s="488">
        <f t="shared" si="3"/>
        <v>5460000</v>
      </c>
      <c r="K131" s="586">
        <v>0.35</v>
      </c>
      <c r="L131" s="582">
        <f t="shared" si="5"/>
        <v>3549000</v>
      </c>
      <c r="M131" s="488"/>
      <c r="N131" s="488"/>
      <c r="O131" s="488"/>
      <c r="P131" s="488"/>
      <c r="Q131" s="488"/>
      <c r="R131" s="488"/>
      <c r="S131" s="537"/>
    </row>
    <row r="132" spans="1:19" s="572" customFormat="1" ht="45">
      <c r="A132" s="568">
        <v>40</v>
      </c>
      <c r="B132" s="495" t="s">
        <v>378</v>
      </c>
      <c r="C132" s="547" t="s">
        <v>87</v>
      </c>
      <c r="D132" s="547" t="s">
        <v>276</v>
      </c>
      <c r="E132" s="547" t="s">
        <v>291</v>
      </c>
      <c r="F132" s="577"/>
      <c r="G132" s="569" t="s">
        <v>34</v>
      </c>
      <c r="H132" s="569">
        <v>10</v>
      </c>
      <c r="I132" s="486">
        <v>455000</v>
      </c>
      <c r="J132" s="486">
        <f t="shared" si="3"/>
        <v>4550000</v>
      </c>
      <c r="K132" s="570">
        <v>1</v>
      </c>
      <c r="L132" s="486">
        <f>H132*I132*(1-K132)</f>
        <v>0</v>
      </c>
      <c r="M132" s="486"/>
      <c r="N132" s="486"/>
      <c r="O132" s="486"/>
      <c r="P132" s="486"/>
      <c r="Q132" s="486"/>
      <c r="R132" s="486">
        <f>SUM(L132:L135)</f>
        <v>0</v>
      </c>
      <c r="S132" s="587" t="s">
        <v>380</v>
      </c>
    </row>
    <row r="133" spans="1:19" s="572" customFormat="1" ht="27">
      <c r="A133" s="556"/>
      <c r="B133" s="495" t="s">
        <v>378</v>
      </c>
      <c r="C133" s="547" t="s">
        <v>87</v>
      </c>
      <c r="D133" s="547" t="s">
        <v>276</v>
      </c>
      <c r="E133" s="547"/>
      <c r="F133" s="562"/>
      <c r="G133" s="557" t="s">
        <v>50</v>
      </c>
      <c r="H133" s="557">
        <v>11</v>
      </c>
      <c r="I133" s="483">
        <v>475000</v>
      </c>
      <c r="J133" s="486">
        <f t="shared" si="3"/>
        <v>5225000</v>
      </c>
      <c r="K133" s="578">
        <v>1</v>
      </c>
      <c r="L133" s="486">
        <f>H133*I133*(1-K133)</f>
        <v>0</v>
      </c>
      <c r="M133" s="483"/>
      <c r="N133" s="483"/>
      <c r="O133" s="483"/>
      <c r="P133" s="483"/>
      <c r="Q133" s="483"/>
      <c r="R133" s="483"/>
      <c r="S133" s="573"/>
    </row>
    <row r="134" spans="1:19" s="572" customFormat="1" ht="27">
      <c r="A134" s="556"/>
      <c r="B134" s="495" t="s">
        <v>378</v>
      </c>
      <c r="C134" s="547" t="s">
        <v>87</v>
      </c>
      <c r="D134" s="547" t="s">
        <v>276</v>
      </c>
      <c r="E134" s="547"/>
      <c r="F134" s="562"/>
      <c r="G134" s="557" t="s">
        <v>74</v>
      </c>
      <c r="H134" s="557">
        <v>7</v>
      </c>
      <c r="I134" s="483">
        <v>550000</v>
      </c>
      <c r="J134" s="486">
        <f t="shared" si="3"/>
        <v>3850000</v>
      </c>
      <c r="K134" s="578">
        <v>1</v>
      </c>
      <c r="L134" s="486">
        <f>H134*I134*(1-K134)</f>
        <v>0</v>
      </c>
      <c r="M134" s="483"/>
      <c r="N134" s="483"/>
      <c r="O134" s="483"/>
      <c r="P134" s="483"/>
      <c r="Q134" s="483"/>
      <c r="R134" s="483"/>
      <c r="S134" s="573"/>
    </row>
    <row r="135" spans="1:19" s="572" customFormat="1" ht="27">
      <c r="A135" s="532"/>
      <c r="B135" s="495" t="s">
        <v>378</v>
      </c>
      <c r="C135" s="547" t="s">
        <v>87</v>
      </c>
      <c r="D135" s="547" t="s">
        <v>276</v>
      </c>
      <c r="E135" s="618"/>
      <c r="F135" s="575"/>
      <c r="G135" s="535" t="s">
        <v>36</v>
      </c>
      <c r="H135" s="535">
        <v>2</v>
      </c>
      <c r="I135" s="488">
        <v>450000</v>
      </c>
      <c r="J135" s="523">
        <f t="shared" si="3"/>
        <v>900000</v>
      </c>
      <c r="K135" s="536">
        <v>1</v>
      </c>
      <c r="L135" s="488">
        <f>H135*I135*(1-K135)</f>
        <v>0</v>
      </c>
      <c r="M135" s="488"/>
      <c r="N135" s="488"/>
      <c r="O135" s="488"/>
      <c r="P135" s="488"/>
      <c r="Q135" s="488"/>
      <c r="R135" s="488"/>
      <c r="S135" s="537"/>
    </row>
    <row r="136" spans="1:19" s="572" customFormat="1" ht="9">
      <c r="A136" s="514">
        <v>41</v>
      </c>
      <c r="B136" s="497" t="s">
        <v>381</v>
      </c>
      <c r="C136" s="458" t="s">
        <v>27</v>
      </c>
      <c r="D136" s="516" t="s">
        <v>240</v>
      </c>
      <c r="E136" s="516" t="s">
        <v>91</v>
      </c>
      <c r="F136" s="566"/>
      <c r="G136" s="517" t="s">
        <v>60</v>
      </c>
      <c r="H136" s="517">
        <v>24</v>
      </c>
      <c r="I136" s="489">
        <v>455000</v>
      </c>
      <c r="J136" s="489">
        <f t="shared" si="3"/>
        <v>10920000</v>
      </c>
      <c r="K136" s="518">
        <v>0.41</v>
      </c>
      <c r="L136" s="489">
        <f t="shared" ref="L136:L180" si="6">H136*I136*(1-K136)</f>
        <v>6442800.0000000009</v>
      </c>
      <c r="M136" s="489"/>
      <c r="N136" s="489"/>
      <c r="O136" s="489">
        <v>112</v>
      </c>
      <c r="P136" s="489">
        <f>L136</f>
        <v>6442800.0000000009</v>
      </c>
      <c r="Q136" s="489"/>
      <c r="R136" s="489"/>
      <c r="S136" s="519"/>
    </row>
    <row r="137" spans="1:19" s="572" customFormat="1" ht="36">
      <c r="A137" s="538">
        <v>42</v>
      </c>
      <c r="B137" s="539" t="s">
        <v>381</v>
      </c>
      <c r="C137" s="461" t="s">
        <v>27</v>
      </c>
      <c r="D137" s="542" t="s">
        <v>382</v>
      </c>
      <c r="E137" s="542" t="s">
        <v>226</v>
      </c>
      <c r="F137" s="588"/>
      <c r="G137" s="543" t="s">
        <v>60</v>
      </c>
      <c r="H137" s="543">
        <v>0</v>
      </c>
      <c r="I137" s="544">
        <v>455000</v>
      </c>
      <c r="J137" s="486">
        <f t="shared" si="3"/>
        <v>0</v>
      </c>
      <c r="K137" s="545">
        <v>0.5</v>
      </c>
      <c r="L137" s="544">
        <f t="shared" si="6"/>
        <v>0</v>
      </c>
      <c r="M137" s="544"/>
      <c r="N137" s="544"/>
      <c r="O137" s="544"/>
      <c r="P137" s="544"/>
      <c r="Q137" s="544">
        <v>131</v>
      </c>
      <c r="R137" s="544">
        <f>SUM(L137:L140)</f>
        <v>242500</v>
      </c>
      <c r="S137" s="453" t="s">
        <v>383</v>
      </c>
    </row>
    <row r="138" spans="1:19" s="572" customFormat="1" ht="36">
      <c r="A138" s="556"/>
      <c r="B138" s="490" t="s">
        <v>381</v>
      </c>
      <c r="C138" s="463" t="s">
        <v>27</v>
      </c>
      <c r="D138" s="548" t="s">
        <v>382</v>
      </c>
      <c r="E138" s="548"/>
      <c r="F138" s="562"/>
      <c r="G138" s="557" t="s">
        <v>30</v>
      </c>
      <c r="H138" s="557">
        <v>0</v>
      </c>
      <c r="I138" s="483">
        <v>465000</v>
      </c>
      <c r="J138" s="486">
        <f t="shared" si="3"/>
        <v>0</v>
      </c>
      <c r="K138" s="578">
        <v>0.5</v>
      </c>
      <c r="L138" s="483">
        <f t="shared" si="6"/>
        <v>0</v>
      </c>
      <c r="M138" s="483"/>
      <c r="N138" s="483"/>
      <c r="O138" s="483"/>
      <c r="P138" s="483"/>
      <c r="Q138" s="483"/>
      <c r="R138" s="483"/>
      <c r="S138" s="464" t="s">
        <v>383</v>
      </c>
    </row>
    <row r="139" spans="1:19" s="572" customFormat="1" ht="36">
      <c r="A139" s="556"/>
      <c r="B139" s="490" t="s">
        <v>381</v>
      </c>
      <c r="C139" s="463" t="s">
        <v>27</v>
      </c>
      <c r="D139" s="548" t="s">
        <v>382</v>
      </c>
      <c r="E139" s="548"/>
      <c r="F139" s="562"/>
      <c r="G139" s="557" t="s">
        <v>50</v>
      </c>
      <c r="H139" s="557">
        <v>0</v>
      </c>
      <c r="I139" s="483">
        <v>475000</v>
      </c>
      <c r="J139" s="486">
        <f t="shared" ref="J139:J180" si="7">H139*I139</f>
        <v>0</v>
      </c>
      <c r="K139" s="578">
        <v>0.5</v>
      </c>
      <c r="L139" s="483">
        <f t="shared" si="6"/>
        <v>0</v>
      </c>
      <c r="M139" s="483"/>
      <c r="N139" s="483"/>
      <c r="O139" s="483"/>
      <c r="P139" s="483"/>
      <c r="Q139" s="483"/>
      <c r="R139" s="483"/>
      <c r="S139" s="574" t="s">
        <v>384</v>
      </c>
    </row>
    <row r="140" spans="1:19" s="572" customFormat="1" ht="36">
      <c r="A140" s="555"/>
      <c r="B140" s="496" t="s">
        <v>381</v>
      </c>
      <c r="C140" s="457" t="s">
        <v>27</v>
      </c>
      <c r="D140" s="618" t="s">
        <v>382</v>
      </c>
      <c r="E140" s="533"/>
      <c r="F140" s="559"/>
      <c r="G140" s="560" t="s">
        <v>45</v>
      </c>
      <c r="H140" s="560">
        <v>1</v>
      </c>
      <c r="I140" s="582">
        <v>485000</v>
      </c>
      <c r="J140" s="488">
        <f t="shared" si="7"/>
        <v>485000</v>
      </c>
      <c r="K140" s="586">
        <v>0.5</v>
      </c>
      <c r="L140" s="582">
        <f t="shared" si="6"/>
        <v>242500</v>
      </c>
      <c r="M140" s="582"/>
      <c r="N140" s="582"/>
      <c r="O140" s="582"/>
      <c r="P140" s="582"/>
      <c r="Q140" s="582"/>
      <c r="R140" s="582"/>
      <c r="S140" s="594" t="s">
        <v>229</v>
      </c>
    </row>
    <row r="141" spans="1:19" s="572" customFormat="1" ht="36">
      <c r="A141" s="555">
        <v>43</v>
      </c>
      <c r="B141" s="552" t="s">
        <v>385</v>
      </c>
      <c r="C141" s="558" t="s">
        <v>87</v>
      </c>
      <c r="D141" s="533" t="s">
        <v>386</v>
      </c>
      <c r="E141" s="533" t="s">
        <v>145</v>
      </c>
      <c r="F141" s="559"/>
      <c r="G141" s="560" t="s">
        <v>33</v>
      </c>
      <c r="H141" s="560">
        <v>5</v>
      </c>
      <c r="I141" s="582">
        <v>285000</v>
      </c>
      <c r="J141" s="489">
        <f t="shared" si="7"/>
        <v>1425000</v>
      </c>
      <c r="K141" s="586">
        <v>1</v>
      </c>
      <c r="L141" s="582">
        <f t="shared" si="6"/>
        <v>0</v>
      </c>
      <c r="M141" s="582"/>
      <c r="N141" s="582"/>
      <c r="O141" s="582"/>
      <c r="P141" s="582"/>
      <c r="Q141" s="582"/>
      <c r="R141" s="582"/>
      <c r="S141" s="585"/>
    </row>
    <row r="142" spans="1:19" s="572" customFormat="1" ht="36">
      <c r="A142" s="520">
        <v>44</v>
      </c>
      <c r="B142" s="498" t="s">
        <v>385</v>
      </c>
      <c r="C142" s="455" t="s">
        <v>87</v>
      </c>
      <c r="D142" s="521" t="s">
        <v>386</v>
      </c>
      <c r="E142" s="521" t="s">
        <v>145</v>
      </c>
      <c r="F142" s="561"/>
      <c r="G142" s="522" t="s">
        <v>60</v>
      </c>
      <c r="H142" s="522">
        <v>1</v>
      </c>
      <c r="I142" s="523">
        <v>455000</v>
      </c>
      <c r="J142" s="486">
        <f t="shared" si="7"/>
        <v>455000</v>
      </c>
      <c r="K142" s="524">
        <v>1</v>
      </c>
      <c r="L142" s="523">
        <f t="shared" si="6"/>
        <v>0</v>
      </c>
      <c r="M142" s="523"/>
      <c r="N142" s="523"/>
      <c r="O142" s="523"/>
      <c r="P142" s="523"/>
      <c r="Q142" s="523"/>
      <c r="R142" s="523"/>
      <c r="S142" s="525"/>
    </row>
    <row r="143" spans="1:19" s="572" customFormat="1" ht="36">
      <c r="A143" s="556"/>
      <c r="B143" s="490" t="s">
        <v>385</v>
      </c>
      <c r="C143" s="463" t="s">
        <v>87</v>
      </c>
      <c r="D143" s="548" t="s">
        <v>386</v>
      </c>
      <c r="E143" s="548" t="s">
        <v>145</v>
      </c>
      <c r="F143" s="562"/>
      <c r="G143" s="557" t="s">
        <v>30</v>
      </c>
      <c r="H143" s="557">
        <v>1</v>
      </c>
      <c r="I143" s="483">
        <v>465000</v>
      </c>
      <c r="J143" s="486">
        <f t="shared" si="7"/>
        <v>465000</v>
      </c>
      <c r="K143" s="578">
        <v>1</v>
      </c>
      <c r="L143" s="483">
        <f t="shared" si="6"/>
        <v>0</v>
      </c>
      <c r="M143" s="483"/>
      <c r="N143" s="483"/>
      <c r="O143" s="483"/>
      <c r="P143" s="483"/>
      <c r="Q143" s="483"/>
      <c r="R143" s="483"/>
      <c r="S143" s="573"/>
    </row>
    <row r="144" spans="1:19" s="572" customFormat="1" ht="36">
      <c r="A144" s="556"/>
      <c r="B144" s="490" t="s">
        <v>385</v>
      </c>
      <c r="C144" s="463" t="s">
        <v>87</v>
      </c>
      <c r="D144" s="548" t="s">
        <v>386</v>
      </c>
      <c r="E144" s="548" t="s">
        <v>145</v>
      </c>
      <c r="F144" s="562"/>
      <c r="G144" s="557" t="s">
        <v>33</v>
      </c>
      <c r="H144" s="557">
        <v>1</v>
      </c>
      <c r="I144" s="483">
        <v>285000</v>
      </c>
      <c r="J144" s="486">
        <f t="shared" si="7"/>
        <v>285000</v>
      </c>
      <c r="K144" s="578">
        <v>1</v>
      </c>
      <c r="L144" s="483">
        <f t="shared" si="6"/>
        <v>0</v>
      </c>
      <c r="M144" s="483"/>
      <c r="N144" s="483"/>
      <c r="O144" s="483"/>
      <c r="P144" s="483"/>
      <c r="Q144" s="483"/>
      <c r="R144" s="483"/>
      <c r="S144" s="573"/>
    </row>
    <row r="145" spans="1:20" s="572" customFormat="1" ht="36">
      <c r="A145" s="556"/>
      <c r="B145" s="490" t="s">
        <v>385</v>
      </c>
      <c r="C145" s="463" t="s">
        <v>87</v>
      </c>
      <c r="D145" s="548" t="s">
        <v>386</v>
      </c>
      <c r="E145" s="548" t="s">
        <v>145</v>
      </c>
      <c r="F145" s="562"/>
      <c r="G145" s="557" t="s">
        <v>45</v>
      </c>
      <c r="H145" s="557">
        <v>1</v>
      </c>
      <c r="I145" s="483">
        <v>485000</v>
      </c>
      <c r="J145" s="486">
        <f t="shared" si="7"/>
        <v>485000</v>
      </c>
      <c r="K145" s="578">
        <v>1</v>
      </c>
      <c r="L145" s="483">
        <f t="shared" si="6"/>
        <v>0</v>
      </c>
      <c r="M145" s="483"/>
      <c r="N145" s="483"/>
      <c r="O145" s="483"/>
      <c r="P145" s="483"/>
      <c r="Q145" s="483"/>
      <c r="R145" s="483"/>
      <c r="S145" s="573"/>
    </row>
    <row r="146" spans="1:20" s="572" customFormat="1" ht="36">
      <c r="A146" s="556"/>
      <c r="B146" s="490" t="s">
        <v>385</v>
      </c>
      <c r="C146" s="463" t="s">
        <v>87</v>
      </c>
      <c r="D146" s="548" t="s">
        <v>386</v>
      </c>
      <c r="E146" s="548" t="s">
        <v>145</v>
      </c>
      <c r="F146" s="562"/>
      <c r="G146" s="557" t="s">
        <v>73</v>
      </c>
      <c r="H146" s="557">
        <v>1</v>
      </c>
      <c r="I146" s="483">
        <v>485000</v>
      </c>
      <c r="J146" s="486">
        <f t="shared" si="7"/>
        <v>485000</v>
      </c>
      <c r="K146" s="578">
        <v>1</v>
      </c>
      <c r="L146" s="483">
        <f t="shared" si="6"/>
        <v>0</v>
      </c>
      <c r="M146" s="483"/>
      <c r="N146" s="483"/>
      <c r="O146" s="483"/>
      <c r="P146" s="483"/>
      <c r="Q146" s="483"/>
      <c r="R146" s="483"/>
      <c r="S146" s="573"/>
    </row>
    <row r="147" spans="1:20" s="572" customFormat="1" ht="36">
      <c r="A147" s="556"/>
      <c r="B147" s="490" t="s">
        <v>385</v>
      </c>
      <c r="C147" s="463" t="s">
        <v>87</v>
      </c>
      <c r="D147" s="548" t="s">
        <v>386</v>
      </c>
      <c r="E147" s="548" t="s">
        <v>145</v>
      </c>
      <c r="F147" s="562"/>
      <c r="G147" s="557" t="s">
        <v>74</v>
      </c>
      <c r="H147" s="557">
        <v>6</v>
      </c>
      <c r="I147" s="483">
        <v>550000</v>
      </c>
      <c r="J147" s="486">
        <f t="shared" si="7"/>
        <v>3300000</v>
      </c>
      <c r="K147" s="578">
        <v>1</v>
      </c>
      <c r="L147" s="483">
        <f t="shared" si="6"/>
        <v>0</v>
      </c>
      <c r="M147" s="483"/>
      <c r="N147" s="483"/>
      <c r="O147" s="483"/>
      <c r="P147" s="483"/>
      <c r="Q147" s="483"/>
      <c r="R147" s="483"/>
      <c r="S147" s="573"/>
    </row>
    <row r="148" spans="1:20" s="572" customFormat="1" ht="36">
      <c r="A148" s="556"/>
      <c r="B148" s="490" t="s">
        <v>385</v>
      </c>
      <c r="C148" s="463" t="s">
        <v>87</v>
      </c>
      <c r="D148" s="548" t="s">
        <v>386</v>
      </c>
      <c r="E148" s="548" t="s">
        <v>145</v>
      </c>
      <c r="F148" s="562"/>
      <c r="G148" s="557" t="s">
        <v>34</v>
      </c>
      <c r="H148" s="557">
        <v>2</v>
      </c>
      <c r="I148" s="483">
        <v>455000</v>
      </c>
      <c r="J148" s="486">
        <f t="shared" si="7"/>
        <v>910000</v>
      </c>
      <c r="K148" s="578">
        <v>1</v>
      </c>
      <c r="L148" s="483">
        <f t="shared" si="6"/>
        <v>0</v>
      </c>
      <c r="M148" s="483"/>
      <c r="N148" s="483"/>
      <c r="O148" s="483"/>
      <c r="P148" s="483"/>
      <c r="Q148" s="483"/>
      <c r="R148" s="483"/>
      <c r="S148" s="573"/>
    </row>
    <row r="149" spans="1:20" s="572" customFormat="1" ht="36">
      <c r="A149" s="555"/>
      <c r="B149" s="552" t="s">
        <v>385</v>
      </c>
      <c r="C149" s="558" t="s">
        <v>87</v>
      </c>
      <c r="D149" s="533" t="s">
        <v>386</v>
      </c>
      <c r="E149" s="533" t="s">
        <v>145</v>
      </c>
      <c r="F149" s="559"/>
      <c r="G149" s="560" t="s">
        <v>46</v>
      </c>
      <c r="H149" s="560">
        <v>1</v>
      </c>
      <c r="I149" s="582">
        <v>455000</v>
      </c>
      <c r="J149" s="523">
        <f t="shared" si="7"/>
        <v>455000</v>
      </c>
      <c r="K149" s="586">
        <v>1</v>
      </c>
      <c r="L149" s="582">
        <f t="shared" si="6"/>
        <v>0</v>
      </c>
      <c r="M149" s="582"/>
      <c r="N149" s="582"/>
      <c r="O149" s="582"/>
      <c r="P149" s="582"/>
      <c r="Q149" s="582"/>
      <c r="R149" s="582"/>
      <c r="S149" s="585"/>
    </row>
    <row r="150" spans="1:20" s="572" customFormat="1" ht="36">
      <c r="A150" s="555">
        <v>45</v>
      </c>
      <c r="B150" s="552" t="s">
        <v>385</v>
      </c>
      <c r="C150" s="558" t="s">
        <v>87</v>
      </c>
      <c r="D150" s="533" t="s">
        <v>386</v>
      </c>
      <c r="E150" s="533"/>
      <c r="F150" s="559"/>
      <c r="G150" s="560" t="s">
        <v>50</v>
      </c>
      <c r="H150" s="560">
        <v>8</v>
      </c>
      <c r="I150" s="582">
        <v>475000</v>
      </c>
      <c r="J150" s="489">
        <f t="shared" si="7"/>
        <v>3800000</v>
      </c>
      <c r="K150" s="586">
        <v>1</v>
      </c>
      <c r="L150" s="582">
        <f t="shared" si="6"/>
        <v>0</v>
      </c>
      <c r="M150" s="582"/>
      <c r="N150" s="582"/>
      <c r="O150" s="582"/>
      <c r="P150" s="582"/>
      <c r="Q150" s="582"/>
      <c r="R150" s="582"/>
      <c r="S150" s="585"/>
    </row>
    <row r="151" spans="1:20" s="572" customFormat="1" ht="36">
      <c r="A151" s="514">
        <v>46</v>
      </c>
      <c r="B151" s="497" t="s">
        <v>387</v>
      </c>
      <c r="C151" s="458" t="s">
        <v>27</v>
      </c>
      <c r="D151" s="516" t="s">
        <v>388</v>
      </c>
      <c r="E151" s="516" t="s">
        <v>389</v>
      </c>
      <c r="F151" s="566"/>
      <c r="G151" s="517" t="s">
        <v>30</v>
      </c>
      <c r="H151" s="517">
        <v>1</v>
      </c>
      <c r="I151" s="489">
        <v>465000</v>
      </c>
      <c r="J151" s="489">
        <f t="shared" si="7"/>
        <v>465000</v>
      </c>
      <c r="K151" s="518">
        <v>0.41</v>
      </c>
      <c r="L151" s="489">
        <f t="shared" si="6"/>
        <v>274350.00000000006</v>
      </c>
      <c r="M151" s="489"/>
      <c r="N151" s="489"/>
      <c r="O151" s="489">
        <v>112</v>
      </c>
      <c r="P151" s="489">
        <v>332000</v>
      </c>
      <c r="Q151" s="489"/>
      <c r="R151" s="489"/>
      <c r="S151" s="519"/>
      <c r="T151" s="583"/>
    </row>
    <row r="152" spans="1:20" s="572" customFormat="1" ht="36">
      <c r="A152" s="568">
        <v>47</v>
      </c>
      <c r="B152" s="495" t="s">
        <v>390</v>
      </c>
      <c r="C152" s="456" t="s">
        <v>318</v>
      </c>
      <c r="D152" s="547" t="s">
        <v>86</v>
      </c>
      <c r="E152" s="547"/>
      <c r="F152" s="577"/>
      <c r="G152" s="569" t="s">
        <v>60</v>
      </c>
      <c r="H152" s="569">
        <v>12</v>
      </c>
      <c r="I152" s="486">
        <v>455000</v>
      </c>
      <c r="J152" s="486">
        <f t="shared" si="7"/>
        <v>5460000</v>
      </c>
      <c r="K152" s="570">
        <v>0.41</v>
      </c>
      <c r="L152" s="486">
        <f t="shared" si="6"/>
        <v>3221400.0000000005</v>
      </c>
      <c r="M152" s="486"/>
      <c r="N152" s="486"/>
      <c r="O152" s="486"/>
      <c r="P152" s="486"/>
      <c r="Q152" s="486">
        <v>131</v>
      </c>
      <c r="R152" s="486">
        <f>SUM(L152:L156)</f>
        <v>7640500.0000000009</v>
      </c>
      <c r="S152" s="605" t="s">
        <v>391</v>
      </c>
    </row>
    <row r="153" spans="1:20" s="572" customFormat="1" ht="36">
      <c r="A153" s="556"/>
      <c r="B153" s="495" t="s">
        <v>390</v>
      </c>
      <c r="C153" s="456" t="s">
        <v>318</v>
      </c>
      <c r="D153" s="547" t="s">
        <v>86</v>
      </c>
      <c r="E153" s="548"/>
      <c r="F153" s="562"/>
      <c r="G153" s="557" t="s">
        <v>30</v>
      </c>
      <c r="H153" s="557">
        <v>7</v>
      </c>
      <c r="I153" s="483">
        <v>465000</v>
      </c>
      <c r="J153" s="486">
        <f t="shared" si="7"/>
        <v>3255000</v>
      </c>
      <c r="K153" s="578">
        <v>0.41</v>
      </c>
      <c r="L153" s="483">
        <f t="shared" si="6"/>
        <v>1920450.0000000002</v>
      </c>
      <c r="M153" s="483"/>
      <c r="N153" s="483"/>
      <c r="O153" s="483"/>
      <c r="P153" s="483"/>
      <c r="Q153" s="483"/>
      <c r="R153" s="483"/>
      <c r="S153" s="609" t="s">
        <v>1685</v>
      </c>
    </row>
    <row r="154" spans="1:20" s="572" customFormat="1" ht="36">
      <c r="A154" s="556"/>
      <c r="B154" s="495" t="s">
        <v>390</v>
      </c>
      <c r="C154" s="456" t="s">
        <v>318</v>
      </c>
      <c r="D154" s="547" t="s">
        <v>86</v>
      </c>
      <c r="E154" s="548"/>
      <c r="F154" s="562"/>
      <c r="G154" s="557" t="s">
        <v>50</v>
      </c>
      <c r="H154" s="557">
        <v>7</v>
      </c>
      <c r="I154" s="483">
        <v>475000</v>
      </c>
      <c r="J154" s="486">
        <f t="shared" si="7"/>
        <v>3325000</v>
      </c>
      <c r="K154" s="578">
        <v>0.41</v>
      </c>
      <c r="L154" s="483">
        <f t="shared" si="6"/>
        <v>1961750.0000000002</v>
      </c>
      <c r="M154" s="483"/>
      <c r="N154" s="483"/>
      <c r="O154" s="483"/>
      <c r="P154" s="483"/>
      <c r="Q154" s="483"/>
      <c r="R154" s="483"/>
      <c r="S154" s="1168" t="s">
        <v>1685</v>
      </c>
    </row>
    <row r="155" spans="1:20" s="572" customFormat="1" ht="18">
      <c r="A155" s="568"/>
      <c r="B155" s="495" t="s">
        <v>390</v>
      </c>
      <c r="C155" s="456" t="s">
        <v>318</v>
      </c>
      <c r="D155" s="547" t="s">
        <v>86</v>
      </c>
      <c r="E155" s="547"/>
      <c r="F155" s="577"/>
      <c r="G155" s="569" t="s">
        <v>34</v>
      </c>
      <c r="H155" s="569">
        <v>0</v>
      </c>
      <c r="I155" s="486">
        <v>455000</v>
      </c>
      <c r="J155" s="486">
        <f t="shared" si="7"/>
        <v>0</v>
      </c>
      <c r="K155" s="570">
        <v>0.41</v>
      </c>
      <c r="L155" s="486">
        <f t="shared" si="6"/>
        <v>0</v>
      </c>
      <c r="M155" s="486"/>
      <c r="N155" s="486"/>
      <c r="O155" s="486"/>
      <c r="P155" s="486"/>
      <c r="Q155" s="486"/>
      <c r="R155" s="486"/>
      <c r="S155" s="571"/>
    </row>
    <row r="156" spans="1:20" s="572" customFormat="1" ht="45">
      <c r="A156" s="532"/>
      <c r="B156" s="496" t="s">
        <v>390</v>
      </c>
      <c r="C156" s="457" t="s">
        <v>318</v>
      </c>
      <c r="D156" s="618" t="s">
        <v>86</v>
      </c>
      <c r="E156" s="618"/>
      <c r="F156" s="575"/>
      <c r="G156" s="535" t="s">
        <v>46</v>
      </c>
      <c r="H156" s="535">
        <v>2</v>
      </c>
      <c r="I156" s="488">
        <v>455000</v>
      </c>
      <c r="J156" s="488">
        <f t="shared" si="7"/>
        <v>910000</v>
      </c>
      <c r="K156" s="536">
        <v>0.41</v>
      </c>
      <c r="L156" s="488">
        <f t="shared" si="6"/>
        <v>536900.00000000012</v>
      </c>
      <c r="M156" s="488"/>
      <c r="N156" s="488"/>
      <c r="O156" s="488"/>
      <c r="P156" s="488"/>
      <c r="Q156" s="488"/>
      <c r="R156" s="488"/>
      <c r="S156" s="1169" t="s">
        <v>1686</v>
      </c>
    </row>
    <row r="157" spans="1:20" s="572" customFormat="1" ht="36">
      <c r="A157" s="514">
        <v>48</v>
      </c>
      <c r="B157" s="497" t="s">
        <v>390</v>
      </c>
      <c r="C157" s="458" t="s">
        <v>27</v>
      </c>
      <c r="D157" s="516" t="s">
        <v>392</v>
      </c>
      <c r="E157" s="516"/>
      <c r="F157" s="566"/>
      <c r="G157" s="517" t="s">
        <v>45</v>
      </c>
      <c r="H157" s="517">
        <v>9</v>
      </c>
      <c r="I157" s="489">
        <v>485000</v>
      </c>
      <c r="J157" s="489">
        <f t="shared" si="7"/>
        <v>4365000</v>
      </c>
      <c r="K157" s="518">
        <v>0.41</v>
      </c>
      <c r="L157" s="489">
        <f t="shared" si="6"/>
        <v>2575350.0000000005</v>
      </c>
      <c r="M157" s="489">
        <v>111</v>
      </c>
      <c r="N157" s="489">
        <f>L157</f>
        <v>2575350.0000000005</v>
      </c>
      <c r="O157" s="489"/>
      <c r="P157" s="489"/>
      <c r="Q157" s="489"/>
      <c r="R157" s="489"/>
      <c r="S157" s="549" t="s">
        <v>393</v>
      </c>
    </row>
    <row r="158" spans="1:20" s="572" customFormat="1" ht="18">
      <c r="A158" s="514">
        <v>49</v>
      </c>
      <c r="B158" s="497" t="s">
        <v>390</v>
      </c>
      <c r="C158" s="458" t="s">
        <v>27</v>
      </c>
      <c r="D158" s="516" t="s">
        <v>247</v>
      </c>
      <c r="E158" s="516"/>
      <c r="F158" s="566"/>
      <c r="G158" s="517" t="s">
        <v>46</v>
      </c>
      <c r="H158" s="517">
        <v>2</v>
      </c>
      <c r="I158" s="489">
        <v>455000</v>
      </c>
      <c r="J158" s="489">
        <f t="shared" si="7"/>
        <v>910000</v>
      </c>
      <c r="K158" s="518">
        <v>0.41</v>
      </c>
      <c r="L158" s="489">
        <f t="shared" si="6"/>
        <v>536900.00000000012</v>
      </c>
      <c r="M158" s="489"/>
      <c r="N158" s="489"/>
      <c r="O158" s="489"/>
      <c r="P158" s="489"/>
      <c r="Q158" s="489">
        <v>131</v>
      </c>
      <c r="R158" s="489">
        <f>L158</f>
        <v>536900.00000000012</v>
      </c>
      <c r="S158" s="519"/>
    </row>
    <row r="159" spans="1:20" s="572" customFormat="1" ht="18">
      <c r="A159" s="514">
        <v>50</v>
      </c>
      <c r="B159" s="497" t="s">
        <v>390</v>
      </c>
      <c r="C159" s="458" t="s">
        <v>96</v>
      </c>
      <c r="D159" s="516" t="s">
        <v>86</v>
      </c>
      <c r="E159" s="516"/>
      <c r="F159" s="566"/>
      <c r="G159" s="517" t="s">
        <v>32</v>
      </c>
      <c r="H159" s="517">
        <v>1</v>
      </c>
      <c r="I159" s="489">
        <v>275000</v>
      </c>
      <c r="J159" s="489">
        <f t="shared" si="7"/>
        <v>275000</v>
      </c>
      <c r="K159" s="518">
        <v>0.41</v>
      </c>
      <c r="L159" s="489">
        <f t="shared" si="6"/>
        <v>162250.00000000003</v>
      </c>
      <c r="M159" s="489"/>
      <c r="N159" s="489"/>
      <c r="O159" s="489">
        <v>112</v>
      </c>
      <c r="P159" s="489">
        <f>L159</f>
        <v>162250.00000000003</v>
      </c>
      <c r="Q159" s="489"/>
      <c r="R159" s="489"/>
      <c r="S159" s="519" t="s">
        <v>127</v>
      </c>
    </row>
    <row r="160" spans="1:20" s="572" customFormat="1" ht="9">
      <c r="A160" s="520">
        <v>51</v>
      </c>
      <c r="B160" s="498" t="s">
        <v>390</v>
      </c>
      <c r="C160" s="455" t="s">
        <v>124</v>
      </c>
      <c r="D160" s="521" t="s">
        <v>394</v>
      </c>
      <c r="E160" s="521" t="s">
        <v>395</v>
      </c>
      <c r="F160" s="561"/>
      <c r="G160" s="522" t="s">
        <v>30</v>
      </c>
      <c r="H160" s="522">
        <v>1</v>
      </c>
      <c r="I160" s="523">
        <v>465000</v>
      </c>
      <c r="J160" s="486">
        <f t="shared" si="7"/>
        <v>465000</v>
      </c>
      <c r="K160" s="524">
        <v>0.41</v>
      </c>
      <c r="L160" s="523">
        <f t="shared" si="6"/>
        <v>274350.00000000006</v>
      </c>
      <c r="M160" s="523"/>
      <c r="N160" s="523"/>
      <c r="O160" s="523">
        <v>112</v>
      </c>
      <c r="P160" s="523">
        <f>L160+L161+L162</f>
        <v>828950.00000000023</v>
      </c>
      <c r="Q160" s="523"/>
      <c r="R160" s="523"/>
      <c r="S160" s="525" t="s">
        <v>127</v>
      </c>
    </row>
    <row r="161" spans="1:19" s="572" customFormat="1" ht="9">
      <c r="A161" s="520"/>
      <c r="B161" s="498" t="s">
        <v>390</v>
      </c>
      <c r="C161" s="455" t="s">
        <v>124</v>
      </c>
      <c r="D161" s="521" t="s">
        <v>394</v>
      </c>
      <c r="E161" s="521" t="s">
        <v>395</v>
      </c>
      <c r="F161" s="561"/>
      <c r="G161" s="522" t="s">
        <v>45</v>
      </c>
      <c r="H161" s="522">
        <v>1</v>
      </c>
      <c r="I161" s="523">
        <v>485000</v>
      </c>
      <c r="J161" s="486">
        <f t="shared" si="7"/>
        <v>485000</v>
      </c>
      <c r="K161" s="524">
        <v>0.41</v>
      </c>
      <c r="L161" s="523">
        <f t="shared" si="6"/>
        <v>286150.00000000006</v>
      </c>
      <c r="M161" s="523"/>
      <c r="N161" s="523"/>
      <c r="O161" s="523"/>
      <c r="P161" s="523"/>
      <c r="Q161" s="523"/>
      <c r="R161" s="523"/>
      <c r="S161" s="525"/>
    </row>
    <row r="162" spans="1:19" s="572" customFormat="1" ht="9">
      <c r="A162" s="520"/>
      <c r="B162" s="498" t="s">
        <v>390</v>
      </c>
      <c r="C162" s="455" t="s">
        <v>124</v>
      </c>
      <c r="D162" s="521" t="s">
        <v>394</v>
      </c>
      <c r="E162" s="521" t="s">
        <v>395</v>
      </c>
      <c r="F162" s="561"/>
      <c r="G162" s="522" t="s">
        <v>34</v>
      </c>
      <c r="H162" s="522">
        <v>1</v>
      </c>
      <c r="I162" s="523">
        <v>455000</v>
      </c>
      <c r="J162" s="486">
        <f t="shared" si="7"/>
        <v>455000</v>
      </c>
      <c r="K162" s="524">
        <v>0.41</v>
      </c>
      <c r="L162" s="523">
        <f t="shared" si="6"/>
        <v>268450.00000000006</v>
      </c>
      <c r="M162" s="523"/>
      <c r="N162" s="523"/>
      <c r="O162" s="523"/>
      <c r="P162" s="523"/>
      <c r="Q162" s="523"/>
      <c r="R162" s="523"/>
      <c r="S162" s="525"/>
    </row>
    <row r="163" spans="1:19" s="572" customFormat="1" ht="18">
      <c r="A163" s="514">
        <v>52</v>
      </c>
      <c r="B163" s="497" t="s">
        <v>396</v>
      </c>
      <c r="C163" s="458" t="s">
        <v>27</v>
      </c>
      <c r="D163" s="516" t="s">
        <v>397</v>
      </c>
      <c r="E163" s="516" t="s">
        <v>263</v>
      </c>
      <c r="F163" s="566" t="s">
        <v>398</v>
      </c>
      <c r="G163" s="517" t="s">
        <v>30</v>
      </c>
      <c r="H163" s="517">
        <v>12</v>
      </c>
      <c r="I163" s="489">
        <v>465000</v>
      </c>
      <c r="J163" s="489">
        <f t="shared" si="7"/>
        <v>5580000</v>
      </c>
      <c r="K163" s="518">
        <v>0.41</v>
      </c>
      <c r="L163" s="489">
        <f t="shared" si="6"/>
        <v>3292200.0000000005</v>
      </c>
      <c r="M163" s="489"/>
      <c r="N163" s="489"/>
      <c r="O163" s="489"/>
      <c r="P163" s="489"/>
      <c r="Q163" s="489">
        <v>131</v>
      </c>
      <c r="R163" s="489">
        <f>L163</f>
        <v>3292200.0000000005</v>
      </c>
      <c r="S163" s="519"/>
    </row>
    <row r="164" spans="1:19" s="572" customFormat="1" ht="18">
      <c r="A164" s="514">
        <v>53</v>
      </c>
      <c r="B164" s="497" t="s">
        <v>396</v>
      </c>
      <c r="C164" s="458" t="s">
        <v>27</v>
      </c>
      <c r="D164" s="516" t="s">
        <v>354</v>
      </c>
      <c r="E164" s="516" t="s">
        <v>399</v>
      </c>
      <c r="F164" s="566" t="s">
        <v>178</v>
      </c>
      <c r="G164" s="517" t="s">
        <v>34</v>
      </c>
      <c r="H164" s="517">
        <v>60</v>
      </c>
      <c r="I164" s="489">
        <v>455000</v>
      </c>
      <c r="J164" s="489">
        <f t="shared" si="7"/>
        <v>27300000</v>
      </c>
      <c r="K164" s="518">
        <v>0.41</v>
      </c>
      <c r="L164" s="489">
        <f t="shared" si="6"/>
        <v>16107000.000000002</v>
      </c>
      <c r="M164" s="489"/>
      <c r="N164" s="489"/>
      <c r="O164" s="489"/>
      <c r="P164" s="489"/>
      <c r="Q164" s="489">
        <v>131</v>
      </c>
      <c r="R164" s="489">
        <f>L164</f>
        <v>16107000.000000002</v>
      </c>
      <c r="S164" s="519"/>
    </row>
    <row r="165" spans="1:19" s="572" customFormat="1" ht="18">
      <c r="A165" s="514">
        <v>54</v>
      </c>
      <c r="B165" s="497" t="s">
        <v>400</v>
      </c>
      <c r="C165" s="458" t="s">
        <v>96</v>
      </c>
      <c r="D165" s="516" t="s">
        <v>401</v>
      </c>
      <c r="E165" s="516" t="s">
        <v>402</v>
      </c>
      <c r="F165" s="566"/>
      <c r="G165" s="517" t="s">
        <v>34</v>
      </c>
      <c r="H165" s="517">
        <v>1</v>
      </c>
      <c r="I165" s="489">
        <v>455000</v>
      </c>
      <c r="J165" s="523">
        <f t="shared" si="7"/>
        <v>455000</v>
      </c>
      <c r="K165" s="518">
        <v>0.41</v>
      </c>
      <c r="L165" s="489">
        <f t="shared" si="6"/>
        <v>268450.00000000006</v>
      </c>
      <c r="M165" s="489"/>
      <c r="N165" s="489"/>
      <c r="O165" s="489">
        <v>112</v>
      </c>
      <c r="P165" s="489">
        <f>L165</f>
        <v>268450.00000000006</v>
      </c>
      <c r="Q165" s="489"/>
      <c r="R165" s="489"/>
      <c r="S165" s="519" t="s">
        <v>127</v>
      </c>
    </row>
    <row r="166" spans="1:19" s="572" customFormat="1" ht="45">
      <c r="A166" s="520">
        <v>55</v>
      </c>
      <c r="B166" s="498" t="s">
        <v>400</v>
      </c>
      <c r="C166" s="521" t="s">
        <v>403</v>
      </c>
      <c r="D166" s="521" t="s">
        <v>403</v>
      </c>
      <c r="E166" s="521"/>
      <c r="F166" s="561"/>
      <c r="G166" s="522" t="s">
        <v>74</v>
      </c>
      <c r="H166" s="522">
        <v>1</v>
      </c>
      <c r="I166" s="523">
        <v>550000</v>
      </c>
      <c r="J166" s="487">
        <f t="shared" si="7"/>
        <v>550000</v>
      </c>
      <c r="K166" s="524">
        <v>1</v>
      </c>
      <c r="L166" s="523">
        <f t="shared" si="6"/>
        <v>0</v>
      </c>
      <c r="M166" s="523"/>
      <c r="N166" s="523"/>
      <c r="O166" s="523"/>
      <c r="P166" s="523"/>
      <c r="Q166" s="523"/>
      <c r="R166" s="523"/>
      <c r="S166" s="605" t="s">
        <v>404</v>
      </c>
    </row>
    <row r="167" spans="1:19" s="572" customFormat="1" ht="27">
      <c r="A167" s="556"/>
      <c r="B167" s="490" t="s">
        <v>400</v>
      </c>
      <c r="C167" s="521" t="s">
        <v>403</v>
      </c>
      <c r="D167" s="521" t="s">
        <v>403</v>
      </c>
      <c r="E167" s="548"/>
      <c r="F167" s="562"/>
      <c r="G167" s="557" t="s">
        <v>45</v>
      </c>
      <c r="H167" s="557">
        <v>1</v>
      </c>
      <c r="I167" s="483">
        <v>485000</v>
      </c>
      <c r="J167" s="486">
        <f t="shared" si="7"/>
        <v>485000</v>
      </c>
      <c r="K167" s="578">
        <v>1</v>
      </c>
      <c r="L167" s="483">
        <f t="shared" si="6"/>
        <v>0</v>
      </c>
      <c r="M167" s="483"/>
      <c r="N167" s="483"/>
      <c r="O167" s="483"/>
      <c r="P167" s="483"/>
      <c r="Q167" s="483"/>
      <c r="R167" s="483"/>
      <c r="S167" s="573"/>
    </row>
    <row r="168" spans="1:19" s="572" customFormat="1" ht="27">
      <c r="A168" s="555"/>
      <c r="B168" s="496" t="s">
        <v>400</v>
      </c>
      <c r="C168" s="533" t="s">
        <v>403</v>
      </c>
      <c r="D168" s="533" t="s">
        <v>403</v>
      </c>
      <c r="E168" s="533"/>
      <c r="F168" s="559"/>
      <c r="G168" s="560" t="s">
        <v>50</v>
      </c>
      <c r="H168" s="560">
        <v>3</v>
      </c>
      <c r="I168" s="582">
        <v>475000</v>
      </c>
      <c r="J168" s="488">
        <f t="shared" si="7"/>
        <v>1425000</v>
      </c>
      <c r="K168" s="586">
        <v>1</v>
      </c>
      <c r="L168" s="582">
        <f t="shared" si="6"/>
        <v>0</v>
      </c>
      <c r="M168" s="582"/>
      <c r="N168" s="582"/>
      <c r="O168" s="582"/>
      <c r="P168" s="582"/>
      <c r="Q168" s="582"/>
      <c r="R168" s="582"/>
      <c r="S168" s="585"/>
    </row>
    <row r="169" spans="1:19" s="572" customFormat="1" ht="9">
      <c r="A169" s="520">
        <v>56</v>
      </c>
      <c r="B169" s="498" t="s">
        <v>405</v>
      </c>
      <c r="C169" s="455" t="s">
        <v>27</v>
      </c>
      <c r="D169" s="521" t="s">
        <v>220</v>
      </c>
      <c r="E169" s="521" t="s">
        <v>406</v>
      </c>
      <c r="F169" s="561">
        <v>961437868</v>
      </c>
      <c r="G169" s="522" t="s">
        <v>60</v>
      </c>
      <c r="H169" s="522">
        <v>7</v>
      </c>
      <c r="I169" s="523">
        <v>455000</v>
      </c>
      <c r="J169" s="523">
        <f t="shared" si="7"/>
        <v>3185000</v>
      </c>
      <c r="K169" s="524">
        <v>0.25</v>
      </c>
      <c r="L169" s="523">
        <f t="shared" si="6"/>
        <v>2388750</v>
      </c>
      <c r="M169" s="523"/>
      <c r="N169" s="523"/>
      <c r="O169" s="523">
        <v>112</v>
      </c>
      <c r="P169" s="523">
        <f>SUM(L169:L171)</f>
        <v>3142500</v>
      </c>
      <c r="Q169" s="523"/>
      <c r="R169" s="523"/>
      <c r="S169" s="525"/>
    </row>
    <row r="170" spans="1:19" s="572" customFormat="1" ht="9">
      <c r="A170" s="556"/>
      <c r="B170" s="498" t="s">
        <v>405</v>
      </c>
      <c r="C170" s="455" t="s">
        <v>27</v>
      </c>
      <c r="D170" s="521" t="s">
        <v>220</v>
      </c>
      <c r="E170" s="548"/>
      <c r="F170" s="562"/>
      <c r="G170" s="557" t="s">
        <v>74</v>
      </c>
      <c r="H170" s="557">
        <v>1</v>
      </c>
      <c r="I170" s="483">
        <v>550000</v>
      </c>
      <c r="J170" s="483">
        <f t="shared" si="7"/>
        <v>550000</v>
      </c>
      <c r="K170" s="578">
        <v>0.25</v>
      </c>
      <c r="L170" s="483">
        <f t="shared" si="6"/>
        <v>412500</v>
      </c>
      <c r="M170" s="483"/>
      <c r="N170" s="483"/>
      <c r="O170" s="483"/>
      <c r="P170" s="483"/>
      <c r="Q170" s="483"/>
      <c r="R170" s="483"/>
      <c r="S170" s="573"/>
    </row>
    <row r="171" spans="1:19" s="572" customFormat="1" ht="9">
      <c r="A171" s="555"/>
      <c r="B171" s="498" t="s">
        <v>405</v>
      </c>
      <c r="C171" s="558" t="s">
        <v>27</v>
      </c>
      <c r="D171" s="533" t="s">
        <v>220</v>
      </c>
      <c r="E171" s="533"/>
      <c r="F171" s="559"/>
      <c r="G171" s="560" t="s">
        <v>46</v>
      </c>
      <c r="H171" s="560">
        <v>1</v>
      </c>
      <c r="I171" s="582">
        <v>455000</v>
      </c>
      <c r="J171" s="582">
        <f t="shared" si="7"/>
        <v>455000</v>
      </c>
      <c r="K171" s="586">
        <v>0.25</v>
      </c>
      <c r="L171" s="582">
        <f t="shared" si="6"/>
        <v>341250</v>
      </c>
      <c r="M171" s="582"/>
      <c r="N171" s="582"/>
      <c r="O171" s="582"/>
      <c r="P171" s="582"/>
      <c r="Q171" s="582"/>
      <c r="R171" s="582"/>
      <c r="S171" s="585"/>
    </row>
    <row r="172" spans="1:19" s="572" customFormat="1" ht="9">
      <c r="A172" s="563">
        <v>57</v>
      </c>
      <c r="B172" s="499" t="s">
        <v>407</v>
      </c>
      <c r="C172" s="456" t="s">
        <v>124</v>
      </c>
      <c r="D172" s="547" t="s">
        <v>217</v>
      </c>
      <c r="E172" s="541"/>
      <c r="F172" s="564"/>
      <c r="G172" s="565" t="s">
        <v>50</v>
      </c>
      <c r="H172" s="565">
        <v>1</v>
      </c>
      <c r="I172" s="487">
        <v>475000</v>
      </c>
      <c r="J172" s="487">
        <f t="shared" si="7"/>
        <v>475000</v>
      </c>
      <c r="K172" s="580">
        <v>1</v>
      </c>
      <c r="L172" s="487">
        <f t="shared" si="6"/>
        <v>0</v>
      </c>
      <c r="M172" s="487"/>
      <c r="N172" s="487"/>
      <c r="O172" s="487"/>
      <c r="P172" s="487"/>
      <c r="Q172" s="487"/>
      <c r="R172" s="487"/>
      <c r="S172" s="581"/>
    </row>
    <row r="173" spans="1:19" s="572" customFormat="1" ht="9">
      <c r="A173" s="555"/>
      <c r="B173" s="495" t="s">
        <v>407</v>
      </c>
      <c r="C173" s="456" t="s">
        <v>124</v>
      </c>
      <c r="D173" s="547" t="s">
        <v>217</v>
      </c>
      <c r="E173" s="533"/>
      <c r="F173" s="559"/>
      <c r="G173" s="560" t="s">
        <v>74</v>
      </c>
      <c r="H173" s="560">
        <v>1</v>
      </c>
      <c r="I173" s="582">
        <v>550000</v>
      </c>
      <c r="J173" s="582">
        <f t="shared" si="7"/>
        <v>550000</v>
      </c>
      <c r="K173" s="586">
        <v>1</v>
      </c>
      <c r="L173" s="582">
        <f t="shared" si="6"/>
        <v>0</v>
      </c>
      <c r="M173" s="582"/>
      <c r="N173" s="582"/>
      <c r="O173" s="582"/>
      <c r="P173" s="582"/>
      <c r="Q173" s="582"/>
      <c r="R173" s="582"/>
      <c r="S173" s="585"/>
    </row>
    <row r="174" spans="1:19" s="572" customFormat="1" ht="45">
      <c r="A174" s="514">
        <v>58</v>
      </c>
      <c r="B174" s="497" t="s">
        <v>408</v>
      </c>
      <c r="C174" s="516" t="s">
        <v>403</v>
      </c>
      <c r="D174" s="516" t="s">
        <v>403</v>
      </c>
      <c r="E174" s="516"/>
      <c r="F174" s="566"/>
      <c r="G174" s="517" t="s">
        <v>33</v>
      </c>
      <c r="H174" s="517">
        <v>3</v>
      </c>
      <c r="I174" s="489">
        <v>285000</v>
      </c>
      <c r="J174" s="489">
        <f t="shared" si="7"/>
        <v>855000</v>
      </c>
      <c r="K174" s="518">
        <v>1</v>
      </c>
      <c r="L174" s="489">
        <f t="shared" si="6"/>
        <v>0</v>
      </c>
      <c r="M174" s="489"/>
      <c r="N174" s="489"/>
      <c r="O174" s="489"/>
      <c r="P174" s="489"/>
      <c r="Q174" s="489"/>
      <c r="R174" s="489"/>
      <c r="S174" s="549" t="s">
        <v>409</v>
      </c>
    </row>
    <row r="175" spans="1:19" s="572" customFormat="1" ht="18">
      <c r="A175" s="520">
        <v>59</v>
      </c>
      <c r="B175" s="498" t="s">
        <v>410</v>
      </c>
      <c r="C175" s="455" t="s">
        <v>27</v>
      </c>
      <c r="D175" s="521" t="s">
        <v>411</v>
      </c>
      <c r="E175" s="521" t="s">
        <v>328</v>
      </c>
      <c r="F175" s="561"/>
      <c r="G175" s="522" t="s">
        <v>45</v>
      </c>
      <c r="H175" s="522">
        <v>12</v>
      </c>
      <c r="I175" s="523">
        <v>485000</v>
      </c>
      <c r="J175" s="523">
        <f t="shared" si="7"/>
        <v>5820000</v>
      </c>
      <c r="K175" s="524">
        <v>0.5</v>
      </c>
      <c r="L175" s="523">
        <f t="shared" si="6"/>
        <v>2910000</v>
      </c>
      <c r="M175" s="523"/>
      <c r="N175" s="523"/>
      <c r="O175" s="523"/>
      <c r="P175" s="523"/>
      <c r="Q175" s="523">
        <v>131</v>
      </c>
      <c r="R175" s="523">
        <f>SUM(L175:L179)</f>
        <v>11195000</v>
      </c>
      <c r="S175" s="525"/>
    </row>
    <row r="176" spans="1:19" s="572" customFormat="1" ht="18">
      <c r="A176" s="556"/>
      <c r="B176" s="490" t="s">
        <v>410</v>
      </c>
      <c r="C176" s="463" t="s">
        <v>27</v>
      </c>
      <c r="D176" s="548" t="s">
        <v>411</v>
      </c>
      <c r="E176" s="548"/>
      <c r="F176" s="562"/>
      <c r="G176" s="557" t="s">
        <v>72</v>
      </c>
      <c r="H176" s="557">
        <v>18</v>
      </c>
      <c r="I176" s="483">
        <v>285000</v>
      </c>
      <c r="J176" s="483">
        <f t="shared" si="7"/>
        <v>5130000</v>
      </c>
      <c r="K176" s="578">
        <v>0.5</v>
      </c>
      <c r="L176" s="483">
        <f t="shared" si="6"/>
        <v>2565000</v>
      </c>
      <c r="M176" s="483"/>
      <c r="N176" s="483"/>
      <c r="O176" s="483"/>
      <c r="P176" s="483"/>
      <c r="Q176" s="483"/>
      <c r="R176" s="483"/>
      <c r="S176" s="573"/>
    </row>
    <row r="177" spans="1:20" s="572" customFormat="1" ht="18">
      <c r="A177" s="556"/>
      <c r="B177" s="490" t="s">
        <v>410</v>
      </c>
      <c r="C177" s="463" t="s">
        <v>27</v>
      </c>
      <c r="D177" s="548" t="s">
        <v>411</v>
      </c>
      <c r="E177" s="548"/>
      <c r="F177" s="562"/>
      <c r="G177" s="557" t="s">
        <v>73</v>
      </c>
      <c r="H177" s="557">
        <v>3</v>
      </c>
      <c r="I177" s="483">
        <v>485000</v>
      </c>
      <c r="J177" s="483">
        <f t="shared" si="7"/>
        <v>1455000</v>
      </c>
      <c r="K177" s="578">
        <v>0.5</v>
      </c>
      <c r="L177" s="483">
        <f t="shared" si="6"/>
        <v>727500</v>
      </c>
      <c r="M177" s="483"/>
      <c r="N177" s="483"/>
      <c r="O177" s="483"/>
      <c r="P177" s="483"/>
      <c r="Q177" s="483"/>
      <c r="R177" s="483"/>
      <c r="S177" s="573"/>
    </row>
    <row r="178" spans="1:20" s="572" customFormat="1" ht="18">
      <c r="A178" s="556"/>
      <c r="B178" s="490" t="s">
        <v>410</v>
      </c>
      <c r="C178" s="463" t="s">
        <v>27</v>
      </c>
      <c r="D178" s="548" t="s">
        <v>411</v>
      </c>
      <c r="E178" s="548"/>
      <c r="F178" s="562"/>
      <c r="G178" s="557" t="s">
        <v>36</v>
      </c>
      <c r="H178" s="557">
        <v>5</v>
      </c>
      <c r="I178" s="483">
        <v>450000</v>
      </c>
      <c r="J178" s="483">
        <f t="shared" si="7"/>
        <v>2250000</v>
      </c>
      <c r="K178" s="578">
        <v>0.5</v>
      </c>
      <c r="L178" s="483">
        <f t="shared" si="6"/>
        <v>1125000</v>
      </c>
      <c r="M178" s="483"/>
      <c r="N178" s="483"/>
      <c r="O178" s="483"/>
      <c r="P178" s="483"/>
      <c r="Q178" s="483"/>
      <c r="R178" s="483"/>
      <c r="S178" s="573"/>
    </row>
    <row r="179" spans="1:20" s="572" customFormat="1" ht="18">
      <c r="A179" s="555"/>
      <c r="B179" s="496" t="s">
        <v>410</v>
      </c>
      <c r="C179" s="558" t="s">
        <v>27</v>
      </c>
      <c r="D179" s="533" t="s">
        <v>411</v>
      </c>
      <c r="E179" s="533"/>
      <c r="F179" s="559"/>
      <c r="G179" s="560" t="s">
        <v>34</v>
      </c>
      <c r="H179" s="560">
        <v>17</v>
      </c>
      <c r="I179" s="582">
        <v>455000</v>
      </c>
      <c r="J179" s="582">
        <f t="shared" si="7"/>
        <v>7735000</v>
      </c>
      <c r="K179" s="586">
        <v>0.5</v>
      </c>
      <c r="L179" s="582">
        <f t="shared" si="6"/>
        <v>3867500</v>
      </c>
      <c r="M179" s="582"/>
      <c r="N179" s="582"/>
      <c r="O179" s="582"/>
      <c r="P179" s="582"/>
      <c r="Q179" s="582"/>
      <c r="R179" s="582"/>
      <c r="S179" s="585"/>
    </row>
    <row r="180" spans="1:20" s="572" customFormat="1" ht="18">
      <c r="A180" s="520">
        <v>60</v>
      </c>
      <c r="B180" s="498" t="s">
        <v>410</v>
      </c>
      <c r="C180" s="455" t="s">
        <v>27</v>
      </c>
      <c r="D180" s="521" t="s">
        <v>86</v>
      </c>
      <c r="E180" s="521"/>
      <c r="F180" s="561"/>
      <c r="G180" s="522" t="s">
        <v>36</v>
      </c>
      <c r="H180" s="522">
        <v>5</v>
      </c>
      <c r="I180" s="523">
        <v>450000</v>
      </c>
      <c r="J180" s="523">
        <f t="shared" si="7"/>
        <v>2250000</v>
      </c>
      <c r="K180" s="524">
        <v>0.41</v>
      </c>
      <c r="L180" s="523">
        <f t="shared" si="6"/>
        <v>1327500.0000000002</v>
      </c>
      <c r="M180" s="523"/>
      <c r="N180" s="523"/>
      <c r="O180" s="523"/>
      <c r="P180" s="523"/>
      <c r="Q180" s="523">
        <v>131</v>
      </c>
      <c r="R180" s="523">
        <f>L180</f>
        <v>1327500.0000000002</v>
      </c>
      <c r="S180" s="525"/>
    </row>
    <row r="181" spans="1:20" s="443" customFormat="1" ht="12">
      <c r="A181" s="1645" t="s">
        <v>105</v>
      </c>
      <c r="B181" s="1646"/>
      <c r="C181" s="1646"/>
      <c r="D181" s="1646"/>
      <c r="E181" s="1646"/>
      <c r="F181" s="1646"/>
      <c r="G181" s="1646"/>
      <c r="H181" s="467">
        <f>SUM(H7:H180)</f>
        <v>1401</v>
      </c>
      <c r="I181" s="1077"/>
      <c r="J181" s="465">
        <f>SUM(J7:J180)</f>
        <v>639150000</v>
      </c>
      <c r="K181" s="1077"/>
      <c r="L181" s="465">
        <f>SUM(L7:L180)</f>
        <v>336077450</v>
      </c>
      <c r="M181" s="465"/>
      <c r="N181" s="465">
        <f>SUM(N7:N180)</f>
        <v>6974300</v>
      </c>
      <c r="O181" s="465"/>
      <c r="P181" s="465">
        <f>SUM(P7:P180)</f>
        <v>26192050</v>
      </c>
      <c r="Q181" s="465"/>
      <c r="R181" s="465">
        <f>SUM(R7:R180)</f>
        <v>302936100</v>
      </c>
      <c r="S181" s="468"/>
      <c r="T181" s="466"/>
    </row>
    <row r="182" spans="1:20" s="474" customFormat="1" ht="12">
      <c r="A182" s="1697" t="s">
        <v>412</v>
      </c>
      <c r="B182" s="1698"/>
      <c r="C182" s="1698"/>
      <c r="D182" s="1698"/>
      <c r="E182" s="1698"/>
      <c r="F182" s="1698"/>
      <c r="G182" s="1698"/>
      <c r="H182" s="469">
        <f>H181</f>
        <v>1401</v>
      </c>
      <c r="I182" s="471"/>
      <c r="J182" s="471"/>
      <c r="K182" s="471"/>
      <c r="L182" s="469">
        <f>L181</f>
        <v>336077450</v>
      </c>
      <c r="M182" s="469"/>
      <c r="N182" s="469"/>
      <c r="O182" s="469"/>
      <c r="P182" s="469"/>
      <c r="Q182" s="469"/>
      <c r="R182" s="469"/>
      <c r="S182" s="472"/>
      <c r="T182" s="473"/>
    </row>
    <row r="183" spans="1:20" s="474" customFormat="1" ht="12">
      <c r="A183" s="1697" t="s">
        <v>413</v>
      </c>
      <c r="B183" s="1698"/>
      <c r="C183" s="1698"/>
      <c r="D183" s="1698"/>
      <c r="E183" s="1698"/>
      <c r="F183" s="1698"/>
      <c r="G183" s="1698"/>
      <c r="H183" s="469"/>
      <c r="I183" s="471"/>
      <c r="J183" s="471"/>
      <c r="K183" s="471"/>
      <c r="L183" s="469">
        <f>N181</f>
        <v>6974300</v>
      </c>
      <c r="M183" s="469"/>
      <c r="N183" s="469"/>
      <c r="O183" s="469"/>
      <c r="P183" s="469"/>
      <c r="Q183" s="469"/>
      <c r="R183" s="469"/>
      <c r="S183" s="472"/>
      <c r="T183" s="473"/>
    </row>
    <row r="184" spans="1:20" s="474" customFormat="1" ht="12">
      <c r="A184" s="1697" t="s">
        <v>414</v>
      </c>
      <c r="B184" s="1698"/>
      <c r="C184" s="1698"/>
      <c r="D184" s="1698"/>
      <c r="E184" s="1698"/>
      <c r="F184" s="1698"/>
      <c r="G184" s="1698"/>
      <c r="H184" s="469"/>
      <c r="I184" s="471"/>
      <c r="J184" s="471"/>
      <c r="K184" s="471"/>
      <c r="L184" s="469">
        <f>P181</f>
        <v>26192050</v>
      </c>
      <c r="M184" s="469"/>
      <c r="N184" s="469"/>
      <c r="O184" s="469"/>
      <c r="P184" s="469"/>
      <c r="Q184" s="469"/>
      <c r="R184" s="469"/>
      <c r="S184" s="472"/>
    </row>
    <row r="185" spans="1:20" s="474" customFormat="1" ht="12">
      <c r="A185" s="1697" t="s">
        <v>415</v>
      </c>
      <c r="B185" s="1698"/>
      <c r="C185" s="1698"/>
      <c r="D185" s="1698"/>
      <c r="E185" s="1698"/>
      <c r="F185" s="1698"/>
      <c r="G185" s="1698"/>
      <c r="H185" s="469"/>
      <c r="I185" s="471"/>
      <c r="J185" s="471"/>
      <c r="K185" s="471"/>
      <c r="L185" s="469">
        <f>R181</f>
        <v>302936100</v>
      </c>
      <c r="M185" s="469"/>
      <c r="N185" s="469"/>
      <c r="O185" s="469"/>
      <c r="P185" s="469"/>
      <c r="Q185" s="469"/>
      <c r="R185" s="469"/>
      <c r="S185" s="472"/>
    </row>
    <row r="186" spans="1:20" s="477" customFormat="1" ht="12">
      <c r="A186" s="1699" t="s">
        <v>310</v>
      </c>
      <c r="B186" s="1700"/>
      <c r="C186" s="1700"/>
      <c r="D186" s="1700"/>
      <c r="E186" s="1700"/>
      <c r="F186" s="1700"/>
      <c r="G186" s="1700"/>
      <c r="H186" s="470"/>
      <c r="I186" s="470"/>
      <c r="J186" s="470"/>
      <c r="K186" s="470"/>
      <c r="L186" s="475">
        <v>85608700</v>
      </c>
      <c r="M186" s="470"/>
      <c r="N186" s="470"/>
      <c r="O186" s="470"/>
      <c r="P186" s="470"/>
      <c r="Q186" s="470"/>
      <c r="R186" s="470"/>
      <c r="S186" s="476"/>
    </row>
    <row r="187" spans="1:20" s="477" customFormat="1" ht="12">
      <c r="A187" s="1699" t="s">
        <v>416</v>
      </c>
      <c r="B187" s="1700"/>
      <c r="C187" s="1700"/>
      <c r="D187" s="1700"/>
      <c r="E187" s="1700"/>
      <c r="F187" s="1700"/>
      <c r="G187" s="1700"/>
      <c r="H187" s="470"/>
      <c r="I187" s="470"/>
      <c r="J187" s="470"/>
      <c r="K187" s="470"/>
      <c r="L187" s="475">
        <v>71251100</v>
      </c>
      <c r="M187" s="470"/>
      <c r="N187" s="470"/>
      <c r="O187" s="470"/>
      <c r="P187" s="470"/>
      <c r="Q187" s="470"/>
      <c r="R187" s="470"/>
      <c r="S187" s="476"/>
    </row>
    <row r="188" spans="1:20" s="477" customFormat="1" ht="12">
      <c r="A188" s="1699" t="s">
        <v>417</v>
      </c>
      <c r="B188" s="1700"/>
      <c r="C188" s="1700"/>
      <c r="D188" s="1700"/>
      <c r="E188" s="1700"/>
      <c r="F188" s="1700"/>
      <c r="G188" s="1700"/>
      <c r="H188" s="470"/>
      <c r="I188" s="470"/>
      <c r="J188" s="470"/>
      <c r="K188" s="470"/>
      <c r="L188" s="475">
        <v>211604750</v>
      </c>
      <c r="M188" s="470"/>
      <c r="N188" s="470"/>
      <c r="O188" s="470"/>
      <c r="P188" s="470"/>
      <c r="Q188" s="470"/>
      <c r="R188" s="470"/>
      <c r="S188" s="476"/>
    </row>
    <row r="189" spans="1:20" s="477" customFormat="1" ht="12">
      <c r="A189" s="1699" t="s">
        <v>312</v>
      </c>
      <c r="B189" s="1700"/>
      <c r="C189" s="1700"/>
      <c r="D189" s="1700"/>
      <c r="E189" s="1700"/>
      <c r="F189" s="1700"/>
      <c r="G189" s="1700"/>
      <c r="H189" s="470"/>
      <c r="I189" s="470"/>
      <c r="J189" s="470"/>
      <c r="K189" s="470"/>
      <c r="L189" s="475">
        <v>828950</v>
      </c>
      <c r="M189" s="470"/>
      <c r="N189" s="470"/>
      <c r="O189" s="470"/>
      <c r="P189" s="470"/>
      <c r="Q189" s="470"/>
      <c r="R189" s="470"/>
      <c r="S189" s="476"/>
    </row>
    <row r="190" spans="1:20" s="477" customFormat="1" ht="12">
      <c r="A190" s="1699" t="s">
        <v>314</v>
      </c>
      <c r="B190" s="1700"/>
      <c r="C190" s="1700"/>
      <c r="D190" s="1700"/>
      <c r="E190" s="1700"/>
      <c r="F190" s="1700"/>
      <c r="G190" s="1700"/>
      <c r="H190" s="470"/>
      <c r="I190" s="470"/>
      <c r="J190" s="470"/>
      <c r="K190" s="470"/>
      <c r="L190" s="475">
        <v>4354200</v>
      </c>
      <c r="M190" s="470"/>
      <c r="N190" s="470"/>
      <c r="O190" s="470"/>
      <c r="P190" s="470"/>
      <c r="Q190" s="470"/>
      <c r="R190" s="470"/>
      <c r="S190" s="476"/>
    </row>
    <row r="191" spans="1:20" s="477" customFormat="1" ht="12">
      <c r="A191" s="1699" t="s">
        <v>315</v>
      </c>
      <c r="B191" s="1700"/>
      <c r="C191" s="1700"/>
      <c r="D191" s="1700"/>
      <c r="E191" s="1700"/>
      <c r="F191" s="1700"/>
      <c r="G191" s="1700"/>
      <c r="H191" s="470"/>
      <c r="I191" s="470"/>
      <c r="J191" s="470"/>
      <c r="K191" s="470"/>
      <c r="L191" s="475">
        <v>1017750</v>
      </c>
      <c r="M191" s="470"/>
      <c r="N191" s="470"/>
      <c r="O191" s="470"/>
      <c r="P191" s="470"/>
      <c r="Q191" s="470"/>
      <c r="R191" s="470"/>
      <c r="S191" s="476"/>
    </row>
    <row r="193" spans="2:12">
      <c r="L193" s="553"/>
    </row>
    <row r="199" spans="2:12">
      <c r="D199" s="634"/>
      <c r="E199" s="634"/>
      <c r="F199" s="634"/>
    </row>
    <row r="200" spans="2:12">
      <c r="D200" s="634"/>
      <c r="E200" s="634"/>
      <c r="F200" s="634"/>
    </row>
    <row r="201" spans="2:12">
      <c r="B201" s="634"/>
      <c r="D201" s="634"/>
      <c r="E201" s="634"/>
      <c r="F201" s="634"/>
      <c r="K201" s="634"/>
    </row>
    <row r="202" spans="2:12">
      <c r="B202" s="634"/>
      <c r="D202" s="634"/>
      <c r="E202" s="634"/>
      <c r="F202" s="634"/>
      <c r="K202" s="634"/>
    </row>
    <row r="203" spans="2:12">
      <c r="B203" s="634"/>
      <c r="D203" s="634"/>
      <c r="E203" s="634"/>
      <c r="F203" s="634"/>
      <c r="K203" s="634"/>
    </row>
    <row r="204" spans="2:12">
      <c r="B204" s="634"/>
      <c r="D204" s="634"/>
      <c r="E204" s="634"/>
      <c r="F204" s="634"/>
      <c r="K204" s="634"/>
    </row>
    <row r="205" spans="2:12">
      <c r="B205" s="634"/>
      <c r="D205" s="634"/>
      <c r="E205" s="634"/>
      <c r="F205" s="634"/>
      <c r="K205" s="634"/>
    </row>
    <row r="206" spans="2:12">
      <c r="B206" s="634"/>
      <c r="D206" s="634"/>
      <c r="E206" s="634"/>
      <c r="F206" s="634"/>
      <c r="K206" s="634"/>
    </row>
    <row r="207" spans="2:12">
      <c r="B207" s="634"/>
      <c r="D207" s="634"/>
      <c r="E207" s="634"/>
      <c r="F207" s="634"/>
      <c r="K207" s="634"/>
    </row>
    <row r="208" spans="2:12">
      <c r="B208" s="634"/>
      <c r="D208" s="634"/>
      <c r="E208" s="634"/>
      <c r="F208" s="634"/>
      <c r="K208" s="634"/>
    </row>
    <row r="209" spans="2:11">
      <c r="B209" s="634"/>
      <c r="D209" s="634"/>
      <c r="E209" s="634"/>
      <c r="F209" s="634"/>
      <c r="K209" s="634"/>
    </row>
    <row r="210" spans="2:11">
      <c r="B210" s="634"/>
      <c r="D210" s="634"/>
      <c r="E210" s="634"/>
      <c r="F210" s="634"/>
      <c r="K210" s="634"/>
    </row>
    <row r="211" spans="2:11">
      <c r="B211" s="634"/>
      <c r="D211" s="634"/>
      <c r="E211" s="634"/>
      <c r="F211" s="634"/>
      <c r="K211" s="634"/>
    </row>
    <row r="212" spans="2:11">
      <c r="B212" s="634"/>
      <c r="D212" s="634"/>
      <c r="E212" s="634"/>
      <c r="F212" s="634"/>
      <c r="K212" s="634"/>
    </row>
    <row r="213" spans="2:11">
      <c r="B213" s="634"/>
      <c r="D213" s="634"/>
      <c r="E213" s="634"/>
      <c r="F213" s="634"/>
      <c r="K213" s="634"/>
    </row>
    <row r="214" spans="2:11">
      <c r="B214" s="634"/>
      <c r="D214" s="634"/>
      <c r="E214" s="634"/>
      <c r="F214" s="634"/>
      <c r="K214" s="634"/>
    </row>
    <row r="215" spans="2:11">
      <c r="B215" s="634"/>
      <c r="D215" s="634"/>
      <c r="E215" s="634"/>
      <c r="F215" s="634"/>
      <c r="K215" s="634"/>
    </row>
    <row r="216" spans="2:11">
      <c r="B216" s="634"/>
      <c r="D216" s="634"/>
      <c r="E216" s="634"/>
      <c r="F216" s="634"/>
      <c r="K216" s="634"/>
    </row>
    <row r="217" spans="2:11">
      <c r="B217" s="634"/>
      <c r="D217" s="634"/>
      <c r="E217" s="634"/>
      <c r="F217" s="634"/>
      <c r="K217" s="634"/>
    </row>
    <row r="218" spans="2:11">
      <c r="B218" s="634"/>
      <c r="D218" s="634"/>
      <c r="E218" s="634"/>
      <c r="F218" s="634"/>
      <c r="K218" s="634"/>
    </row>
    <row r="219" spans="2:11">
      <c r="B219" s="634"/>
      <c r="D219" s="634"/>
      <c r="E219" s="634"/>
      <c r="F219" s="634"/>
      <c r="K219" s="634"/>
    </row>
    <row r="220" spans="2:11">
      <c r="B220" s="634"/>
      <c r="D220" s="634"/>
      <c r="E220" s="634"/>
      <c r="F220" s="634"/>
      <c r="K220" s="634"/>
    </row>
    <row r="221" spans="2:11">
      <c r="B221" s="634"/>
      <c r="D221" s="634"/>
      <c r="E221" s="634"/>
      <c r="F221" s="634"/>
      <c r="K221" s="634"/>
    </row>
    <row r="222" spans="2:11">
      <c r="B222" s="634"/>
      <c r="D222" s="634"/>
      <c r="E222" s="634"/>
      <c r="F222" s="634"/>
      <c r="K222" s="634"/>
    </row>
    <row r="223" spans="2:11">
      <c r="B223" s="634"/>
      <c r="D223" s="634"/>
      <c r="E223" s="634"/>
      <c r="F223" s="634"/>
      <c r="K223" s="634"/>
    </row>
    <row r="224" spans="2:11">
      <c r="B224" s="634"/>
      <c r="D224" s="634"/>
      <c r="E224" s="634"/>
      <c r="F224" s="634"/>
      <c r="K224" s="634"/>
    </row>
    <row r="225" spans="2:11">
      <c r="B225" s="634"/>
      <c r="D225" s="634"/>
      <c r="E225" s="634"/>
      <c r="F225" s="634"/>
      <c r="K225" s="634"/>
    </row>
    <row r="226" spans="2:11">
      <c r="B226" s="634"/>
      <c r="D226" s="634"/>
      <c r="E226" s="634"/>
      <c r="F226" s="634"/>
      <c r="K226" s="634"/>
    </row>
    <row r="227" spans="2:11">
      <c r="B227" s="634"/>
      <c r="D227" s="634"/>
      <c r="E227" s="634"/>
      <c r="F227" s="634"/>
      <c r="K227" s="634"/>
    </row>
    <row r="228" spans="2:11">
      <c r="B228" s="634"/>
      <c r="D228" s="634"/>
      <c r="E228" s="634"/>
      <c r="F228" s="634"/>
      <c r="K228" s="634"/>
    </row>
    <row r="229" spans="2:11">
      <c r="B229" s="634"/>
      <c r="D229" s="634"/>
      <c r="E229" s="634"/>
      <c r="F229" s="634"/>
      <c r="K229" s="634"/>
    </row>
    <row r="230" spans="2:11">
      <c r="B230" s="634"/>
      <c r="D230" s="634"/>
      <c r="E230" s="634"/>
      <c r="F230" s="634"/>
      <c r="K230" s="634"/>
    </row>
    <row r="231" spans="2:11">
      <c r="B231" s="634"/>
      <c r="D231" s="634"/>
      <c r="E231" s="634"/>
      <c r="F231" s="634"/>
      <c r="K231" s="634"/>
    </row>
    <row r="232" spans="2:11">
      <c r="B232" s="634"/>
      <c r="D232" s="634"/>
      <c r="E232" s="634"/>
      <c r="F232" s="634"/>
      <c r="K232" s="634"/>
    </row>
    <row r="233" spans="2:11">
      <c r="B233" s="634"/>
      <c r="D233" s="634"/>
      <c r="E233" s="634"/>
      <c r="F233" s="634"/>
      <c r="K233" s="634"/>
    </row>
    <row r="234" spans="2:11">
      <c r="B234" s="634"/>
      <c r="D234" s="634"/>
      <c r="E234" s="634"/>
      <c r="F234" s="634"/>
      <c r="K234" s="634"/>
    </row>
    <row r="235" spans="2:11">
      <c r="B235" s="634"/>
      <c r="D235" s="634"/>
      <c r="E235" s="634"/>
      <c r="F235" s="634"/>
      <c r="K235" s="634"/>
    </row>
    <row r="237" spans="2:11">
      <c r="J237" s="454"/>
    </row>
  </sheetData>
  <mergeCells count="23">
    <mergeCell ref="S74:S81"/>
    <mergeCell ref="S112:S120"/>
    <mergeCell ref="A182:G182"/>
    <mergeCell ref="A183:G183"/>
    <mergeCell ref="A184:G184"/>
    <mergeCell ref="A181:G181"/>
    <mergeCell ref="A185:G185"/>
    <mergeCell ref="A186:G186"/>
    <mergeCell ref="A189:G189"/>
    <mergeCell ref="A190:G190"/>
    <mergeCell ref="A191:G191"/>
    <mergeCell ref="A187:G187"/>
    <mergeCell ref="A188:G188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</mergeCells>
  <pageMargins left="0.7" right="0.7" top="0.75" bottom="0.75" header="0.3" footer="0.3"/>
  <pageSetup paperSize="9" scale="69" orientation="landscape" verticalDpi="0" r:id="rId1"/>
  <rowBreaks count="1" manualBreakCount="1">
    <brk id="153" max="19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T213"/>
  <sheetViews>
    <sheetView topLeftCell="E151" zoomScaleNormal="100" workbookViewId="0">
      <selection activeCell="N157" sqref="N157:R157"/>
    </sheetView>
  </sheetViews>
  <sheetFormatPr defaultRowHeight="15"/>
  <cols>
    <col min="1" max="1" width="3.28515625" customWidth="1"/>
    <col min="2" max="2" width="5.5703125" customWidth="1"/>
    <col min="4" max="4" width="10.28515625" customWidth="1"/>
    <col min="5" max="5" width="13.42578125" customWidth="1"/>
    <col min="6" max="6" width="7.140625" customWidth="1"/>
    <col min="7" max="7" width="5.28515625" customWidth="1"/>
    <col min="8" max="8" width="6.140625" customWidth="1"/>
    <col min="9" max="9" width="6.5703125" customWidth="1"/>
    <col min="10" max="10" width="11.85546875" customWidth="1"/>
    <col min="11" max="11" width="5.28515625" customWidth="1"/>
    <col min="12" max="12" width="13" bestFit="1" customWidth="1"/>
    <col min="13" max="13" width="6.28515625" customWidth="1"/>
    <col min="15" max="15" width="6.7109375" customWidth="1"/>
    <col min="17" max="17" width="6.140625" customWidth="1"/>
    <col min="18" max="18" width="11.140625" customWidth="1"/>
  </cols>
  <sheetData>
    <row r="1" spans="1:19" ht="16.5">
      <c r="A1" s="502" t="s">
        <v>0</v>
      </c>
      <c r="B1" s="550"/>
      <c r="C1" s="503"/>
      <c r="D1" s="504"/>
      <c r="E1" s="504"/>
      <c r="F1" s="504"/>
      <c r="G1" s="479"/>
      <c r="H1" s="479"/>
      <c r="I1" s="492"/>
      <c r="J1" s="1650" t="s">
        <v>1</v>
      </c>
      <c r="K1" s="1650"/>
      <c r="L1" s="1650"/>
      <c r="M1" s="1650"/>
      <c r="N1" s="1650"/>
      <c r="O1" s="1650"/>
      <c r="P1" s="1650"/>
      <c r="Q1" s="1650"/>
      <c r="R1" s="1650"/>
      <c r="S1" s="492"/>
    </row>
    <row r="2" spans="1:19" ht="15.75">
      <c r="A2" s="506" t="s">
        <v>2</v>
      </c>
      <c r="B2" s="551"/>
      <c r="C2" s="507"/>
      <c r="D2" s="508"/>
      <c r="E2" s="508"/>
      <c r="F2" s="508"/>
      <c r="G2" s="479"/>
      <c r="H2" s="479"/>
      <c r="I2" s="493"/>
      <c r="J2" s="1651" t="s">
        <v>3</v>
      </c>
      <c r="K2" s="1651"/>
      <c r="L2" s="1651"/>
      <c r="M2" s="1651"/>
      <c r="N2" s="1651"/>
      <c r="O2" s="1651"/>
      <c r="P2" s="1651"/>
      <c r="Q2" s="1651"/>
      <c r="R2" s="1651"/>
      <c r="S2" s="493"/>
    </row>
    <row r="3" spans="1:19" ht="20.25">
      <c r="A3" s="1661" t="s">
        <v>4</v>
      </c>
      <c r="B3" s="1661"/>
      <c r="C3" s="1661"/>
      <c r="D3" s="1661"/>
      <c r="E3" s="1661"/>
      <c r="F3" s="1661"/>
      <c r="G3" s="1661"/>
      <c r="H3" s="1661"/>
      <c r="I3" s="1661"/>
      <c r="J3" s="1661"/>
      <c r="K3" s="1662"/>
      <c r="L3" s="1661"/>
      <c r="M3" s="1661"/>
      <c r="N3" s="1661"/>
      <c r="O3" s="1661"/>
      <c r="P3" s="1661"/>
      <c r="Q3" s="1661"/>
      <c r="R3" s="1661"/>
      <c r="S3" s="1661"/>
    </row>
    <row r="4" spans="1:19" ht="15.75" thickBot="1">
      <c r="A4" s="1684" t="s">
        <v>418</v>
      </c>
      <c r="B4" s="1684"/>
      <c r="C4" s="1684"/>
      <c r="D4" s="1684"/>
      <c r="E4" s="1684"/>
      <c r="F4" s="1684"/>
      <c r="G4" s="1684"/>
      <c r="H4" s="1684"/>
      <c r="I4" s="1684"/>
      <c r="J4" s="1684"/>
      <c r="K4" s="1685"/>
      <c r="L4" s="1684"/>
      <c r="M4" s="1684"/>
      <c r="N4" s="1684"/>
      <c r="O4" s="1684"/>
      <c r="P4" s="1684"/>
      <c r="Q4" s="1684"/>
      <c r="R4" s="1684"/>
      <c r="S4" s="1684"/>
    </row>
    <row r="5" spans="1:19" ht="15.75" thickTop="1">
      <c r="A5" s="1672" t="s">
        <v>6</v>
      </c>
      <c r="B5" s="1686" t="s">
        <v>7</v>
      </c>
      <c r="C5" s="1674" t="s">
        <v>8</v>
      </c>
      <c r="D5" s="1674" t="s">
        <v>9</v>
      </c>
      <c r="E5" s="1674"/>
      <c r="F5" s="1674"/>
      <c r="G5" s="1690" t="s">
        <v>119</v>
      </c>
      <c r="H5" s="1690"/>
      <c r="I5" s="1690"/>
      <c r="J5" s="1690"/>
      <c r="K5" s="1691"/>
      <c r="L5" s="1634" t="s">
        <v>120</v>
      </c>
      <c r="M5" s="1690" t="s">
        <v>12</v>
      </c>
      <c r="N5" s="1690"/>
      <c r="O5" s="1690"/>
      <c r="P5" s="1690"/>
      <c r="Q5" s="1690"/>
      <c r="R5" s="1690"/>
      <c r="S5" s="1692" t="s">
        <v>13</v>
      </c>
    </row>
    <row r="6" spans="1:19" ht="36">
      <c r="A6" s="1673"/>
      <c r="B6" s="1687"/>
      <c r="C6" s="1675"/>
      <c r="D6" s="510" t="s">
        <v>14</v>
      </c>
      <c r="E6" s="491" t="s">
        <v>15</v>
      </c>
      <c r="F6" s="491" t="s">
        <v>16</v>
      </c>
      <c r="G6" s="491" t="s">
        <v>17</v>
      </c>
      <c r="H6" s="491" t="s">
        <v>18</v>
      </c>
      <c r="I6" s="491" t="s">
        <v>19</v>
      </c>
      <c r="J6" s="481" t="s">
        <v>20</v>
      </c>
      <c r="K6" s="511" t="s">
        <v>21</v>
      </c>
      <c r="L6" s="1635"/>
      <c r="M6" s="491" t="s">
        <v>121</v>
      </c>
      <c r="N6" s="491" t="s">
        <v>23</v>
      </c>
      <c r="O6" s="491" t="s">
        <v>122</v>
      </c>
      <c r="P6" s="491" t="s">
        <v>23</v>
      </c>
      <c r="Q6" s="491" t="s">
        <v>25</v>
      </c>
      <c r="R6" s="491" t="s">
        <v>23</v>
      </c>
      <c r="S6" s="1693"/>
    </row>
    <row r="7" spans="1:19">
      <c r="A7" s="514">
        <v>1</v>
      </c>
      <c r="B7" s="497" t="s">
        <v>419</v>
      </c>
      <c r="C7" s="515" t="s">
        <v>124</v>
      </c>
      <c r="D7" s="516" t="s">
        <v>86</v>
      </c>
      <c r="E7" s="516"/>
      <c r="F7" s="515"/>
      <c r="G7" s="517" t="s">
        <v>73</v>
      </c>
      <c r="H7" s="613">
        <v>1</v>
      </c>
      <c r="I7" s="489">
        <v>485000</v>
      </c>
      <c r="J7" s="489">
        <v>485000</v>
      </c>
      <c r="K7" s="518">
        <v>0.41</v>
      </c>
      <c r="L7" s="489">
        <v>286150.00000000006</v>
      </c>
      <c r="M7" s="489"/>
      <c r="N7" s="489"/>
      <c r="O7" s="489"/>
      <c r="P7" s="489"/>
      <c r="Q7" s="489">
        <v>131</v>
      </c>
      <c r="R7" s="489">
        <v>286150.00000000006</v>
      </c>
      <c r="S7" s="519"/>
    </row>
    <row r="8" spans="1:19" ht="19.5">
      <c r="A8" s="568">
        <v>2</v>
      </c>
      <c r="B8" s="495" t="s">
        <v>419</v>
      </c>
      <c r="C8" s="593" t="s">
        <v>420</v>
      </c>
      <c r="D8" s="547" t="s">
        <v>421</v>
      </c>
      <c r="E8" s="547" t="s">
        <v>361</v>
      </c>
      <c r="F8" s="567"/>
      <c r="G8" s="569" t="s">
        <v>60</v>
      </c>
      <c r="H8" s="595">
        <v>24</v>
      </c>
      <c r="I8" s="486">
        <v>455000</v>
      </c>
      <c r="J8" s="486">
        <v>10920000</v>
      </c>
      <c r="K8" s="570">
        <v>0.35</v>
      </c>
      <c r="L8" s="486">
        <v>7098000</v>
      </c>
      <c r="M8" s="486"/>
      <c r="N8" s="486"/>
      <c r="O8" s="486"/>
      <c r="P8" s="486"/>
      <c r="Q8" s="486">
        <v>131</v>
      </c>
      <c r="R8" s="486">
        <v>59163000</v>
      </c>
      <c r="S8" s="1663" t="s">
        <v>422</v>
      </c>
    </row>
    <row r="9" spans="1:19" ht="19.5">
      <c r="A9" s="556"/>
      <c r="B9" s="495" t="s">
        <v>419</v>
      </c>
      <c r="C9" s="593" t="s">
        <v>420</v>
      </c>
      <c r="D9" s="547" t="s">
        <v>421</v>
      </c>
      <c r="E9" s="547" t="s">
        <v>361</v>
      </c>
      <c r="F9" s="554"/>
      <c r="G9" s="557" t="s">
        <v>30</v>
      </c>
      <c r="H9" s="596">
        <v>36</v>
      </c>
      <c r="I9" s="483">
        <v>465000</v>
      </c>
      <c r="J9" s="486">
        <v>16740000</v>
      </c>
      <c r="K9" s="570">
        <v>0.35</v>
      </c>
      <c r="L9" s="483">
        <v>10881000</v>
      </c>
      <c r="M9" s="483"/>
      <c r="N9" s="483"/>
      <c r="O9" s="483"/>
      <c r="P9" s="483"/>
      <c r="Q9" s="486"/>
      <c r="R9" s="483"/>
      <c r="S9" s="1701"/>
    </row>
    <row r="10" spans="1:19" ht="19.5">
      <c r="A10" s="556"/>
      <c r="B10" s="495" t="s">
        <v>419</v>
      </c>
      <c r="C10" s="593" t="s">
        <v>420</v>
      </c>
      <c r="D10" s="547" t="s">
        <v>421</v>
      </c>
      <c r="E10" s="547" t="s">
        <v>361</v>
      </c>
      <c r="F10" s="562"/>
      <c r="G10" s="557" t="s">
        <v>50</v>
      </c>
      <c r="H10" s="596">
        <v>36</v>
      </c>
      <c r="I10" s="483">
        <v>475000</v>
      </c>
      <c r="J10" s="486">
        <v>17100000</v>
      </c>
      <c r="K10" s="570">
        <v>0.35</v>
      </c>
      <c r="L10" s="483">
        <v>11115000</v>
      </c>
      <c r="M10" s="483"/>
      <c r="N10" s="483"/>
      <c r="O10" s="483"/>
      <c r="P10" s="483"/>
      <c r="Q10" s="486"/>
      <c r="R10" s="483"/>
      <c r="S10" s="1701"/>
    </row>
    <row r="11" spans="1:19" ht="19.5">
      <c r="A11" s="556"/>
      <c r="B11" s="495" t="s">
        <v>419</v>
      </c>
      <c r="C11" s="593" t="s">
        <v>420</v>
      </c>
      <c r="D11" s="547" t="s">
        <v>421</v>
      </c>
      <c r="E11" s="547" t="s">
        <v>361</v>
      </c>
      <c r="F11" s="562"/>
      <c r="G11" s="557" t="s">
        <v>45</v>
      </c>
      <c r="H11" s="596">
        <v>36</v>
      </c>
      <c r="I11" s="483">
        <v>485000</v>
      </c>
      <c r="J11" s="486">
        <v>17460000</v>
      </c>
      <c r="K11" s="570">
        <v>0.35</v>
      </c>
      <c r="L11" s="483">
        <v>11349000</v>
      </c>
      <c r="M11" s="483"/>
      <c r="N11" s="483"/>
      <c r="O11" s="483"/>
      <c r="P11" s="483"/>
      <c r="Q11" s="486"/>
      <c r="R11" s="483"/>
      <c r="S11" s="1701"/>
    </row>
    <row r="12" spans="1:19" ht="19.5">
      <c r="A12" s="556"/>
      <c r="B12" s="495" t="s">
        <v>419</v>
      </c>
      <c r="C12" s="593" t="s">
        <v>420</v>
      </c>
      <c r="D12" s="547" t="s">
        <v>421</v>
      </c>
      <c r="E12" s="547" t="s">
        <v>361</v>
      </c>
      <c r="F12" s="562"/>
      <c r="G12" s="557" t="s">
        <v>73</v>
      </c>
      <c r="H12" s="596">
        <v>12</v>
      </c>
      <c r="I12" s="483">
        <v>485000</v>
      </c>
      <c r="J12" s="486">
        <v>5820000</v>
      </c>
      <c r="K12" s="570">
        <v>0.35</v>
      </c>
      <c r="L12" s="483">
        <v>3783000</v>
      </c>
      <c r="M12" s="483"/>
      <c r="N12" s="483"/>
      <c r="O12" s="483"/>
      <c r="P12" s="483"/>
      <c r="Q12" s="486"/>
      <c r="R12" s="483"/>
      <c r="S12" s="1701"/>
    </row>
    <row r="13" spans="1:19" ht="19.5">
      <c r="A13" s="556"/>
      <c r="B13" s="495" t="s">
        <v>419</v>
      </c>
      <c r="C13" s="593" t="s">
        <v>420</v>
      </c>
      <c r="D13" s="547" t="s">
        <v>421</v>
      </c>
      <c r="E13" s="547" t="s">
        <v>361</v>
      </c>
      <c r="F13" s="562"/>
      <c r="G13" s="557" t="s">
        <v>74</v>
      </c>
      <c r="H13" s="596">
        <v>12</v>
      </c>
      <c r="I13" s="483">
        <v>550000</v>
      </c>
      <c r="J13" s="486">
        <v>6600000</v>
      </c>
      <c r="K13" s="570">
        <v>0.35</v>
      </c>
      <c r="L13" s="483">
        <v>4290000</v>
      </c>
      <c r="M13" s="483"/>
      <c r="N13" s="483"/>
      <c r="O13" s="483"/>
      <c r="P13" s="483"/>
      <c r="Q13" s="486"/>
      <c r="R13" s="483"/>
      <c r="S13" s="1701"/>
    </row>
    <row r="14" spans="1:19" ht="19.5">
      <c r="A14" s="556"/>
      <c r="B14" s="490" t="s">
        <v>419</v>
      </c>
      <c r="C14" s="593" t="s">
        <v>420</v>
      </c>
      <c r="D14" s="548" t="s">
        <v>421</v>
      </c>
      <c r="E14" s="548" t="s">
        <v>361</v>
      </c>
      <c r="F14" s="562"/>
      <c r="G14" s="557" t="s">
        <v>34</v>
      </c>
      <c r="H14" s="596">
        <v>12</v>
      </c>
      <c r="I14" s="483">
        <v>455000</v>
      </c>
      <c r="J14" s="483">
        <v>5460000</v>
      </c>
      <c r="K14" s="578">
        <v>0.35</v>
      </c>
      <c r="L14" s="483">
        <v>3549000</v>
      </c>
      <c r="M14" s="483"/>
      <c r="N14" s="483"/>
      <c r="O14" s="483"/>
      <c r="P14" s="483"/>
      <c r="Q14" s="483"/>
      <c r="R14" s="483"/>
      <c r="S14" s="1701"/>
    </row>
    <row r="15" spans="1:19" ht="19.5">
      <c r="A15" s="532"/>
      <c r="B15" s="552" t="s">
        <v>419</v>
      </c>
      <c r="C15" s="589" t="s">
        <v>420</v>
      </c>
      <c r="D15" s="533" t="s">
        <v>421</v>
      </c>
      <c r="E15" s="533" t="s">
        <v>361</v>
      </c>
      <c r="F15" s="575"/>
      <c r="G15" s="535" t="s">
        <v>46</v>
      </c>
      <c r="H15" s="598">
        <v>24</v>
      </c>
      <c r="I15" s="488">
        <v>455000</v>
      </c>
      <c r="J15" s="582">
        <v>10920000</v>
      </c>
      <c r="K15" s="586">
        <v>0.35</v>
      </c>
      <c r="L15" s="488">
        <v>7098000</v>
      </c>
      <c r="M15" s="488"/>
      <c r="N15" s="488"/>
      <c r="O15" s="488"/>
      <c r="P15" s="488"/>
      <c r="Q15" s="582"/>
      <c r="R15" s="488"/>
      <c r="S15" s="1702"/>
    </row>
    <row r="16" spans="1:19" ht="19.5">
      <c r="A16" s="568">
        <v>3</v>
      </c>
      <c r="B16" s="495" t="s">
        <v>419</v>
      </c>
      <c r="C16" s="567" t="s">
        <v>27</v>
      </c>
      <c r="D16" s="547" t="s">
        <v>423</v>
      </c>
      <c r="E16" s="547"/>
      <c r="F16" s="577" t="s">
        <v>424</v>
      </c>
      <c r="G16" s="569" t="s">
        <v>60</v>
      </c>
      <c r="H16" s="595">
        <v>24</v>
      </c>
      <c r="I16" s="486">
        <v>455000</v>
      </c>
      <c r="J16" s="486">
        <v>10920000</v>
      </c>
      <c r="K16" s="570">
        <v>0.41</v>
      </c>
      <c r="L16" s="486">
        <v>6442800.0000000009</v>
      </c>
      <c r="M16" s="486"/>
      <c r="N16" s="486"/>
      <c r="O16" s="486"/>
      <c r="P16" s="486"/>
      <c r="Q16" s="486">
        <v>131</v>
      </c>
      <c r="R16" s="486">
        <v>16461000.000000002</v>
      </c>
      <c r="S16" s="571"/>
    </row>
    <row r="17" spans="1:20" ht="19.5">
      <c r="A17" s="556"/>
      <c r="B17" s="495" t="s">
        <v>419</v>
      </c>
      <c r="C17" s="567" t="s">
        <v>27</v>
      </c>
      <c r="D17" s="547" t="s">
        <v>423</v>
      </c>
      <c r="E17" s="548"/>
      <c r="F17" s="562"/>
      <c r="G17" s="557" t="s">
        <v>30</v>
      </c>
      <c r="H17" s="596">
        <v>24</v>
      </c>
      <c r="I17" s="483">
        <v>465000</v>
      </c>
      <c r="J17" s="483">
        <v>11160000</v>
      </c>
      <c r="K17" s="578">
        <v>0.41</v>
      </c>
      <c r="L17" s="483">
        <v>6584400.0000000009</v>
      </c>
      <c r="M17" s="483"/>
      <c r="N17" s="483"/>
      <c r="O17" s="483"/>
      <c r="P17" s="483"/>
      <c r="Q17" s="483"/>
      <c r="R17" s="483"/>
      <c r="S17" s="574"/>
      <c r="T17" s="572"/>
    </row>
    <row r="18" spans="1:20" ht="19.5">
      <c r="A18" s="555"/>
      <c r="B18" s="496" t="s">
        <v>419</v>
      </c>
      <c r="C18" s="546" t="s">
        <v>27</v>
      </c>
      <c r="D18" s="534" t="s">
        <v>423</v>
      </c>
      <c r="E18" s="533"/>
      <c r="F18" s="559"/>
      <c r="G18" s="560" t="s">
        <v>73</v>
      </c>
      <c r="H18" s="611">
        <v>12</v>
      </c>
      <c r="I18" s="582">
        <v>485000</v>
      </c>
      <c r="J18" s="582">
        <v>5820000</v>
      </c>
      <c r="K18" s="586">
        <v>0.41</v>
      </c>
      <c r="L18" s="582">
        <v>3433800.0000000005</v>
      </c>
      <c r="M18" s="582"/>
      <c r="N18" s="582"/>
      <c r="O18" s="582"/>
      <c r="P18" s="582"/>
      <c r="Q18" s="582"/>
      <c r="R18" s="582"/>
      <c r="S18" s="594"/>
      <c r="T18" s="572"/>
    </row>
    <row r="19" spans="1:20">
      <c r="A19" s="514">
        <v>4</v>
      </c>
      <c r="B19" s="497" t="s">
        <v>425</v>
      </c>
      <c r="C19" s="515" t="s">
        <v>27</v>
      </c>
      <c r="D19" s="516" t="s">
        <v>426</v>
      </c>
      <c r="E19" s="516"/>
      <c r="F19" s="566"/>
      <c r="G19" s="517" t="s">
        <v>74</v>
      </c>
      <c r="H19" s="613">
        <v>1</v>
      </c>
      <c r="I19" s="489">
        <v>550000</v>
      </c>
      <c r="J19" s="489">
        <v>550000</v>
      </c>
      <c r="K19" s="518">
        <v>1</v>
      </c>
      <c r="L19" s="489">
        <v>0</v>
      </c>
      <c r="M19" s="489"/>
      <c r="N19" s="489"/>
      <c r="O19" s="489"/>
      <c r="P19" s="489"/>
      <c r="Q19" s="489"/>
      <c r="R19" s="489"/>
      <c r="S19" s="519"/>
      <c r="T19" s="572"/>
    </row>
    <row r="20" spans="1:20" ht="28.5">
      <c r="A20" s="514">
        <v>5</v>
      </c>
      <c r="B20" s="497" t="s">
        <v>427</v>
      </c>
      <c r="C20" s="515" t="s">
        <v>27</v>
      </c>
      <c r="D20" s="516" t="s">
        <v>428</v>
      </c>
      <c r="E20" s="516" t="s">
        <v>429</v>
      </c>
      <c r="F20" s="566"/>
      <c r="G20" s="517" t="s">
        <v>74</v>
      </c>
      <c r="H20" s="613">
        <v>2</v>
      </c>
      <c r="I20" s="489">
        <v>550000</v>
      </c>
      <c r="J20" s="489">
        <v>1100000</v>
      </c>
      <c r="K20" s="518">
        <v>0.41</v>
      </c>
      <c r="L20" s="489">
        <v>649000.00000000012</v>
      </c>
      <c r="M20" s="489"/>
      <c r="N20" s="489"/>
      <c r="O20" s="489"/>
      <c r="P20" s="489"/>
      <c r="Q20" s="489">
        <v>131</v>
      </c>
      <c r="R20" s="489">
        <v>649000.00000000012</v>
      </c>
      <c r="S20" s="519"/>
      <c r="T20" s="572"/>
    </row>
    <row r="21" spans="1:20" ht="19.5">
      <c r="A21" s="568">
        <v>6</v>
      </c>
      <c r="B21" s="495" t="s">
        <v>430</v>
      </c>
      <c r="C21" s="567" t="s">
        <v>27</v>
      </c>
      <c r="D21" s="547" t="s">
        <v>431</v>
      </c>
      <c r="E21" s="547" t="s">
        <v>432</v>
      </c>
      <c r="F21" s="577"/>
      <c r="G21" s="569" t="s">
        <v>36</v>
      </c>
      <c r="H21" s="595">
        <v>2</v>
      </c>
      <c r="I21" s="486">
        <v>450000</v>
      </c>
      <c r="J21" s="486">
        <v>900000</v>
      </c>
      <c r="K21" s="570">
        <v>0.25</v>
      </c>
      <c r="L21" s="486">
        <v>675000</v>
      </c>
      <c r="M21" s="486"/>
      <c r="N21" s="486"/>
      <c r="O21" s="486">
        <v>112</v>
      </c>
      <c r="P21" s="486">
        <v>1357500</v>
      </c>
      <c r="Q21" s="486"/>
      <c r="R21" s="486"/>
      <c r="S21" s="571"/>
      <c r="T21" s="572"/>
    </row>
    <row r="22" spans="1:20" ht="19.5">
      <c r="A22" s="532"/>
      <c r="B22" s="496" t="s">
        <v>430</v>
      </c>
      <c r="C22" s="546" t="s">
        <v>27</v>
      </c>
      <c r="D22" s="534" t="s">
        <v>431</v>
      </c>
      <c r="E22" s="534" t="s">
        <v>432</v>
      </c>
      <c r="F22" s="575"/>
      <c r="G22" s="535" t="s">
        <v>46</v>
      </c>
      <c r="H22" s="598">
        <v>2</v>
      </c>
      <c r="I22" s="488">
        <v>455000</v>
      </c>
      <c r="J22" s="488">
        <v>910000</v>
      </c>
      <c r="K22" s="536">
        <v>0.25</v>
      </c>
      <c r="L22" s="488">
        <v>682500</v>
      </c>
      <c r="M22" s="488"/>
      <c r="N22" s="488"/>
      <c r="O22" s="488"/>
      <c r="P22" s="488"/>
      <c r="Q22" s="488"/>
      <c r="R22" s="488"/>
      <c r="S22" s="537"/>
      <c r="T22" s="572"/>
    </row>
    <row r="23" spans="1:20">
      <c r="A23" s="563">
        <v>7</v>
      </c>
      <c r="B23" s="499" t="s">
        <v>430</v>
      </c>
      <c r="C23" s="540" t="s">
        <v>433</v>
      </c>
      <c r="D23" s="541" t="s">
        <v>434</v>
      </c>
      <c r="E23" s="541" t="s">
        <v>435</v>
      </c>
      <c r="F23" s="564"/>
      <c r="G23" s="565" t="s">
        <v>30</v>
      </c>
      <c r="H23" s="610">
        <v>1</v>
      </c>
      <c r="I23" s="487">
        <v>465000</v>
      </c>
      <c r="J23" s="487">
        <v>465000</v>
      </c>
      <c r="K23" s="580">
        <v>0.41</v>
      </c>
      <c r="L23" s="487">
        <v>274350.00000000006</v>
      </c>
      <c r="M23" s="487"/>
      <c r="N23" s="487"/>
      <c r="O23" s="487"/>
      <c r="P23" s="487"/>
      <c r="Q23" s="487">
        <v>131</v>
      </c>
      <c r="R23" s="487">
        <v>811250.00000000023</v>
      </c>
      <c r="S23" s="581"/>
      <c r="T23" s="572"/>
    </row>
    <row r="24" spans="1:20">
      <c r="A24" s="532"/>
      <c r="B24" s="496" t="s">
        <v>430</v>
      </c>
      <c r="C24" s="546" t="s">
        <v>433</v>
      </c>
      <c r="D24" s="534" t="s">
        <v>434</v>
      </c>
      <c r="E24" s="534" t="s">
        <v>435</v>
      </c>
      <c r="F24" s="575"/>
      <c r="G24" s="535" t="s">
        <v>34</v>
      </c>
      <c r="H24" s="598">
        <v>2</v>
      </c>
      <c r="I24" s="488">
        <v>455000</v>
      </c>
      <c r="J24" s="488">
        <v>910000</v>
      </c>
      <c r="K24" s="536">
        <v>0.41</v>
      </c>
      <c r="L24" s="488">
        <v>536900.00000000012</v>
      </c>
      <c r="M24" s="488"/>
      <c r="N24" s="488"/>
      <c r="O24" s="488"/>
      <c r="P24" s="488"/>
      <c r="Q24" s="488"/>
      <c r="R24" s="488"/>
      <c r="S24" s="537"/>
      <c r="T24" s="572"/>
    </row>
    <row r="25" spans="1:20">
      <c r="A25" s="555">
        <v>8</v>
      </c>
      <c r="B25" s="497" t="s">
        <v>430</v>
      </c>
      <c r="C25" s="558" t="s">
        <v>96</v>
      </c>
      <c r="D25" s="533" t="s">
        <v>86</v>
      </c>
      <c r="E25" s="533"/>
      <c r="F25" s="559"/>
      <c r="G25" s="560" t="s">
        <v>45</v>
      </c>
      <c r="H25" s="611">
        <v>1</v>
      </c>
      <c r="I25" s="582">
        <v>485000</v>
      </c>
      <c r="J25" s="582">
        <v>485000</v>
      </c>
      <c r="K25" s="586">
        <v>0.41</v>
      </c>
      <c r="L25" s="486">
        <v>286150.00000000006</v>
      </c>
      <c r="M25" s="582"/>
      <c r="N25" s="582"/>
      <c r="O25" s="582"/>
      <c r="P25" s="582"/>
      <c r="Q25" s="582">
        <v>131</v>
      </c>
      <c r="R25" s="582">
        <v>286150.00000000006</v>
      </c>
      <c r="S25" s="585"/>
      <c r="T25" s="572"/>
    </row>
    <row r="26" spans="1:20">
      <c r="A26" s="514">
        <v>9</v>
      </c>
      <c r="B26" s="497" t="s">
        <v>436</v>
      </c>
      <c r="C26" s="515" t="s">
        <v>27</v>
      </c>
      <c r="D26" s="516" t="s">
        <v>437</v>
      </c>
      <c r="E26" s="516" t="s">
        <v>438</v>
      </c>
      <c r="F26" s="566"/>
      <c r="G26" s="517" t="s">
        <v>45</v>
      </c>
      <c r="H26" s="613">
        <v>1</v>
      </c>
      <c r="I26" s="489">
        <v>485000</v>
      </c>
      <c r="J26" s="489">
        <v>485000</v>
      </c>
      <c r="K26" s="518">
        <v>0.41</v>
      </c>
      <c r="L26" s="489">
        <v>286150.00000000006</v>
      </c>
      <c r="M26" s="489"/>
      <c r="N26" s="489"/>
      <c r="O26" s="489"/>
      <c r="P26" s="489"/>
      <c r="Q26" s="489">
        <v>131</v>
      </c>
      <c r="R26" s="489">
        <v>286150.00000000006</v>
      </c>
      <c r="S26" s="519"/>
      <c r="T26" s="572"/>
    </row>
    <row r="27" spans="1:20">
      <c r="A27" s="568">
        <v>10</v>
      </c>
      <c r="B27" s="495" t="s">
        <v>436</v>
      </c>
      <c r="C27" s="567" t="s">
        <v>27</v>
      </c>
      <c r="D27" s="547" t="s">
        <v>439</v>
      </c>
      <c r="E27" s="547"/>
      <c r="F27" s="577"/>
      <c r="G27" s="569" t="s">
        <v>45</v>
      </c>
      <c r="H27" s="595">
        <v>1</v>
      </c>
      <c r="I27" s="486">
        <v>485000</v>
      </c>
      <c r="J27" s="486">
        <v>485000</v>
      </c>
      <c r="K27" s="570">
        <v>1</v>
      </c>
      <c r="L27" s="486">
        <v>0</v>
      </c>
      <c r="M27" s="486"/>
      <c r="N27" s="486"/>
      <c r="O27" s="486"/>
      <c r="P27" s="486"/>
      <c r="Q27" s="486"/>
      <c r="R27" s="486"/>
      <c r="S27" s="571"/>
      <c r="T27" s="572"/>
    </row>
    <row r="28" spans="1:20">
      <c r="A28" s="556"/>
      <c r="B28" s="495" t="s">
        <v>436</v>
      </c>
      <c r="C28" s="567" t="s">
        <v>27</v>
      </c>
      <c r="D28" s="547" t="s">
        <v>439</v>
      </c>
      <c r="E28" s="548"/>
      <c r="F28" s="562"/>
      <c r="G28" s="557" t="s">
        <v>74</v>
      </c>
      <c r="H28" s="596">
        <v>1</v>
      </c>
      <c r="I28" s="483">
        <v>550000</v>
      </c>
      <c r="J28" s="486">
        <v>550000</v>
      </c>
      <c r="K28" s="570">
        <v>1</v>
      </c>
      <c r="L28" s="486">
        <v>0</v>
      </c>
      <c r="M28" s="483"/>
      <c r="N28" s="483"/>
      <c r="O28" s="483"/>
      <c r="P28" s="483"/>
      <c r="Q28" s="483"/>
      <c r="R28" s="483"/>
      <c r="S28" s="573"/>
      <c r="T28" s="572"/>
    </row>
    <row r="29" spans="1:20">
      <c r="A29" s="556"/>
      <c r="B29" s="495" t="s">
        <v>436</v>
      </c>
      <c r="C29" s="567" t="s">
        <v>27</v>
      </c>
      <c r="D29" s="547" t="s">
        <v>439</v>
      </c>
      <c r="E29" s="548"/>
      <c r="F29" s="562"/>
      <c r="G29" s="557" t="s">
        <v>34</v>
      </c>
      <c r="H29" s="596">
        <v>1</v>
      </c>
      <c r="I29" s="483">
        <v>455000</v>
      </c>
      <c r="J29" s="486">
        <v>455000</v>
      </c>
      <c r="K29" s="570">
        <v>1</v>
      </c>
      <c r="L29" s="486">
        <v>0</v>
      </c>
      <c r="M29" s="483"/>
      <c r="N29" s="483"/>
      <c r="O29" s="483"/>
      <c r="P29" s="483"/>
      <c r="Q29" s="483"/>
      <c r="R29" s="483"/>
      <c r="S29" s="573"/>
      <c r="T29" s="572"/>
    </row>
    <row r="30" spans="1:20">
      <c r="A30" s="532"/>
      <c r="B30" s="495" t="s">
        <v>436</v>
      </c>
      <c r="C30" s="567" t="s">
        <v>27</v>
      </c>
      <c r="D30" s="547" t="s">
        <v>439</v>
      </c>
      <c r="E30" s="534"/>
      <c r="F30" s="575"/>
      <c r="G30" s="535" t="s">
        <v>46</v>
      </c>
      <c r="H30" s="598">
        <v>1</v>
      </c>
      <c r="I30" s="488">
        <v>455000</v>
      </c>
      <c r="J30" s="488">
        <v>455000</v>
      </c>
      <c r="K30" s="536">
        <v>1</v>
      </c>
      <c r="L30" s="488">
        <v>0</v>
      </c>
      <c r="M30" s="488"/>
      <c r="N30" s="488"/>
      <c r="O30" s="488"/>
      <c r="P30" s="488"/>
      <c r="Q30" s="488"/>
      <c r="R30" s="488"/>
      <c r="S30" s="537"/>
      <c r="T30" s="572"/>
    </row>
    <row r="31" spans="1:20">
      <c r="A31" s="514">
        <v>11</v>
      </c>
      <c r="B31" s="497" t="s">
        <v>436</v>
      </c>
      <c r="C31" s="515" t="s">
        <v>440</v>
      </c>
      <c r="D31" s="516" t="s">
        <v>401</v>
      </c>
      <c r="E31" s="516" t="s">
        <v>441</v>
      </c>
      <c r="F31" s="566" t="s">
        <v>442</v>
      </c>
      <c r="G31" s="517" t="s">
        <v>34</v>
      </c>
      <c r="H31" s="613">
        <v>2</v>
      </c>
      <c r="I31" s="489">
        <v>455000</v>
      </c>
      <c r="J31" s="489">
        <v>910000</v>
      </c>
      <c r="K31" s="518">
        <v>0.41</v>
      </c>
      <c r="L31" s="489">
        <v>536900.00000000012</v>
      </c>
      <c r="M31" s="489"/>
      <c r="N31" s="489"/>
      <c r="O31" s="489"/>
      <c r="P31" s="489"/>
      <c r="Q31" s="489">
        <v>131</v>
      </c>
      <c r="R31" s="489">
        <v>536900.00000000012</v>
      </c>
      <c r="S31" s="519"/>
      <c r="T31" s="572"/>
    </row>
    <row r="32" spans="1:20">
      <c r="A32" s="514">
        <v>12</v>
      </c>
      <c r="B32" s="497" t="s">
        <v>443</v>
      </c>
      <c r="C32" s="515" t="s">
        <v>27</v>
      </c>
      <c r="D32" s="516" t="s">
        <v>86</v>
      </c>
      <c r="E32" s="516" t="s">
        <v>444</v>
      </c>
      <c r="F32" s="566"/>
      <c r="G32" s="517" t="s">
        <v>60</v>
      </c>
      <c r="H32" s="613">
        <v>5</v>
      </c>
      <c r="I32" s="489">
        <v>455000</v>
      </c>
      <c r="J32" s="489">
        <v>2275000</v>
      </c>
      <c r="K32" s="518">
        <v>0.41</v>
      </c>
      <c r="L32" s="489">
        <v>1342250.0000000002</v>
      </c>
      <c r="M32" s="489">
        <v>111</v>
      </c>
      <c r="N32" s="489">
        <v>1342250.0000000002</v>
      </c>
      <c r="O32" s="489"/>
      <c r="P32" s="489"/>
      <c r="Q32" s="489"/>
      <c r="R32" s="489"/>
      <c r="S32" s="519"/>
      <c r="T32" s="572" t="s">
        <v>445</v>
      </c>
    </row>
    <row r="33" spans="1:19">
      <c r="A33" s="514">
        <v>13</v>
      </c>
      <c r="B33" s="497" t="s">
        <v>446</v>
      </c>
      <c r="C33" s="515" t="s">
        <v>96</v>
      </c>
      <c r="D33" s="516" t="s">
        <v>86</v>
      </c>
      <c r="E33" s="516"/>
      <c r="F33" s="566"/>
      <c r="G33" s="517" t="s">
        <v>45</v>
      </c>
      <c r="H33" s="613">
        <v>3</v>
      </c>
      <c r="I33" s="489">
        <v>485000</v>
      </c>
      <c r="J33" s="489">
        <v>1455000</v>
      </c>
      <c r="K33" s="518">
        <v>0.41</v>
      </c>
      <c r="L33" s="489">
        <v>858450.00000000012</v>
      </c>
      <c r="M33" s="489"/>
      <c r="N33" s="489"/>
      <c r="O33" s="489"/>
      <c r="P33" s="489"/>
      <c r="Q33" s="489">
        <v>131</v>
      </c>
      <c r="R33" s="489">
        <v>858450.00000000012</v>
      </c>
      <c r="S33" s="519"/>
    </row>
    <row r="34" spans="1:19" ht="19.5">
      <c r="A34" s="568">
        <v>14</v>
      </c>
      <c r="B34" s="495" t="s">
        <v>447</v>
      </c>
      <c r="C34" s="567" t="s">
        <v>27</v>
      </c>
      <c r="D34" s="547" t="s">
        <v>423</v>
      </c>
      <c r="E34" s="547"/>
      <c r="F34" s="577"/>
      <c r="G34" s="569" t="s">
        <v>253</v>
      </c>
      <c r="H34" s="595">
        <v>5</v>
      </c>
      <c r="I34" s="486">
        <v>255000</v>
      </c>
      <c r="J34" s="486">
        <v>1275000</v>
      </c>
      <c r="K34" s="570">
        <v>0.41</v>
      </c>
      <c r="L34" s="486">
        <v>752250.00000000012</v>
      </c>
      <c r="M34" s="486"/>
      <c r="N34" s="486"/>
      <c r="O34" s="486"/>
      <c r="P34" s="486"/>
      <c r="Q34" s="486">
        <v>131</v>
      </c>
      <c r="R34" s="486">
        <v>7195050.0000000009</v>
      </c>
      <c r="S34" s="587"/>
    </row>
    <row r="35" spans="1:19" ht="19.5">
      <c r="A35" s="532"/>
      <c r="B35" s="496" t="s">
        <v>447</v>
      </c>
      <c r="C35" s="546" t="s">
        <v>27</v>
      </c>
      <c r="D35" s="534" t="s">
        <v>423</v>
      </c>
      <c r="E35" s="534"/>
      <c r="F35" s="575"/>
      <c r="G35" s="535" t="s">
        <v>60</v>
      </c>
      <c r="H35" s="598">
        <v>24</v>
      </c>
      <c r="I35" s="488">
        <v>455000</v>
      </c>
      <c r="J35" s="488">
        <v>10920000</v>
      </c>
      <c r="K35" s="536">
        <v>0.41</v>
      </c>
      <c r="L35" s="488">
        <v>6442800.0000000009</v>
      </c>
      <c r="M35" s="488"/>
      <c r="N35" s="488"/>
      <c r="O35" s="488"/>
      <c r="P35" s="488"/>
      <c r="Q35" s="488"/>
      <c r="R35" s="488"/>
      <c r="S35" s="537"/>
    </row>
    <row r="36" spans="1:19">
      <c r="A36" s="599">
        <v>15</v>
      </c>
      <c r="B36" s="498" t="s">
        <v>448</v>
      </c>
      <c r="C36" s="512" t="s">
        <v>449</v>
      </c>
      <c r="D36" s="521" t="s">
        <v>450</v>
      </c>
      <c r="E36" s="521"/>
      <c r="F36" s="561"/>
      <c r="G36" s="522" t="s">
        <v>30</v>
      </c>
      <c r="H36" s="612">
        <v>24</v>
      </c>
      <c r="I36" s="523">
        <v>465000</v>
      </c>
      <c r="J36" s="523">
        <v>11160000</v>
      </c>
      <c r="K36" s="524">
        <v>0.35</v>
      </c>
      <c r="L36" s="523">
        <v>7254000</v>
      </c>
      <c r="M36" s="523"/>
      <c r="N36" s="523"/>
      <c r="O36" s="523"/>
      <c r="P36" s="523"/>
      <c r="Q36" s="523">
        <v>131</v>
      </c>
      <c r="R36" s="523">
        <v>54054000</v>
      </c>
      <c r="S36" s="525"/>
    </row>
    <row r="37" spans="1:19">
      <c r="A37" s="556"/>
      <c r="B37" s="498" t="s">
        <v>448</v>
      </c>
      <c r="C37" s="554" t="s">
        <v>449</v>
      </c>
      <c r="D37" s="548" t="s">
        <v>450</v>
      </c>
      <c r="E37" s="548"/>
      <c r="F37" s="562"/>
      <c r="G37" s="557" t="s">
        <v>50</v>
      </c>
      <c r="H37" s="596">
        <v>24</v>
      </c>
      <c r="I37" s="483">
        <v>475000</v>
      </c>
      <c r="J37" s="483">
        <v>11400000</v>
      </c>
      <c r="K37" s="578">
        <v>0.35</v>
      </c>
      <c r="L37" s="483">
        <v>7410000</v>
      </c>
      <c r="M37" s="483"/>
      <c r="N37" s="483"/>
      <c r="O37" s="483"/>
      <c r="P37" s="483"/>
      <c r="Q37" s="483"/>
      <c r="R37" s="483"/>
      <c r="S37" s="573"/>
    </row>
    <row r="38" spans="1:19">
      <c r="A38" s="556"/>
      <c r="B38" s="498" t="s">
        <v>448</v>
      </c>
      <c r="C38" s="554" t="s">
        <v>449</v>
      </c>
      <c r="D38" s="548" t="s">
        <v>450</v>
      </c>
      <c r="E38" s="548"/>
      <c r="F38" s="562"/>
      <c r="G38" s="557" t="s">
        <v>45</v>
      </c>
      <c r="H38" s="596">
        <v>24</v>
      </c>
      <c r="I38" s="483">
        <v>485000</v>
      </c>
      <c r="J38" s="483">
        <v>11640000</v>
      </c>
      <c r="K38" s="578">
        <v>0.35</v>
      </c>
      <c r="L38" s="483">
        <v>7566000</v>
      </c>
      <c r="M38" s="483"/>
      <c r="N38" s="483"/>
      <c r="O38" s="483"/>
      <c r="P38" s="483"/>
      <c r="Q38" s="483"/>
      <c r="R38" s="483"/>
      <c r="S38" s="573"/>
    </row>
    <row r="39" spans="1:19">
      <c r="A39" s="556"/>
      <c r="B39" s="498" t="s">
        <v>448</v>
      </c>
      <c r="C39" s="554" t="s">
        <v>449</v>
      </c>
      <c r="D39" s="548" t="s">
        <v>450</v>
      </c>
      <c r="E39" s="548"/>
      <c r="F39" s="562"/>
      <c r="G39" s="557" t="s">
        <v>73</v>
      </c>
      <c r="H39" s="596">
        <v>24</v>
      </c>
      <c r="I39" s="483">
        <v>485000</v>
      </c>
      <c r="J39" s="483">
        <v>11640000</v>
      </c>
      <c r="K39" s="578">
        <v>0.35</v>
      </c>
      <c r="L39" s="483">
        <v>7566000</v>
      </c>
      <c r="M39" s="483"/>
      <c r="N39" s="483"/>
      <c r="O39" s="483"/>
      <c r="P39" s="483"/>
      <c r="Q39" s="483"/>
      <c r="R39" s="483"/>
      <c r="S39" s="573"/>
    </row>
    <row r="40" spans="1:19">
      <c r="A40" s="556"/>
      <c r="B40" s="498" t="s">
        <v>448</v>
      </c>
      <c r="C40" s="554" t="s">
        <v>449</v>
      </c>
      <c r="D40" s="548" t="s">
        <v>450</v>
      </c>
      <c r="E40" s="548"/>
      <c r="F40" s="562"/>
      <c r="G40" s="557" t="s">
        <v>74</v>
      </c>
      <c r="H40" s="596">
        <v>48</v>
      </c>
      <c r="I40" s="483">
        <v>550000</v>
      </c>
      <c r="J40" s="483">
        <v>26400000</v>
      </c>
      <c r="K40" s="578">
        <v>0.35</v>
      </c>
      <c r="L40" s="483">
        <v>17160000</v>
      </c>
      <c r="M40" s="483"/>
      <c r="N40" s="483"/>
      <c r="O40" s="483"/>
      <c r="P40" s="483"/>
      <c r="Q40" s="483"/>
      <c r="R40" s="483"/>
      <c r="S40" s="573"/>
    </row>
    <row r="41" spans="1:19">
      <c r="A41" s="555"/>
      <c r="B41" s="498" t="s">
        <v>448</v>
      </c>
      <c r="C41" s="546" t="s">
        <v>449</v>
      </c>
      <c r="D41" s="534" t="s">
        <v>450</v>
      </c>
      <c r="E41" s="533"/>
      <c r="F41" s="559"/>
      <c r="G41" s="560" t="s">
        <v>46</v>
      </c>
      <c r="H41" s="611">
        <v>24</v>
      </c>
      <c r="I41" s="582">
        <v>455000</v>
      </c>
      <c r="J41" s="582">
        <v>10920000</v>
      </c>
      <c r="K41" s="586">
        <v>0.35</v>
      </c>
      <c r="L41" s="582">
        <v>7098000</v>
      </c>
      <c r="M41" s="582"/>
      <c r="N41" s="582"/>
      <c r="O41" s="582"/>
      <c r="P41" s="582"/>
      <c r="Q41" s="582"/>
      <c r="R41" s="582"/>
      <c r="S41" s="585"/>
    </row>
    <row r="42" spans="1:19">
      <c r="A42" s="555">
        <v>16</v>
      </c>
      <c r="B42" s="552" t="s">
        <v>448</v>
      </c>
      <c r="C42" s="513" t="s">
        <v>449</v>
      </c>
      <c r="D42" s="533" t="s">
        <v>86</v>
      </c>
      <c r="E42" s="533"/>
      <c r="F42" s="559"/>
      <c r="G42" s="560" t="s">
        <v>60</v>
      </c>
      <c r="H42" s="611">
        <v>10</v>
      </c>
      <c r="I42" s="582">
        <v>455000</v>
      </c>
      <c r="J42" s="582">
        <v>4550000</v>
      </c>
      <c r="K42" s="586">
        <v>0.41</v>
      </c>
      <c r="L42" s="582">
        <v>2684500.0000000005</v>
      </c>
      <c r="M42" s="582"/>
      <c r="N42" s="582"/>
      <c r="O42" s="582"/>
      <c r="P42" s="582"/>
      <c r="Q42" s="582">
        <v>131</v>
      </c>
      <c r="R42" s="582">
        <v>2684500.0000000005</v>
      </c>
      <c r="S42" s="585"/>
    </row>
    <row r="43" spans="1:19">
      <c r="A43" s="555">
        <v>17</v>
      </c>
      <c r="B43" s="552" t="s">
        <v>448</v>
      </c>
      <c r="C43" s="513" t="s">
        <v>27</v>
      </c>
      <c r="D43" s="533" t="s">
        <v>86</v>
      </c>
      <c r="E43" s="533"/>
      <c r="F43" s="559"/>
      <c r="G43" s="560" t="s">
        <v>60</v>
      </c>
      <c r="H43" s="611">
        <v>2</v>
      </c>
      <c r="I43" s="582">
        <v>455000</v>
      </c>
      <c r="J43" s="582">
        <v>910000</v>
      </c>
      <c r="K43" s="586">
        <v>1</v>
      </c>
      <c r="L43" s="582">
        <v>0</v>
      </c>
      <c r="M43" s="582"/>
      <c r="N43" s="582"/>
      <c r="O43" s="582"/>
      <c r="P43" s="582"/>
      <c r="Q43" s="582"/>
      <c r="R43" s="582"/>
      <c r="S43" s="585" t="s">
        <v>217</v>
      </c>
    </row>
    <row r="44" spans="1:19">
      <c r="A44" s="555">
        <v>18</v>
      </c>
      <c r="B44" s="552" t="s">
        <v>451</v>
      </c>
      <c r="C44" s="513" t="s">
        <v>452</v>
      </c>
      <c r="D44" s="533" t="s">
        <v>86</v>
      </c>
      <c r="E44" s="533"/>
      <c r="F44" s="559"/>
      <c r="G44" s="560" t="s">
        <v>60</v>
      </c>
      <c r="H44" s="611">
        <v>2</v>
      </c>
      <c r="I44" s="582">
        <v>455000</v>
      </c>
      <c r="J44" s="582">
        <v>910000</v>
      </c>
      <c r="K44" s="586">
        <v>0.41</v>
      </c>
      <c r="L44" s="582">
        <v>536900.00000000012</v>
      </c>
      <c r="M44" s="582"/>
      <c r="N44" s="582"/>
      <c r="O44" s="582"/>
      <c r="P44" s="582"/>
      <c r="Q44" s="582">
        <v>131</v>
      </c>
      <c r="R44" s="582">
        <v>536900.00000000012</v>
      </c>
      <c r="S44" s="585"/>
    </row>
    <row r="45" spans="1:19">
      <c r="A45" s="563">
        <v>19</v>
      </c>
      <c r="B45" s="499" t="s">
        <v>451</v>
      </c>
      <c r="C45" s="540" t="s">
        <v>27</v>
      </c>
      <c r="D45" s="541" t="s">
        <v>453</v>
      </c>
      <c r="E45" s="541"/>
      <c r="F45" s="564"/>
      <c r="G45" s="565" t="s">
        <v>45</v>
      </c>
      <c r="H45" s="610">
        <v>1</v>
      </c>
      <c r="I45" s="487">
        <v>485000</v>
      </c>
      <c r="J45" s="487">
        <v>485000</v>
      </c>
      <c r="K45" s="580">
        <v>0.41</v>
      </c>
      <c r="L45" s="487">
        <v>286150.00000000006</v>
      </c>
      <c r="M45" s="487"/>
      <c r="N45" s="487"/>
      <c r="O45" s="487"/>
      <c r="P45" s="487"/>
      <c r="Q45" s="487">
        <v>131</v>
      </c>
      <c r="R45" s="487">
        <v>554600.00000000012</v>
      </c>
      <c r="S45" s="581"/>
    </row>
    <row r="46" spans="1:19">
      <c r="A46" s="555"/>
      <c r="B46" s="552" t="s">
        <v>451</v>
      </c>
      <c r="C46" s="513" t="s">
        <v>27</v>
      </c>
      <c r="D46" s="533" t="s">
        <v>453</v>
      </c>
      <c r="E46" s="533"/>
      <c r="F46" s="559"/>
      <c r="G46" s="560" t="s">
        <v>34</v>
      </c>
      <c r="H46" s="611">
        <v>1</v>
      </c>
      <c r="I46" s="582">
        <v>455000</v>
      </c>
      <c r="J46" s="582">
        <v>455000</v>
      </c>
      <c r="K46" s="586">
        <v>0.41</v>
      </c>
      <c r="L46" s="582">
        <v>268450.00000000006</v>
      </c>
      <c r="M46" s="582"/>
      <c r="N46" s="582"/>
      <c r="O46" s="582"/>
      <c r="P46" s="582"/>
      <c r="Q46" s="582"/>
      <c r="R46" s="582"/>
      <c r="S46" s="585"/>
    </row>
    <row r="47" spans="1:19">
      <c r="A47" s="514">
        <v>20</v>
      </c>
      <c r="B47" s="497" t="s">
        <v>454</v>
      </c>
      <c r="C47" s="515" t="s">
        <v>27</v>
      </c>
      <c r="D47" s="516" t="s">
        <v>220</v>
      </c>
      <c r="E47" s="516"/>
      <c r="F47" s="566"/>
      <c r="G47" s="517" t="s">
        <v>34</v>
      </c>
      <c r="H47" s="613">
        <v>1</v>
      </c>
      <c r="I47" s="489">
        <v>455000</v>
      </c>
      <c r="J47" s="489">
        <v>455000</v>
      </c>
      <c r="K47" s="518">
        <v>0.41</v>
      </c>
      <c r="L47" s="489">
        <v>268450.00000000006</v>
      </c>
      <c r="M47" s="489">
        <v>111</v>
      </c>
      <c r="N47" s="489">
        <v>268450.00000000006</v>
      </c>
      <c r="O47" s="489"/>
      <c r="P47" s="489"/>
      <c r="Q47" s="489"/>
      <c r="R47" s="489"/>
      <c r="S47" s="519"/>
    </row>
    <row r="48" spans="1:19">
      <c r="A48" s="568">
        <v>21</v>
      </c>
      <c r="B48" s="495" t="s">
        <v>454</v>
      </c>
      <c r="C48" s="567" t="s">
        <v>27</v>
      </c>
      <c r="D48" s="547" t="s">
        <v>455</v>
      </c>
      <c r="E48" s="547"/>
      <c r="F48" s="577"/>
      <c r="G48" s="569" t="s">
        <v>45</v>
      </c>
      <c r="H48" s="595">
        <v>5</v>
      </c>
      <c r="I48" s="486">
        <v>485000</v>
      </c>
      <c r="J48" s="486">
        <v>2425000</v>
      </c>
      <c r="K48" s="524">
        <v>0.41</v>
      </c>
      <c r="L48" s="486">
        <v>1430750.0000000002</v>
      </c>
      <c r="M48" s="486"/>
      <c r="N48" s="486"/>
      <c r="O48" s="486"/>
      <c r="P48" s="486"/>
      <c r="Q48" s="486">
        <v>131</v>
      </c>
      <c r="R48" s="486">
        <v>1430750.0000000002</v>
      </c>
      <c r="S48" s="587"/>
    </row>
    <row r="49" spans="1:19">
      <c r="A49" s="532"/>
      <c r="B49" s="552" t="s">
        <v>454</v>
      </c>
      <c r="C49" s="513" t="s">
        <v>27</v>
      </c>
      <c r="D49" s="533" t="s">
        <v>455</v>
      </c>
      <c r="E49" s="534"/>
      <c r="F49" s="575"/>
      <c r="G49" s="535" t="s">
        <v>45</v>
      </c>
      <c r="H49" s="598">
        <v>1</v>
      </c>
      <c r="I49" s="488">
        <v>485000</v>
      </c>
      <c r="J49" s="582">
        <v>485000</v>
      </c>
      <c r="K49" s="536">
        <v>1</v>
      </c>
      <c r="L49" s="488">
        <v>0</v>
      </c>
      <c r="M49" s="488"/>
      <c r="N49" s="488"/>
      <c r="O49" s="488"/>
      <c r="P49" s="488"/>
      <c r="Q49" s="488"/>
      <c r="R49" s="488"/>
      <c r="S49" s="537"/>
    </row>
    <row r="50" spans="1:19">
      <c r="A50" s="568">
        <v>22</v>
      </c>
      <c r="B50" s="495" t="s">
        <v>454</v>
      </c>
      <c r="C50" s="567" t="s">
        <v>27</v>
      </c>
      <c r="D50" s="547" t="s">
        <v>354</v>
      </c>
      <c r="E50" s="547"/>
      <c r="F50" s="577"/>
      <c r="G50" s="569" t="s">
        <v>45</v>
      </c>
      <c r="H50" s="595">
        <v>3</v>
      </c>
      <c r="I50" s="486">
        <v>485000</v>
      </c>
      <c r="J50" s="486">
        <v>1455000</v>
      </c>
      <c r="K50" s="570">
        <v>0.41</v>
      </c>
      <c r="L50" s="486">
        <v>858450.00000000012</v>
      </c>
      <c r="M50" s="486"/>
      <c r="N50" s="486"/>
      <c r="O50" s="486"/>
      <c r="P50" s="486"/>
      <c r="Q50" s="486">
        <v>131</v>
      </c>
      <c r="R50" s="486">
        <v>1126900.0000000002</v>
      </c>
      <c r="S50" s="571"/>
    </row>
    <row r="51" spans="1:19">
      <c r="A51" s="532"/>
      <c r="B51" s="496"/>
      <c r="C51" s="567" t="s">
        <v>27</v>
      </c>
      <c r="D51" s="547" t="s">
        <v>354</v>
      </c>
      <c r="E51" s="534"/>
      <c r="F51" s="575"/>
      <c r="G51" s="535" t="s">
        <v>46</v>
      </c>
      <c r="H51" s="598">
        <v>1</v>
      </c>
      <c r="I51" s="488">
        <v>455000</v>
      </c>
      <c r="J51" s="488">
        <v>455000</v>
      </c>
      <c r="K51" s="536">
        <v>0.41</v>
      </c>
      <c r="L51" s="488">
        <v>268450.00000000006</v>
      </c>
      <c r="M51" s="488"/>
      <c r="N51" s="488"/>
      <c r="O51" s="488"/>
      <c r="P51" s="488"/>
      <c r="Q51" s="488"/>
      <c r="R51" s="488"/>
      <c r="S51" s="576"/>
    </row>
    <row r="52" spans="1:19">
      <c r="A52" s="514">
        <v>23</v>
      </c>
      <c r="B52" s="497" t="s">
        <v>454</v>
      </c>
      <c r="C52" s="515" t="s">
        <v>27</v>
      </c>
      <c r="D52" s="516" t="s">
        <v>437</v>
      </c>
      <c r="E52" s="516"/>
      <c r="F52" s="566"/>
      <c r="G52" s="517" t="s">
        <v>60</v>
      </c>
      <c r="H52" s="613">
        <v>1</v>
      </c>
      <c r="I52" s="489">
        <v>455000</v>
      </c>
      <c r="J52" s="489">
        <v>455000</v>
      </c>
      <c r="K52" s="518">
        <v>0.41</v>
      </c>
      <c r="L52" s="489">
        <v>268450.00000000006</v>
      </c>
      <c r="M52" s="489">
        <v>111</v>
      </c>
      <c r="N52" s="489">
        <v>268450.00000000006</v>
      </c>
      <c r="O52" s="489"/>
      <c r="P52" s="489"/>
      <c r="Q52" s="489"/>
      <c r="R52" s="489"/>
      <c r="S52" s="519"/>
    </row>
    <row r="53" spans="1:19">
      <c r="A53" s="568">
        <v>24</v>
      </c>
      <c r="B53" s="495" t="s">
        <v>454</v>
      </c>
      <c r="C53" s="567" t="s">
        <v>420</v>
      </c>
      <c r="D53" s="547" t="s">
        <v>195</v>
      </c>
      <c r="E53" s="547"/>
      <c r="F53" s="577"/>
      <c r="G53" s="569" t="s">
        <v>74</v>
      </c>
      <c r="H53" s="595">
        <v>1</v>
      </c>
      <c r="I53" s="486">
        <v>550000</v>
      </c>
      <c r="J53" s="486">
        <v>550000</v>
      </c>
      <c r="K53" s="570">
        <v>0.41</v>
      </c>
      <c r="L53" s="486">
        <v>324500.00000000006</v>
      </c>
      <c r="M53" s="486"/>
      <c r="N53" s="486"/>
      <c r="O53" s="486"/>
      <c r="P53" s="486"/>
      <c r="Q53" s="486">
        <v>131</v>
      </c>
      <c r="R53" s="486">
        <v>592950.00000000012</v>
      </c>
      <c r="S53" s="571"/>
    </row>
    <row r="54" spans="1:19">
      <c r="A54" s="532"/>
      <c r="B54" s="496"/>
      <c r="C54" s="546" t="s">
        <v>420</v>
      </c>
      <c r="D54" s="534" t="s">
        <v>195</v>
      </c>
      <c r="E54" s="534"/>
      <c r="F54" s="575"/>
      <c r="G54" s="535" t="s">
        <v>34</v>
      </c>
      <c r="H54" s="598">
        <v>1</v>
      </c>
      <c r="I54" s="488">
        <v>455000</v>
      </c>
      <c r="J54" s="488">
        <v>455000</v>
      </c>
      <c r="K54" s="536">
        <v>0.41</v>
      </c>
      <c r="L54" s="488">
        <v>268450.00000000006</v>
      </c>
      <c r="M54" s="488"/>
      <c r="N54" s="488"/>
      <c r="O54" s="488"/>
      <c r="P54" s="488"/>
      <c r="Q54" s="488"/>
      <c r="R54" s="488"/>
      <c r="S54" s="576"/>
    </row>
    <row r="55" spans="1:19">
      <c r="A55" s="514">
        <v>25</v>
      </c>
      <c r="B55" s="497" t="s">
        <v>454</v>
      </c>
      <c r="C55" s="515" t="s">
        <v>96</v>
      </c>
      <c r="D55" s="516" t="s">
        <v>86</v>
      </c>
      <c r="E55" s="516"/>
      <c r="F55" s="566"/>
      <c r="G55" s="517" t="s">
        <v>42</v>
      </c>
      <c r="H55" s="613">
        <v>1</v>
      </c>
      <c r="I55" s="489">
        <v>265000</v>
      </c>
      <c r="J55" s="489">
        <v>265000</v>
      </c>
      <c r="K55" s="518">
        <v>0.41</v>
      </c>
      <c r="L55" s="489">
        <v>156350.00000000003</v>
      </c>
      <c r="M55" s="489"/>
      <c r="N55" s="489"/>
      <c r="O55" s="489"/>
      <c r="P55" s="489"/>
      <c r="Q55" s="489">
        <v>131</v>
      </c>
      <c r="R55" s="489">
        <v>156350.00000000003</v>
      </c>
      <c r="S55" s="585"/>
    </row>
    <row r="56" spans="1:19">
      <c r="A56" s="563">
        <v>26</v>
      </c>
      <c r="B56" s="499" t="s">
        <v>456</v>
      </c>
      <c r="C56" s="540" t="s">
        <v>433</v>
      </c>
      <c r="D56" s="541" t="s">
        <v>86</v>
      </c>
      <c r="E56" s="541"/>
      <c r="F56" s="564"/>
      <c r="G56" s="565" t="s">
        <v>50</v>
      </c>
      <c r="H56" s="610">
        <v>1</v>
      </c>
      <c r="I56" s="487">
        <v>475000</v>
      </c>
      <c r="J56" s="487">
        <v>475000</v>
      </c>
      <c r="K56" s="580">
        <v>0.41</v>
      </c>
      <c r="L56" s="487">
        <v>280250.00000000006</v>
      </c>
      <c r="M56" s="487"/>
      <c r="N56" s="487"/>
      <c r="O56" s="487"/>
      <c r="P56" s="487"/>
      <c r="Q56" s="487">
        <v>131</v>
      </c>
      <c r="R56" s="487">
        <v>852550.00000000023</v>
      </c>
      <c r="S56" s="581"/>
    </row>
    <row r="57" spans="1:19">
      <c r="A57" s="556"/>
      <c r="B57" s="499" t="s">
        <v>456</v>
      </c>
      <c r="C57" s="554" t="s">
        <v>433</v>
      </c>
      <c r="D57" s="548" t="s">
        <v>86</v>
      </c>
      <c r="E57" s="548"/>
      <c r="F57" s="562"/>
      <c r="G57" s="557" t="s">
        <v>45</v>
      </c>
      <c r="H57" s="596">
        <v>1</v>
      </c>
      <c r="I57" s="483">
        <v>485000</v>
      </c>
      <c r="J57" s="483">
        <v>485000</v>
      </c>
      <c r="K57" s="578">
        <v>0.41</v>
      </c>
      <c r="L57" s="483">
        <v>286150.00000000006</v>
      </c>
      <c r="M57" s="483"/>
      <c r="N57" s="483"/>
      <c r="O57" s="483"/>
      <c r="P57" s="483"/>
      <c r="Q57" s="483"/>
      <c r="R57" s="483"/>
      <c r="S57" s="573"/>
    </row>
    <row r="58" spans="1:19">
      <c r="A58" s="555"/>
      <c r="B58" s="497" t="s">
        <v>456</v>
      </c>
      <c r="C58" s="513" t="s">
        <v>433</v>
      </c>
      <c r="D58" s="533" t="s">
        <v>86</v>
      </c>
      <c r="E58" s="533"/>
      <c r="F58" s="559"/>
      <c r="G58" s="560" t="s">
        <v>46</v>
      </c>
      <c r="H58" s="611">
        <v>1</v>
      </c>
      <c r="I58" s="582">
        <v>485000</v>
      </c>
      <c r="J58" s="582">
        <v>485000</v>
      </c>
      <c r="K58" s="586">
        <v>0.41</v>
      </c>
      <c r="L58" s="582">
        <v>286150.00000000006</v>
      </c>
      <c r="M58" s="582"/>
      <c r="N58" s="582"/>
      <c r="O58" s="582"/>
      <c r="P58" s="582"/>
      <c r="Q58" s="582"/>
      <c r="R58" s="582"/>
      <c r="S58" s="585"/>
    </row>
    <row r="59" spans="1:19">
      <c r="A59" s="514">
        <v>27</v>
      </c>
      <c r="B59" s="497" t="s">
        <v>457</v>
      </c>
      <c r="C59" s="515" t="s">
        <v>27</v>
      </c>
      <c r="D59" s="516" t="s">
        <v>458</v>
      </c>
      <c r="E59" s="516"/>
      <c r="F59" s="566"/>
      <c r="G59" s="517" t="s">
        <v>60</v>
      </c>
      <c r="H59" s="613">
        <v>2</v>
      </c>
      <c r="I59" s="489">
        <v>455000</v>
      </c>
      <c r="J59" s="489">
        <v>910000</v>
      </c>
      <c r="K59" s="518">
        <v>0.41</v>
      </c>
      <c r="L59" s="489">
        <v>536900.00000000012</v>
      </c>
      <c r="M59" s="489"/>
      <c r="N59" s="489"/>
      <c r="O59" s="489"/>
      <c r="P59" s="489"/>
      <c r="Q59" s="489">
        <v>131</v>
      </c>
      <c r="R59" s="489">
        <v>536900.00000000012</v>
      </c>
      <c r="S59" s="549"/>
    </row>
    <row r="60" spans="1:19">
      <c r="A60" s="555">
        <v>28</v>
      </c>
      <c r="B60" s="497" t="s">
        <v>459</v>
      </c>
      <c r="C60" s="515" t="s">
        <v>96</v>
      </c>
      <c r="D60" s="516" t="s">
        <v>86</v>
      </c>
      <c r="E60" s="516"/>
      <c r="F60" s="566"/>
      <c r="G60" s="517" t="s">
        <v>50</v>
      </c>
      <c r="H60" s="613">
        <v>1</v>
      </c>
      <c r="I60" s="489">
        <v>475000</v>
      </c>
      <c r="J60" s="489">
        <v>475000</v>
      </c>
      <c r="K60" s="518">
        <v>0.41</v>
      </c>
      <c r="L60" s="489">
        <v>280250.00000000006</v>
      </c>
      <c r="M60" s="489"/>
      <c r="N60" s="489"/>
      <c r="O60" s="489"/>
      <c r="P60" s="489"/>
      <c r="Q60" s="489">
        <v>131</v>
      </c>
      <c r="R60" s="489">
        <v>280250.00000000006</v>
      </c>
      <c r="S60" s="519"/>
    </row>
    <row r="61" spans="1:19">
      <c r="A61" s="568">
        <v>29</v>
      </c>
      <c r="B61" s="495" t="s">
        <v>460</v>
      </c>
      <c r="C61" s="567" t="s">
        <v>27</v>
      </c>
      <c r="D61" s="547" t="s">
        <v>461</v>
      </c>
      <c r="E61" s="547"/>
      <c r="F61" s="577"/>
      <c r="G61" s="569" t="s">
        <v>45</v>
      </c>
      <c r="H61" s="595">
        <v>4</v>
      </c>
      <c r="I61" s="486">
        <v>485000</v>
      </c>
      <c r="J61" s="486">
        <v>1940000</v>
      </c>
      <c r="K61" s="570">
        <v>0.41</v>
      </c>
      <c r="L61" s="486">
        <v>1144600.0000000002</v>
      </c>
      <c r="M61" s="486"/>
      <c r="N61" s="486"/>
      <c r="O61" s="486"/>
      <c r="P61" s="486"/>
      <c r="Q61" s="486">
        <v>131</v>
      </c>
      <c r="R61" s="486">
        <v>3023750.0000000009</v>
      </c>
      <c r="S61" s="571"/>
    </row>
    <row r="62" spans="1:19">
      <c r="A62" s="556"/>
      <c r="B62" s="495" t="s">
        <v>460</v>
      </c>
      <c r="C62" s="567" t="s">
        <v>27</v>
      </c>
      <c r="D62" s="547" t="s">
        <v>461</v>
      </c>
      <c r="E62" s="548"/>
      <c r="F62" s="562"/>
      <c r="G62" s="557" t="s">
        <v>34</v>
      </c>
      <c r="H62" s="596">
        <v>3</v>
      </c>
      <c r="I62" s="483">
        <v>455000</v>
      </c>
      <c r="J62" s="486">
        <v>1365000</v>
      </c>
      <c r="K62" s="570">
        <v>0.41</v>
      </c>
      <c r="L62" s="483">
        <v>805350.00000000012</v>
      </c>
      <c r="M62" s="483"/>
      <c r="N62" s="483"/>
      <c r="O62" s="483"/>
      <c r="P62" s="483"/>
      <c r="Q62" s="483"/>
      <c r="R62" s="483"/>
      <c r="S62" s="574"/>
    </row>
    <row r="63" spans="1:19">
      <c r="A63" s="532"/>
      <c r="B63" s="495" t="s">
        <v>460</v>
      </c>
      <c r="C63" s="567" t="s">
        <v>27</v>
      </c>
      <c r="D63" s="547" t="s">
        <v>461</v>
      </c>
      <c r="E63" s="534"/>
      <c r="F63" s="575"/>
      <c r="G63" s="535" t="s">
        <v>46</v>
      </c>
      <c r="H63" s="598">
        <v>4</v>
      </c>
      <c r="I63" s="488">
        <v>455000</v>
      </c>
      <c r="J63" s="488">
        <v>1820000</v>
      </c>
      <c r="K63" s="536">
        <v>0.41</v>
      </c>
      <c r="L63" s="488">
        <v>1073800.0000000002</v>
      </c>
      <c r="M63" s="488"/>
      <c r="N63" s="488"/>
      <c r="O63" s="488"/>
      <c r="P63" s="488"/>
      <c r="Q63" s="488"/>
      <c r="R63" s="488"/>
      <c r="S63" s="537"/>
    </row>
    <row r="64" spans="1:19" ht="19.5">
      <c r="A64" s="563">
        <v>30</v>
      </c>
      <c r="B64" s="499" t="s">
        <v>460</v>
      </c>
      <c r="C64" s="540" t="s">
        <v>27</v>
      </c>
      <c r="D64" s="541" t="s">
        <v>462</v>
      </c>
      <c r="E64" s="541" t="s">
        <v>339</v>
      </c>
      <c r="F64" s="564"/>
      <c r="G64" s="565" t="s">
        <v>34</v>
      </c>
      <c r="H64" s="610">
        <v>12</v>
      </c>
      <c r="I64" s="487">
        <v>455000</v>
      </c>
      <c r="J64" s="487">
        <v>5460000</v>
      </c>
      <c r="K64" s="580">
        <v>0.41</v>
      </c>
      <c r="L64" s="487">
        <v>3221400.0000000005</v>
      </c>
      <c r="M64" s="487"/>
      <c r="N64" s="487"/>
      <c r="O64" s="487"/>
      <c r="P64" s="487"/>
      <c r="Q64" s="487">
        <v>131</v>
      </c>
      <c r="R64" s="487">
        <v>6442800.0000000009</v>
      </c>
      <c r="S64" s="581"/>
    </row>
    <row r="65" spans="1:20" ht="19.5">
      <c r="A65" s="555"/>
      <c r="B65" s="552"/>
      <c r="C65" s="567" t="s">
        <v>27</v>
      </c>
      <c r="D65" s="547" t="s">
        <v>462</v>
      </c>
      <c r="E65" s="547" t="s">
        <v>339</v>
      </c>
      <c r="F65" s="559"/>
      <c r="G65" s="560" t="s">
        <v>46</v>
      </c>
      <c r="H65" s="611">
        <v>12</v>
      </c>
      <c r="I65" s="582">
        <v>455000</v>
      </c>
      <c r="J65" s="582">
        <v>5460000</v>
      </c>
      <c r="K65" s="586">
        <v>0.41</v>
      </c>
      <c r="L65" s="582">
        <v>3221400.0000000005</v>
      </c>
      <c r="M65" s="582"/>
      <c r="N65" s="582"/>
      <c r="O65" s="582"/>
      <c r="P65" s="582"/>
      <c r="Q65" s="582"/>
      <c r="R65" s="582"/>
      <c r="S65" s="585"/>
      <c r="T65" s="572"/>
    </row>
    <row r="66" spans="1:20" ht="19.5">
      <c r="A66" s="514">
        <v>31</v>
      </c>
      <c r="B66" s="497" t="s">
        <v>463</v>
      </c>
      <c r="C66" s="515" t="s">
        <v>27</v>
      </c>
      <c r="D66" s="516" t="s">
        <v>464</v>
      </c>
      <c r="E66" s="516" t="s">
        <v>465</v>
      </c>
      <c r="F66" s="566" t="s">
        <v>466</v>
      </c>
      <c r="G66" s="517" t="s">
        <v>34</v>
      </c>
      <c r="H66" s="613">
        <v>2</v>
      </c>
      <c r="I66" s="489">
        <v>455000</v>
      </c>
      <c r="J66" s="489">
        <v>910000</v>
      </c>
      <c r="K66" s="518">
        <v>0.41</v>
      </c>
      <c r="L66" s="489">
        <v>536900.00000000012</v>
      </c>
      <c r="M66" s="489"/>
      <c r="N66" s="489"/>
      <c r="O66" s="489"/>
      <c r="P66" s="489"/>
      <c r="Q66" s="489">
        <v>131</v>
      </c>
      <c r="R66" s="489">
        <v>536900.00000000012</v>
      </c>
      <c r="S66" s="549"/>
      <c r="T66" s="572"/>
    </row>
    <row r="67" spans="1:20" ht="19.5">
      <c r="A67" s="563">
        <v>32</v>
      </c>
      <c r="B67" s="539" t="s">
        <v>463</v>
      </c>
      <c r="C67" s="540" t="s">
        <v>27</v>
      </c>
      <c r="D67" s="541" t="s">
        <v>467</v>
      </c>
      <c r="E67" s="541"/>
      <c r="F67" s="564"/>
      <c r="G67" s="565" t="s">
        <v>253</v>
      </c>
      <c r="H67" s="610">
        <v>5</v>
      </c>
      <c r="I67" s="487">
        <v>255000</v>
      </c>
      <c r="J67" s="487">
        <v>1275000</v>
      </c>
      <c r="K67" s="545">
        <v>0.3</v>
      </c>
      <c r="L67" s="487">
        <v>892500</v>
      </c>
      <c r="M67" s="487"/>
      <c r="N67" s="487"/>
      <c r="O67" s="487"/>
      <c r="P67" s="487"/>
      <c r="Q67" s="487">
        <v>131</v>
      </c>
      <c r="R67" s="487">
        <v>9978500</v>
      </c>
      <c r="S67" s="581"/>
      <c r="T67" s="583"/>
    </row>
    <row r="68" spans="1:20" ht="19.5">
      <c r="A68" s="520"/>
      <c r="B68" s="490" t="s">
        <v>463</v>
      </c>
      <c r="C68" s="567" t="s">
        <v>27</v>
      </c>
      <c r="D68" s="547" t="s">
        <v>467</v>
      </c>
      <c r="E68" s="521"/>
      <c r="F68" s="561"/>
      <c r="G68" s="522" t="s">
        <v>60</v>
      </c>
      <c r="H68" s="612">
        <v>8</v>
      </c>
      <c r="I68" s="523">
        <v>455000</v>
      </c>
      <c r="J68" s="523">
        <v>3640000</v>
      </c>
      <c r="K68" s="578">
        <v>0.3</v>
      </c>
      <c r="L68" s="523">
        <v>2548000</v>
      </c>
      <c r="M68" s="523"/>
      <c r="N68" s="523"/>
      <c r="O68" s="523"/>
      <c r="P68" s="523"/>
      <c r="Q68" s="523"/>
      <c r="R68" s="523"/>
      <c r="S68" s="605"/>
      <c r="T68" s="572"/>
    </row>
    <row r="69" spans="1:20" ht="19.5">
      <c r="A69" s="556"/>
      <c r="B69" s="490" t="s">
        <v>463</v>
      </c>
      <c r="C69" s="567" t="s">
        <v>27</v>
      </c>
      <c r="D69" s="547" t="s">
        <v>467</v>
      </c>
      <c r="E69" s="548"/>
      <c r="F69" s="562"/>
      <c r="G69" s="557" t="s">
        <v>50</v>
      </c>
      <c r="H69" s="596">
        <v>4</v>
      </c>
      <c r="I69" s="483">
        <v>475000</v>
      </c>
      <c r="J69" s="483">
        <v>1900000</v>
      </c>
      <c r="K69" s="578">
        <v>0.3</v>
      </c>
      <c r="L69" s="483">
        <v>1330000</v>
      </c>
      <c r="M69" s="483"/>
      <c r="N69" s="483"/>
      <c r="O69" s="483"/>
      <c r="P69" s="483"/>
      <c r="Q69" s="483"/>
      <c r="R69" s="483"/>
      <c r="S69" s="573"/>
      <c r="T69" s="572"/>
    </row>
    <row r="70" spans="1:20" ht="19.5">
      <c r="A70" s="556"/>
      <c r="B70" s="490" t="s">
        <v>463</v>
      </c>
      <c r="C70" s="567" t="s">
        <v>27</v>
      </c>
      <c r="D70" s="547" t="s">
        <v>467</v>
      </c>
      <c r="E70" s="548"/>
      <c r="F70" s="562"/>
      <c r="G70" s="557" t="s">
        <v>45</v>
      </c>
      <c r="H70" s="596">
        <v>3</v>
      </c>
      <c r="I70" s="483">
        <v>485000</v>
      </c>
      <c r="J70" s="483">
        <v>1455000</v>
      </c>
      <c r="K70" s="578">
        <v>0.3</v>
      </c>
      <c r="L70" s="483">
        <v>1018499.9999999999</v>
      </c>
      <c r="M70" s="483"/>
      <c r="N70" s="483"/>
      <c r="O70" s="483"/>
      <c r="P70" s="483"/>
      <c r="Q70" s="483"/>
      <c r="R70" s="483"/>
      <c r="S70" s="573"/>
      <c r="T70" s="572"/>
    </row>
    <row r="71" spans="1:20" ht="19.5">
      <c r="A71" s="556"/>
      <c r="B71" s="490" t="s">
        <v>463</v>
      </c>
      <c r="C71" s="567" t="s">
        <v>27</v>
      </c>
      <c r="D71" s="547" t="s">
        <v>467</v>
      </c>
      <c r="E71" s="548"/>
      <c r="F71" s="562"/>
      <c r="G71" s="557" t="s">
        <v>73</v>
      </c>
      <c r="H71" s="596">
        <v>8</v>
      </c>
      <c r="I71" s="483">
        <v>485000</v>
      </c>
      <c r="J71" s="483">
        <v>3880000</v>
      </c>
      <c r="K71" s="578">
        <v>0.3</v>
      </c>
      <c r="L71" s="483">
        <v>2716000</v>
      </c>
      <c r="M71" s="483"/>
      <c r="N71" s="483"/>
      <c r="O71" s="483"/>
      <c r="P71" s="483"/>
      <c r="Q71" s="483"/>
      <c r="R71" s="483"/>
      <c r="S71" s="574"/>
      <c r="T71" s="572"/>
    </row>
    <row r="72" spans="1:20" ht="19.5">
      <c r="A72" s="556"/>
      <c r="B72" s="490" t="s">
        <v>463</v>
      </c>
      <c r="C72" s="567" t="s">
        <v>27</v>
      </c>
      <c r="D72" s="547" t="s">
        <v>467</v>
      </c>
      <c r="E72" s="548"/>
      <c r="F72" s="562"/>
      <c r="G72" s="557" t="s">
        <v>74</v>
      </c>
      <c r="H72" s="596">
        <v>3</v>
      </c>
      <c r="I72" s="483">
        <v>550000</v>
      </c>
      <c r="J72" s="483">
        <v>1650000</v>
      </c>
      <c r="K72" s="578">
        <v>0.3</v>
      </c>
      <c r="L72" s="483">
        <v>1155000</v>
      </c>
      <c r="M72" s="483"/>
      <c r="N72" s="483"/>
      <c r="O72" s="483"/>
      <c r="P72" s="483"/>
      <c r="Q72" s="483"/>
      <c r="R72" s="483"/>
      <c r="S72" s="573"/>
      <c r="T72" s="572"/>
    </row>
    <row r="73" spans="1:20" ht="19.5">
      <c r="A73" s="555"/>
      <c r="B73" s="496" t="s">
        <v>463</v>
      </c>
      <c r="C73" s="513" t="s">
        <v>27</v>
      </c>
      <c r="D73" s="533" t="s">
        <v>467</v>
      </c>
      <c r="E73" s="533"/>
      <c r="F73" s="559"/>
      <c r="G73" s="560" t="s">
        <v>46</v>
      </c>
      <c r="H73" s="611">
        <v>1</v>
      </c>
      <c r="I73" s="582">
        <v>455000</v>
      </c>
      <c r="J73" s="582">
        <v>455000</v>
      </c>
      <c r="K73" s="536">
        <v>0.3</v>
      </c>
      <c r="L73" s="582">
        <v>318500</v>
      </c>
      <c r="M73" s="582"/>
      <c r="N73" s="582"/>
      <c r="O73" s="582"/>
      <c r="P73" s="582"/>
      <c r="Q73" s="582"/>
      <c r="R73" s="582"/>
      <c r="S73" s="594"/>
      <c r="T73" s="572"/>
    </row>
    <row r="74" spans="1:20">
      <c r="A74" s="555">
        <v>33</v>
      </c>
      <c r="B74" s="552" t="s">
        <v>463</v>
      </c>
      <c r="C74" s="513" t="s">
        <v>27</v>
      </c>
      <c r="D74" s="533" t="s">
        <v>468</v>
      </c>
      <c r="E74" s="533"/>
      <c r="F74" s="559"/>
      <c r="G74" s="560" t="s">
        <v>60</v>
      </c>
      <c r="H74" s="611">
        <v>3</v>
      </c>
      <c r="I74" s="582">
        <v>455000</v>
      </c>
      <c r="J74" s="582">
        <v>1365000</v>
      </c>
      <c r="K74" s="586">
        <v>0.41</v>
      </c>
      <c r="L74" s="582">
        <v>805350.00000000012</v>
      </c>
      <c r="M74" s="582"/>
      <c r="N74" s="582"/>
      <c r="O74" s="582"/>
      <c r="P74" s="582"/>
      <c r="Q74" s="582">
        <v>131</v>
      </c>
      <c r="R74" s="582">
        <v>805350.00000000012</v>
      </c>
      <c r="S74" s="585"/>
      <c r="T74" s="572"/>
    </row>
    <row r="75" spans="1:20" ht="19.5">
      <c r="A75" s="520"/>
      <c r="B75" s="498" t="s">
        <v>469</v>
      </c>
      <c r="C75" s="512" t="s">
        <v>420</v>
      </c>
      <c r="D75" s="521" t="s">
        <v>470</v>
      </c>
      <c r="E75" s="521"/>
      <c r="F75" s="561"/>
      <c r="G75" s="522" t="s">
        <v>60</v>
      </c>
      <c r="H75" s="612">
        <v>1</v>
      </c>
      <c r="I75" s="523">
        <v>455000</v>
      </c>
      <c r="J75" s="523">
        <v>455000</v>
      </c>
      <c r="K75" s="524">
        <v>1</v>
      </c>
      <c r="L75" s="523">
        <v>0</v>
      </c>
      <c r="M75" s="523"/>
      <c r="N75" s="523"/>
      <c r="O75" s="523"/>
      <c r="P75" s="523"/>
      <c r="Q75" s="523"/>
      <c r="R75" s="523"/>
      <c r="S75" s="1663" t="s">
        <v>471</v>
      </c>
      <c r="T75" s="572"/>
    </row>
    <row r="76" spans="1:20" ht="19.5">
      <c r="A76" s="556"/>
      <c r="B76" s="498" t="s">
        <v>469</v>
      </c>
      <c r="C76" s="554" t="s">
        <v>420</v>
      </c>
      <c r="D76" s="548" t="s">
        <v>470</v>
      </c>
      <c r="E76" s="548"/>
      <c r="F76" s="562"/>
      <c r="G76" s="557" t="s">
        <v>30</v>
      </c>
      <c r="H76" s="596">
        <v>1</v>
      </c>
      <c r="I76" s="483">
        <v>465000</v>
      </c>
      <c r="J76" s="483">
        <v>465000</v>
      </c>
      <c r="K76" s="578">
        <v>1</v>
      </c>
      <c r="L76" s="483">
        <v>0</v>
      </c>
      <c r="M76" s="483"/>
      <c r="N76" s="483"/>
      <c r="O76" s="483"/>
      <c r="P76" s="483"/>
      <c r="Q76" s="483"/>
      <c r="R76" s="483"/>
      <c r="S76" s="1664"/>
      <c r="T76" s="572"/>
    </row>
    <row r="77" spans="1:20" ht="19.5">
      <c r="A77" s="556"/>
      <c r="B77" s="498" t="s">
        <v>469</v>
      </c>
      <c r="C77" s="554" t="s">
        <v>420</v>
      </c>
      <c r="D77" s="548" t="s">
        <v>470</v>
      </c>
      <c r="E77" s="548"/>
      <c r="F77" s="562"/>
      <c r="G77" s="557" t="s">
        <v>50</v>
      </c>
      <c r="H77" s="596">
        <v>1</v>
      </c>
      <c r="I77" s="483">
        <v>475000</v>
      </c>
      <c r="J77" s="483">
        <v>475000</v>
      </c>
      <c r="K77" s="578">
        <v>1</v>
      </c>
      <c r="L77" s="483">
        <v>0</v>
      </c>
      <c r="M77" s="483"/>
      <c r="N77" s="483"/>
      <c r="O77" s="483"/>
      <c r="P77" s="483"/>
      <c r="Q77" s="483"/>
      <c r="R77" s="483"/>
      <c r="S77" s="1664"/>
      <c r="T77" s="572"/>
    </row>
    <row r="78" spans="1:20" ht="19.5">
      <c r="A78" s="556"/>
      <c r="B78" s="498" t="s">
        <v>469</v>
      </c>
      <c r="C78" s="554" t="s">
        <v>420</v>
      </c>
      <c r="D78" s="548" t="s">
        <v>470</v>
      </c>
      <c r="E78" s="548"/>
      <c r="F78" s="562"/>
      <c r="G78" s="557" t="s">
        <v>45</v>
      </c>
      <c r="H78" s="596">
        <v>1</v>
      </c>
      <c r="I78" s="483">
        <v>485000</v>
      </c>
      <c r="J78" s="483">
        <v>485000</v>
      </c>
      <c r="K78" s="578">
        <v>1</v>
      </c>
      <c r="L78" s="483">
        <v>0</v>
      </c>
      <c r="M78" s="483"/>
      <c r="N78" s="483"/>
      <c r="O78" s="483"/>
      <c r="P78" s="483"/>
      <c r="Q78" s="483"/>
      <c r="R78" s="483"/>
      <c r="S78" s="1664"/>
      <c r="T78" s="572"/>
    </row>
    <row r="79" spans="1:20" ht="19.5">
      <c r="A79" s="556"/>
      <c r="B79" s="498" t="s">
        <v>469</v>
      </c>
      <c r="C79" s="554" t="s">
        <v>420</v>
      </c>
      <c r="D79" s="548" t="s">
        <v>470</v>
      </c>
      <c r="E79" s="548"/>
      <c r="F79" s="562"/>
      <c r="G79" s="557" t="s">
        <v>73</v>
      </c>
      <c r="H79" s="596">
        <v>1</v>
      </c>
      <c r="I79" s="483">
        <v>485000</v>
      </c>
      <c r="J79" s="483">
        <v>485000</v>
      </c>
      <c r="K79" s="578">
        <v>1</v>
      </c>
      <c r="L79" s="483">
        <v>0</v>
      </c>
      <c r="M79" s="483"/>
      <c r="N79" s="483"/>
      <c r="O79" s="483"/>
      <c r="P79" s="483"/>
      <c r="Q79" s="483"/>
      <c r="R79" s="483"/>
      <c r="S79" s="1664"/>
      <c r="T79" s="572"/>
    </row>
    <row r="80" spans="1:20" ht="19.5">
      <c r="A80" s="556"/>
      <c r="B80" s="498" t="s">
        <v>469</v>
      </c>
      <c r="C80" s="554" t="s">
        <v>420</v>
      </c>
      <c r="D80" s="548" t="s">
        <v>470</v>
      </c>
      <c r="E80" s="548"/>
      <c r="F80" s="562"/>
      <c r="G80" s="557" t="s">
        <v>74</v>
      </c>
      <c r="H80" s="596">
        <v>1</v>
      </c>
      <c r="I80" s="483">
        <v>550000</v>
      </c>
      <c r="J80" s="483">
        <v>550000</v>
      </c>
      <c r="K80" s="578">
        <v>1</v>
      </c>
      <c r="L80" s="483">
        <v>0</v>
      </c>
      <c r="M80" s="483"/>
      <c r="N80" s="483"/>
      <c r="O80" s="483"/>
      <c r="P80" s="483"/>
      <c r="Q80" s="483"/>
      <c r="R80" s="483"/>
      <c r="S80" s="1664"/>
      <c r="T80" s="572"/>
    </row>
    <row r="81" spans="1:19" ht="19.5">
      <c r="A81" s="532"/>
      <c r="B81" s="498" t="s">
        <v>469</v>
      </c>
      <c r="C81" s="546" t="s">
        <v>420</v>
      </c>
      <c r="D81" s="534" t="s">
        <v>470</v>
      </c>
      <c r="E81" s="534"/>
      <c r="F81" s="575"/>
      <c r="G81" s="535" t="s">
        <v>36</v>
      </c>
      <c r="H81" s="598">
        <v>2</v>
      </c>
      <c r="I81" s="488">
        <v>450000</v>
      </c>
      <c r="J81" s="488">
        <v>900000</v>
      </c>
      <c r="K81" s="536">
        <v>1</v>
      </c>
      <c r="L81" s="488">
        <v>0</v>
      </c>
      <c r="M81" s="488"/>
      <c r="N81" s="488"/>
      <c r="O81" s="488"/>
      <c r="P81" s="488"/>
      <c r="Q81" s="488"/>
      <c r="R81" s="488"/>
      <c r="S81" s="1713"/>
    </row>
    <row r="82" spans="1:19">
      <c r="A82" s="514">
        <v>34</v>
      </c>
      <c r="B82" s="497" t="s">
        <v>472</v>
      </c>
      <c r="C82" s="515" t="s">
        <v>27</v>
      </c>
      <c r="D82" s="516" t="s">
        <v>437</v>
      </c>
      <c r="E82" s="516" t="s">
        <v>473</v>
      </c>
      <c r="F82" s="566"/>
      <c r="G82" s="517" t="s">
        <v>60</v>
      </c>
      <c r="H82" s="613">
        <v>1</v>
      </c>
      <c r="I82" s="489">
        <v>455000</v>
      </c>
      <c r="J82" s="489">
        <v>455000</v>
      </c>
      <c r="K82" s="518">
        <v>0.2</v>
      </c>
      <c r="L82" s="489">
        <v>364000</v>
      </c>
      <c r="M82" s="489">
        <v>111</v>
      </c>
      <c r="N82" s="489">
        <v>364000</v>
      </c>
      <c r="O82" s="489"/>
      <c r="P82" s="489"/>
      <c r="Q82" s="489"/>
      <c r="R82" s="489"/>
      <c r="S82" s="519"/>
    </row>
    <row r="83" spans="1:19" ht="19.5">
      <c r="A83" s="568">
        <v>35</v>
      </c>
      <c r="B83" s="495" t="s">
        <v>474</v>
      </c>
      <c r="C83" s="579" t="s">
        <v>27</v>
      </c>
      <c r="D83" s="521" t="s">
        <v>475</v>
      </c>
      <c r="E83" s="547"/>
      <c r="F83" s="577"/>
      <c r="G83" s="569" t="s">
        <v>253</v>
      </c>
      <c r="H83" s="595">
        <v>24</v>
      </c>
      <c r="I83" s="486">
        <v>255000</v>
      </c>
      <c r="J83" s="486">
        <v>6120000</v>
      </c>
      <c r="K83" s="570">
        <v>0.41</v>
      </c>
      <c r="L83" s="486">
        <v>3610800.0000000005</v>
      </c>
      <c r="M83" s="486"/>
      <c r="N83" s="486"/>
      <c r="O83" s="486"/>
      <c r="P83" s="486"/>
      <c r="Q83" s="486">
        <v>131</v>
      </c>
      <c r="R83" s="486">
        <v>16708800.000000002</v>
      </c>
      <c r="S83" s="587"/>
    </row>
    <row r="84" spans="1:19" ht="19.5">
      <c r="A84" s="556"/>
      <c r="B84" s="490"/>
      <c r="C84" s="554" t="s">
        <v>27</v>
      </c>
      <c r="D84" s="548" t="s">
        <v>475</v>
      </c>
      <c r="E84" s="548"/>
      <c r="F84" s="562"/>
      <c r="G84" s="557" t="s">
        <v>60</v>
      </c>
      <c r="H84" s="596">
        <v>24</v>
      </c>
      <c r="I84" s="483">
        <v>455000</v>
      </c>
      <c r="J84" s="483">
        <v>10920000</v>
      </c>
      <c r="K84" s="570">
        <v>0.41</v>
      </c>
      <c r="L84" s="483">
        <v>6442800.0000000009</v>
      </c>
      <c r="M84" s="483"/>
      <c r="N84" s="483"/>
      <c r="O84" s="483"/>
      <c r="P84" s="483"/>
      <c r="Q84" s="483"/>
      <c r="R84" s="483"/>
      <c r="S84" s="573"/>
    </row>
    <row r="85" spans="1:19" ht="19.5">
      <c r="A85" s="556"/>
      <c r="B85" s="490"/>
      <c r="C85" s="554" t="s">
        <v>27</v>
      </c>
      <c r="D85" s="548" t="s">
        <v>475</v>
      </c>
      <c r="E85" s="548"/>
      <c r="F85" s="562"/>
      <c r="G85" s="557" t="s">
        <v>45</v>
      </c>
      <c r="H85" s="596">
        <v>12</v>
      </c>
      <c r="I85" s="483">
        <v>485000</v>
      </c>
      <c r="J85" s="483">
        <v>5820000</v>
      </c>
      <c r="K85" s="570">
        <v>0.41</v>
      </c>
      <c r="L85" s="483">
        <v>3433800.0000000005</v>
      </c>
      <c r="M85" s="483"/>
      <c r="N85" s="483"/>
      <c r="O85" s="483"/>
      <c r="P85" s="483"/>
      <c r="Q85" s="483"/>
      <c r="R85" s="483"/>
      <c r="S85" s="574"/>
    </row>
    <row r="86" spans="1:19" ht="19.5">
      <c r="A86" s="532"/>
      <c r="B86" s="496"/>
      <c r="C86" s="567" t="s">
        <v>27</v>
      </c>
      <c r="D86" s="547" t="s">
        <v>475</v>
      </c>
      <c r="E86" s="534"/>
      <c r="F86" s="575"/>
      <c r="G86" s="535" t="s">
        <v>46</v>
      </c>
      <c r="H86" s="598">
        <v>12</v>
      </c>
      <c r="I86" s="488">
        <v>455000</v>
      </c>
      <c r="J86" s="488">
        <v>5460000</v>
      </c>
      <c r="K86" s="536">
        <v>0.41</v>
      </c>
      <c r="L86" s="488">
        <v>3221400.0000000005</v>
      </c>
      <c r="M86" s="488"/>
      <c r="N86" s="488"/>
      <c r="O86" s="488"/>
      <c r="P86" s="488"/>
      <c r="Q86" s="488"/>
      <c r="R86" s="488"/>
      <c r="S86" s="537"/>
    </row>
    <row r="87" spans="1:19" ht="19.5">
      <c r="A87" s="563">
        <v>36</v>
      </c>
      <c r="B87" s="499" t="s">
        <v>476</v>
      </c>
      <c r="C87" s="579" t="s">
        <v>477</v>
      </c>
      <c r="D87" s="542" t="s">
        <v>478</v>
      </c>
      <c r="E87" s="542" t="s">
        <v>479</v>
      </c>
      <c r="F87" s="564"/>
      <c r="G87" s="565" t="s">
        <v>60</v>
      </c>
      <c r="H87" s="610">
        <v>12</v>
      </c>
      <c r="I87" s="487">
        <v>455000</v>
      </c>
      <c r="J87" s="487">
        <v>5460000</v>
      </c>
      <c r="K87" s="580">
        <v>0.38</v>
      </c>
      <c r="L87" s="487">
        <v>3385200</v>
      </c>
      <c r="M87" s="487"/>
      <c r="N87" s="487"/>
      <c r="O87" s="487"/>
      <c r="P87" s="487"/>
      <c r="Q87" s="487">
        <v>131</v>
      </c>
      <c r="R87" s="487">
        <v>21948000</v>
      </c>
      <c r="S87" s="587"/>
    </row>
    <row r="88" spans="1:19" ht="19.5">
      <c r="A88" s="526"/>
      <c r="B88" s="527" t="s">
        <v>476</v>
      </c>
      <c r="C88" s="554" t="s">
        <v>477</v>
      </c>
      <c r="D88" s="548" t="s">
        <v>478</v>
      </c>
      <c r="E88" s="548" t="s">
        <v>479</v>
      </c>
      <c r="F88" s="584"/>
      <c r="G88" s="528" t="s">
        <v>73</v>
      </c>
      <c r="H88" s="597">
        <v>12</v>
      </c>
      <c r="I88" s="529">
        <v>485000</v>
      </c>
      <c r="J88" s="529">
        <v>5820000</v>
      </c>
      <c r="K88" s="524">
        <v>0.38</v>
      </c>
      <c r="L88" s="529">
        <v>3608400</v>
      </c>
      <c r="M88" s="529"/>
      <c r="N88" s="529"/>
      <c r="O88" s="529"/>
      <c r="P88" s="529"/>
      <c r="Q88" s="529"/>
      <c r="R88" s="529"/>
      <c r="S88" s="531"/>
    </row>
    <row r="89" spans="1:19" ht="19.5">
      <c r="A89" s="556"/>
      <c r="B89" s="527" t="s">
        <v>476</v>
      </c>
      <c r="C89" s="554" t="s">
        <v>477</v>
      </c>
      <c r="D89" s="548" t="s">
        <v>478</v>
      </c>
      <c r="E89" s="548" t="s">
        <v>479</v>
      </c>
      <c r="F89" s="562"/>
      <c r="G89" s="557" t="s">
        <v>74</v>
      </c>
      <c r="H89" s="596">
        <v>24</v>
      </c>
      <c r="I89" s="483">
        <v>550000</v>
      </c>
      <c r="J89" s="483">
        <v>13200000</v>
      </c>
      <c r="K89" s="578">
        <v>0.38</v>
      </c>
      <c r="L89" s="529">
        <v>8184000</v>
      </c>
      <c r="M89" s="483"/>
      <c r="N89" s="483"/>
      <c r="O89" s="483"/>
      <c r="P89" s="483"/>
      <c r="Q89" s="483"/>
      <c r="R89" s="483"/>
      <c r="S89" s="573"/>
    </row>
    <row r="90" spans="1:19" ht="19.5">
      <c r="A90" s="556"/>
      <c r="B90" s="527" t="s">
        <v>476</v>
      </c>
      <c r="C90" s="554" t="s">
        <v>477</v>
      </c>
      <c r="D90" s="548" t="s">
        <v>478</v>
      </c>
      <c r="E90" s="548" t="s">
        <v>479</v>
      </c>
      <c r="F90" s="562"/>
      <c r="G90" s="557" t="s">
        <v>34</v>
      </c>
      <c r="H90" s="596">
        <v>12</v>
      </c>
      <c r="I90" s="483">
        <v>455000</v>
      </c>
      <c r="J90" s="483">
        <v>5460000</v>
      </c>
      <c r="K90" s="578">
        <v>0.38</v>
      </c>
      <c r="L90" s="529">
        <v>3385200</v>
      </c>
      <c r="M90" s="483"/>
      <c r="N90" s="483"/>
      <c r="O90" s="483"/>
      <c r="P90" s="483"/>
      <c r="Q90" s="483"/>
      <c r="R90" s="483"/>
      <c r="S90" s="573"/>
    </row>
    <row r="91" spans="1:19" ht="19.5">
      <c r="A91" s="532"/>
      <c r="B91" s="496" t="s">
        <v>476</v>
      </c>
      <c r="C91" s="567" t="s">
        <v>477</v>
      </c>
      <c r="D91" s="547" t="s">
        <v>478</v>
      </c>
      <c r="E91" s="547" t="s">
        <v>479</v>
      </c>
      <c r="F91" s="575"/>
      <c r="G91" s="535" t="s">
        <v>46</v>
      </c>
      <c r="H91" s="598">
        <v>12</v>
      </c>
      <c r="I91" s="488">
        <v>455000</v>
      </c>
      <c r="J91" s="488">
        <v>5460000</v>
      </c>
      <c r="K91" s="536">
        <v>0.38</v>
      </c>
      <c r="L91" s="488">
        <v>3385200</v>
      </c>
      <c r="M91" s="488"/>
      <c r="N91" s="488"/>
      <c r="O91" s="488"/>
      <c r="P91" s="488"/>
      <c r="Q91" s="488"/>
      <c r="R91" s="488"/>
      <c r="S91" s="537"/>
    </row>
    <row r="92" spans="1:19" ht="19.5">
      <c r="A92" s="568">
        <v>37</v>
      </c>
      <c r="B92" s="495" t="s">
        <v>476</v>
      </c>
      <c r="C92" s="579" t="s">
        <v>477</v>
      </c>
      <c r="D92" s="542" t="s">
        <v>478</v>
      </c>
      <c r="E92" s="542" t="s">
        <v>479</v>
      </c>
      <c r="F92" s="577"/>
      <c r="G92" s="569" t="s">
        <v>45</v>
      </c>
      <c r="H92" s="595">
        <v>12</v>
      </c>
      <c r="I92" s="486">
        <v>485000</v>
      </c>
      <c r="J92" s="486">
        <v>5820000</v>
      </c>
      <c r="K92" s="570">
        <v>0.38</v>
      </c>
      <c r="L92" s="523">
        <v>3608400</v>
      </c>
      <c r="M92" s="486"/>
      <c r="N92" s="486"/>
      <c r="O92" s="486"/>
      <c r="P92" s="486"/>
      <c r="Q92" s="486">
        <v>131</v>
      </c>
      <c r="R92" s="486">
        <v>6993600</v>
      </c>
      <c r="S92" s="571"/>
    </row>
    <row r="93" spans="1:19" ht="19.5">
      <c r="A93" s="532"/>
      <c r="B93" s="496" t="s">
        <v>476</v>
      </c>
      <c r="C93" s="546" t="s">
        <v>477</v>
      </c>
      <c r="D93" s="534" t="s">
        <v>478</v>
      </c>
      <c r="E93" s="534" t="s">
        <v>479</v>
      </c>
      <c r="F93" s="575"/>
      <c r="G93" s="535" t="s">
        <v>46</v>
      </c>
      <c r="H93" s="598">
        <v>12</v>
      </c>
      <c r="I93" s="488">
        <v>455000</v>
      </c>
      <c r="J93" s="488">
        <v>5460000</v>
      </c>
      <c r="K93" s="536">
        <v>0.38</v>
      </c>
      <c r="L93" s="488">
        <v>3385200</v>
      </c>
      <c r="M93" s="488"/>
      <c r="N93" s="488"/>
      <c r="O93" s="488"/>
      <c r="P93" s="488"/>
      <c r="Q93" s="488"/>
      <c r="R93" s="488"/>
      <c r="S93" s="537"/>
    </row>
    <row r="94" spans="1:19" ht="19.5">
      <c r="A94" s="568">
        <v>38</v>
      </c>
      <c r="B94" s="495" t="s">
        <v>476</v>
      </c>
      <c r="C94" s="579" t="s">
        <v>477</v>
      </c>
      <c r="D94" s="542" t="s">
        <v>478</v>
      </c>
      <c r="E94" s="542" t="s">
        <v>479</v>
      </c>
      <c r="F94" s="577"/>
      <c r="G94" s="569" t="s">
        <v>60</v>
      </c>
      <c r="H94" s="595">
        <v>24</v>
      </c>
      <c r="I94" s="486">
        <v>455000</v>
      </c>
      <c r="J94" s="486">
        <v>10920000</v>
      </c>
      <c r="K94" s="570">
        <v>0.38</v>
      </c>
      <c r="L94" s="486">
        <v>6770400</v>
      </c>
      <c r="M94" s="486"/>
      <c r="N94" s="486"/>
      <c r="O94" s="486"/>
      <c r="P94" s="486"/>
      <c r="Q94" s="486">
        <v>131</v>
      </c>
      <c r="R94" s="486">
        <v>34558800</v>
      </c>
      <c r="S94" s="1714" t="s">
        <v>422</v>
      </c>
    </row>
    <row r="95" spans="1:19" ht="19.5">
      <c r="A95" s="556"/>
      <c r="B95" s="495" t="s">
        <v>476</v>
      </c>
      <c r="C95" s="554" t="s">
        <v>477</v>
      </c>
      <c r="D95" s="548" t="s">
        <v>478</v>
      </c>
      <c r="E95" s="548" t="s">
        <v>479</v>
      </c>
      <c r="F95" s="562"/>
      <c r="G95" s="557" t="s">
        <v>30</v>
      </c>
      <c r="H95" s="596">
        <v>12</v>
      </c>
      <c r="I95" s="483">
        <v>465000</v>
      </c>
      <c r="J95" s="483">
        <v>5580000</v>
      </c>
      <c r="K95" s="578">
        <v>0.38</v>
      </c>
      <c r="L95" s="483">
        <v>3459600</v>
      </c>
      <c r="M95" s="483"/>
      <c r="N95" s="483"/>
      <c r="O95" s="483"/>
      <c r="P95" s="483"/>
      <c r="Q95" s="483"/>
      <c r="R95" s="483"/>
      <c r="S95" s="1715"/>
    </row>
    <row r="96" spans="1:19" ht="19.5">
      <c r="A96" s="556"/>
      <c r="B96" s="495" t="s">
        <v>476</v>
      </c>
      <c r="C96" s="554" t="s">
        <v>477</v>
      </c>
      <c r="D96" s="548" t="s">
        <v>478</v>
      </c>
      <c r="E96" s="548" t="s">
        <v>479</v>
      </c>
      <c r="F96" s="562"/>
      <c r="G96" s="557" t="s">
        <v>45</v>
      </c>
      <c r="H96" s="596">
        <v>12</v>
      </c>
      <c r="I96" s="483">
        <v>485000</v>
      </c>
      <c r="J96" s="483">
        <v>5820000</v>
      </c>
      <c r="K96" s="578">
        <v>0.38</v>
      </c>
      <c r="L96" s="483">
        <v>3608400</v>
      </c>
      <c r="M96" s="483"/>
      <c r="N96" s="483"/>
      <c r="O96" s="483"/>
      <c r="P96" s="483"/>
      <c r="Q96" s="483"/>
      <c r="R96" s="483"/>
      <c r="S96" s="1715"/>
    </row>
    <row r="97" spans="1:19" ht="19.5">
      <c r="A97" s="556"/>
      <c r="B97" s="495" t="s">
        <v>476</v>
      </c>
      <c r="C97" s="554" t="s">
        <v>477</v>
      </c>
      <c r="D97" s="548" t="s">
        <v>478</v>
      </c>
      <c r="E97" s="548" t="s">
        <v>479</v>
      </c>
      <c r="F97" s="562"/>
      <c r="G97" s="557" t="s">
        <v>36</v>
      </c>
      <c r="H97" s="596">
        <v>50</v>
      </c>
      <c r="I97" s="483">
        <v>450000</v>
      </c>
      <c r="J97" s="483">
        <v>22500000</v>
      </c>
      <c r="K97" s="578">
        <v>0.38</v>
      </c>
      <c r="L97" s="483">
        <v>13950000</v>
      </c>
      <c r="M97" s="483"/>
      <c r="N97" s="483"/>
      <c r="O97" s="483"/>
      <c r="P97" s="483"/>
      <c r="Q97" s="483"/>
      <c r="R97" s="483"/>
      <c r="S97" s="1715"/>
    </row>
    <row r="98" spans="1:19" ht="19.5">
      <c r="A98" s="556"/>
      <c r="B98" s="495" t="s">
        <v>476</v>
      </c>
      <c r="C98" s="554" t="s">
        <v>477</v>
      </c>
      <c r="D98" s="548" t="s">
        <v>478</v>
      </c>
      <c r="E98" s="548" t="s">
        <v>479</v>
      </c>
      <c r="F98" s="562"/>
      <c r="G98" s="557" t="s">
        <v>34</v>
      </c>
      <c r="H98" s="596">
        <v>12</v>
      </c>
      <c r="I98" s="483">
        <v>455000</v>
      </c>
      <c r="J98" s="483">
        <v>5460000</v>
      </c>
      <c r="K98" s="578">
        <v>0.38</v>
      </c>
      <c r="L98" s="483">
        <v>3385200</v>
      </c>
      <c r="M98" s="483"/>
      <c r="N98" s="483"/>
      <c r="O98" s="483"/>
      <c r="P98" s="483"/>
      <c r="Q98" s="483"/>
      <c r="R98" s="483"/>
      <c r="S98" s="1715"/>
    </row>
    <row r="99" spans="1:19" ht="19.5">
      <c r="A99" s="532"/>
      <c r="B99" s="495" t="s">
        <v>476</v>
      </c>
      <c r="C99" s="567" t="s">
        <v>477</v>
      </c>
      <c r="D99" s="547" t="s">
        <v>478</v>
      </c>
      <c r="E99" s="547" t="s">
        <v>479</v>
      </c>
      <c r="F99" s="575"/>
      <c r="G99" s="535" t="s">
        <v>46</v>
      </c>
      <c r="H99" s="598">
        <v>12</v>
      </c>
      <c r="I99" s="488">
        <v>455000</v>
      </c>
      <c r="J99" s="488">
        <v>5460000</v>
      </c>
      <c r="K99" s="536">
        <v>0.38</v>
      </c>
      <c r="L99" s="488">
        <v>3385200</v>
      </c>
      <c r="M99" s="488"/>
      <c r="N99" s="488"/>
      <c r="O99" s="488"/>
      <c r="P99" s="488"/>
      <c r="Q99" s="488"/>
      <c r="R99" s="488"/>
      <c r="S99" s="1716"/>
    </row>
    <row r="100" spans="1:19">
      <c r="A100" s="514">
        <v>39</v>
      </c>
      <c r="B100" s="497" t="s">
        <v>476</v>
      </c>
      <c r="C100" s="515" t="s">
        <v>477</v>
      </c>
      <c r="D100" s="516" t="s">
        <v>86</v>
      </c>
      <c r="E100" s="516"/>
      <c r="F100" s="566"/>
      <c r="G100" s="517" t="s">
        <v>60</v>
      </c>
      <c r="H100" s="613">
        <v>12</v>
      </c>
      <c r="I100" s="489">
        <v>455000</v>
      </c>
      <c r="J100" s="489">
        <v>5460000</v>
      </c>
      <c r="K100" s="518">
        <v>0.41</v>
      </c>
      <c r="L100" s="489">
        <v>3221400.0000000005</v>
      </c>
      <c r="M100" s="489"/>
      <c r="N100" s="489"/>
      <c r="O100" s="489"/>
      <c r="P100" s="489"/>
      <c r="Q100" s="489">
        <v>131</v>
      </c>
      <c r="R100" s="489">
        <v>3221400.0000000005</v>
      </c>
      <c r="S100" s="549"/>
    </row>
    <row r="101" spans="1:19">
      <c r="A101" s="563">
        <v>40</v>
      </c>
      <c r="B101" s="499" t="s">
        <v>476</v>
      </c>
      <c r="C101" s="579" t="s">
        <v>449</v>
      </c>
      <c r="D101" s="542" t="s">
        <v>86</v>
      </c>
      <c r="E101" s="541"/>
      <c r="F101" s="564"/>
      <c r="G101" s="565" t="s">
        <v>30</v>
      </c>
      <c r="H101" s="610">
        <v>12</v>
      </c>
      <c r="I101" s="487">
        <v>465000</v>
      </c>
      <c r="J101" s="487">
        <v>5580000</v>
      </c>
      <c r="K101" s="580">
        <v>0.41</v>
      </c>
      <c r="L101" s="487">
        <v>3292200.0000000005</v>
      </c>
      <c r="M101" s="487"/>
      <c r="N101" s="487"/>
      <c r="O101" s="487"/>
      <c r="P101" s="487"/>
      <c r="Q101" s="487">
        <v>131</v>
      </c>
      <c r="R101" s="487">
        <v>6655200.0000000009</v>
      </c>
      <c r="S101" s="581"/>
    </row>
    <row r="102" spans="1:19">
      <c r="A102" s="532"/>
      <c r="B102" s="496"/>
      <c r="C102" s="546" t="s">
        <v>449</v>
      </c>
      <c r="D102" s="534" t="s">
        <v>86</v>
      </c>
      <c r="E102" s="534"/>
      <c r="F102" s="575"/>
      <c r="G102" s="535" t="s">
        <v>50</v>
      </c>
      <c r="H102" s="598">
        <v>12</v>
      </c>
      <c r="I102" s="488">
        <v>475000</v>
      </c>
      <c r="J102" s="488">
        <v>5700000</v>
      </c>
      <c r="K102" s="536">
        <v>0.41</v>
      </c>
      <c r="L102" s="488">
        <v>3363000.0000000005</v>
      </c>
      <c r="M102" s="488"/>
      <c r="N102" s="488"/>
      <c r="O102" s="488"/>
      <c r="P102" s="488"/>
      <c r="Q102" s="488"/>
      <c r="R102" s="488"/>
      <c r="S102" s="576"/>
    </row>
    <row r="103" spans="1:19">
      <c r="A103" s="555">
        <v>41</v>
      </c>
      <c r="B103" s="552" t="s">
        <v>476</v>
      </c>
      <c r="C103" s="513" t="s">
        <v>96</v>
      </c>
      <c r="D103" s="533" t="s">
        <v>480</v>
      </c>
      <c r="E103" s="533"/>
      <c r="F103" s="559"/>
      <c r="G103" s="560" t="s">
        <v>34</v>
      </c>
      <c r="H103" s="611">
        <v>1</v>
      </c>
      <c r="I103" s="582">
        <v>455000</v>
      </c>
      <c r="J103" s="582">
        <v>455000</v>
      </c>
      <c r="K103" s="586">
        <v>0.41</v>
      </c>
      <c r="L103" s="582">
        <v>268450.00000000006</v>
      </c>
      <c r="M103" s="582"/>
      <c r="N103" s="582"/>
      <c r="O103" s="582"/>
      <c r="P103" s="582"/>
      <c r="Q103" s="582">
        <v>131</v>
      </c>
      <c r="R103" s="607">
        <v>268450.00000000006</v>
      </c>
      <c r="S103" s="594"/>
    </row>
    <row r="104" spans="1:19">
      <c r="A104" s="514">
        <v>42</v>
      </c>
      <c r="B104" s="497" t="s">
        <v>481</v>
      </c>
      <c r="C104" s="515" t="s">
        <v>27</v>
      </c>
      <c r="D104" s="516" t="s">
        <v>482</v>
      </c>
      <c r="E104" s="516" t="s">
        <v>483</v>
      </c>
      <c r="F104" s="566"/>
      <c r="G104" s="517" t="s">
        <v>45</v>
      </c>
      <c r="H104" s="613">
        <v>1</v>
      </c>
      <c r="I104" s="489">
        <v>485000</v>
      </c>
      <c r="J104" s="489">
        <v>485000</v>
      </c>
      <c r="K104" s="518">
        <v>1</v>
      </c>
      <c r="L104" s="489">
        <v>0</v>
      </c>
      <c r="M104" s="489"/>
      <c r="N104" s="489"/>
      <c r="O104" s="489"/>
      <c r="P104" s="489"/>
      <c r="Q104" s="489"/>
      <c r="R104" s="489"/>
      <c r="S104" s="519"/>
    </row>
    <row r="105" spans="1:19">
      <c r="A105" s="514">
        <v>43</v>
      </c>
      <c r="B105" s="497" t="s">
        <v>481</v>
      </c>
      <c r="C105" s="515" t="s">
        <v>27</v>
      </c>
      <c r="D105" s="516" t="s">
        <v>195</v>
      </c>
      <c r="E105" s="516"/>
      <c r="F105" s="566"/>
      <c r="G105" s="517" t="s">
        <v>74</v>
      </c>
      <c r="H105" s="613">
        <v>1</v>
      </c>
      <c r="I105" s="489">
        <v>550000</v>
      </c>
      <c r="J105" s="489">
        <v>550000</v>
      </c>
      <c r="K105" s="518">
        <v>1</v>
      </c>
      <c r="L105" s="489">
        <v>0</v>
      </c>
      <c r="M105" s="489"/>
      <c r="N105" s="489"/>
      <c r="O105" s="489"/>
      <c r="P105" s="489"/>
      <c r="Q105" s="489"/>
      <c r="R105" s="489"/>
      <c r="S105" s="549"/>
    </row>
    <row r="106" spans="1:19" ht="19.5">
      <c r="A106" s="538">
        <v>44</v>
      </c>
      <c r="B106" s="539" t="s">
        <v>481</v>
      </c>
      <c r="C106" s="579" t="s">
        <v>27</v>
      </c>
      <c r="D106" s="542" t="s">
        <v>484</v>
      </c>
      <c r="E106" s="542" t="s">
        <v>485</v>
      </c>
      <c r="F106" s="588"/>
      <c r="G106" s="543" t="s">
        <v>50</v>
      </c>
      <c r="H106" s="617">
        <v>3</v>
      </c>
      <c r="I106" s="544">
        <v>475000</v>
      </c>
      <c r="J106" s="544">
        <v>1425000</v>
      </c>
      <c r="K106" s="545">
        <v>0.3</v>
      </c>
      <c r="L106" s="544">
        <v>997499.99999999988</v>
      </c>
      <c r="M106" s="544"/>
      <c r="N106" s="544"/>
      <c r="O106" s="544"/>
      <c r="P106" s="544"/>
      <c r="Q106" s="487">
        <v>131</v>
      </c>
      <c r="R106" s="487">
        <v>2695000</v>
      </c>
      <c r="S106" s="581"/>
    </row>
    <row r="107" spans="1:19" ht="19.5">
      <c r="A107" s="532"/>
      <c r="B107" s="496"/>
      <c r="C107" s="546" t="s">
        <v>27</v>
      </c>
      <c r="D107" s="534" t="s">
        <v>484</v>
      </c>
      <c r="E107" s="534" t="s">
        <v>485</v>
      </c>
      <c r="F107" s="575"/>
      <c r="G107" s="535" t="s">
        <v>45</v>
      </c>
      <c r="H107" s="598">
        <v>5</v>
      </c>
      <c r="I107" s="488">
        <v>485000</v>
      </c>
      <c r="J107" s="488">
        <v>2425000</v>
      </c>
      <c r="K107" s="536">
        <v>0.3</v>
      </c>
      <c r="L107" s="488">
        <v>1697500</v>
      </c>
      <c r="M107" s="488"/>
      <c r="N107" s="488"/>
      <c r="O107" s="488"/>
      <c r="P107" s="488"/>
      <c r="Q107" s="582"/>
      <c r="R107" s="582"/>
      <c r="S107" s="594"/>
    </row>
    <row r="108" spans="1:19">
      <c r="A108" s="514">
        <v>45</v>
      </c>
      <c r="B108" s="497" t="s">
        <v>481</v>
      </c>
      <c r="C108" s="515" t="s">
        <v>27</v>
      </c>
      <c r="D108" s="516" t="s">
        <v>437</v>
      </c>
      <c r="E108" s="516" t="s">
        <v>473</v>
      </c>
      <c r="F108" s="566"/>
      <c r="G108" s="517" t="s">
        <v>60</v>
      </c>
      <c r="H108" s="613">
        <v>1</v>
      </c>
      <c r="I108" s="489">
        <v>455000</v>
      </c>
      <c r="J108" s="489">
        <v>455000</v>
      </c>
      <c r="K108" s="518">
        <v>0.2</v>
      </c>
      <c r="L108" s="489">
        <v>364000</v>
      </c>
      <c r="M108" s="489">
        <v>111</v>
      </c>
      <c r="N108" s="489">
        <v>344000</v>
      </c>
      <c r="O108" s="489"/>
      <c r="P108" s="489"/>
      <c r="Q108" s="489">
        <v>131</v>
      </c>
      <c r="R108" s="489">
        <v>20000</v>
      </c>
      <c r="S108" s="519"/>
    </row>
    <row r="109" spans="1:19" ht="19.5">
      <c r="A109" s="538"/>
      <c r="B109" s="539" t="s">
        <v>486</v>
      </c>
      <c r="C109" s="579" t="s">
        <v>420</v>
      </c>
      <c r="D109" s="542" t="s">
        <v>470</v>
      </c>
      <c r="E109" s="542"/>
      <c r="F109" s="588"/>
      <c r="G109" s="543" t="s">
        <v>45</v>
      </c>
      <c r="H109" s="617">
        <v>3</v>
      </c>
      <c r="I109" s="544">
        <v>485000</v>
      </c>
      <c r="J109" s="544">
        <v>1455000</v>
      </c>
      <c r="K109" s="545">
        <v>1</v>
      </c>
      <c r="L109" s="544">
        <v>0</v>
      </c>
      <c r="M109" s="544"/>
      <c r="N109" s="544"/>
      <c r="O109" s="544"/>
      <c r="P109" s="544"/>
      <c r="Q109" s="544"/>
      <c r="R109" s="544"/>
      <c r="S109" s="1663" t="s">
        <v>487</v>
      </c>
    </row>
    <row r="110" spans="1:19">
      <c r="A110" s="532"/>
      <c r="B110" s="496" t="s">
        <v>486</v>
      </c>
      <c r="C110" s="546" t="s">
        <v>420</v>
      </c>
      <c r="D110" s="534"/>
      <c r="E110" s="534"/>
      <c r="F110" s="575"/>
      <c r="G110" s="535" t="s">
        <v>74</v>
      </c>
      <c r="H110" s="598">
        <v>5</v>
      </c>
      <c r="I110" s="488">
        <v>550000</v>
      </c>
      <c r="J110" s="488">
        <v>2750000</v>
      </c>
      <c r="K110" s="536">
        <v>1</v>
      </c>
      <c r="L110" s="488">
        <v>0</v>
      </c>
      <c r="M110" s="488"/>
      <c r="N110" s="488"/>
      <c r="O110" s="488"/>
      <c r="P110" s="488"/>
      <c r="Q110" s="488"/>
      <c r="R110" s="488"/>
      <c r="S110" s="1713"/>
    </row>
    <row r="111" spans="1:19" ht="19.5">
      <c r="A111" s="520"/>
      <c r="B111" s="498" t="s">
        <v>488</v>
      </c>
      <c r="C111" s="512" t="s">
        <v>489</v>
      </c>
      <c r="D111" s="521" t="s">
        <v>490</v>
      </c>
      <c r="E111" s="521"/>
      <c r="F111" s="561"/>
      <c r="G111" s="591" t="s">
        <v>60</v>
      </c>
      <c r="H111" s="614">
        <v>1</v>
      </c>
      <c r="I111" s="523">
        <v>455000</v>
      </c>
      <c r="J111" s="523">
        <v>455000</v>
      </c>
      <c r="K111" s="524">
        <v>1</v>
      </c>
      <c r="L111" s="523">
        <v>0</v>
      </c>
      <c r="M111" s="523"/>
      <c r="N111" s="523"/>
      <c r="O111" s="523"/>
      <c r="P111" s="523"/>
      <c r="Q111" s="523"/>
      <c r="R111" s="523"/>
      <c r="S111" s="608"/>
    </row>
    <row r="112" spans="1:19">
      <c r="A112" s="556"/>
      <c r="B112" s="498" t="s">
        <v>488</v>
      </c>
      <c r="C112" s="512" t="s">
        <v>489</v>
      </c>
      <c r="D112" s="548"/>
      <c r="E112" s="548"/>
      <c r="F112" s="562"/>
      <c r="G112" s="480" t="s">
        <v>30</v>
      </c>
      <c r="H112" s="615">
        <v>1</v>
      </c>
      <c r="I112" s="483">
        <v>465000</v>
      </c>
      <c r="J112" s="483">
        <v>465000</v>
      </c>
      <c r="K112" s="578">
        <v>1</v>
      </c>
      <c r="L112" s="483">
        <v>0</v>
      </c>
      <c r="M112" s="483"/>
      <c r="N112" s="483"/>
      <c r="O112" s="483"/>
      <c r="P112" s="483"/>
      <c r="Q112" s="483"/>
      <c r="R112" s="483"/>
      <c r="S112" s="609"/>
    </row>
    <row r="113" spans="1:19">
      <c r="A113" s="556"/>
      <c r="B113" s="498" t="s">
        <v>488</v>
      </c>
      <c r="C113" s="512" t="s">
        <v>489</v>
      </c>
      <c r="D113" s="548"/>
      <c r="E113" s="548"/>
      <c r="F113" s="562"/>
      <c r="G113" s="480" t="s">
        <v>50</v>
      </c>
      <c r="H113" s="615">
        <v>1</v>
      </c>
      <c r="I113" s="483">
        <v>475000</v>
      </c>
      <c r="J113" s="483">
        <v>475000</v>
      </c>
      <c r="K113" s="578">
        <v>1</v>
      </c>
      <c r="L113" s="483">
        <v>0</v>
      </c>
      <c r="M113" s="483"/>
      <c r="N113" s="483"/>
      <c r="O113" s="483"/>
      <c r="P113" s="483"/>
      <c r="Q113" s="483"/>
      <c r="R113" s="483"/>
      <c r="S113" s="609"/>
    </row>
    <row r="114" spans="1:19">
      <c r="A114" s="556"/>
      <c r="B114" s="498" t="s">
        <v>488</v>
      </c>
      <c r="C114" s="512" t="s">
        <v>489</v>
      </c>
      <c r="D114" s="548"/>
      <c r="E114" s="548"/>
      <c r="F114" s="562"/>
      <c r="G114" s="480" t="s">
        <v>45</v>
      </c>
      <c r="H114" s="615">
        <v>1</v>
      </c>
      <c r="I114" s="483">
        <v>485000</v>
      </c>
      <c r="J114" s="483">
        <v>485000</v>
      </c>
      <c r="K114" s="578">
        <v>1</v>
      </c>
      <c r="L114" s="483">
        <v>0</v>
      </c>
      <c r="M114" s="483"/>
      <c r="N114" s="483"/>
      <c r="O114" s="483"/>
      <c r="P114" s="483"/>
      <c r="Q114" s="483"/>
      <c r="R114" s="483"/>
      <c r="S114" s="609"/>
    </row>
    <row r="115" spans="1:19">
      <c r="A115" s="556"/>
      <c r="B115" s="498" t="s">
        <v>488</v>
      </c>
      <c r="C115" s="512" t="s">
        <v>489</v>
      </c>
      <c r="D115" s="548"/>
      <c r="E115" s="548"/>
      <c r="F115" s="562"/>
      <c r="G115" s="480" t="s">
        <v>73</v>
      </c>
      <c r="H115" s="615">
        <v>1</v>
      </c>
      <c r="I115" s="483">
        <v>485000</v>
      </c>
      <c r="J115" s="483">
        <v>485000</v>
      </c>
      <c r="K115" s="578">
        <v>1</v>
      </c>
      <c r="L115" s="483">
        <v>0</v>
      </c>
      <c r="M115" s="483"/>
      <c r="N115" s="483"/>
      <c r="O115" s="483"/>
      <c r="P115" s="483"/>
      <c r="Q115" s="483"/>
      <c r="R115" s="483"/>
      <c r="S115" s="609"/>
    </row>
    <row r="116" spans="1:19">
      <c r="A116" s="556"/>
      <c r="B116" s="498" t="s">
        <v>488</v>
      </c>
      <c r="C116" s="512" t="s">
        <v>489</v>
      </c>
      <c r="D116" s="548"/>
      <c r="E116" s="548"/>
      <c r="F116" s="562"/>
      <c r="G116" s="480" t="s">
        <v>74</v>
      </c>
      <c r="H116" s="615">
        <v>1</v>
      </c>
      <c r="I116" s="483">
        <v>550000</v>
      </c>
      <c r="J116" s="483">
        <v>550000</v>
      </c>
      <c r="K116" s="578">
        <v>1</v>
      </c>
      <c r="L116" s="483">
        <v>0</v>
      </c>
      <c r="M116" s="483"/>
      <c r="N116" s="483"/>
      <c r="O116" s="483"/>
      <c r="P116" s="483"/>
      <c r="Q116" s="483"/>
      <c r="R116" s="483"/>
      <c r="S116" s="609"/>
    </row>
    <row r="117" spans="1:19">
      <c r="A117" s="556"/>
      <c r="B117" s="498" t="s">
        <v>488</v>
      </c>
      <c r="C117" s="512" t="s">
        <v>489</v>
      </c>
      <c r="D117" s="548"/>
      <c r="E117" s="548"/>
      <c r="F117" s="562"/>
      <c r="G117" s="480" t="s">
        <v>36</v>
      </c>
      <c r="H117" s="615">
        <v>1</v>
      </c>
      <c r="I117" s="483">
        <v>450000</v>
      </c>
      <c r="J117" s="483">
        <v>450000</v>
      </c>
      <c r="K117" s="578">
        <v>1</v>
      </c>
      <c r="L117" s="483">
        <v>0</v>
      </c>
      <c r="M117" s="483"/>
      <c r="N117" s="483"/>
      <c r="O117" s="483"/>
      <c r="P117" s="483"/>
      <c r="Q117" s="483"/>
      <c r="R117" s="483"/>
      <c r="S117" s="609"/>
    </row>
    <row r="118" spans="1:19">
      <c r="A118" s="556"/>
      <c r="B118" s="498" t="s">
        <v>488</v>
      </c>
      <c r="C118" s="512" t="s">
        <v>489</v>
      </c>
      <c r="D118" s="548"/>
      <c r="E118" s="548"/>
      <c r="F118" s="562"/>
      <c r="G118" s="480" t="s">
        <v>34</v>
      </c>
      <c r="H118" s="615">
        <v>1</v>
      </c>
      <c r="I118" s="483">
        <v>455000</v>
      </c>
      <c r="J118" s="483">
        <v>455000</v>
      </c>
      <c r="K118" s="578">
        <v>1</v>
      </c>
      <c r="L118" s="483">
        <v>0</v>
      </c>
      <c r="M118" s="483"/>
      <c r="N118" s="483"/>
      <c r="O118" s="483"/>
      <c r="P118" s="483"/>
      <c r="Q118" s="483"/>
      <c r="R118" s="483"/>
      <c r="S118" s="609"/>
    </row>
    <row r="119" spans="1:19">
      <c r="A119" s="520"/>
      <c r="B119" s="498" t="s">
        <v>488</v>
      </c>
      <c r="C119" s="512" t="s">
        <v>489</v>
      </c>
      <c r="D119" s="521"/>
      <c r="E119" s="521"/>
      <c r="F119" s="561"/>
      <c r="G119" s="592" t="s">
        <v>46</v>
      </c>
      <c r="H119" s="616">
        <v>1</v>
      </c>
      <c r="I119" s="523">
        <v>455000</v>
      </c>
      <c r="J119" s="523">
        <v>455000</v>
      </c>
      <c r="K119" s="524">
        <v>1</v>
      </c>
      <c r="L119" s="523">
        <v>0</v>
      </c>
      <c r="M119" s="523"/>
      <c r="N119" s="523"/>
      <c r="O119" s="523"/>
      <c r="P119" s="523"/>
      <c r="Q119" s="523"/>
      <c r="R119" s="523"/>
      <c r="S119" s="608"/>
    </row>
    <row r="120" spans="1:19" ht="19.5">
      <c r="A120" s="563">
        <v>46</v>
      </c>
      <c r="B120" s="499" t="s">
        <v>488</v>
      </c>
      <c r="C120" s="540" t="s">
        <v>27</v>
      </c>
      <c r="D120" s="541" t="s">
        <v>491</v>
      </c>
      <c r="E120" s="541"/>
      <c r="F120" s="564"/>
      <c r="G120" s="565" t="s">
        <v>45</v>
      </c>
      <c r="H120" s="610">
        <v>1</v>
      </c>
      <c r="I120" s="487">
        <v>485000</v>
      </c>
      <c r="J120" s="487">
        <v>485000</v>
      </c>
      <c r="K120" s="580">
        <v>1</v>
      </c>
      <c r="L120" s="487">
        <v>0</v>
      </c>
      <c r="M120" s="487"/>
      <c r="N120" s="487"/>
      <c r="O120" s="487"/>
      <c r="P120" s="487"/>
      <c r="Q120" s="487"/>
      <c r="R120" s="487"/>
      <c r="S120" s="606"/>
    </row>
    <row r="121" spans="1:19">
      <c r="A121" s="532"/>
      <c r="B121" s="552" t="s">
        <v>488</v>
      </c>
      <c r="C121" s="513" t="s">
        <v>27</v>
      </c>
      <c r="D121" s="534"/>
      <c r="E121" s="534"/>
      <c r="F121" s="575"/>
      <c r="G121" s="535" t="s">
        <v>74</v>
      </c>
      <c r="H121" s="598">
        <v>1</v>
      </c>
      <c r="I121" s="488">
        <v>550000</v>
      </c>
      <c r="J121" s="488">
        <v>550000</v>
      </c>
      <c r="K121" s="586">
        <v>1</v>
      </c>
      <c r="L121" s="488">
        <v>0</v>
      </c>
      <c r="M121" s="488"/>
      <c r="N121" s="488"/>
      <c r="O121" s="488"/>
      <c r="P121" s="488"/>
      <c r="Q121" s="488"/>
      <c r="R121" s="488"/>
      <c r="S121" s="537"/>
    </row>
    <row r="122" spans="1:19">
      <c r="A122" s="568">
        <v>47</v>
      </c>
      <c r="B122" s="495" t="s">
        <v>492</v>
      </c>
      <c r="C122" s="567" t="s">
        <v>420</v>
      </c>
      <c r="D122" s="547" t="s">
        <v>493</v>
      </c>
      <c r="E122" s="547" t="s">
        <v>483</v>
      </c>
      <c r="F122" s="577"/>
      <c r="G122" s="569" t="s">
        <v>253</v>
      </c>
      <c r="H122" s="595">
        <v>48</v>
      </c>
      <c r="I122" s="486">
        <v>255000</v>
      </c>
      <c r="J122" s="486">
        <v>12240000</v>
      </c>
      <c r="K122" s="570">
        <v>0.38</v>
      </c>
      <c r="L122" s="486">
        <v>7588800</v>
      </c>
      <c r="M122" s="486"/>
      <c r="N122" s="486"/>
      <c r="O122" s="486"/>
      <c r="P122" s="486"/>
      <c r="Q122" s="486">
        <v>131</v>
      </c>
      <c r="R122" s="486">
        <v>59265800</v>
      </c>
      <c r="S122" s="1663" t="s">
        <v>494</v>
      </c>
    </row>
    <row r="123" spans="1:19">
      <c r="A123" s="526"/>
      <c r="B123" s="495"/>
      <c r="C123" s="567" t="s">
        <v>420</v>
      </c>
      <c r="D123" s="547" t="s">
        <v>493</v>
      </c>
      <c r="E123" s="547" t="s">
        <v>483</v>
      </c>
      <c r="F123" s="584"/>
      <c r="G123" s="528" t="s">
        <v>60</v>
      </c>
      <c r="H123" s="597">
        <v>2</v>
      </c>
      <c r="I123" s="529">
        <v>455000</v>
      </c>
      <c r="J123" s="523">
        <v>910000</v>
      </c>
      <c r="K123" s="524">
        <v>0.38</v>
      </c>
      <c r="L123" s="529">
        <v>564200</v>
      </c>
      <c r="M123" s="529"/>
      <c r="N123" s="529"/>
      <c r="O123" s="529"/>
      <c r="P123" s="529"/>
      <c r="Q123" s="529"/>
      <c r="R123" s="529"/>
      <c r="S123" s="1664"/>
    </row>
    <row r="124" spans="1:19">
      <c r="A124" s="556"/>
      <c r="B124" s="490"/>
      <c r="C124" s="567" t="s">
        <v>420</v>
      </c>
      <c r="D124" s="547" t="s">
        <v>493</v>
      </c>
      <c r="E124" s="547" t="s">
        <v>483</v>
      </c>
      <c r="F124" s="577"/>
      <c r="G124" s="569" t="s">
        <v>30</v>
      </c>
      <c r="H124" s="595">
        <v>24</v>
      </c>
      <c r="I124" s="486">
        <v>465000</v>
      </c>
      <c r="J124" s="486">
        <v>11160000</v>
      </c>
      <c r="K124" s="570">
        <v>0.38</v>
      </c>
      <c r="L124" s="486">
        <v>6919200</v>
      </c>
      <c r="M124" s="486"/>
      <c r="N124" s="486"/>
      <c r="O124" s="486"/>
      <c r="P124" s="486"/>
      <c r="Q124" s="486"/>
      <c r="R124" s="486"/>
      <c r="S124" s="1664"/>
    </row>
    <row r="125" spans="1:19">
      <c r="A125" s="556"/>
      <c r="B125" s="490"/>
      <c r="C125" s="567" t="s">
        <v>420</v>
      </c>
      <c r="D125" s="547" t="s">
        <v>493</v>
      </c>
      <c r="E125" s="547" t="s">
        <v>483</v>
      </c>
      <c r="F125" s="562"/>
      <c r="G125" s="557" t="s">
        <v>50</v>
      </c>
      <c r="H125" s="596">
        <v>24</v>
      </c>
      <c r="I125" s="483">
        <v>475000</v>
      </c>
      <c r="J125" s="483">
        <v>11400000</v>
      </c>
      <c r="K125" s="570">
        <v>0.38</v>
      </c>
      <c r="L125" s="483">
        <v>7068000</v>
      </c>
      <c r="M125" s="483"/>
      <c r="N125" s="483"/>
      <c r="O125" s="483"/>
      <c r="P125" s="483"/>
      <c r="Q125" s="483"/>
      <c r="R125" s="483"/>
      <c r="S125" s="1664"/>
    </row>
    <row r="126" spans="1:19">
      <c r="A126" s="556"/>
      <c r="B126" s="490"/>
      <c r="C126" s="567" t="s">
        <v>420</v>
      </c>
      <c r="D126" s="547" t="s">
        <v>493</v>
      </c>
      <c r="E126" s="547" t="s">
        <v>483</v>
      </c>
      <c r="F126" s="562"/>
      <c r="G126" s="557" t="s">
        <v>45</v>
      </c>
      <c r="H126" s="596">
        <v>24</v>
      </c>
      <c r="I126" s="483">
        <v>485000</v>
      </c>
      <c r="J126" s="483">
        <v>11640000</v>
      </c>
      <c r="K126" s="578">
        <v>0.38</v>
      </c>
      <c r="L126" s="483">
        <v>7216800</v>
      </c>
      <c r="M126" s="483"/>
      <c r="N126" s="483"/>
      <c r="O126" s="483"/>
      <c r="P126" s="483"/>
      <c r="Q126" s="483"/>
      <c r="R126" s="483"/>
      <c r="S126" s="1664"/>
    </row>
    <row r="127" spans="1:19">
      <c r="A127" s="568"/>
      <c r="B127" s="495"/>
      <c r="C127" s="567" t="s">
        <v>420</v>
      </c>
      <c r="D127" s="547" t="s">
        <v>493</v>
      </c>
      <c r="E127" s="547" t="s">
        <v>483</v>
      </c>
      <c r="F127" s="577"/>
      <c r="G127" s="569" t="s">
        <v>74</v>
      </c>
      <c r="H127" s="595">
        <v>48</v>
      </c>
      <c r="I127" s="486">
        <v>550000</v>
      </c>
      <c r="J127" s="486">
        <v>26400000</v>
      </c>
      <c r="K127" s="578">
        <v>0.38</v>
      </c>
      <c r="L127" s="486">
        <v>16368000</v>
      </c>
      <c r="M127" s="486"/>
      <c r="N127" s="486"/>
      <c r="O127" s="486"/>
      <c r="P127" s="486"/>
      <c r="Q127" s="486"/>
      <c r="R127" s="486"/>
      <c r="S127" s="1664"/>
    </row>
    <row r="128" spans="1:19">
      <c r="A128" s="526"/>
      <c r="B128" s="527"/>
      <c r="C128" s="567" t="s">
        <v>420</v>
      </c>
      <c r="D128" s="547" t="s">
        <v>493</v>
      </c>
      <c r="E128" s="547" t="s">
        <v>483</v>
      </c>
      <c r="F128" s="584"/>
      <c r="G128" s="528" t="s">
        <v>34</v>
      </c>
      <c r="H128" s="597">
        <v>24</v>
      </c>
      <c r="I128" s="529">
        <v>455000</v>
      </c>
      <c r="J128" s="529">
        <v>10920000</v>
      </c>
      <c r="K128" s="530">
        <v>0.38</v>
      </c>
      <c r="L128" s="529">
        <v>6770400</v>
      </c>
      <c r="M128" s="529"/>
      <c r="N128" s="529"/>
      <c r="O128" s="529"/>
      <c r="P128" s="529"/>
      <c r="Q128" s="529"/>
      <c r="R128" s="529"/>
      <c r="S128" s="1664"/>
    </row>
    <row r="129" spans="1:19">
      <c r="A129" s="532"/>
      <c r="B129" s="496"/>
      <c r="C129" s="546" t="s">
        <v>420</v>
      </c>
      <c r="D129" s="534" t="s">
        <v>493</v>
      </c>
      <c r="E129" s="534" t="s">
        <v>483</v>
      </c>
      <c r="F129" s="575"/>
      <c r="G129" s="535" t="s">
        <v>46</v>
      </c>
      <c r="H129" s="598">
        <v>24</v>
      </c>
      <c r="I129" s="488">
        <v>455000</v>
      </c>
      <c r="J129" s="488">
        <v>10920000</v>
      </c>
      <c r="K129" s="536">
        <v>0.38</v>
      </c>
      <c r="L129" s="488">
        <v>6770400</v>
      </c>
      <c r="M129" s="488"/>
      <c r="N129" s="488"/>
      <c r="O129" s="488"/>
      <c r="P129" s="488"/>
      <c r="Q129" s="488"/>
      <c r="R129" s="488"/>
      <c r="S129" s="1664"/>
    </row>
    <row r="130" spans="1:19">
      <c r="A130" s="514">
        <v>48</v>
      </c>
      <c r="B130" s="497" t="s">
        <v>492</v>
      </c>
      <c r="C130" s="515" t="s">
        <v>96</v>
      </c>
      <c r="D130" s="516" t="s">
        <v>86</v>
      </c>
      <c r="E130" s="516"/>
      <c r="F130" s="566"/>
      <c r="G130" s="517" t="s">
        <v>50</v>
      </c>
      <c r="H130" s="613">
        <v>2</v>
      </c>
      <c r="I130" s="489">
        <v>475000</v>
      </c>
      <c r="J130" s="489">
        <v>950000</v>
      </c>
      <c r="K130" s="518">
        <v>0.41</v>
      </c>
      <c r="L130" s="489">
        <v>560500.00000000012</v>
      </c>
      <c r="M130" s="489"/>
      <c r="N130" s="489"/>
      <c r="O130" s="489"/>
      <c r="P130" s="489"/>
      <c r="Q130" s="489">
        <v>131</v>
      </c>
      <c r="R130" s="489">
        <v>560500.00000000012</v>
      </c>
      <c r="S130" s="1713"/>
    </row>
    <row r="131" spans="1:19">
      <c r="A131" s="568">
        <v>49</v>
      </c>
      <c r="B131" s="495" t="s">
        <v>492</v>
      </c>
      <c r="C131" s="567" t="s">
        <v>420</v>
      </c>
      <c r="D131" s="547" t="s">
        <v>294</v>
      </c>
      <c r="E131" s="547"/>
      <c r="F131" s="577"/>
      <c r="G131" s="569" t="s">
        <v>253</v>
      </c>
      <c r="H131" s="595">
        <v>12</v>
      </c>
      <c r="I131" s="486">
        <v>255000</v>
      </c>
      <c r="J131" s="486">
        <v>3060000</v>
      </c>
      <c r="K131" s="570">
        <v>0.5</v>
      </c>
      <c r="L131" s="486">
        <v>1530000</v>
      </c>
      <c r="M131" s="486"/>
      <c r="N131" s="486"/>
      <c r="O131" s="486"/>
      <c r="P131" s="486"/>
      <c r="Q131" s="486">
        <v>131</v>
      </c>
      <c r="R131" s="486">
        <v>26460000</v>
      </c>
      <c r="S131" s="549"/>
    </row>
    <row r="132" spans="1:19">
      <c r="A132" s="556"/>
      <c r="B132" s="490" t="s">
        <v>492</v>
      </c>
      <c r="C132" s="567" t="s">
        <v>420</v>
      </c>
      <c r="D132" s="547" t="s">
        <v>294</v>
      </c>
      <c r="E132" s="548"/>
      <c r="F132" s="562"/>
      <c r="G132" s="557" t="s">
        <v>60</v>
      </c>
      <c r="H132" s="596">
        <v>12</v>
      </c>
      <c r="I132" s="483">
        <v>455000</v>
      </c>
      <c r="J132" s="483">
        <v>5460000</v>
      </c>
      <c r="K132" s="578">
        <v>0.5</v>
      </c>
      <c r="L132" s="483">
        <v>2730000</v>
      </c>
      <c r="M132" s="483"/>
      <c r="N132" s="483"/>
      <c r="O132" s="483"/>
      <c r="P132" s="483"/>
      <c r="Q132" s="483"/>
      <c r="R132" s="483"/>
      <c r="S132" s="571"/>
    </row>
    <row r="133" spans="1:19">
      <c r="A133" s="568"/>
      <c r="B133" s="490" t="s">
        <v>492</v>
      </c>
      <c r="C133" s="567" t="s">
        <v>420</v>
      </c>
      <c r="D133" s="547" t="s">
        <v>294</v>
      </c>
      <c r="E133" s="547"/>
      <c r="F133" s="577"/>
      <c r="G133" s="569" t="s">
        <v>42</v>
      </c>
      <c r="H133" s="595">
        <v>12</v>
      </c>
      <c r="I133" s="486">
        <v>265000</v>
      </c>
      <c r="J133" s="486">
        <v>3180000</v>
      </c>
      <c r="K133" s="570">
        <v>0.5</v>
      </c>
      <c r="L133" s="523">
        <v>1590000</v>
      </c>
      <c r="M133" s="486"/>
      <c r="N133" s="486"/>
      <c r="O133" s="486"/>
      <c r="P133" s="486"/>
      <c r="Q133" s="486"/>
      <c r="R133" s="486"/>
      <c r="S133" s="573"/>
    </row>
    <row r="134" spans="1:19">
      <c r="A134" s="556"/>
      <c r="B134" s="490" t="s">
        <v>492</v>
      </c>
      <c r="C134" s="567" t="s">
        <v>420</v>
      </c>
      <c r="D134" s="547" t="s">
        <v>294</v>
      </c>
      <c r="E134" s="548"/>
      <c r="F134" s="562"/>
      <c r="G134" s="557" t="s">
        <v>30</v>
      </c>
      <c r="H134" s="596">
        <v>12</v>
      </c>
      <c r="I134" s="483">
        <v>465000</v>
      </c>
      <c r="J134" s="483">
        <v>5580000</v>
      </c>
      <c r="K134" s="570">
        <v>0.5</v>
      </c>
      <c r="L134" s="529">
        <v>2790000</v>
      </c>
      <c r="M134" s="483"/>
      <c r="N134" s="483"/>
      <c r="O134" s="483"/>
      <c r="P134" s="483"/>
      <c r="Q134" s="483"/>
      <c r="R134" s="483"/>
      <c r="S134" s="571"/>
    </row>
    <row r="135" spans="1:19">
      <c r="A135" s="556"/>
      <c r="B135" s="490" t="s">
        <v>492</v>
      </c>
      <c r="C135" s="567" t="s">
        <v>420</v>
      </c>
      <c r="D135" s="547" t="s">
        <v>294</v>
      </c>
      <c r="E135" s="548"/>
      <c r="F135" s="562"/>
      <c r="G135" s="557" t="s">
        <v>50</v>
      </c>
      <c r="H135" s="596">
        <v>12</v>
      </c>
      <c r="I135" s="483">
        <v>475000</v>
      </c>
      <c r="J135" s="483">
        <v>5700000</v>
      </c>
      <c r="K135" s="570">
        <v>0.5</v>
      </c>
      <c r="L135" s="529">
        <v>2850000</v>
      </c>
      <c r="M135" s="483"/>
      <c r="N135" s="483"/>
      <c r="O135" s="483"/>
      <c r="P135" s="483"/>
      <c r="Q135" s="483"/>
      <c r="R135" s="483"/>
      <c r="S135" s="573"/>
    </row>
    <row r="136" spans="1:19">
      <c r="A136" s="556"/>
      <c r="B136" s="490" t="s">
        <v>492</v>
      </c>
      <c r="C136" s="567" t="s">
        <v>420</v>
      </c>
      <c r="D136" s="547" t="s">
        <v>294</v>
      </c>
      <c r="E136" s="548"/>
      <c r="F136" s="562"/>
      <c r="G136" s="557" t="s">
        <v>45</v>
      </c>
      <c r="H136" s="596">
        <v>12</v>
      </c>
      <c r="I136" s="483">
        <v>485000</v>
      </c>
      <c r="J136" s="483">
        <v>5820000</v>
      </c>
      <c r="K136" s="570">
        <v>0.5</v>
      </c>
      <c r="L136" s="529">
        <v>2910000</v>
      </c>
      <c r="M136" s="483"/>
      <c r="N136" s="483"/>
      <c r="O136" s="483"/>
      <c r="P136" s="483"/>
      <c r="Q136" s="483"/>
      <c r="R136" s="483"/>
      <c r="S136" s="573"/>
    </row>
    <row r="137" spans="1:19">
      <c r="A137" s="520"/>
      <c r="B137" s="490" t="s">
        <v>492</v>
      </c>
      <c r="C137" s="567" t="s">
        <v>420</v>
      </c>
      <c r="D137" s="547" t="s">
        <v>294</v>
      </c>
      <c r="E137" s="521"/>
      <c r="F137" s="561"/>
      <c r="G137" s="522" t="s">
        <v>74</v>
      </c>
      <c r="H137" s="612">
        <v>24</v>
      </c>
      <c r="I137" s="523">
        <v>550000</v>
      </c>
      <c r="J137" s="523">
        <v>13200000</v>
      </c>
      <c r="K137" s="524">
        <v>0.5</v>
      </c>
      <c r="L137" s="529">
        <v>6600000</v>
      </c>
      <c r="M137" s="523"/>
      <c r="N137" s="523"/>
      <c r="O137" s="523"/>
      <c r="P137" s="523"/>
      <c r="Q137" s="523"/>
      <c r="R137" s="523"/>
      <c r="S137" s="573"/>
    </row>
    <row r="138" spans="1:19">
      <c r="A138" s="556"/>
      <c r="B138" s="490" t="s">
        <v>492</v>
      </c>
      <c r="C138" s="567" t="s">
        <v>420</v>
      </c>
      <c r="D138" s="547" t="s">
        <v>294</v>
      </c>
      <c r="E138" s="548"/>
      <c r="F138" s="562"/>
      <c r="G138" s="557" t="s">
        <v>34</v>
      </c>
      <c r="H138" s="596">
        <v>12</v>
      </c>
      <c r="I138" s="483">
        <v>455000</v>
      </c>
      <c r="J138" s="483">
        <v>5460000</v>
      </c>
      <c r="K138" s="578">
        <v>0.5</v>
      </c>
      <c r="L138" s="483">
        <v>2730000</v>
      </c>
      <c r="M138" s="483"/>
      <c r="N138" s="483"/>
      <c r="O138" s="483"/>
      <c r="P138" s="483"/>
      <c r="Q138" s="483"/>
      <c r="R138" s="483"/>
      <c r="S138" s="525"/>
    </row>
    <row r="139" spans="1:19">
      <c r="A139" s="532"/>
      <c r="B139" s="496" t="s">
        <v>492</v>
      </c>
      <c r="C139" s="546" t="s">
        <v>420</v>
      </c>
      <c r="D139" s="534" t="s">
        <v>294</v>
      </c>
      <c r="E139" s="534"/>
      <c r="F139" s="575"/>
      <c r="G139" s="535" t="s">
        <v>46</v>
      </c>
      <c r="H139" s="598">
        <v>12</v>
      </c>
      <c r="I139" s="488">
        <v>455000</v>
      </c>
      <c r="J139" s="488">
        <v>5460000</v>
      </c>
      <c r="K139" s="586">
        <v>0.5</v>
      </c>
      <c r="L139" s="488">
        <v>2730000</v>
      </c>
      <c r="M139" s="488"/>
      <c r="N139" s="488"/>
      <c r="O139" s="488"/>
      <c r="P139" s="488"/>
      <c r="Q139" s="488"/>
      <c r="R139" s="488"/>
      <c r="S139" s="573"/>
    </row>
    <row r="140" spans="1:19">
      <c r="A140" s="555"/>
      <c r="B140" s="552" t="s">
        <v>495</v>
      </c>
      <c r="C140" s="513" t="s">
        <v>496</v>
      </c>
      <c r="D140" s="533" t="s">
        <v>497</v>
      </c>
      <c r="E140" s="533" t="s">
        <v>498</v>
      </c>
      <c r="F140" s="559"/>
      <c r="G140" s="560" t="s">
        <v>34</v>
      </c>
      <c r="H140" s="611">
        <v>1</v>
      </c>
      <c r="I140" s="582">
        <v>455000</v>
      </c>
      <c r="J140" s="582">
        <v>455000</v>
      </c>
      <c r="K140" s="586">
        <v>0.41</v>
      </c>
      <c r="L140" s="582">
        <v>268450.00000000006</v>
      </c>
      <c r="M140" s="582">
        <v>111</v>
      </c>
      <c r="N140" s="582">
        <v>268450.00000000006</v>
      </c>
      <c r="O140" s="582"/>
      <c r="P140" s="582"/>
      <c r="Q140" s="582"/>
      <c r="R140" s="582"/>
      <c r="S140" s="537"/>
    </row>
    <row r="141" spans="1:19">
      <c r="A141" s="514">
        <v>50</v>
      </c>
      <c r="B141" s="497" t="s">
        <v>499</v>
      </c>
      <c r="C141" s="515" t="s">
        <v>27</v>
      </c>
      <c r="D141" s="516" t="s">
        <v>500</v>
      </c>
      <c r="E141" s="516"/>
      <c r="F141" s="566"/>
      <c r="G141" s="517" t="s">
        <v>34</v>
      </c>
      <c r="H141" s="613">
        <v>1</v>
      </c>
      <c r="I141" s="489">
        <v>455000</v>
      </c>
      <c r="J141" s="489">
        <v>455000</v>
      </c>
      <c r="K141" s="518">
        <v>0.33</v>
      </c>
      <c r="L141" s="489">
        <v>304849.99999999994</v>
      </c>
      <c r="M141" s="489">
        <v>111</v>
      </c>
      <c r="N141" s="489">
        <v>305000</v>
      </c>
      <c r="O141" s="489"/>
      <c r="P141" s="489"/>
      <c r="Q141" s="489"/>
      <c r="R141" s="489"/>
      <c r="S141" s="585"/>
    </row>
    <row r="142" spans="1:19">
      <c r="A142" s="568">
        <v>51</v>
      </c>
      <c r="B142" s="495" t="s">
        <v>499</v>
      </c>
      <c r="C142" s="540" t="s">
        <v>27</v>
      </c>
      <c r="D142" s="541" t="s">
        <v>500</v>
      </c>
      <c r="E142" s="547"/>
      <c r="F142" s="577"/>
      <c r="G142" s="569" t="s">
        <v>74</v>
      </c>
      <c r="H142" s="595">
        <v>2</v>
      </c>
      <c r="I142" s="486">
        <v>550000</v>
      </c>
      <c r="J142" s="486">
        <v>1100000</v>
      </c>
      <c r="K142" s="580">
        <v>0.33</v>
      </c>
      <c r="L142" s="486">
        <v>736999.99999999988</v>
      </c>
      <c r="M142" s="486">
        <v>111</v>
      </c>
      <c r="N142" s="486">
        <v>800000</v>
      </c>
      <c r="O142" s="486"/>
      <c r="P142" s="486"/>
      <c r="Q142" s="486"/>
      <c r="R142" s="486"/>
      <c r="S142" s="519"/>
    </row>
    <row r="143" spans="1:19">
      <c r="A143" s="555"/>
      <c r="B143" s="552" t="s">
        <v>499</v>
      </c>
      <c r="C143" s="513" t="s">
        <v>27</v>
      </c>
      <c r="D143" s="533"/>
      <c r="E143" s="533"/>
      <c r="F143" s="559"/>
      <c r="G143" s="560" t="s">
        <v>74</v>
      </c>
      <c r="H143" s="611">
        <v>1</v>
      </c>
      <c r="I143" s="582">
        <v>550000</v>
      </c>
      <c r="J143" s="582">
        <v>550000</v>
      </c>
      <c r="K143" s="586">
        <v>1</v>
      </c>
      <c r="L143" s="582">
        <v>0</v>
      </c>
      <c r="M143" s="582"/>
      <c r="N143" s="582"/>
      <c r="O143" s="582"/>
      <c r="P143" s="582"/>
      <c r="Q143" s="582"/>
      <c r="R143" s="582"/>
      <c r="S143" s="1712" t="s">
        <v>501</v>
      </c>
    </row>
    <row r="144" spans="1:19">
      <c r="A144" s="563">
        <v>52</v>
      </c>
      <c r="B144" s="499" t="s">
        <v>499</v>
      </c>
      <c r="C144" s="540" t="s">
        <v>502</v>
      </c>
      <c r="D144" s="541" t="s">
        <v>86</v>
      </c>
      <c r="E144" s="541"/>
      <c r="F144" s="564"/>
      <c r="G144" s="565" t="s">
        <v>32</v>
      </c>
      <c r="H144" s="610">
        <v>1</v>
      </c>
      <c r="I144" s="487">
        <v>275000</v>
      </c>
      <c r="J144" s="487">
        <v>275000</v>
      </c>
      <c r="K144" s="580">
        <v>0.41</v>
      </c>
      <c r="L144" s="487">
        <v>162250.00000000003</v>
      </c>
      <c r="M144" s="487"/>
      <c r="N144" s="487"/>
      <c r="O144" s="487"/>
      <c r="P144" s="487"/>
      <c r="Q144" s="487">
        <v>131</v>
      </c>
      <c r="R144" s="487">
        <v>448400.00000000012</v>
      </c>
      <c r="S144" s="1669"/>
    </row>
    <row r="145" spans="1:20">
      <c r="A145" s="555"/>
      <c r="B145" s="552" t="s">
        <v>499</v>
      </c>
      <c r="C145" s="513" t="s">
        <v>502</v>
      </c>
      <c r="D145" s="533"/>
      <c r="E145" s="533"/>
      <c r="F145" s="559"/>
      <c r="G145" s="560" t="s">
        <v>45</v>
      </c>
      <c r="H145" s="611">
        <v>1</v>
      </c>
      <c r="I145" s="582">
        <v>485000</v>
      </c>
      <c r="J145" s="488">
        <v>485000</v>
      </c>
      <c r="K145" s="586">
        <v>0.41</v>
      </c>
      <c r="L145" s="582">
        <v>286150.00000000006</v>
      </c>
      <c r="M145" s="582"/>
      <c r="N145" s="582"/>
      <c r="O145" s="582"/>
      <c r="P145" s="582"/>
      <c r="Q145" s="582"/>
      <c r="R145" s="582"/>
      <c r="S145" s="581"/>
      <c r="T145" s="572"/>
    </row>
    <row r="146" spans="1:20" ht="19.5">
      <c r="A146" s="520">
        <v>53</v>
      </c>
      <c r="B146" s="498" t="s">
        <v>499</v>
      </c>
      <c r="C146" s="512" t="s">
        <v>27</v>
      </c>
      <c r="D146" s="521" t="s">
        <v>503</v>
      </c>
      <c r="E146" s="521"/>
      <c r="F146" s="561"/>
      <c r="G146" s="522" t="s">
        <v>50</v>
      </c>
      <c r="H146" s="612">
        <v>1</v>
      </c>
      <c r="I146" s="523">
        <v>455000</v>
      </c>
      <c r="J146" s="523">
        <v>455000</v>
      </c>
      <c r="K146" s="524">
        <v>1</v>
      </c>
      <c r="L146" s="523">
        <v>0</v>
      </c>
      <c r="M146" s="523"/>
      <c r="N146" s="523"/>
      <c r="O146" s="523"/>
      <c r="P146" s="523"/>
      <c r="Q146" s="523"/>
      <c r="R146" s="523"/>
      <c r="S146" s="585"/>
      <c r="T146" s="572"/>
    </row>
    <row r="147" spans="1:20" ht="28.5">
      <c r="A147" s="563">
        <v>54</v>
      </c>
      <c r="B147" s="499" t="s">
        <v>499</v>
      </c>
      <c r="C147" s="540" t="s">
        <v>27</v>
      </c>
      <c r="D147" s="541" t="s">
        <v>503</v>
      </c>
      <c r="E147" s="541"/>
      <c r="F147" s="564"/>
      <c r="G147" s="565" t="s">
        <v>30</v>
      </c>
      <c r="H147" s="610">
        <v>4</v>
      </c>
      <c r="I147" s="487">
        <v>465000</v>
      </c>
      <c r="J147" s="487">
        <v>1860000</v>
      </c>
      <c r="K147" s="580">
        <v>1</v>
      </c>
      <c r="L147" s="487">
        <v>0</v>
      </c>
      <c r="M147" s="487"/>
      <c r="N147" s="487"/>
      <c r="O147" s="487"/>
      <c r="P147" s="487"/>
      <c r="Q147" s="487"/>
      <c r="R147" s="487"/>
      <c r="S147" s="605" t="s">
        <v>504</v>
      </c>
      <c r="T147" s="572"/>
    </row>
    <row r="148" spans="1:20" ht="28.5">
      <c r="A148" s="555"/>
      <c r="B148" s="552" t="s">
        <v>499</v>
      </c>
      <c r="C148" s="513" t="s">
        <v>27</v>
      </c>
      <c r="D148" s="533" t="s">
        <v>503</v>
      </c>
      <c r="E148" s="533"/>
      <c r="F148" s="559"/>
      <c r="G148" s="560" t="s">
        <v>50</v>
      </c>
      <c r="H148" s="611">
        <v>8</v>
      </c>
      <c r="I148" s="582">
        <v>475000</v>
      </c>
      <c r="J148" s="486">
        <v>3800000</v>
      </c>
      <c r="K148" s="586">
        <v>1</v>
      </c>
      <c r="L148" s="582">
        <v>0</v>
      </c>
      <c r="M148" s="582"/>
      <c r="N148" s="582"/>
      <c r="O148" s="582"/>
      <c r="P148" s="582"/>
      <c r="Q148" s="582"/>
      <c r="R148" s="582"/>
      <c r="S148" s="606" t="s">
        <v>505</v>
      </c>
      <c r="T148" s="572"/>
    </row>
    <row r="149" spans="1:20" ht="19.5">
      <c r="A149" s="520">
        <v>55</v>
      </c>
      <c r="B149" s="498" t="s">
        <v>506</v>
      </c>
      <c r="C149" s="512" t="s">
        <v>420</v>
      </c>
      <c r="D149" s="521" t="s">
        <v>470</v>
      </c>
      <c r="E149" s="521"/>
      <c r="F149" s="561"/>
      <c r="G149" s="522" t="s">
        <v>60</v>
      </c>
      <c r="H149" s="612">
        <v>1</v>
      </c>
      <c r="I149" s="523">
        <v>455000</v>
      </c>
      <c r="J149" s="523">
        <v>455000</v>
      </c>
      <c r="K149" s="524">
        <v>1</v>
      </c>
      <c r="L149" s="523">
        <v>0</v>
      </c>
      <c r="M149" s="523"/>
      <c r="N149" s="523"/>
      <c r="O149" s="523"/>
      <c r="P149" s="523"/>
      <c r="Q149" s="523"/>
      <c r="R149" s="523"/>
      <c r="S149" s="594"/>
      <c r="T149" s="572"/>
    </row>
    <row r="150" spans="1:20" ht="28.5">
      <c r="A150" s="556"/>
      <c r="B150" s="490"/>
      <c r="C150" s="554"/>
      <c r="D150" s="548"/>
      <c r="E150" s="548"/>
      <c r="F150" s="562"/>
      <c r="G150" s="557" t="s">
        <v>30</v>
      </c>
      <c r="H150" s="596">
        <v>1</v>
      </c>
      <c r="I150" s="483">
        <v>465000</v>
      </c>
      <c r="J150" s="483">
        <v>465000</v>
      </c>
      <c r="K150" s="578">
        <v>1</v>
      </c>
      <c r="L150" s="483">
        <v>0</v>
      </c>
      <c r="M150" s="483"/>
      <c r="N150" s="483"/>
      <c r="O150" s="483"/>
      <c r="P150" s="483"/>
      <c r="Q150" s="483"/>
      <c r="R150" s="483"/>
      <c r="S150" s="605" t="s">
        <v>507</v>
      </c>
      <c r="T150" s="572"/>
    </row>
    <row r="151" spans="1:20">
      <c r="A151" s="556"/>
      <c r="B151" s="490"/>
      <c r="C151" s="554"/>
      <c r="D151" s="548"/>
      <c r="E151" s="548"/>
      <c r="F151" s="562"/>
      <c r="G151" s="557" t="s">
        <v>50</v>
      </c>
      <c r="H151" s="596">
        <v>1</v>
      </c>
      <c r="I151" s="483">
        <v>475000</v>
      </c>
      <c r="J151" s="483">
        <v>475000</v>
      </c>
      <c r="K151" s="578">
        <v>1</v>
      </c>
      <c r="L151" s="483">
        <v>0</v>
      </c>
      <c r="M151" s="483"/>
      <c r="N151" s="483"/>
      <c r="O151" s="483"/>
      <c r="P151" s="483"/>
      <c r="Q151" s="483"/>
      <c r="R151" s="483"/>
      <c r="S151" s="574"/>
      <c r="T151" s="572"/>
    </row>
    <row r="152" spans="1:20">
      <c r="A152" s="556"/>
      <c r="B152" s="490"/>
      <c r="C152" s="554"/>
      <c r="D152" s="548"/>
      <c r="E152" s="548"/>
      <c r="F152" s="562"/>
      <c r="G152" s="557" t="s">
        <v>45</v>
      </c>
      <c r="H152" s="596">
        <v>1</v>
      </c>
      <c r="I152" s="483">
        <v>485000</v>
      </c>
      <c r="J152" s="483">
        <v>485000</v>
      </c>
      <c r="K152" s="578">
        <v>1</v>
      </c>
      <c r="L152" s="483">
        <v>0</v>
      </c>
      <c r="M152" s="483"/>
      <c r="N152" s="483"/>
      <c r="O152" s="483"/>
      <c r="P152" s="483"/>
      <c r="Q152" s="483"/>
      <c r="R152" s="483"/>
      <c r="S152" s="574"/>
      <c r="T152" s="572"/>
    </row>
    <row r="153" spans="1:20">
      <c r="A153" s="556"/>
      <c r="B153" s="490"/>
      <c r="C153" s="554"/>
      <c r="D153" s="548"/>
      <c r="E153" s="548"/>
      <c r="F153" s="562"/>
      <c r="G153" s="557" t="s">
        <v>73</v>
      </c>
      <c r="H153" s="596">
        <v>1</v>
      </c>
      <c r="I153" s="483">
        <v>485000</v>
      </c>
      <c r="J153" s="483">
        <v>485000</v>
      </c>
      <c r="K153" s="578">
        <v>1</v>
      </c>
      <c r="L153" s="483">
        <v>0</v>
      </c>
      <c r="M153" s="483"/>
      <c r="N153" s="483"/>
      <c r="O153" s="483"/>
      <c r="P153" s="483"/>
      <c r="Q153" s="483"/>
      <c r="R153" s="483"/>
      <c r="S153" s="574"/>
      <c r="T153" s="572"/>
    </row>
    <row r="154" spans="1:20">
      <c r="A154" s="556"/>
      <c r="B154" s="490"/>
      <c r="C154" s="554"/>
      <c r="D154" s="548"/>
      <c r="E154" s="548"/>
      <c r="F154" s="562"/>
      <c r="G154" s="557" t="s">
        <v>74</v>
      </c>
      <c r="H154" s="596">
        <v>1</v>
      </c>
      <c r="I154" s="483">
        <v>550000</v>
      </c>
      <c r="J154" s="483">
        <v>550000</v>
      </c>
      <c r="K154" s="578">
        <v>1</v>
      </c>
      <c r="L154" s="483">
        <v>0</v>
      </c>
      <c r="M154" s="483"/>
      <c r="N154" s="483"/>
      <c r="O154" s="483"/>
      <c r="P154" s="483"/>
      <c r="Q154" s="483"/>
      <c r="R154" s="483"/>
      <c r="S154" s="574"/>
      <c r="T154" s="572"/>
    </row>
    <row r="155" spans="1:20">
      <c r="A155" s="556"/>
      <c r="B155" s="490"/>
      <c r="C155" s="554"/>
      <c r="D155" s="548"/>
      <c r="E155" s="548"/>
      <c r="F155" s="562"/>
      <c r="G155" s="557" t="s">
        <v>34</v>
      </c>
      <c r="H155" s="596">
        <v>1</v>
      </c>
      <c r="I155" s="483">
        <v>455000</v>
      </c>
      <c r="J155" s="483">
        <v>455000</v>
      </c>
      <c r="K155" s="578">
        <v>1</v>
      </c>
      <c r="L155" s="483">
        <v>0</v>
      </c>
      <c r="M155" s="483"/>
      <c r="N155" s="483"/>
      <c r="O155" s="483"/>
      <c r="P155" s="483"/>
      <c r="Q155" s="483"/>
      <c r="R155" s="483"/>
      <c r="S155" s="574"/>
      <c r="T155" s="572"/>
    </row>
    <row r="156" spans="1:20">
      <c r="A156" s="555"/>
      <c r="B156" s="552"/>
      <c r="C156" s="513"/>
      <c r="D156" s="533"/>
      <c r="E156" s="533"/>
      <c r="F156" s="559"/>
      <c r="G156" s="560" t="s">
        <v>46</v>
      </c>
      <c r="H156" s="611">
        <v>1</v>
      </c>
      <c r="I156" s="582">
        <v>455000</v>
      </c>
      <c r="J156" s="486">
        <v>455000</v>
      </c>
      <c r="K156" s="524">
        <v>1</v>
      </c>
      <c r="L156" s="523">
        <v>0</v>
      </c>
      <c r="M156" s="582"/>
      <c r="N156" s="582"/>
      <c r="O156" s="582"/>
      <c r="P156" s="582"/>
      <c r="Q156" s="582"/>
      <c r="R156" s="582"/>
      <c r="S156" s="574"/>
      <c r="T156" s="572"/>
    </row>
    <row r="157" spans="1:20">
      <c r="A157" s="1710" t="s">
        <v>105</v>
      </c>
      <c r="B157" s="1711"/>
      <c r="C157" s="1711"/>
      <c r="D157" s="1711"/>
      <c r="E157" s="1711"/>
      <c r="F157" s="1711"/>
      <c r="G157" s="1711"/>
      <c r="H157" s="484">
        <v>1319</v>
      </c>
      <c r="I157" s="590"/>
      <c r="J157" s="484">
        <v>606645000</v>
      </c>
      <c r="K157" s="590"/>
      <c r="L157" s="484">
        <v>355185950</v>
      </c>
      <c r="M157" s="484"/>
      <c r="N157" s="484">
        <v>3960600</v>
      </c>
      <c r="O157" s="484"/>
      <c r="P157" s="484">
        <v>1357500</v>
      </c>
      <c r="Q157" s="484"/>
      <c r="R157" s="484">
        <v>349931000</v>
      </c>
      <c r="S157" s="594"/>
      <c r="T157" s="572"/>
    </row>
    <row r="158" spans="1:20">
      <c r="A158" s="1708" t="s">
        <v>508</v>
      </c>
      <c r="B158" s="1709"/>
      <c r="C158" s="1709"/>
      <c r="D158" s="1709"/>
      <c r="E158" s="1709"/>
      <c r="F158" s="1709"/>
      <c r="G158" s="1709"/>
      <c r="H158" s="600">
        <v>1319</v>
      </c>
      <c r="I158" s="601"/>
      <c r="J158" s="600"/>
      <c r="K158" s="601"/>
      <c r="L158" s="600">
        <v>355185950</v>
      </c>
      <c r="M158" s="600"/>
      <c r="N158" s="600"/>
      <c r="O158" s="600"/>
      <c r="P158" s="600"/>
      <c r="Q158" s="600"/>
      <c r="R158" s="600"/>
      <c r="S158" s="485"/>
      <c r="T158" s="501"/>
    </row>
    <row r="159" spans="1:20">
      <c r="A159" s="1708" t="s">
        <v>509</v>
      </c>
      <c r="B159" s="1709"/>
      <c r="C159" s="1709"/>
      <c r="D159" s="1709"/>
      <c r="E159" s="1709"/>
      <c r="F159" s="1709"/>
      <c r="G159" s="1709"/>
      <c r="H159" s="600"/>
      <c r="I159" s="601"/>
      <c r="J159" s="601"/>
      <c r="K159" s="601"/>
      <c r="L159" s="600">
        <v>3960600</v>
      </c>
      <c r="M159" s="600"/>
      <c r="N159" s="600"/>
      <c r="O159" s="600"/>
      <c r="P159" s="600"/>
      <c r="Q159" s="600"/>
      <c r="R159" s="600"/>
      <c r="S159" s="602"/>
      <c r="T159" s="501"/>
    </row>
    <row r="160" spans="1:20">
      <c r="A160" s="1708" t="s">
        <v>510</v>
      </c>
      <c r="B160" s="1709"/>
      <c r="C160" s="1709"/>
      <c r="D160" s="1709"/>
      <c r="E160" s="1709"/>
      <c r="F160" s="1709"/>
      <c r="G160" s="1709"/>
      <c r="H160" s="600"/>
      <c r="I160" s="601"/>
      <c r="J160" s="601"/>
      <c r="K160" s="601"/>
      <c r="L160" s="600">
        <v>1357500</v>
      </c>
      <c r="M160" s="600"/>
      <c r="N160" s="600"/>
      <c r="O160" s="600"/>
      <c r="P160" s="600"/>
      <c r="Q160" s="600"/>
      <c r="R160" s="600"/>
      <c r="S160" s="602"/>
      <c r="T160" s="501"/>
    </row>
    <row r="161" spans="1:19">
      <c r="A161" s="1708" t="s">
        <v>511</v>
      </c>
      <c r="B161" s="1709"/>
      <c r="C161" s="1709"/>
      <c r="D161" s="1709"/>
      <c r="E161" s="1709"/>
      <c r="F161" s="1709"/>
      <c r="G161" s="1709"/>
      <c r="H161" s="600"/>
      <c r="I161" s="601"/>
      <c r="J161" s="601"/>
      <c r="K161" s="601"/>
      <c r="L161" s="600">
        <v>349931000</v>
      </c>
      <c r="M161" s="600"/>
      <c r="N161" s="600"/>
      <c r="O161" s="600"/>
      <c r="P161" s="600"/>
      <c r="Q161" s="600"/>
      <c r="R161" s="600"/>
      <c r="S161" s="602"/>
    </row>
    <row r="162" spans="1:19">
      <c r="A162" s="1703" t="s">
        <v>512</v>
      </c>
      <c r="B162" s="1704"/>
      <c r="C162" s="1704"/>
      <c r="D162" s="1704"/>
      <c r="E162" s="1704"/>
      <c r="F162" s="1704"/>
      <c r="G162" s="1705"/>
      <c r="H162" s="600"/>
      <c r="I162" s="601"/>
      <c r="J162" s="601"/>
      <c r="K162" s="601"/>
      <c r="L162" s="600">
        <v>-63150</v>
      </c>
      <c r="M162" s="600"/>
      <c r="N162" s="600"/>
      <c r="O162" s="600"/>
      <c r="P162" s="600"/>
      <c r="Q162" s="600"/>
      <c r="R162" s="600"/>
      <c r="S162" s="602"/>
    </row>
    <row r="163" spans="1:19">
      <c r="A163" s="1706" t="s">
        <v>310</v>
      </c>
      <c r="B163" s="1707"/>
      <c r="C163" s="1707"/>
      <c r="D163" s="1707"/>
      <c r="E163" s="1707"/>
      <c r="F163" s="1707"/>
      <c r="G163" s="1707"/>
      <c r="H163" s="482"/>
      <c r="I163" s="482"/>
      <c r="J163" s="482"/>
      <c r="K163" s="482"/>
      <c r="L163" s="603">
        <v>73437950</v>
      </c>
      <c r="M163" s="482"/>
      <c r="N163" s="482"/>
      <c r="O163" s="482"/>
      <c r="P163" s="482"/>
      <c r="Q163" s="482"/>
      <c r="R163" s="482"/>
      <c r="S163" s="602" t="s">
        <v>513</v>
      </c>
    </row>
    <row r="164" spans="1:19">
      <c r="A164" s="1706" t="s">
        <v>416</v>
      </c>
      <c r="B164" s="1707"/>
      <c r="C164" s="1707"/>
      <c r="D164" s="1707"/>
      <c r="E164" s="1707"/>
      <c r="F164" s="1707"/>
      <c r="G164" s="1707"/>
      <c r="H164" s="482"/>
      <c r="I164" s="482"/>
      <c r="J164" s="482"/>
      <c r="K164" s="482"/>
      <c r="L164" s="603">
        <v>178101150</v>
      </c>
      <c r="M164" s="482"/>
      <c r="N164" s="482"/>
      <c r="O164" s="482"/>
      <c r="P164" s="482"/>
      <c r="Q164" s="482"/>
      <c r="R164" s="482"/>
      <c r="S164" s="604"/>
    </row>
    <row r="165" spans="1:19">
      <c r="A165" s="1706" t="s">
        <v>514</v>
      </c>
      <c r="B165" s="1707"/>
      <c r="C165" s="1707"/>
      <c r="D165" s="1707"/>
      <c r="E165" s="1707"/>
      <c r="F165" s="1707"/>
      <c r="G165" s="1707"/>
      <c r="H165" s="482"/>
      <c r="I165" s="482"/>
      <c r="J165" s="482"/>
      <c r="K165" s="482"/>
      <c r="L165" s="603">
        <v>140345500</v>
      </c>
      <c r="M165" s="482"/>
      <c r="N165" s="482"/>
      <c r="O165" s="482"/>
      <c r="P165" s="482"/>
      <c r="Q165" s="482"/>
      <c r="R165" s="482"/>
      <c r="S165" s="604"/>
    </row>
    <row r="166" spans="1:19">
      <c r="A166" s="1706" t="s">
        <v>312</v>
      </c>
      <c r="B166" s="1707"/>
      <c r="C166" s="1707"/>
      <c r="D166" s="1707"/>
      <c r="E166" s="1707"/>
      <c r="F166" s="1707"/>
      <c r="G166" s="1707"/>
      <c r="H166" s="482"/>
      <c r="I166" s="482"/>
      <c r="J166" s="482"/>
      <c r="K166" s="482"/>
      <c r="L166" s="603">
        <v>823050</v>
      </c>
      <c r="M166" s="482"/>
      <c r="N166" s="482"/>
      <c r="O166" s="482"/>
      <c r="P166" s="482"/>
      <c r="Q166" s="482"/>
      <c r="R166" s="482"/>
      <c r="S166" s="604"/>
    </row>
    <row r="167" spans="1:19">
      <c r="A167" s="1706" t="s">
        <v>314</v>
      </c>
      <c r="B167" s="1707"/>
      <c r="C167" s="1707"/>
      <c r="D167" s="1707"/>
      <c r="E167" s="1707"/>
      <c r="F167" s="1707"/>
      <c r="G167" s="1707"/>
      <c r="H167" s="482"/>
      <c r="I167" s="482"/>
      <c r="J167" s="482"/>
      <c r="K167" s="482"/>
      <c r="L167" s="603">
        <v>2947050</v>
      </c>
      <c r="M167" s="482"/>
      <c r="N167" s="482"/>
      <c r="O167" s="482"/>
      <c r="P167" s="482"/>
      <c r="Q167" s="482"/>
      <c r="R167" s="482"/>
      <c r="S167" s="604"/>
    </row>
    <row r="168" spans="1:19">
      <c r="A168" s="1706" t="s">
        <v>515</v>
      </c>
      <c r="B168" s="1707"/>
      <c r="C168" s="1707"/>
      <c r="D168" s="1707"/>
      <c r="E168" s="1707"/>
      <c r="F168" s="1707"/>
      <c r="G168" s="1707"/>
      <c r="H168" s="482"/>
      <c r="I168" s="482"/>
      <c r="J168" s="482"/>
      <c r="K168" s="482"/>
      <c r="L168" s="603">
        <v>1663800</v>
      </c>
      <c r="M168" s="482"/>
      <c r="N168" s="482"/>
      <c r="O168" s="482"/>
      <c r="P168" s="482"/>
      <c r="Q168" s="482"/>
      <c r="R168" s="482"/>
      <c r="S168" s="604"/>
    </row>
    <row r="169" spans="1:19">
      <c r="A169" s="1706" t="s">
        <v>516</v>
      </c>
      <c r="B169" s="1707"/>
      <c r="C169" s="1707"/>
      <c r="D169" s="1707"/>
      <c r="E169" s="1707"/>
      <c r="F169" s="1707"/>
      <c r="G169" s="1707"/>
      <c r="H169" s="482"/>
      <c r="I169" s="482"/>
      <c r="J169" s="482"/>
      <c r="K169" s="482"/>
      <c r="L169" s="603">
        <v>448400</v>
      </c>
      <c r="M169" s="482"/>
      <c r="N169" s="482"/>
      <c r="O169" s="482"/>
      <c r="P169" s="482"/>
      <c r="Q169" s="482"/>
      <c r="R169" s="482"/>
      <c r="S169" s="604"/>
    </row>
    <row r="170" spans="1:19">
      <c r="A170" s="494"/>
      <c r="B170" s="500"/>
      <c r="C170" s="494"/>
      <c r="D170" s="509"/>
      <c r="E170" s="509"/>
      <c r="F170" s="509"/>
      <c r="G170" s="494"/>
      <c r="H170" s="494"/>
      <c r="I170" s="494"/>
      <c r="J170" s="494"/>
      <c r="K170" s="505"/>
      <c r="L170" s="494"/>
      <c r="M170" s="494"/>
      <c r="N170" s="494"/>
      <c r="O170" s="494"/>
      <c r="P170" s="494"/>
      <c r="Q170" s="494"/>
      <c r="R170" s="494"/>
      <c r="S170" s="604"/>
    </row>
    <row r="171" spans="1:19">
      <c r="A171" s="479"/>
      <c r="B171" s="479"/>
      <c r="C171" s="479"/>
      <c r="D171" s="479"/>
      <c r="E171" s="479"/>
      <c r="F171" s="479"/>
      <c r="G171" s="479"/>
      <c r="H171" s="479"/>
      <c r="I171" s="479"/>
      <c r="J171" s="479"/>
      <c r="K171" s="479"/>
      <c r="L171" s="553"/>
      <c r="M171" s="479"/>
      <c r="N171" s="479"/>
      <c r="O171" s="479"/>
      <c r="P171" s="479"/>
      <c r="Q171" s="479"/>
      <c r="R171" s="479"/>
      <c r="S171" s="479"/>
    </row>
    <row r="172" spans="1:19">
      <c r="A172" s="812"/>
      <c r="B172" s="812"/>
      <c r="C172" s="1652" t="s">
        <v>114</v>
      </c>
      <c r="D172" s="1652"/>
      <c r="E172" s="1652"/>
      <c r="F172" s="408"/>
      <c r="G172" s="329"/>
      <c r="H172" s="812"/>
      <c r="I172" s="329"/>
      <c r="J172" s="329"/>
      <c r="K172" s="408" t="s">
        <v>115</v>
      </c>
      <c r="L172" s="329"/>
      <c r="M172" s="329"/>
      <c r="N172" s="329"/>
      <c r="O172" s="329"/>
      <c r="P172" s="329"/>
      <c r="Q172" s="812"/>
      <c r="R172" s="329" t="s">
        <v>214</v>
      </c>
      <c r="S172" s="409"/>
    </row>
    <row r="173" spans="1:19">
      <c r="A173" s="479"/>
      <c r="B173" s="479"/>
      <c r="C173" s="479"/>
      <c r="D173" s="479"/>
      <c r="E173" s="479"/>
      <c r="F173" s="479"/>
      <c r="G173" s="479"/>
      <c r="H173" s="479"/>
      <c r="I173" s="479"/>
      <c r="J173" s="479"/>
      <c r="K173" s="479"/>
      <c r="L173" s="479"/>
      <c r="M173" s="479"/>
      <c r="N173" s="479"/>
      <c r="O173" s="479"/>
      <c r="P173" s="479"/>
      <c r="Q173" s="479"/>
      <c r="R173" s="479"/>
      <c r="S173" s="479"/>
    </row>
    <row r="174" spans="1:19">
      <c r="A174" s="479"/>
      <c r="B174" s="479"/>
      <c r="C174" s="479"/>
      <c r="D174" s="479"/>
      <c r="E174" s="479"/>
      <c r="F174" s="479"/>
      <c r="G174" s="479"/>
      <c r="H174" s="479"/>
      <c r="I174" s="479"/>
      <c r="J174" s="479"/>
      <c r="K174" s="479"/>
      <c r="L174" s="479"/>
      <c r="M174" s="479"/>
      <c r="N174" s="479"/>
      <c r="O174" s="479"/>
      <c r="P174" s="479"/>
      <c r="Q174" s="479"/>
      <c r="R174" s="479"/>
      <c r="S174" s="479"/>
    </row>
    <row r="175" spans="1:19">
      <c r="A175" s="479"/>
      <c r="B175" s="479"/>
      <c r="C175" s="479"/>
      <c r="D175" s="479"/>
      <c r="E175" s="479"/>
      <c r="F175" s="479"/>
      <c r="G175" s="479"/>
      <c r="H175" s="479"/>
      <c r="I175" s="479"/>
      <c r="J175" s="479"/>
      <c r="K175" s="479"/>
      <c r="L175" s="479"/>
      <c r="M175" s="479"/>
      <c r="N175" s="479"/>
      <c r="O175" s="479"/>
      <c r="P175" s="479"/>
      <c r="Q175" s="479"/>
      <c r="R175" s="479"/>
      <c r="S175" s="479"/>
    </row>
    <row r="176" spans="1:19">
      <c r="A176" s="479"/>
      <c r="B176" s="479"/>
      <c r="C176" s="479"/>
      <c r="D176" s="479"/>
      <c r="E176" s="479"/>
      <c r="F176" s="479"/>
      <c r="G176" s="479"/>
      <c r="H176" s="479"/>
      <c r="I176" s="479"/>
      <c r="J176" s="479"/>
      <c r="K176" s="479"/>
      <c r="L176" s="479"/>
      <c r="M176" s="479"/>
      <c r="N176" s="479"/>
      <c r="O176" s="479"/>
      <c r="P176" s="479"/>
      <c r="Q176" s="479"/>
      <c r="R176" s="479"/>
      <c r="S176" s="479"/>
    </row>
    <row r="177" spans="2:11">
      <c r="B177" s="479"/>
      <c r="C177" s="479"/>
      <c r="D177" s="494"/>
      <c r="E177" s="494"/>
      <c r="F177" s="494"/>
      <c r="G177" s="479"/>
      <c r="H177" s="479"/>
      <c r="I177" s="479"/>
      <c r="J177" s="479"/>
      <c r="K177" s="479"/>
    </row>
    <row r="178" spans="2:11">
      <c r="B178" s="479"/>
      <c r="C178" s="479"/>
      <c r="D178" s="494"/>
      <c r="E178" s="494"/>
      <c r="F178" s="494"/>
      <c r="G178" s="479"/>
      <c r="H178" s="479"/>
      <c r="I178" s="479"/>
      <c r="J178" s="479"/>
      <c r="K178" s="479"/>
    </row>
    <row r="179" spans="2:11">
      <c r="B179" s="494"/>
      <c r="C179" s="479"/>
      <c r="D179" s="494"/>
      <c r="E179" s="494"/>
      <c r="F179" s="494"/>
      <c r="G179" s="479"/>
      <c r="H179" s="479"/>
      <c r="I179" s="479"/>
      <c r="J179" s="479"/>
      <c r="K179" s="494"/>
    </row>
    <row r="180" spans="2:11">
      <c r="B180" s="494"/>
      <c r="C180" s="479"/>
      <c r="D180" s="494"/>
      <c r="E180" s="494"/>
      <c r="F180" s="494"/>
      <c r="G180" s="479"/>
      <c r="H180" s="479"/>
      <c r="I180" s="479"/>
      <c r="J180" s="479"/>
      <c r="K180" s="494"/>
    </row>
    <row r="181" spans="2:11">
      <c r="B181" s="494"/>
      <c r="C181" s="479"/>
      <c r="D181" s="494"/>
      <c r="E181" s="494"/>
      <c r="F181" s="494"/>
      <c r="G181" s="479"/>
      <c r="H181" s="479"/>
      <c r="I181" s="479"/>
      <c r="J181" s="479"/>
      <c r="K181" s="494"/>
    </row>
    <row r="182" spans="2:11">
      <c r="B182" s="494"/>
      <c r="C182" s="479"/>
      <c r="D182" s="494"/>
      <c r="E182" s="494"/>
      <c r="F182" s="494"/>
      <c r="G182" s="479"/>
      <c r="H182" s="479"/>
      <c r="I182" s="479"/>
      <c r="J182" s="479"/>
      <c r="K182" s="494"/>
    </row>
    <row r="183" spans="2:11">
      <c r="B183" s="494"/>
      <c r="C183" s="479"/>
      <c r="D183" s="494"/>
      <c r="E183" s="494"/>
      <c r="F183" s="494"/>
      <c r="G183" s="479"/>
      <c r="H183" s="479"/>
      <c r="I183" s="479"/>
      <c r="J183" s="479"/>
      <c r="K183" s="494"/>
    </row>
    <row r="184" spans="2:11">
      <c r="B184" s="494"/>
      <c r="C184" s="479"/>
      <c r="D184" s="494"/>
      <c r="E184" s="494"/>
      <c r="F184" s="494"/>
      <c r="G184" s="479"/>
      <c r="H184" s="479"/>
      <c r="I184" s="479"/>
      <c r="J184" s="479"/>
      <c r="K184" s="494"/>
    </row>
    <row r="185" spans="2:11">
      <c r="B185" s="494"/>
      <c r="C185" s="479"/>
      <c r="D185" s="494"/>
      <c r="E185" s="494"/>
      <c r="F185" s="494"/>
      <c r="G185" s="479"/>
      <c r="H185" s="479"/>
      <c r="I185" s="479"/>
      <c r="J185" s="479"/>
      <c r="K185" s="494"/>
    </row>
    <row r="186" spans="2:11">
      <c r="B186" s="494"/>
      <c r="C186" s="479"/>
      <c r="D186" s="494"/>
      <c r="E186" s="494"/>
      <c r="F186" s="494"/>
      <c r="G186" s="479"/>
      <c r="H186" s="479"/>
      <c r="I186" s="479"/>
      <c r="J186" s="479"/>
      <c r="K186" s="494"/>
    </row>
    <row r="187" spans="2:11">
      <c r="B187" s="494"/>
      <c r="C187" s="479"/>
      <c r="D187" s="494"/>
      <c r="E187" s="494"/>
      <c r="F187" s="494"/>
      <c r="G187" s="479"/>
      <c r="H187" s="479"/>
      <c r="I187" s="479"/>
      <c r="J187" s="479"/>
      <c r="K187" s="494"/>
    </row>
    <row r="188" spans="2:11">
      <c r="B188" s="494"/>
      <c r="C188" s="479"/>
      <c r="D188" s="494"/>
      <c r="E188" s="494"/>
      <c r="F188" s="494"/>
      <c r="G188" s="479"/>
      <c r="H188" s="479"/>
      <c r="I188" s="479"/>
      <c r="J188" s="479"/>
      <c r="K188" s="494"/>
    </row>
    <row r="189" spans="2:11">
      <c r="B189" s="494"/>
      <c r="C189" s="479"/>
      <c r="D189" s="494"/>
      <c r="E189" s="494"/>
      <c r="F189" s="494"/>
      <c r="G189" s="479"/>
      <c r="H189" s="479"/>
      <c r="I189" s="479"/>
      <c r="J189" s="479"/>
      <c r="K189" s="494"/>
    </row>
    <row r="190" spans="2:11">
      <c r="B190" s="494"/>
      <c r="C190" s="479"/>
      <c r="D190" s="494"/>
      <c r="E190" s="494"/>
      <c r="F190" s="494"/>
      <c r="G190" s="479"/>
      <c r="H190" s="479"/>
      <c r="I190" s="479"/>
      <c r="J190" s="479"/>
      <c r="K190" s="494"/>
    </row>
    <row r="191" spans="2:11">
      <c r="B191" s="494"/>
      <c r="C191" s="479"/>
      <c r="D191" s="494"/>
      <c r="E191" s="494"/>
      <c r="F191" s="494"/>
      <c r="G191" s="479"/>
      <c r="H191" s="479"/>
      <c r="I191" s="479"/>
      <c r="J191" s="479"/>
      <c r="K191" s="494"/>
    </row>
    <row r="192" spans="2:11">
      <c r="B192" s="494"/>
      <c r="C192" s="479"/>
      <c r="D192" s="494"/>
      <c r="E192" s="494"/>
      <c r="F192" s="494"/>
      <c r="G192" s="479"/>
      <c r="H192" s="479"/>
      <c r="I192" s="479"/>
      <c r="J192" s="479"/>
      <c r="K192" s="494"/>
    </row>
    <row r="193" spans="2:11">
      <c r="B193" s="494"/>
      <c r="C193" s="479"/>
      <c r="D193" s="494"/>
      <c r="E193" s="494"/>
      <c r="F193" s="494"/>
      <c r="G193" s="479"/>
      <c r="H193" s="479"/>
      <c r="I193" s="479"/>
      <c r="J193" s="479"/>
      <c r="K193" s="494"/>
    </row>
    <row r="194" spans="2:11">
      <c r="B194" s="494"/>
      <c r="C194" s="479"/>
      <c r="D194" s="494"/>
      <c r="E194" s="494"/>
      <c r="F194" s="494"/>
      <c r="G194" s="479"/>
      <c r="H194" s="479"/>
      <c r="I194" s="479"/>
      <c r="J194" s="479"/>
      <c r="K194" s="494"/>
    </row>
    <row r="195" spans="2:11">
      <c r="B195" s="494"/>
      <c r="C195" s="479"/>
      <c r="D195" s="494"/>
      <c r="E195" s="494"/>
      <c r="F195" s="494"/>
      <c r="G195" s="479"/>
      <c r="H195" s="479"/>
      <c r="I195" s="479"/>
      <c r="J195" s="479"/>
      <c r="K195" s="494"/>
    </row>
    <row r="196" spans="2:11">
      <c r="B196" s="494"/>
      <c r="C196" s="479"/>
      <c r="D196" s="494"/>
      <c r="E196" s="494"/>
      <c r="F196" s="494"/>
      <c r="G196" s="479"/>
      <c r="H196" s="479"/>
      <c r="I196" s="479"/>
      <c r="J196" s="479"/>
      <c r="K196" s="494"/>
    </row>
    <row r="197" spans="2:11">
      <c r="B197" s="494"/>
      <c r="C197" s="479"/>
      <c r="D197" s="494"/>
      <c r="E197" s="494"/>
      <c r="F197" s="494"/>
      <c r="G197" s="479"/>
      <c r="H197" s="479"/>
      <c r="I197" s="479"/>
      <c r="J197" s="479"/>
      <c r="K197" s="494"/>
    </row>
    <row r="198" spans="2:11">
      <c r="B198" s="494"/>
      <c r="C198" s="479"/>
      <c r="D198" s="494"/>
      <c r="E198" s="494"/>
      <c r="F198" s="494"/>
      <c r="G198" s="479"/>
      <c r="H198" s="479"/>
      <c r="I198" s="479"/>
      <c r="J198" s="479"/>
      <c r="K198" s="494"/>
    </row>
    <row r="199" spans="2:11">
      <c r="B199" s="494"/>
      <c r="C199" s="479"/>
      <c r="D199" s="494"/>
      <c r="E199" s="494"/>
      <c r="F199" s="494"/>
      <c r="G199" s="479"/>
      <c r="H199" s="479"/>
      <c r="I199" s="479"/>
      <c r="J199" s="479"/>
      <c r="K199" s="494"/>
    </row>
    <row r="200" spans="2:11">
      <c r="B200" s="494"/>
      <c r="C200" s="479"/>
      <c r="D200" s="494"/>
      <c r="E200" s="494"/>
      <c r="F200" s="494"/>
      <c r="G200" s="479"/>
      <c r="H200" s="479"/>
      <c r="I200" s="479"/>
      <c r="J200" s="479"/>
      <c r="K200" s="494"/>
    </row>
    <row r="201" spans="2:11">
      <c r="B201" s="494"/>
      <c r="C201" s="479"/>
      <c r="D201" s="494"/>
      <c r="E201" s="494"/>
      <c r="F201" s="494"/>
      <c r="G201" s="479"/>
      <c r="H201" s="479"/>
      <c r="I201" s="479"/>
      <c r="J201" s="479"/>
      <c r="K201" s="494"/>
    </row>
    <row r="202" spans="2:11">
      <c r="B202" s="494"/>
      <c r="C202" s="479"/>
      <c r="D202" s="494"/>
      <c r="E202" s="494"/>
      <c r="F202" s="494"/>
      <c r="G202" s="479"/>
      <c r="H202" s="479"/>
      <c r="I202" s="479"/>
      <c r="J202" s="479"/>
      <c r="K202" s="494"/>
    </row>
    <row r="203" spans="2:11">
      <c r="B203" s="494"/>
      <c r="C203" s="479"/>
      <c r="D203" s="494"/>
      <c r="E203" s="494"/>
      <c r="F203" s="494"/>
      <c r="G203" s="479"/>
      <c r="H203" s="479"/>
      <c r="I203" s="479"/>
      <c r="J203" s="479"/>
      <c r="K203" s="494"/>
    </row>
    <row r="204" spans="2:11">
      <c r="B204" s="494"/>
      <c r="C204" s="479"/>
      <c r="D204" s="494"/>
      <c r="E204" s="494"/>
      <c r="F204" s="494"/>
      <c r="G204" s="479"/>
      <c r="H204" s="479"/>
      <c r="I204" s="479"/>
      <c r="J204" s="479"/>
      <c r="K204" s="494"/>
    </row>
    <row r="205" spans="2:11">
      <c r="B205" s="494"/>
      <c r="C205" s="479"/>
      <c r="D205" s="494"/>
      <c r="E205" s="494"/>
      <c r="F205" s="494"/>
      <c r="G205" s="479"/>
      <c r="H205" s="479"/>
      <c r="I205" s="479"/>
      <c r="J205" s="479"/>
      <c r="K205" s="494"/>
    </row>
    <row r="206" spans="2:11">
      <c r="B206" s="494"/>
      <c r="C206" s="479"/>
      <c r="D206" s="494"/>
      <c r="E206" s="494"/>
      <c r="F206" s="494"/>
      <c r="G206" s="479"/>
      <c r="H206" s="479"/>
      <c r="I206" s="479"/>
      <c r="J206" s="479"/>
      <c r="K206" s="494"/>
    </row>
    <row r="207" spans="2:11">
      <c r="B207" s="494"/>
      <c r="C207" s="479"/>
      <c r="D207" s="494"/>
      <c r="E207" s="494"/>
      <c r="F207" s="494"/>
      <c r="G207" s="479"/>
      <c r="H207" s="479"/>
      <c r="I207" s="479"/>
      <c r="J207" s="479"/>
      <c r="K207" s="494"/>
    </row>
    <row r="208" spans="2:11">
      <c r="B208" s="494"/>
      <c r="C208" s="479"/>
      <c r="D208" s="494"/>
      <c r="E208" s="494"/>
      <c r="F208" s="494"/>
      <c r="G208" s="479"/>
      <c r="H208" s="479"/>
      <c r="I208" s="479"/>
      <c r="J208" s="479"/>
      <c r="K208" s="494"/>
    </row>
    <row r="209" spans="2:11">
      <c r="B209" s="494"/>
      <c r="C209" s="479"/>
      <c r="D209" s="494"/>
      <c r="E209" s="494"/>
      <c r="F209" s="494"/>
      <c r="G209" s="479"/>
      <c r="H209" s="479"/>
      <c r="I209" s="479"/>
      <c r="J209" s="479"/>
      <c r="K209" s="494"/>
    </row>
    <row r="210" spans="2:11">
      <c r="B210" s="494"/>
      <c r="C210" s="479"/>
      <c r="D210" s="494"/>
      <c r="E210" s="494"/>
      <c r="F210" s="494"/>
      <c r="G210" s="479"/>
      <c r="H210" s="479"/>
      <c r="I210" s="479"/>
      <c r="J210" s="479"/>
      <c r="K210" s="494"/>
    </row>
    <row r="211" spans="2:11">
      <c r="B211" s="494"/>
      <c r="C211" s="479"/>
      <c r="D211" s="494"/>
      <c r="E211" s="494"/>
      <c r="F211" s="494"/>
      <c r="G211" s="479"/>
      <c r="H211" s="479"/>
      <c r="I211" s="479"/>
      <c r="J211" s="479"/>
      <c r="K211" s="494"/>
    </row>
    <row r="212" spans="2:11">
      <c r="B212" s="494"/>
      <c r="C212" s="479"/>
      <c r="D212" s="494"/>
      <c r="E212" s="494"/>
      <c r="F212" s="494"/>
      <c r="G212" s="479"/>
      <c r="H212" s="479"/>
      <c r="I212" s="479"/>
      <c r="J212" s="479"/>
      <c r="K212" s="494"/>
    </row>
    <row r="213" spans="2:11">
      <c r="B213" s="494"/>
      <c r="C213" s="479"/>
      <c r="D213" s="494"/>
      <c r="E213" s="494"/>
      <c r="F213" s="494"/>
      <c r="G213" s="479"/>
      <c r="H213" s="479"/>
      <c r="I213" s="479"/>
      <c r="J213" s="479"/>
      <c r="K213" s="494"/>
    </row>
  </sheetData>
  <mergeCells count="32">
    <mergeCell ref="S143:S144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S75:S81"/>
    <mergeCell ref="S109:S110"/>
    <mergeCell ref="S122:S130"/>
    <mergeCell ref="S94:S99"/>
    <mergeCell ref="S8:S15"/>
    <mergeCell ref="J1:R1"/>
    <mergeCell ref="J2:R2"/>
    <mergeCell ref="C172:E172"/>
    <mergeCell ref="A162:G162"/>
    <mergeCell ref="A165:G165"/>
    <mergeCell ref="A169:G169"/>
    <mergeCell ref="A161:G161"/>
    <mergeCell ref="A163:G163"/>
    <mergeCell ref="A164:G164"/>
    <mergeCell ref="A166:G166"/>
    <mergeCell ref="A167:G167"/>
    <mergeCell ref="A168:G168"/>
    <mergeCell ref="A157:G157"/>
    <mergeCell ref="A158:G158"/>
    <mergeCell ref="A159:G159"/>
    <mergeCell ref="A160:G160"/>
  </mergeCells>
  <pageMargins left="0.7" right="0.7" top="0.75" bottom="0.75" header="0.3" footer="0.3"/>
  <pageSetup paperSize="9" scale="7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06"/>
  <sheetViews>
    <sheetView topLeftCell="A91" zoomScaleNormal="100" workbookViewId="0">
      <selection activeCell="I109" sqref="I109"/>
    </sheetView>
  </sheetViews>
  <sheetFormatPr defaultRowHeight="15"/>
  <cols>
    <col min="1" max="1" width="3.7109375" style="812" customWidth="1"/>
    <col min="2" max="2" width="8" style="812" customWidth="1"/>
    <col min="3" max="3" width="8.5703125" style="812" customWidth="1"/>
    <col min="4" max="4" width="10.28515625" style="812" customWidth="1"/>
    <col min="5" max="5" width="10.7109375" style="812" customWidth="1"/>
    <col min="6" max="6" width="5.85546875" style="812" customWidth="1"/>
    <col min="7" max="7" width="6.7109375" style="812" customWidth="1"/>
    <col min="8" max="8" width="5.140625" style="812" customWidth="1"/>
    <col min="9" max="9" width="11.5703125" style="812" bestFit="1" customWidth="1"/>
    <col min="10" max="10" width="14.28515625" style="812" bestFit="1" customWidth="1"/>
    <col min="11" max="11" width="6.140625" style="812" customWidth="1"/>
    <col min="12" max="12" width="14.42578125" style="812" bestFit="1" customWidth="1"/>
    <col min="13" max="13" width="4.5703125" style="812" customWidth="1"/>
    <col min="14" max="14" width="11" style="812" customWidth="1"/>
    <col min="15" max="15" width="5.42578125" style="812" customWidth="1"/>
    <col min="16" max="16" width="11.7109375" style="812" customWidth="1"/>
    <col min="17" max="17" width="7.42578125" style="812" customWidth="1"/>
    <col min="18" max="18" width="10.5703125" style="812" customWidth="1"/>
    <col min="19" max="19" width="6.28515625" style="812" customWidth="1"/>
    <col min="20" max="16384" width="9.140625" style="812"/>
  </cols>
  <sheetData>
    <row r="1" spans="1:19" ht="16.5">
      <c r="A1" s="635" t="s">
        <v>0</v>
      </c>
      <c r="B1" s="645"/>
      <c r="C1" s="636"/>
      <c r="D1" s="637"/>
      <c r="E1" s="637"/>
      <c r="F1" s="637"/>
      <c r="G1" s="634"/>
      <c r="H1" s="634"/>
      <c r="I1" s="1082"/>
      <c r="J1" s="1082"/>
      <c r="K1" s="638"/>
      <c r="L1" s="1082"/>
      <c r="M1" s="1082"/>
      <c r="N1" s="1082"/>
      <c r="O1" s="636"/>
      <c r="P1" s="634"/>
      <c r="Q1" s="634"/>
      <c r="R1" s="1082" t="s">
        <v>1</v>
      </c>
      <c r="S1" s="1082"/>
    </row>
    <row r="2" spans="1:19" ht="15.75">
      <c r="A2" s="639" t="s">
        <v>2</v>
      </c>
      <c r="B2" s="646"/>
      <c r="C2" s="640"/>
      <c r="D2" s="641"/>
      <c r="E2" s="641"/>
      <c r="F2" s="641"/>
      <c r="G2" s="634"/>
      <c r="H2" s="634"/>
      <c r="I2" s="1078"/>
      <c r="J2" s="1078"/>
      <c r="K2" s="642"/>
      <c r="L2" s="1078"/>
      <c r="M2" s="1078"/>
      <c r="N2" s="1078"/>
      <c r="O2" s="640"/>
      <c r="P2" s="634"/>
      <c r="Q2" s="634"/>
      <c r="R2" s="1078" t="s">
        <v>3</v>
      </c>
      <c r="S2" s="1078"/>
    </row>
    <row r="3" spans="1:19" ht="20.25">
      <c r="A3" s="1661" t="s">
        <v>4</v>
      </c>
      <c r="B3" s="1661"/>
      <c r="C3" s="1661"/>
      <c r="D3" s="1661"/>
      <c r="E3" s="1661"/>
      <c r="F3" s="1661"/>
      <c r="G3" s="1661"/>
      <c r="H3" s="1661"/>
      <c r="I3" s="1661"/>
      <c r="J3" s="1661"/>
      <c r="K3" s="1662"/>
      <c r="L3" s="1661"/>
      <c r="M3" s="1661"/>
      <c r="N3" s="1661"/>
      <c r="O3" s="1661"/>
      <c r="P3" s="1661"/>
      <c r="Q3" s="1661"/>
      <c r="R3" s="1661"/>
      <c r="S3" s="1661"/>
    </row>
    <row r="4" spans="1:19" ht="15.75" thickBot="1">
      <c r="A4" s="1684" t="s">
        <v>517</v>
      </c>
      <c r="B4" s="1684"/>
      <c r="C4" s="1684"/>
      <c r="D4" s="1684"/>
      <c r="E4" s="1684"/>
      <c r="F4" s="1684"/>
      <c r="G4" s="1684"/>
      <c r="H4" s="1684"/>
      <c r="I4" s="1684"/>
      <c r="J4" s="1684"/>
      <c r="K4" s="1685"/>
      <c r="L4" s="1684"/>
      <c r="M4" s="1684"/>
      <c r="N4" s="1684"/>
      <c r="O4" s="1684"/>
      <c r="P4" s="1684"/>
      <c r="Q4" s="1684"/>
      <c r="R4" s="1684"/>
      <c r="S4" s="1684"/>
    </row>
    <row r="5" spans="1:19" ht="15.75" thickTop="1">
      <c r="A5" s="1672" t="s">
        <v>6</v>
      </c>
      <c r="B5" s="1686" t="s">
        <v>7</v>
      </c>
      <c r="C5" s="1674" t="s">
        <v>8</v>
      </c>
      <c r="D5" s="1674" t="s">
        <v>9</v>
      </c>
      <c r="E5" s="1674"/>
      <c r="F5" s="1674"/>
      <c r="G5" s="1690" t="s">
        <v>119</v>
      </c>
      <c r="H5" s="1690"/>
      <c r="I5" s="1690"/>
      <c r="J5" s="1690"/>
      <c r="K5" s="1691"/>
      <c r="L5" s="1634" t="s">
        <v>120</v>
      </c>
      <c r="M5" s="1690" t="s">
        <v>12</v>
      </c>
      <c r="N5" s="1690"/>
      <c r="O5" s="1690"/>
      <c r="P5" s="1690"/>
      <c r="Q5" s="1690"/>
      <c r="R5" s="1690"/>
      <c r="S5" s="1692" t="s">
        <v>13</v>
      </c>
    </row>
    <row r="6" spans="1:19" ht="45">
      <c r="A6" s="1673"/>
      <c r="B6" s="1687"/>
      <c r="C6" s="1675"/>
      <c r="D6" s="643" t="s">
        <v>14</v>
      </c>
      <c r="E6" s="1079" t="s">
        <v>15</v>
      </c>
      <c r="F6" s="1079" t="s">
        <v>16</v>
      </c>
      <c r="G6" s="1079" t="s">
        <v>17</v>
      </c>
      <c r="H6" s="1079" t="s">
        <v>18</v>
      </c>
      <c r="I6" s="1079" t="s">
        <v>19</v>
      </c>
      <c r="J6" s="1076" t="s">
        <v>20</v>
      </c>
      <c r="K6" s="644" t="s">
        <v>21</v>
      </c>
      <c r="L6" s="1635"/>
      <c r="M6" s="1079" t="s">
        <v>121</v>
      </c>
      <c r="N6" s="1079" t="s">
        <v>23</v>
      </c>
      <c r="O6" s="1079" t="s">
        <v>122</v>
      </c>
      <c r="P6" s="1079" t="s">
        <v>23</v>
      </c>
      <c r="Q6" s="1079" t="s">
        <v>25</v>
      </c>
      <c r="R6" s="1079" t="s">
        <v>23</v>
      </c>
      <c r="S6" s="1693"/>
    </row>
    <row r="7" spans="1:19" s="1182" customFormat="1" ht="21">
      <c r="A7" s="1170">
        <v>255</v>
      </c>
      <c r="B7" s="1171">
        <v>43508</v>
      </c>
      <c r="C7" s="1172" t="s">
        <v>124</v>
      </c>
      <c r="D7" s="1173"/>
      <c r="E7" s="1174" t="s">
        <v>518</v>
      </c>
      <c r="F7" s="1175"/>
      <c r="G7" s="1176" t="s">
        <v>34</v>
      </c>
      <c r="H7" s="1176">
        <v>3</v>
      </c>
      <c r="I7" s="1177">
        <v>455000</v>
      </c>
      <c r="J7" s="1178">
        <f t="shared" ref="J7:J100" si="0">H7*I7</f>
        <v>1365000</v>
      </c>
      <c r="K7" s="1179">
        <v>1</v>
      </c>
      <c r="L7" s="1178">
        <f>H7*I7*(1-K7)</f>
        <v>0</v>
      </c>
      <c r="M7" s="1175"/>
      <c r="N7" s="1175"/>
      <c r="O7" s="1175"/>
      <c r="P7" s="1180"/>
      <c r="Q7" s="1175"/>
      <c r="R7" s="1175"/>
      <c r="S7" s="1181" t="s">
        <v>519</v>
      </c>
    </row>
    <row r="8" spans="1:19" s="1182" customFormat="1">
      <c r="A8" s="1172">
        <v>260</v>
      </c>
      <c r="B8" s="1171">
        <v>43508</v>
      </c>
      <c r="C8" s="1172" t="s">
        <v>27</v>
      </c>
      <c r="D8" s="1183" t="s">
        <v>520</v>
      </c>
      <c r="E8" s="1174" t="s">
        <v>241</v>
      </c>
      <c r="F8" s="1172"/>
      <c r="G8" s="1176" t="s">
        <v>253</v>
      </c>
      <c r="H8" s="1176">
        <v>24</v>
      </c>
      <c r="I8" s="1177">
        <v>255000</v>
      </c>
      <c r="J8" s="1178">
        <f t="shared" si="0"/>
        <v>6120000</v>
      </c>
      <c r="K8" s="1179">
        <v>0.41</v>
      </c>
      <c r="L8" s="1178">
        <f>H8*I8*(1-K8)</f>
        <v>3610800.0000000005</v>
      </c>
      <c r="M8" s="1172"/>
      <c r="N8" s="1172"/>
      <c r="O8" s="1172"/>
      <c r="P8" s="1184"/>
      <c r="Q8" s="1172"/>
      <c r="R8" s="1185">
        <f>L8+L9+L10</f>
        <v>13345800.000000002</v>
      </c>
      <c r="S8" s="1172"/>
    </row>
    <row r="9" spans="1:19" s="1182" customFormat="1">
      <c r="A9" s="1172"/>
      <c r="B9" s="1171"/>
      <c r="C9" s="1172" t="s">
        <v>27</v>
      </c>
      <c r="D9" s="1183" t="s">
        <v>520</v>
      </c>
      <c r="E9" s="1174" t="s">
        <v>241</v>
      </c>
      <c r="F9" s="1172"/>
      <c r="G9" s="1176" t="s">
        <v>60</v>
      </c>
      <c r="H9" s="1176">
        <v>24</v>
      </c>
      <c r="I9" s="1177">
        <v>455000</v>
      </c>
      <c r="J9" s="1178">
        <f t="shared" si="0"/>
        <v>10920000</v>
      </c>
      <c r="K9" s="1179">
        <v>0.41</v>
      </c>
      <c r="L9" s="1178">
        <f t="shared" ref="L9:L95" si="1">H9*I9*(1-K9)</f>
        <v>6442800.0000000009</v>
      </c>
      <c r="M9" s="1172"/>
      <c r="N9" s="1172"/>
      <c r="O9" s="1172"/>
      <c r="P9" s="1184"/>
      <c r="Q9" s="1172"/>
      <c r="R9" s="1172"/>
      <c r="S9" s="1172"/>
    </row>
    <row r="10" spans="1:19" s="1182" customFormat="1">
      <c r="A10" s="1172"/>
      <c r="B10" s="1171"/>
      <c r="C10" s="1172" t="s">
        <v>27</v>
      </c>
      <c r="D10" s="1183" t="s">
        <v>520</v>
      </c>
      <c r="E10" s="1174" t="s">
        <v>241</v>
      </c>
      <c r="F10" s="1172"/>
      <c r="G10" s="1176" t="s">
        <v>30</v>
      </c>
      <c r="H10" s="1176">
        <v>12</v>
      </c>
      <c r="I10" s="1177">
        <v>465000</v>
      </c>
      <c r="J10" s="1178">
        <f t="shared" si="0"/>
        <v>5580000</v>
      </c>
      <c r="K10" s="1179">
        <v>0.41</v>
      </c>
      <c r="L10" s="1178">
        <f t="shared" si="1"/>
        <v>3292200.0000000005</v>
      </c>
      <c r="M10" s="1172"/>
      <c r="N10" s="1172"/>
      <c r="O10" s="1172"/>
      <c r="P10" s="1184"/>
      <c r="Q10" s="1172"/>
      <c r="R10" s="1172"/>
      <c r="S10" s="1172"/>
    </row>
    <row r="11" spans="1:19" s="1182" customFormat="1">
      <c r="A11" s="1172">
        <v>261</v>
      </c>
      <c r="B11" s="1171">
        <v>43536</v>
      </c>
      <c r="C11" s="1172" t="s">
        <v>27</v>
      </c>
      <c r="D11" s="1186" t="s">
        <v>437</v>
      </c>
      <c r="E11" s="1187" t="s">
        <v>473</v>
      </c>
      <c r="F11" s="1172"/>
      <c r="G11" s="1176" t="s">
        <v>60</v>
      </c>
      <c r="H11" s="1176">
        <v>1</v>
      </c>
      <c r="I11" s="1177">
        <v>455000</v>
      </c>
      <c r="J11" s="1178">
        <f>H11*I11</f>
        <v>455000</v>
      </c>
      <c r="K11" s="1188">
        <v>0.25</v>
      </c>
      <c r="L11" s="1178">
        <f t="shared" si="1"/>
        <v>341250</v>
      </c>
      <c r="M11" s="1185"/>
      <c r="N11" s="1185"/>
      <c r="O11" s="1172"/>
      <c r="P11" s="1184"/>
      <c r="Q11" s="1172"/>
      <c r="R11" s="1185">
        <f>L11</f>
        <v>341250</v>
      </c>
      <c r="S11" s="1172"/>
    </row>
    <row r="12" spans="1:19" s="1182" customFormat="1">
      <c r="A12" s="1172">
        <v>262</v>
      </c>
      <c r="B12" s="1171">
        <v>43536</v>
      </c>
      <c r="C12" s="1172" t="s">
        <v>27</v>
      </c>
      <c r="D12" s="1183" t="s">
        <v>521</v>
      </c>
      <c r="E12" s="1174" t="s">
        <v>66</v>
      </c>
      <c r="F12" s="1172"/>
      <c r="G12" s="1176" t="s">
        <v>74</v>
      </c>
      <c r="H12" s="1176">
        <v>5</v>
      </c>
      <c r="I12" s="1177">
        <v>550000</v>
      </c>
      <c r="J12" s="1178">
        <f t="shared" si="0"/>
        <v>2750000</v>
      </c>
      <c r="K12" s="1179">
        <v>1</v>
      </c>
      <c r="L12" s="1178">
        <f t="shared" si="1"/>
        <v>0</v>
      </c>
      <c r="M12" s="1172"/>
      <c r="N12" s="1172"/>
      <c r="O12" s="1172"/>
      <c r="P12" s="1184"/>
      <c r="Q12" s="1172"/>
      <c r="R12" s="1172"/>
      <c r="S12" s="1172" t="s">
        <v>522</v>
      </c>
    </row>
    <row r="13" spans="1:19" s="1182" customFormat="1" ht="21.75">
      <c r="A13" s="1172">
        <v>268</v>
      </c>
      <c r="B13" s="1171">
        <v>43567</v>
      </c>
      <c r="C13" s="1172" t="s">
        <v>27</v>
      </c>
      <c r="D13" s="1183" t="s">
        <v>523</v>
      </c>
      <c r="E13" s="1174"/>
      <c r="F13" s="1172"/>
      <c r="G13" s="1176" t="s">
        <v>34</v>
      </c>
      <c r="H13" s="1176">
        <v>1</v>
      </c>
      <c r="I13" s="1177">
        <v>455000</v>
      </c>
      <c r="J13" s="1178">
        <v>455000</v>
      </c>
      <c r="K13" s="1179">
        <v>0.41</v>
      </c>
      <c r="L13" s="1178">
        <f t="shared" si="1"/>
        <v>268450.00000000006</v>
      </c>
      <c r="M13" s="1172"/>
      <c r="N13" s="1185"/>
      <c r="O13" s="1172"/>
      <c r="P13" s="1184"/>
      <c r="Q13" s="1172"/>
      <c r="R13" s="1185">
        <f>L13</f>
        <v>268450.00000000006</v>
      </c>
      <c r="S13" s="1172"/>
    </row>
    <row r="14" spans="1:19" s="1182" customFormat="1">
      <c r="A14" s="1172">
        <v>265</v>
      </c>
      <c r="B14" s="1171">
        <v>43597</v>
      </c>
      <c r="C14" s="1172" t="s">
        <v>440</v>
      </c>
      <c r="D14" s="1183" t="s">
        <v>524</v>
      </c>
      <c r="E14" s="1174" t="s">
        <v>438</v>
      </c>
      <c r="F14" s="1172"/>
      <c r="G14" s="1176" t="s">
        <v>34</v>
      </c>
      <c r="H14" s="1176">
        <v>2</v>
      </c>
      <c r="I14" s="1177">
        <v>455000</v>
      </c>
      <c r="J14" s="1178">
        <f t="shared" si="0"/>
        <v>910000</v>
      </c>
      <c r="K14" s="1188">
        <v>0.41</v>
      </c>
      <c r="L14" s="1178">
        <f t="shared" si="1"/>
        <v>536900.00000000012</v>
      </c>
      <c r="M14" s="1172"/>
      <c r="N14" s="1185">
        <f>L14</f>
        <v>536900.00000000012</v>
      </c>
      <c r="O14" s="1172"/>
      <c r="P14" s="1184"/>
      <c r="Q14" s="1172"/>
      <c r="R14" s="1172"/>
      <c r="S14" s="1172"/>
    </row>
    <row r="15" spans="1:19" s="706" customFormat="1">
      <c r="A15" s="647">
        <v>264</v>
      </c>
      <c r="B15" s="665">
        <v>43628</v>
      </c>
      <c r="C15" s="647" t="s">
        <v>27</v>
      </c>
      <c r="D15" s="620" t="s">
        <v>525</v>
      </c>
      <c r="E15" s="626" t="s">
        <v>483</v>
      </c>
      <c r="F15" s="647"/>
      <c r="G15" s="648" t="s">
        <v>253</v>
      </c>
      <c r="H15" s="648">
        <v>24</v>
      </c>
      <c r="I15" s="621">
        <v>255000</v>
      </c>
      <c r="J15" s="627">
        <f t="shared" si="0"/>
        <v>6120000</v>
      </c>
      <c r="K15" s="624">
        <v>0.41</v>
      </c>
      <c r="L15" s="627">
        <f t="shared" si="1"/>
        <v>3610800.0000000005</v>
      </c>
      <c r="M15" s="647"/>
      <c r="N15" s="647"/>
      <c r="O15" s="647"/>
      <c r="P15" s="654"/>
      <c r="Q15" s="647"/>
      <c r="R15" s="625">
        <f>L15+L16+L17+L18+L19+L20+L21+L22+L23+L24</f>
        <v>35190550.000000007</v>
      </c>
      <c r="S15" s="647"/>
    </row>
    <row r="16" spans="1:19" s="706" customFormat="1">
      <c r="A16" s="647"/>
      <c r="B16" s="665"/>
      <c r="C16" s="647" t="s">
        <v>27</v>
      </c>
      <c r="D16" s="620" t="s">
        <v>525</v>
      </c>
      <c r="E16" s="626" t="s">
        <v>483</v>
      </c>
      <c r="F16" s="647"/>
      <c r="G16" s="648" t="s">
        <v>60</v>
      </c>
      <c r="H16" s="648">
        <v>12</v>
      </c>
      <c r="I16" s="621">
        <v>455000</v>
      </c>
      <c r="J16" s="627">
        <f t="shared" si="0"/>
        <v>5460000</v>
      </c>
      <c r="K16" s="624">
        <v>0.41</v>
      </c>
      <c r="L16" s="627">
        <f t="shared" si="1"/>
        <v>3221400.0000000005</v>
      </c>
      <c r="M16" s="647"/>
      <c r="N16" s="647"/>
      <c r="O16" s="647"/>
      <c r="P16" s="654"/>
      <c r="Q16" s="647"/>
      <c r="R16" s="647"/>
      <c r="S16" s="647"/>
    </row>
    <row r="17" spans="1:19" s="706" customFormat="1">
      <c r="A17" s="647"/>
      <c r="B17" s="665"/>
      <c r="C17" s="647" t="s">
        <v>27</v>
      </c>
      <c r="D17" s="620" t="s">
        <v>525</v>
      </c>
      <c r="E17" s="626" t="s">
        <v>483</v>
      </c>
      <c r="F17" s="647"/>
      <c r="G17" s="648" t="s">
        <v>42</v>
      </c>
      <c r="H17" s="648">
        <v>24</v>
      </c>
      <c r="I17" s="621">
        <v>265000</v>
      </c>
      <c r="J17" s="627">
        <f t="shared" si="0"/>
        <v>6360000</v>
      </c>
      <c r="K17" s="624">
        <v>0.41</v>
      </c>
      <c r="L17" s="627">
        <f t="shared" si="1"/>
        <v>3752400.0000000005</v>
      </c>
      <c r="M17" s="647"/>
      <c r="N17" s="647"/>
      <c r="O17" s="647"/>
      <c r="P17" s="654"/>
      <c r="Q17" s="647"/>
      <c r="R17" s="647"/>
      <c r="S17" s="647"/>
    </row>
    <row r="18" spans="1:19" s="706" customFormat="1">
      <c r="A18" s="647"/>
      <c r="B18" s="665"/>
      <c r="C18" s="647" t="s">
        <v>27</v>
      </c>
      <c r="D18" s="620" t="s">
        <v>525</v>
      </c>
      <c r="E18" s="626" t="s">
        <v>483</v>
      </c>
      <c r="F18" s="647"/>
      <c r="G18" s="648" t="s">
        <v>30</v>
      </c>
      <c r="H18" s="648">
        <v>12</v>
      </c>
      <c r="I18" s="621">
        <v>465000</v>
      </c>
      <c r="J18" s="627">
        <f t="shared" si="0"/>
        <v>5580000</v>
      </c>
      <c r="K18" s="624">
        <v>0.41</v>
      </c>
      <c r="L18" s="627">
        <f t="shared" si="1"/>
        <v>3292200.0000000005</v>
      </c>
      <c r="M18" s="647"/>
      <c r="N18" s="647"/>
      <c r="O18" s="647"/>
      <c r="P18" s="654"/>
      <c r="Q18" s="647"/>
      <c r="R18" s="647"/>
      <c r="S18" s="647"/>
    </row>
    <row r="19" spans="1:19" s="706" customFormat="1">
      <c r="A19" s="647"/>
      <c r="B19" s="665"/>
      <c r="C19" s="647" t="s">
        <v>27</v>
      </c>
      <c r="D19" s="620" t="s">
        <v>525</v>
      </c>
      <c r="E19" s="626" t="s">
        <v>483</v>
      </c>
      <c r="F19" s="647"/>
      <c r="G19" s="648" t="s">
        <v>50</v>
      </c>
      <c r="H19" s="648">
        <v>12</v>
      </c>
      <c r="I19" s="621">
        <v>475000</v>
      </c>
      <c r="J19" s="627">
        <f t="shared" si="0"/>
        <v>5700000</v>
      </c>
      <c r="K19" s="624">
        <v>0.41</v>
      </c>
      <c r="L19" s="627">
        <f t="shared" si="1"/>
        <v>3363000.0000000005</v>
      </c>
      <c r="M19" s="647"/>
      <c r="N19" s="647"/>
      <c r="O19" s="647"/>
      <c r="P19" s="654"/>
      <c r="Q19" s="647"/>
      <c r="R19" s="647"/>
      <c r="S19" s="647"/>
    </row>
    <row r="20" spans="1:19" s="706" customFormat="1">
      <c r="A20" s="647"/>
      <c r="B20" s="665"/>
      <c r="C20" s="647" t="s">
        <v>27</v>
      </c>
      <c r="D20" s="620" t="s">
        <v>525</v>
      </c>
      <c r="E20" s="626" t="s">
        <v>483</v>
      </c>
      <c r="F20" s="647"/>
      <c r="G20" s="648" t="s">
        <v>45</v>
      </c>
      <c r="H20" s="648">
        <v>12</v>
      </c>
      <c r="I20" s="621">
        <v>485000</v>
      </c>
      <c r="J20" s="627">
        <f t="shared" si="0"/>
        <v>5820000</v>
      </c>
      <c r="K20" s="624">
        <v>0.41</v>
      </c>
      <c r="L20" s="627">
        <f t="shared" si="1"/>
        <v>3433800.0000000005</v>
      </c>
      <c r="M20" s="647"/>
      <c r="N20" s="647"/>
      <c r="O20" s="647"/>
      <c r="P20" s="654"/>
      <c r="Q20" s="647"/>
      <c r="R20" s="647"/>
      <c r="S20" s="647"/>
    </row>
    <row r="21" spans="1:19" s="706" customFormat="1" ht="63">
      <c r="A21" s="647"/>
      <c r="B21" s="665"/>
      <c r="C21" s="647" t="s">
        <v>27</v>
      </c>
      <c r="D21" s="620" t="s">
        <v>525</v>
      </c>
      <c r="E21" s="626" t="s">
        <v>483</v>
      </c>
      <c r="F21" s="647"/>
      <c r="G21" s="648" t="s">
        <v>73</v>
      </c>
      <c r="H21" s="648">
        <v>1</v>
      </c>
      <c r="I21" s="621">
        <v>485000</v>
      </c>
      <c r="J21" s="627">
        <f t="shared" si="0"/>
        <v>485000</v>
      </c>
      <c r="K21" s="624">
        <v>0.41</v>
      </c>
      <c r="L21" s="627">
        <f t="shared" si="1"/>
        <v>286150.00000000006</v>
      </c>
      <c r="M21" s="647"/>
      <c r="N21" s="647"/>
      <c r="O21" s="647"/>
      <c r="P21" s="654"/>
      <c r="Q21" s="647"/>
      <c r="R21" s="647"/>
      <c r="S21" s="1147" t="s">
        <v>1687</v>
      </c>
    </row>
    <row r="22" spans="1:19" s="706" customFormat="1">
      <c r="A22" s="647"/>
      <c r="B22" s="665"/>
      <c r="C22" s="647" t="s">
        <v>27</v>
      </c>
      <c r="D22" s="620" t="s">
        <v>525</v>
      </c>
      <c r="E22" s="626" t="s">
        <v>483</v>
      </c>
      <c r="F22" s="647"/>
      <c r="G22" s="648" t="s">
        <v>74</v>
      </c>
      <c r="H22" s="648">
        <v>24</v>
      </c>
      <c r="I22" s="621">
        <v>550000</v>
      </c>
      <c r="J22" s="627">
        <f t="shared" si="0"/>
        <v>13200000</v>
      </c>
      <c r="K22" s="624">
        <v>0.41</v>
      </c>
      <c r="L22" s="627">
        <f t="shared" si="1"/>
        <v>7788000.0000000009</v>
      </c>
      <c r="M22" s="647"/>
      <c r="N22" s="647"/>
      <c r="O22" s="647"/>
      <c r="P22" s="654"/>
      <c r="Q22" s="647"/>
      <c r="R22" s="647"/>
      <c r="S22" s="647"/>
    </row>
    <row r="23" spans="1:19" s="706" customFormat="1">
      <c r="A23" s="647"/>
      <c r="B23" s="665"/>
      <c r="C23" s="647" t="s">
        <v>27</v>
      </c>
      <c r="D23" s="620" t="s">
        <v>525</v>
      </c>
      <c r="E23" s="626" t="s">
        <v>483</v>
      </c>
      <c r="F23" s="647"/>
      <c r="G23" s="648" t="s">
        <v>34</v>
      </c>
      <c r="H23" s="648">
        <v>12</v>
      </c>
      <c r="I23" s="621">
        <v>455000</v>
      </c>
      <c r="J23" s="627">
        <f t="shared" si="0"/>
        <v>5460000</v>
      </c>
      <c r="K23" s="624">
        <v>0.41</v>
      </c>
      <c r="L23" s="627">
        <f t="shared" si="1"/>
        <v>3221400.0000000005</v>
      </c>
      <c r="M23" s="647"/>
      <c r="N23" s="647"/>
      <c r="O23" s="647"/>
      <c r="P23" s="654"/>
      <c r="Q23" s="647"/>
      <c r="R23" s="647"/>
      <c r="S23" s="647"/>
    </row>
    <row r="24" spans="1:19" s="706" customFormat="1">
      <c r="A24" s="647"/>
      <c r="B24" s="665"/>
      <c r="C24" s="647" t="s">
        <v>27</v>
      </c>
      <c r="D24" s="620" t="s">
        <v>525</v>
      </c>
      <c r="E24" s="626" t="s">
        <v>483</v>
      </c>
      <c r="F24" s="647"/>
      <c r="G24" s="648" t="s">
        <v>46</v>
      </c>
      <c r="H24" s="648">
        <v>12</v>
      </c>
      <c r="I24" s="621">
        <v>455000</v>
      </c>
      <c r="J24" s="627">
        <f t="shared" si="0"/>
        <v>5460000</v>
      </c>
      <c r="K24" s="624">
        <v>0.41</v>
      </c>
      <c r="L24" s="627">
        <f t="shared" si="1"/>
        <v>3221400.0000000005</v>
      </c>
      <c r="M24" s="647"/>
      <c r="N24" s="647"/>
      <c r="O24" s="647"/>
      <c r="P24" s="654"/>
      <c r="Q24" s="647"/>
      <c r="R24" s="647"/>
      <c r="S24" s="647"/>
    </row>
    <row r="25" spans="1:19" s="1182" customFormat="1">
      <c r="A25" s="1172">
        <v>266</v>
      </c>
      <c r="B25" s="1171">
        <v>43628</v>
      </c>
      <c r="C25" s="1172" t="s">
        <v>96</v>
      </c>
      <c r="D25" s="1187" t="s">
        <v>526</v>
      </c>
      <c r="E25" s="1174" t="s">
        <v>527</v>
      </c>
      <c r="F25" s="1172"/>
      <c r="G25" s="1176" t="s">
        <v>34</v>
      </c>
      <c r="H25" s="1176">
        <v>5</v>
      </c>
      <c r="I25" s="1177">
        <v>455000</v>
      </c>
      <c r="J25" s="1178">
        <f t="shared" si="0"/>
        <v>2275000</v>
      </c>
      <c r="K25" s="1179">
        <v>0.3</v>
      </c>
      <c r="L25" s="1178">
        <f t="shared" si="1"/>
        <v>1592500</v>
      </c>
      <c r="M25" s="1172"/>
      <c r="N25" s="1185">
        <f>L25</f>
        <v>1592500</v>
      </c>
      <c r="O25" s="1172"/>
      <c r="P25" s="1184"/>
      <c r="Q25" s="1172"/>
      <c r="R25" s="1172"/>
      <c r="S25" s="1172"/>
    </row>
    <row r="26" spans="1:19" s="1182" customFormat="1">
      <c r="A26" s="1172">
        <v>267</v>
      </c>
      <c r="B26" s="1171">
        <v>43628</v>
      </c>
      <c r="C26" s="1172" t="s">
        <v>27</v>
      </c>
      <c r="D26" s="1187" t="s">
        <v>528</v>
      </c>
      <c r="E26" s="1187" t="s">
        <v>529</v>
      </c>
      <c r="F26" s="1172"/>
      <c r="G26" s="1176" t="s">
        <v>50</v>
      </c>
      <c r="H26" s="1176">
        <v>1</v>
      </c>
      <c r="I26" s="1177">
        <v>475000</v>
      </c>
      <c r="J26" s="1178">
        <f t="shared" si="0"/>
        <v>475000</v>
      </c>
      <c r="K26" s="1176"/>
      <c r="L26" s="1178">
        <f t="shared" si="1"/>
        <v>475000</v>
      </c>
      <c r="M26" s="1172"/>
      <c r="N26" s="1172"/>
      <c r="O26" s="1172"/>
      <c r="P26" s="1184"/>
      <c r="Q26" s="1172"/>
      <c r="R26" s="1185">
        <f>L26+L27+L28</f>
        <v>1480000</v>
      </c>
      <c r="S26" s="1172"/>
    </row>
    <row r="27" spans="1:19" s="1182" customFormat="1">
      <c r="A27" s="1172"/>
      <c r="B27" s="1171"/>
      <c r="C27" s="1172" t="s">
        <v>27</v>
      </c>
      <c r="D27" s="1187" t="s">
        <v>528</v>
      </c>
      <c r="E27" s="1187" t="s">
        <v>529</v>
      </c>
      <c r="F27" s="1172"/>
      <c r="G27" s="1176" t="s">
        <v>74</v>
      </c>
      <c r="H27" s="1176">
        <v>1</v>
      </c>
      <c r="I27" s="1177">
        <v>550000</v>
      </c>
      <c r="J27" s="1178">
        <f t="shared" si="0"/>
        <v>550000</v>
      </c>
      <c r="K27" s="1176"/>
      <c r="L27" s="1178">
        <f t="shared" si="1"/>
        <v>550000</v>
      </c>
      <c r="M27" s="1172"/>
      <c r="N27" s="1172"/>
      <c r="O27" s="1172"/>
      <c r="P27" s="1184"/>
      <c r="Q27" s="1172"/>
      <c r="R27" s="1185"/>
      <c r="S27" s="1172"/>
    </row>
    <row r="28" spans="1:19" s="1182" customFormat="1">
      <c r="A28" s="1172"/>
      <c r="B28" s="1171"/>
      <c r="C28" s="1172" t="s">
        <v>27</v>
      </c>
      <c r="D28" s="1187" t="s">
        <v>528</v>
      </c>
      <c r="E28" s="1187" t="s">
        <v>529</v>
      </c>
      <c r="F28" s="1172"/>
      <c r="G28" s="1176" t="s">
        <v>34</v>
      </c>
      <c r="H28" s="1176">
        <v>1</v>
      </c>
      <c r="I28" s="1177">
        <v>455000</v>
      </c>
      <c r="J28" s="1178">
        <f t="shared" si="0"/>
        <v>455000</v>
      </c>
      <c r="K28" s="1176"/>
      <c r="L28" s="1178">
        <f t="shared" si="1"/>
        <v>455000</v>
      </c>
      <c r="M28" s="1172"/>
      <c r="N28" s="1172"/>
      <c r="O28" s="1172"/>
      <c r="P28" s="1184"/>
      <c r="Q28" s="1172"/>
      <c r="R28" s="1172"/>
      <c r="S28" s="1172"/>
    </row>
    <row r="29" spans="1:19" s="1182" customFormat="1">
      <c r="A29" s="1172">
        <v>274</v>
      </c>
      <c r="B29" s="1171">
        <v>43720</v>
      </c>
      <c r="C29" s="1172"/>
      <c r="D29" s="1187" t="s">
        <v>530</v>
      </c>
      <c r="E29" s="1174"/>
      <c r="F29" s="1172"/>
      <c r="G29" s="1176" t="s">
        <v>42</v>
      </c>
      <c r="H29" s="1176">
        <v>3</v>
      </c>
      <c r="I29" s="1177">
        <v>265000</v>
      </c>
      <c r="J29" s="1178">
        <f t="shared" si="0"/>
        <v>795000</v>
      </c>
      <c r="K29" s="1179">
        <v>1</v>
      </c>
      <c r="L29" s="1178">
        <f t="shared" si="1"/>
        <v>0</v>
      </c>
      <c r="M29" s="1172"/>
      <c r="N29" s="1172"/>
      <c r="O29" s="1172"/>
      <c r="P29" s="1184"/>
      <c r="Q29" s="1172"/>
      <c r="R29" s="1172"/>
      <c r="S29" s="1172"/>
    </row>
    <row r="30" spans="1:19" s="1182" customFormat="1">
      <c r="A30" s="1172"/>
      <c r="B30" s="1171"/>
      <c r="C30" s="1172"/>
      <c r="D30" s="1187"/>
      <c r="E30" s="1174"/>
      <c r="F30" s="1172"/>
      <c r="G30" s="1176" t="s">
        <v>32</v>
      </c>
      <c r="H30" s="1176">
        <v>1</v>
      </c>
      <c r="I30" s="1177">
        <v>275000</v>
      </c>
      <c r="J30" s="1178">
        <f t="shared" si="0"/>
        <v>275000</v>
      </c>
      <c r="K30" s="1179">
        <v>1</v>
      </c>
      <c r="L30" s="1178">
        <f t="shared" si="1"/>
        <v>0</v>
      </c>
      <c r="M30" s="1172"/>
      <c r="N30" s="1172"/>
      <c r="O30" s="1172"/>
      <c r="P30" s="1184"/>
      <c r="Q30" s="1172"/>
      <c r="R30" s="1172"/>
      <c r="S30" s="1172"/>
    </row>
    <row r="31" spans="1:19" s="1182" customFormat="1">
      <c r="A31" s="1172"/>
      <c r="B31" s="1171"/>
      <c r="C31" s="1172"/>
      <c r="D31" s="1187"/>
      <c r="E31" s="1174"/>
      <c r="F31" s="1172"/>
      <c r="G31" s="1176" t="s">
        <v>74</v>
      </c>
      <c r="H31" s="1176">
        <v>1</v>
      </c>
      <c r="I31" s="1177">
        <v>550000</v>
      </c>
      <c r="J31" s="1178">
        <f t="shared" si="0"/>
        <v>550000</v>
      </c>
      <c r="K31" s="1179">
        <v>1</v>
      </c>
      <c r="L31" s="1178">
        <f t="shared" si="1"/>
        <v>0</v>
      </c>
      <c r="M31" s="1172"/>
      <c r="N31" s="1172"/>
      <c r="O31" s="1172"/>
      <c r="P31" s="1184"/>
      <c r="Q31" s="1172"/>
      <c r="R31" s="1172"/>
      <c r="S31" s="1172"/>
    </row>
    <row r="32" spans="1:19" s="1182" customFormat="1" ht="21.75">
      <c r="A32" s="1172">
        <v>271</v>
      </c>
      <c r="B32" s="1171">
        <v>43720</v>
      </c>
      <c r="C32" s="1172" t="s">
        <v>27</v>
      </c>
      <c r="D32" s="1187" t="s">
        <v>531</v>
      </c>
      <c r="E32" s="1187" t="s">
        <v>532</v>
      </c>
      <c r="F32" s="1187"/>
      <c r="G32" s="1176" t="s">
        <v>60</v>
      </c>
      <c r="H32" s="1176">
        <v>3</v>
      </c>
      <c r="I32" s="1177">
        <v>455000</v>
      </c>
      <c r="J32" s="1178">
        <f t="shared" si="0"/>
        <v>1365000</v>
      </c>
      <c r="K32" s="1179">
        <v>0.25</v>
      </c>
      <c r="L32" s="1178">
        <f t="shared" si="1"/>
        <v>1023750</v>
      </c>
      <c r="M32" s="1172"/>
      <c r="N32" s="1185"/>
      <c r="O32" s="1172"/>
      <c r="P32" s="1184"/>
      <c r="Q32" s="1172"/>
      <c r="R32" s="1185">
        <f>L32+L33</f>
        <v>1387500</v>
      </c>
      <c r="S32" s="1172"/>
    </row>
    <row r="33" spans="1:19" s="1182" customFormat="1" ht="21.75">
      <c r="A33" s="1172"/>
      <c r="B33" s="1171"/>
      <c r="C33" s="1172" t="s">
        <v>27</v>
      </c>
      <c r="D33" s="1187" t="s">
        <v>531</v>
      </c>
      <c r="E33" s="1187" t="s">
        <v>532</v>
      </c>
      <c r="F33" s="1172"/>
      <c r="G33" s="1176" t="s">
        <v>45</v>
      </c>
      <c r="H33" s="1176">
        <v>1</v>
      </c>
      <c r="I33" s="1177">
        <v>485000</v>
      </c>
      <c r="J33" s="1178">
        <f t="shared" si="0"/>
        <v>485000</v>
      </c>
      <c r="K33" s="1179">
        <v>0.25</v>
      </c>
      <c r="L33" s="1178">
        <f t="shared" si="1"/>
        <v>363750</v>
      </c>
      <c r="M33" s="1172"/>
      <c r="N33" s="1172"/>
      <c r="O33" s="1172"/>
      <c r="P33" s="1184"/>
      <c r="Q33" s="1172"/>
      <c r="R33" s="1185"/>
      <c r="S33" s="1172"/>
    </row>
    <row r="34" spans="1:19" s="1182" customFormat="1">
      <c r="A34" s="1172">
        <v>276</v>
      </c>
      <c r="B34" s="1171">
        <v>44147</v>
      </c>
      <c r="C34" s="1172" t="s">
        <v>27</v>
      </c>
      <c r="D34" s="1187" t="s">
        <v>86</v>
      </c>
      <c r="E34" s="1187"/>
      <c r="F34" s="1172"/>
      <c r="G34" s="1176" t="s">
        <v>253</v>
      </c>
      <c r="H34" s="1176">
        <v>2</v>
      </c>
      <c r="I34" s="1177">
        <v>255000</v>
      </c>
      <c r="J34" s="1178">
        <f t="shared" si="0"/>
        <v>510000</v>
      </c>
      <c r="K34" s="1179">
        <v>0.5</v>
      </c>
      <c r="L34" s="1178">
        <f t="shared" si="1"/>
        <v>255000</v>
      </c>
      <c r="M34" s="1172"/>
      <c r="N34" s="1185"/>
      <c r="O34" s="1172"/>
      <c r="P34" s="1184"/>
      <c r="Q34" s="1172"/>
      <c r="R34" s="1185">
        <f>L34</f>
        <v>255000</v>
      </c>
      <c r="S34" s="1172"/>
    </row>
    <row r="35" spans="1:19" s="1182" customFormat="1">
      <c r="A35" s="1172">
        <v>277</v>
      </c>
      <c r="B35" s="1171">
        <v>44177</v>
      </c>
      <c r="C35" s="1172"/>
      <c r="D35" s="1187" t="s">
        <v>533</v>
      </c>
      <c r="E35" s="1187" t="s">
        <v>534</v>
      </c>
      <c r="F35" s="1172"/>
      <c r="G35" s="1176" t="s">
        <v>60</v>
      </c>
      <c r="H35" s="1176">
        <v>9</v>
      </c>
      <c r="I35" s="1177">
        <v>455000</v>
      </c>
      <c r="J35" s="1178">
        <f t="shared" si="0"/>
        <v>4095000</v>
      </c>
      <c r="K35" s="1179">
        <v>0.25</v>
      </c>
      <c r="L35" s="1178">
        <f t="shared" si="1"/>
        <v>3071250</v>
      </c>
      <c r="M35" s="1172"/>
      <c r="N35" s="1185"/>
      <c r="O35" s="1172"/>
      <c r="P35" s="1184"/>
      <c r="Q35" s="1172"/>
      <c r="R35" s="1185">
        <f>L35</f>
        <v>3071250</v>
      </c>
      <c r="S35" s="1172"/>
    </row>
    <row r="36" spans="1:19" s="1182" customFormat="1">
      <c r="A36" s="1172">
        <v>278</v>
      </c>
      <c r="B36" s="1171">
        <v>44177</v>
      </c>
      <c r="C36" s="1172" t="s">
        <v>1688</v>
      </c>
      <c r="D36" s="1187" t="s">
        <v>1665</v>
      </c>
      <c r="E36" s="1187" t="s">
        <v>483</v>
      </c>
      <c r="F36" s="1172"/>
      <c r="G36" s="1176" t="s">
        <v>60</v>
      </c>
      <c r="H36" s="1176">
        <v>1</v>
      </c>
      <c r="I36" s="1177">
        <v>455000</v>
      </c>
      <c r="J36" s="1178">
        <f t="shared" si="0"/>
        <v>455000</v>
      </c>
      <c r="K36" s="1179">
        <v>1</v>
      </c>
      <c r="L36" s="1178">
        <f t="shared" si="1"/>
        <v>0</v>
      </c>
      <c r="M36" s="1172"/>
      <c r="N36" s="1185"/>
      <c r="O36" s="1172"/>
      <c r="P36" s="1184"/>
      <c r="Q36" s="1172"/>
      <c r="R36" s="1185"/>
      <c r="S36" s="1172"/>
    </row>
    <row r="37" spans="1:19" s="1182" customFormat="1">
      <c r="A37" s="1172"/>
      <c r="B37" s="1171"/>
      <c r="C37" s="1172" t="s">
        <v>1688</v>
      </c>
      <c r="D37" s="1187" t="s">
        <v>1665</v>
      </c>
      <c r="E37" s="1187" t="s">
        <v>483</v>
      </c>
      <c r="F37" s="1172"/>
      <c r="G37" s="1176" t="s">
        <v>30</v>
      </c>
      <c r="H37" s="1176">
        <v>2</v>
      </c>
      <c r="I37" s="1177">
        <v>465000</v>
      </c>
      <c r="J37" s="1178">
        <f t="shared" si="0"/>
        <v>930000</v>
      </c>
      <c r="K37" s="1179">
        <v>1</v>
      </c>
      <c r="L37" s="1178">
        <f t="shared" si="1"/>
        <v>0</v>
      </c>
      <c r="M37" s="1172"/>
      <c r="N37" s="1185"/>
      <c r="O37" s="1172"/>
      <c r="P37" s="1184"/>
      <c r="Q37" s="1172"/>
      <c r="R37" s="1185"/>
      <c r="S37" s="1172"/>
    </row>
    <row r="38" spans="1:19" s="1182" customFormat="1">
      <c r="A38" s="1172"/>
      <c r="B38" s="1171"/>
      <c r="C38" s="1172" t="s">
        <v>1688</v>
      </c>
      <c r="D38" s="1187" t="s">
        <v>1665</v>
      </c>
      <c r="E38" s="1187" t="s">
        <v>483</v>
      </c>
      <c r="F38" s="1172"/>
      <c r="G38" s="1176" t="s">
        <v>50</v>
      </c>
      <c r="H38" s="1176">
        <v>6</v>
      </c>
      <c r="I38" s="1177">
        <v>475000</v>
      </c>
      <c r="J38" s="1178">
        <f t="shared" si="0"/>
        <v>2850000</v>
      </c>
      <c r="K38" s="1179">
        <v>1</v>
      </c>
      <c r="L38" s="1178">
        <f t="shared" si="1"/>
        <v>0</v>
      </c>
      <c r="M38" s="1172"/>
      <c r="N38" s="1185"/>
      <c r="O38" s="1172"/>
      <c r="P38" s="1184"/>
      <c r="Q38" s="1172"/>
      <c r="R38" s="1185"/>
      <c r="S38" s="1172"/>
    </row>
    <row r="39" spans="1:19" s="1182" customFormat="1">
      <c r="A39" s="1172"/>
      <c r="B39" s="1171"/>
      <c r="C39" s="1172" t="s">
        <v>1688</v>
      </c>
      <c r="D39" s="1187" t="s">
        <v>1665</v>
      </c>
      <c r="E39" s="1187" t="s">
        <v>483</v>
      </c>
      <c r="F39" s="1172"/>
      <c r="G39" s="1176" t="s">
        <v>45</v>
      </c>
      <c r="H39" s="1176">
        <v>2</v>
      </c>
      <c r="I39" s="1177">
        <v>485000</v>
      </c>
      <c r="J39" s="1178">
        <f t="shared" si="0"/>
        <v>970000</v>
      </c>
      <c r="K39" s="1179">
        <v>1</v>
      </c>
      <c r="L39" s="1178">
        <f t="shared" si="1"/>
        <v>0</v>
      </c>
      <c r="M39" s="1172"/>
      <c r="N39" s="1185"/>
      <c r="O39" s="1172"/>
      <c r="P39" s="1184"/>
      <c r="Q39" s="1172"/>
      <c r="R39" s="1185"/>
      <c r="S39" s="1172"/>
    </row>
    <row r="40" spans="1:19" s="1182" customFormat="1">
      <c r="A40" s="1172"/>
      <c r="B40" s="1171"/>
      <c r="C40" s="1172" t="s">
        <v>1688</v>
      </c>
      <c r="D40" s="1187" t="s">
        <v>1665</v>
      </c>
      <c r="E40" s="1187" t="s">
        <v>483</v>
      </c>
      <c r="F40" s="1172"/>
      <c r="G40" s="1176" t="s">
        <v>74</v>
      </c>
      <c r="H40" s="1176">
        <v>3</v>
      </c>
      <c r="I40" s="1177">
        <v>550000</v>
      </c>
      <c r="J40" s="1178">
        <f t="shared" si="0"/>
        <v>1650000</v>
      </c>
      <c r="K40" s="1179">
        <v>1</v>
      </c>
      <c r="L40" s="1178">
        <f t="shared" si="1"/>
        <v>0</v>
      </c>
      <c r="M40" s="1172"/>
      <c r="N40" s="1185"/>
      <c r="O40" s="1172"/>
      <c r="P40" s="1184"/>
      <c r="Q40" s="1172"/>
      <c r="R40" s="1185"/>
      <c r="S40" s="1172"/>
    </row>
    <row r="41" spans="1:19" s="1182" customFormat="1" ht="32.25">
      <c r="A41" s="1172">
        <v>279</v>
      </c>
      <c r="B41" s="1171">
        <v>44177</v>
      </c>
      <c r="C41" s="1172"/>
      <c r="D41" s="1187" t="s">
        <v>1689</v>
      </c>
      <c r="E41" s="1187"/>
      <c r="F41" s="1172"/>
      <c r="G41" s="1176" t="s">
        <v>253</v>
      </c>
      <c r="H41" s="1176">
        <v>1</v>
      </c>
      <c r="I41" s="1177">
        <v>255000</v>
      </c>
      <c r="J41" s="1178">
        <f t="shared" si="0"/>
        <v>255000</v>
      </c>
      <c r="K41" s="1179">
        <v>0.3</v>
      </c>
      <c r="L41" s="1178">
        <f t="shared" si="1"/>
        <v>178500</v>
      </c>
      <c r="M41" s="1172"/>
      <c r="N41" s="1185">
        <f>SUM(L41:L47)</f>
        <v>8519000</v>
      </c>
      <c r="O41" s="1172"/>
      <c r="P41" s="1184"/>
      <c r="Q41" s="1172"/>
      <c r="R41" s="1185"/>
      <c r="S41" s="1172"/>
    </row>
    <row r="42" spans="1:19" s="1182" customFormat="1" ht="32.25">
      <c r="A42" s="1172"/>
      <c r="B42" s="1171"/>
      <c r="C42" s="1172"/>
      <c r="D42" s="1187" t="s">
        <v>1689</v>
      </c>
      <c r="E42" s="1187"/>
      <c r="F42" s="1172"/>
      <c r="G42" s="1176" t="s">
        <v>60</v>
      </c>
      <c r="H42" s="1176">
        <v>2</v>
      </c>
      <c r="I42" s="1177">
        <v>455000</v>
      </c>
      <c r="J42" s="1178">
        <f t="shared" si="0"/>
        <v>910000</v>
      </c>
      <c r="K42" s="1179">
        <v>0.3</v>
      </c>
      <c r="L42" s="1178">
        <f t="shared" si="1"/>
        <v>637000</v>
      </c>
      <c r="M42" s="1172"/>
      <c r="N42" s="1185"/>
      <c r="O42" s="1172"/>
      <c r="P42" s="1184"/>
      <c r="Q42" s="1172"/>
      <c r="R42" s="1185"/>
      <c r="S42" s="1172"/>
    </row>
    <row r="43" spans="1:19" s="1182" customFormat="1" ht="32.25">
      <c r="A43" s="1172"/>
      <c r="B43" s="1171"/>
      <c r="C43" s="1172"/>
      <c r="D43" s="1187" t="s">
        <v>1689</v>
      </c>
      <c r="E43" s="1187"/>
      <c r="F43" s="1172"/>
      <c r="G43" s="1176" t="s">
        <v>42</v>
      </c>
      <c r="H43" s="1176">
        <v>1</v>
      </c>
      <c r="I43" s="1177">
        <v>265000</v>
      </c>
      <c r="J43" s="1178">
        <f t="shared" si="0"/>
        <v>265000</v>
      </c>
      <c r="K43" s="1179">
        <v>0.3</v>
      </c>
      <c r="L43" s="1178">
        <f t="shared" si="1"/>
        <v>185500</v>
      </c>
      <c r="M43" s="1172"/>
      <c r="N43" s="1185"/>
      <c r="O43" s="1172"/>
      <c r="P43" s="1184"/>
      <c r="Q43" s="1172"/>
      <c r="R43" s="1185"/>
      <c r="S43" s="1172"/>
    </row>
    <row r="44" spans="1:19" s="1182" customFormat="1" ht="32.25">
      <c r="A44" s="1172"/>
      <c r="B44" s="1171"/>
      <c r="C44" s="1172"/>
      <c r="D44" s="1187" t="s">
        <v>1689</v>
      </c>
      <c r="E44" s="1187"/>
      <c r="F44" s="1172"/>
      <c r="G44" s="1176" t="s">
        <v>50</v>
      </c>
      <c r="H44" s="1176">
        <v>1</v>
      </c>
      <c r="I44" s="1177">
        <v>475000</v>
      </c>
      <c r="J44" s="1178">
        <f t="shared" si="0"/>
        <v>475000</v>
      </c>
      <c r="K44" s="1179">
        <v>0.3</v>
      </c>
      <c r="L44" s="1178">
        <f t="shared" si="1"/>
        <v>332500</v>
      </c>
      <c r="M44" s="1172"/>
      <c r="N44" s="1185"/>
      <c r="O44" s="1172"/>
      <c r="P44" s="1184"/>
      <c r="Q44" s="1172"/>
      <c r="R44" s="1185"/>
      <c r="S44" s="1172"/>
    </row>
    <row r="45" spans="1:19" s="1182" customFormat="1" ht="32.25">
      <c r="A45" s="1172"/>
      <c r="B45" s="1171"/>
      <c r="C45" s="1172"/>
      <c r="D45" s="1187" t="s">
        <v>1689</v>
      </c>
      <c r="E45" s="1187"/>
      <c r="F45" s="1172"/>
      <c r="G45" s="1176" t="s">
        <v>45</v>
      </c>
      <c r="H45" s="1176">
        <v>4</v>
      </c>
      <c r="I45" s="1177">
        <v>485000</v>
      </c>
      <c r="J45" s="1178">
        <f t="shared" si="0"/>
        <v>1940000</v>
      </c>
      <c r="K45" s="1179">
        <v>0.3</v>
      </c>
      <c r="L45" s="1178">
        <f t="shared" si="1"/>
        <v>1358000</v>
      </c>
      <c r="M45" s="1172"/>
      <c r="N45" s="1185"/>
      <c r="O45" s="1172"/>
      <c r="P45" s="1184"/>
      <c r="Q45" s="1172"/>
      <c r="R45" s="1185"/>
      <c r="S45" s="1172"/>
    </row>
    <row r="46" spans="1:19" s="1182" customFormat="1" ht="32.25">
      <c r="A46" s="1172"/>
      <c r="B46" s="1171"/>
      <c r="C46" s="1172"/>
      <c r="D46" s="1187" t="s">
        <v>1689</v>
      </c>
      <c r="E46" s="1187"/>
      <c r="F46" s="1172"/>
      <c r="G46" s="1176" t="s">
        <v>74</v>
      </c>
      <c r="H46" s="1176">
        <v>11</v>
      </c>
      <c r="I46" s="1177">
        <v>550000</v>
      </c>
      <c r="J46" s="1178">
        <f t="shared" si="0"/>
        <v>6050000</v>
      </c>
      <c r="K46" s="1179">
        <v>0.3</v>
      </c>
      <c r="L46" s="1178">
        <f t="shared" si="1"/>
        <v>4235000</v>
      </c>
      <c r="M46" s="1172"/>
      <c r="N46" s="1185"/>
      <c r="O46" s="1172"/>
      <c r="P46" s="1184"/>
      <c r="Q46" s="1172"/>
      <c r="R46" s="1185"/>
      <c r="S46" s="1172"/>
    </row>
    <row r="47" spans="1:19" s="1182" customFormat="1" ht="32.25">
      <c r="A47" s="1172"/>
      <c r="B47" s="1171"/>
      <c r="C47" s="1172"/>
      <c r="D47" s="1187" t="s">
        <v>1689</v>
      </c>
      <c r="E47" s="1187"/>
      <c r="F47" s="1172"/>
      <c r="G47" s="1176" t="s">
        <v>34</v>
      </c>
      <c r="H47" s="1176">
        <v>5</v>
      </c>
      <c r="I47" s="1177">
        <v>455000</v>
      </c>
      <c r="J47" s="1178">
        <f t="shared" si="0"/>
        <v>2275000</v>
      </c>
      <c r="K47" s="1179">
        <v>0.3</v>
      </c>
      <c r="L47" s="1178">
        <f t="shared" si="1"/>
        <v>1592500</v>
      </c>
      <c r="M47" s="1172"/>
      <c r="N47" s="1185"/>
      <c r="O47" s="1172"/>
      <c r="P47" s="1184"/>
      <c r="Q47" s="1172"/>
      <c r="R47" s="1185"/>
      <c r="S47" s="1172"/>
    </row>
    <row r="48" spans="1:19" s="1182" customFormat="1">
      <c r="A48" s="1172">
        <v>308</v>
      </c>
      <c r="B48" s="1171">
        <v>44177</v>
      </c>
      <c r="C48" s="1172"/>
      <c r="D48" s="1187" t="s">
        <v>525</v>
      </c>
      <c r="E48" s="1187"/>
      <c r="F48" s="1172"/>
      <c r="G48" s="1176" t="s">
        <v>45</v>
      </c>
      <c r="H48" s="1176">
        <v>10</v>
      </c>
      <c r="I48" s="1177">
        <v>485000</v>
      </c>
      <c r="J48" s="1178">
        <f t="shared" si="0"/>
        <v>4850000</v>
      </c>
      <c r="K48" s="1179">
        <v>1</v>
      </c>
      <c r="L48" s="1178">
        <f t="shared" si="1"/>
        <v>0</v>
      </c>
      <c r="M48" s="1172"/>
      <c r="N48" s="1172"/>
      <c r="O48" s="1172"/>
      <c r="P48" s="1184"/>
      <c r="Q48" s="1172"/>
      <c r="R48" s="1172"/>
      <c r="S48" s="1172" t="s">
        <v>535</v>
      </c>
    </row>
    <row r="49" spans="1:19" s="1182" customFormat="1">
      <c r="A49" s="1172">
        <v>309</v>
      </c>
      <c r="B49" s="1171">
        <v>44177</v>
      </c>
      <c r="C49" s="1172"/>
      <c r="D49" s="1187" t="s">
        <v>153</v>
      </c>
      <c r="E49" s="1187" t="s">
        <v>529</v>
      </c>
      <c r="F49" s="1172"/>
      <c r="G49" s="1176" t="s">
        <v>253</v>
      </c>
      <c r="H49" s="1176">
        <v>1</v>
      </c>
      <c r="I49" s="1177">
        <v>255000</v>
      </c>
      <c r="J49" s="1178">
        <f t="shared" si="0"/>
        <v>255000</v>
      </c>
      <c r="K49" s="1179">
        <v>0.3</v>
      </c>
      <c r="L49" s="1178">
        <f t="shared" si="1"/>
        <v>178500</v>
      </c>
      <c r="M49" s="1172"/>
      <c r="N49" s="1172"/>
      <c r="O49" s="1172"/>
      <c r="P49" s="1184"/>
      <c r="Q49" s="1172"/>
      <c r="R49" s="1185">
        <f>L49+L51+L50+L52+L54+L53+L55</f>
        <v>8519000</v>
      </c>
      <c r="S49" s="1172"/>
    </row>
    <row r="50" spans="1:19" s="1182" customFormat="1">
      <c r="A50" s="1172"/>
      <c r="B50" s="1171"/>
      <c r="C50" s="1172"/>
      <c r="D50" s="1187" t="s">
        <v>153</v>
      </c>
      <c r="E50" s="1187" t="s">
        <v>529</v>
      </c>
      <c r="F50" s="1172"/>
      <c r="G50" s="1176" t="s">
        <v>30</v>
      </c>
      <c r="H50" s="1176">
        <v>2</v>
      </c>
      <c r="I50" s="1177">
        <v>455000</v>
      </c>
      <c r="J50" s="1178">
        <f t="shared" si="0"/>
        <v>910000</v>
      </c>
      <c r="K50" s="1179">
        <v>0.3</v>
      </c>
      <c r="L50" s="1178">
        <f t="shared" si="1"/>
        <v>637000</v>
      </c>
      <c r="M50" s="1172"/>
      <c r="N50" s="1172"/>
      <c r="O50" s="1172"/>
      <c r="P50" s="1184"/>
      <c r="Q50" s="1172"/>
      <c r="R50" s="1172"/>
      <c r="S50" s="1172"/>
    </row>
    <row r="51" spans="1:19" s="1182" customFormat="1">
      <c r="A51" s="1172"/>
      <c r="B51" s="1171"/>
      <c r="C51" s="1172"/>
      <c r="D51" s="1187" t="s">
        <v>153</v>
      </c>
      <c r="E51" s="1187" t="s">
        <v>529</v>
      </c>
      <c r="F51" s="1172"/>
      <c r="G51" s="1176" t="s">
        <v>42</v>
      </c>
      <c r="H51" s="1176">
        <v>1</v>
      </c>
      <c r="I51" s="1177">
        <v>265000</v>
      </c>
      <c r="J51" s="1178">
        <f t="shared" si="0"/>
        <v>265000</v>
      </c>
      <c r="K51" s="1179">
        <v>0.3</v>
      </c>
      <c r="L51" s="1178">
        <f t="shared" si="1"/>
        <v>185500</v>
      </c>
      <c r="M51" s="1172"/>
      <c r="N51" s="1172"/>
      <c r="O51" s="1172"/>
      <c r="P51" s="1184"/>
      <c r="Q51" s="1172"/>
      <c r="R51" s="1172"/>
      <c r="S51" s="1172"/>
    </row>
    <row r="52" spans="1:19" s="1182" customFormat="1">
      <c r="A52" s="1172"/>
      <c r="B52" s="1171"/>
      <c r="C52" s="1172"/>
      <c r="D52" s="1187" t="s">
        <v>153</v>
      </c>
      <c r="E52" s="1187" t="s">
        <v>529</v>
      </c>
      <c r="F52" s="1172"/>
      <c r="G52" s="1176" t="s">
        <v>50</v>
      </c>
      <c r="H52" s="1176">
        <v>1</v>
      </c>
      <c r="I52" s="1177">
        <v>475000</v>
      </c>
      <c r="J52" s="1178">
        <f t="shared" si="0"/>
        <v>475000</v>
      </c>
      <c r="K52" s="1179">
        <v>0.3</v>
      </c>
      <c r="L52" s="1178">
        <f t="shared" si="1"/>
        <v>332500</v>
      </c>
      <c r="M52" s="1172"/>
      <c r="N52" s="1172"/>
      <c r="O52" s="1172"/>
      <c r="P52" s="1184"/>
      <c r="Q52" s="1172"/>
      <c r="R52" s="1172"/>
      <c r="S52" s="1172"/>
    </row>
    <row r="53" spans="1:19" s="1182" customFormat="1">
      <c r="A53" s="1172"/>
      <c r="B53" s="1171"/>
      <c r="C53" s="1172"/>
      <c r="D53" s="1187" t="s">
        <v>153</v>
      </c>
      <c r="E53" s="1187" t="s">
        <v>529</v>
      </c>
      <c r="F53" s="1172"/>
      <c r="G53" s="1176" t="s">
        <v>45</v>
      </c>
      <c r="H53" s="1176">
        <v>4</v>
      </c>
      <c r="I53" s="1177">
        <v>485000</v>
      </c>
      <c r="J53" s="1178">
        <f t="shared" si="0"/>
        <v>1940000</v>
      </c>
      <c r="K53" s="1179">
        <v>0.3</v>
      </c>
      <c r="L53" s="1178">
        <f t="shared" si="1"/>
        <v>1358000</v>
      </c>
      <c r="M53" s="1172"/>
      <c r="N53" s="1172"/>
      <c r="O53" s="1172"/>
      <c r="P53" s="1184"/>
      <c r="Q53" s="1172"/>
      <c r="R53" s="1172"/>
      <c r="S53" s="1172"/>
    </row>
    <row r="54" spans="1:19" s="1182" customFormat="1">
      <c r="A54" s="1172"/>
      <c r="B54" s="1171"/>
      <c r="C54" s="1172"/>
      <c r="D54" s="1187" t="s">
        <v>153</v>
      </c>
      <c r="E54" s="1187" t="s">
        <v>529</v>
      </c>
      <c r="F54" s="1172"/>
      <c r="G54" s="1176" t="s">
        <v>74</v>
      </c>
      <c r="H54" s="1176">
        <v>11</v>
      </c>
      <c r="I54" s="1177">
        <v>550000</v>
      </c>
      <c r="J54" s="1178">
        <f t="shared" si="0"/>
        <v>6050000</v>
      </c>
      <c r="K54" s="1179">
        <v>0.3</v>
      </c>
      <c r="L54" s="1178">
        <f t="shared" si="1"/>
        <v>4235000</v>
      </c>
      <c r="M54" s="1172"/>
      <c r="N54" s="1172"/>
      <c r="O54" s="1172"/>
      <c r="P54" s="1184"/>
      <c r="Q54" s="1172"/>
      <c r="R54" s="1172"/>
      <c r="S54" s="1172"/>
    </row>
    <row r="55" spans="1:19" s="1182" customFormat="1">
      <c r="A55" s="1172"/>
      <c r="B55" s="1171"/>
      <c r="C55" s="1172"/>
      <c r="D55" s="1187" t="s">
        <v>153</v>
      </c>
      <c r="E55" s="1187" t="s">
        <v>529</v>
      </c>
      <c r="F55" s="1172"/>
      <c r="G55" s="1176" t="s">
        <v>34</v>
      </c>
      <c r="H55" s="1176">
        <v>5</v>
      </c>
      <c r="I55" s="1177">
        <v>455000</v>
      </c>
      <c r="J55" s="1178">
        <f t="shared" si="0"/>
        <v>2275000</v>
      </c>
      <c r="K55" s="1179">
        <v>0.3</v>
      </c>
      <c r="L55" s="1178">
        <f t="shared" si="1"/>
        <v>1592500</v>
      </c>
      <c r="M55" s="1172"/>
      <c r="N55" s="1172"/>
      <c r="O55" s="1172"/>
      <c r="P55" s="1184"/>
      <c r="Q55" s="1172"/>
      <c r="R55" s="1172"/>
      <c r="S55" s="1172"/>
    </row>
    <row r="56" spans="1:19" s="1182" customFormat="1" ht="21.75">
      <c r="A56" s="1172">
        <v>280</v>
      </c>
      <c r="B56" s="1171"/>
      <c r="C56" s="1172" t="s">
        <v>1690</v>
      </c>
      <c r="D56" s="1187" t="s">
        <v>1691</v>
      </c>
      <c r="E56" s="1187" t="s">
        <v>483</v>
      </c>
      <c r="F56" s="1172"/>
      <c r="G56" s="1176" t="s">
        <v>45</v>
      </c>
      <c r="H56" s="1176">
        <v>10</v>
      </c>
      <c r="I56" s="1177">
        <v>485000</v>
      </c>
      <c r="J56" s="1178">
        <f t="shared" si="0"/>
        <v>4850000</v>
      </c>
      <c r="K56" s="1179">
        <v>1</v>
      </c>
      <c r="L56" s="1178">
        <f t="shared" si="1"/>
        <v>0</v>
      </c>
      <c r="M56" s="1172"/>
      <c r="N56" s="1172"/>
      <c r="O56" s="1172"/>
      <c r="P56" s="1184"/>
      <c r="Q56" s="1172"/>
      <c r="R56" s="1172"/>
      <c r="S56" s="1172"/>
    </row>
    <row r="57" spans="1:19" s="1182" customFormat="1">
      <c r="A57" s="1172">
        <v>281</v>
      </c>
      <c r="B57" s="1171">
        <v>43811</v>
      </c>
      <c r="C57" s="1172" t="s">
        <v>27</v>
      </c>
      <c r="D57" s="1187" t="s">
        <v>536</v>
      </c>
      <c r="E57" s="1187" t="s">
        <v>537</v>
      </c>
      <c r="F57" s="1172"/>
      <c r="G57" s="1176" t="s">
        <v>60</v>
      </c>
      <c r="H57" s="1176">
        <v>1</v>
      </c>
      <c r="I57" s="1177">
        <v>455000</v>
      </c>
      <c r="J57" s="1178">
        <v>455000</v>
      </c>
      <c r="K57" s="1179">
        <v>0.41</v>
      </c>
      <c r="L57" s="1178">
        <f t="shared" si="1"/>
        <v>268450.00000000006</v>
      </c>
      <c r="M57" s="1172"/>
      <c r="N57" s="1185"/>
      <c r="O57" s="1172"/>
      <c r="P57" s="1184"/>
      <c r="Q57" s="1172"/>
      <c r="R57" s="1185">
        <f>L57+L58</f>
        <v>554600.00000000012</v>
      </c>
      <c r="S57" s="1172"/>
    </row>
    <row r="58" spans="1:19" s="1182" customFormat="1">
      <c r="A58" s="1172"/>
      <c r="B58" s="1171"/>
      <c r="C58" s="1172" t="s">
        <v>27</v>
      </c>
      <c r="D58" s="1187" t="s">
        <v>536</v>
      </c>
      <c r="E58" s="1187" t="s">
        <v>537</v>
      </c>
      <c r="F58" s="1172"/>
      <c r="G58" s="1176" t="s">
        <v>45</v>
      </c>
      <c r="H58" s="1176">
        <v>1</v>
      </c>
      <c r="I58" s="1177">
        <v>485000</v>
      </c>
      <c r="J58" s="1178">
        <v>485000</v>
      </c>
      <c r="K58" s="1179">
        <v>0.41</v>
      </c>
      <c r="L58" s="1178">
        <f t="shared" si="1"/>
        <v>286150.00000000006</v>
      </c>
      <c r="M58" s="1172"/>
      <c r="N58" s="1172"/>
      <c r="O58" s="1172"/>
      <c r="P58" s="1184"/>
      <c r="Q58" s="1172"/>
      <c r="R58" s="1172"/>
      <c r="S58" s="1172"/>
    </row>
    <row r="59" spans="1:19" s="706" customFormat="1">
      <c r="A59" s="647">
        <v>283</v>
      </c>
      <c r="B59" s="665" t="s">
        <v>538</v>
      </c>
      <c r="C59" s="647" t="s">
        <v>27</v>
      </c>
      <c r="D59" s="619" t="s">
        <v>528</v>
      </c>
      <c r="E59" s="619" t="s">
        <v>529</v>
      </c>
      <c r="F59" s="647"/>
      <c r="G59" s="674" t="s">
        <v>74</v>
      </c>
      <c r="H59" s="674">
        <v>1</v>
      </c>
      <c r="I59" s="623">
        <v>550000</v>
      </c>
      <c r="J59" s="628">
        <f t="shared" si="0"/>
        <v>550000</v>
      </c>
      <c r="K59" s="647"/>
      <c r="L59" s="627">
        <f t="shared" si="1"/>
        <v>550000</v>
      </c>
      <c r="M59" s="647"/>
      <c r="N59" s="647"/>
      <c r="O59" s="647"/>
      <c r="P59" s="654"/>
      <c r="Q59" s="647"/>
      <c r="R59" s="625">
        <f>L59+L60</f>
        <v>1005000</v>
      </c>
      <c r="S59" s="647"/>
    </row>
    <row r="60" spans="1:19" s="706" customFormat="1">
      <c r="A60" s="647"/>
      <c r="B60" s="665"/>
      <c r="C60" s="647" t="s">
        <v>27</v>
      </c>
      <c r="D60" s="619" t="s">
        <v>528</v>
      </c>
      <c r="E60" s="619" t="s">
        <v>529</v>
      </c>
      <c r="F60" s="647"/>
      <c r="G60" s="674" t="s">
        <v>34</v>
      </c>
      <c r="H60" s="674">
        <v>1</v>
      </c>
      <c r="I60" s="623">
        <v>455000</v>
      </c>
      <c r="J60" s="628">
        <f t="shared" si="0"/>
        <v>455000</v>
      </c>
      <c r="K60" s="647"/>
      <c r="L60" s="627">
        <f t="shared" si="1"/>
        <v>455000</v>
      </c>
      <c r="M60" s="647"/>
      <c r="N60" s="647"/>
      <c r="O60" s="647"/>
      <c r="P60" s="654"/>
      <c r="Q60" s="647"/>
      <c r="R60" s="647"/>
      <c r="S60" s="647"/>
    </row>
    <row r="61" spans="1:19" s="1182" customFormat="1">
      <c r="A61" s="1172">
        <v>285</v>
      </c>
      <c r="B61" s="1171" t="s">
        <v>538</v>
      </c>
      <c r="C61" s="1172" t="s">
        <v>96</v>
      </c>
      <c r="D61" s="1172" t="s">
        <v>524</v>
      </c>
      <c r="E61" s="1174"/>
      <c r="F61" s="1172"/>
      <c r="G61" s="1189" t="s">
        <v>30</v>
      </c>
      <c r="H61" s="1189">
        <v>3</v>
      </c>
      <c r="I61" s="1190">
        <v>465000</v>
      </c>
      <c r="J61" s="1191">
        <f t="shared" si="0"/>
        <v>1395000</v>
      </c>
      <c r="K61" s="1179">
        <v>0.41</v>
      </c>
      <c r="L61" s="1178">
        <f t="shared" si="1"/>
        <v>823050.00000000012</v>
      </c>
      <c r="M61" s="1172"/>
      <c r="N61" s="1185">
        <f>L61</f>
        <v>823050.00000000012</v>
      </c>
      <c r="O61" s="1172"/>
      <c r="P61" s="1184"/>
      <c r="Q61" s="1172"/>
      <c r="R61" s="1172"/>
      <c r="S61" s="1172"/>
    </row>
    <row r="62" spans="1:19" s="1182" customFormat="1" ht="21.75">
      <c r="A62" s="1172">
        <v>287</v>
      </c>
      <c r="B62" s="1171" t="s">
        <v>538</v>
      </c>
      <c r="C62" s="1172" t="s">
        <v>96</v>
      </c>
      <c r="D62" s="1172" t="s">
        <v>539</v>
      </c>
      <c r="E62" s="1187" t="s">
        <v>540</v>
      </c>
      <c r="F62" s="1172"/>
      <c r="G62" s="1189" t="s">
        <v>45</v>
      </c>
      <c r="H62" s="1189">
        <v>1</v>
      </c>
      <c r="I62" s="1190">
        <v>485000</v>
      </c>
      <c r="J62" s="1191">
        <f t="shared" si="0"/>
        <v>485000</v>
      </c>
      <c r="K62" s="1179">
        <v>0.41</v>
      </c>
      <c r="L62" s="1178">
        <f t="shared" si="1"/>
        <v>286150.00000000006</v>
      </c>
      <c r="M62" s="1172"/>
      <c r="N62" s="1185">
        <f>L62</f>
        <v>286150.00000000006</v>
      </c>
      <c r="O62" s="1172"/>
      <c r="P62" s="1184"/>
      <c r="Q62" s="1172"/>
      <c r="R62" s="1172"/>
      <c r="S62" s="1172"/>
    </row>
    <row r="63" spans="1:19" s="1182" customFormat="1">
      <c r="A63" s="1172">
        <v>305</v>
      </c>
      <c r="B63" s="1171" t="s">
        <v>541</v>
      </c>
      <c r="C63" s="1172"/>
      <c r="D63" s="1172" t="s">
        <v>542</v>
      </c>
      <c r="E63" s="1187"/>
      <c r="F63" s="1172"/>
      <c r="G63" s="1189" t="s">
        <v>30</v>
      </c>
      <c r="H63" s="1189">
        <v>1</v>
      </c>
      <c r="I63" s="1190">
        <v>465000</v>
      </c>
      <c r="J63" s="1191">
        <f t="shared" si="0"/>
        <v>465000</v>
      </c>
      <c r="K63" s="1179">
        <v>1</v>
      </c>
      <c r="L63" s="1178">
        <f t="shared" si="1"/>
        <v>0</v>
      </c>
      <c r="M63" s="1172"/>
      <c r="N63" s="1172"/>
      <c r="O63" s="1172"/>
      <c r="P63" s="1184"/>
      <c r="Q63" s="1172"/>
      <c r="R63" s="1172"/>
      <c r="S63" s="1172"/>
    </row>
    <row r="64" spans="1:19" s="1182" customFormat="1">
      <c r="A64" s="1172"/>
      <c r="B64" s="1171"/>
      <c r="C64" s="1172"/>
      <c r="D64" s="1172" t="s">
        <v>542</v>
      </c>
      <c r="E64" s="1187"/>
      <c r="F64" s="1172"/>
      <c r="G64" s="1189" t="s">
        <v>50</v>
      </c>
      <c r="H64" s="1189">
        <v>3</v>
      </c>
      <c r="I64" s="1190">
        <v>475000</v>
      </c>
      <c r="J64" s="1191">
        <f t="shared" si="0"/>
        <v>1425000</v>
      </c>
      <c r="K64" s="1179">
        <v>1</v>
      </c>
      <c r="L64" s="1178">
        <f t="shared" si="1"/>
        <v>0</v>
      </c>
      <c r="M64" s="1172"/>
      <c r="N64" s="1172"/>
      <c r="O64" s="1172"/>
      <c r="P64" s="1184"/>
      <c r="Q64" s="1172"/>
      <c r="R64" s="1172"/>
      <c r="S64" s="1172"/>
    </row>
    <row r="65" spans="1:19" s="1182" customFormat="1">
      <c r="A65" s="1172"/>
      <c r="B65" s="1171"/>
      <c r="C65" s="1172"/>
      <c r="D65" s="1172" t="s">
        <v>542</v>
      </c>
      <c r="E65" s="1187"/>
      <c r="F65" s="1172"/>
      <c r="G65" s="1189" t="s">
        <v>45</v>
      </c>
      <c r="H65" s="1189">
        <v>2</v>
      </c>
      <c r="I65" s="1190">
        <v>485000</v>
      </c>
      <c r="J65" s="1191">
        <f t="shared" si="0"/>
        <v>970000</v>
      </c>
      <c r="K65" s="1179">
        <v>1</v>
      </c>
      <c r="L65" s="1178">
        <f t="shared" si="1"/>
        <v>0</v>
      </c>
      <c r="M65" s="1172"/>
      <c r="N65" s="1172"/>
      <c r="O65" s="1172"/>
      <c r="P65" s="1184"/>
      <c r="Q65" s="1172"/>
      <c r="R65" s="1172"/>
      <c r="S65" s="1172"/>
    </row>
    <row r="66" spans="1:19" s="1182" customFormat="1">
      <c r="A66" s="1172"/>
      <c r="B66" s="1171"/>
      <c r="C66" s="1172"/>
      <c r="D66" s="1172" t="s">
        <v>542</v>
      </c>
      <c r="E66" s="1187"/>
      <c r="F66" s="1172"/>
      <c r="G66" s="1189" t="s">
        <v>74</v>
      </c>
      <c r="H66" s="1189">
        <v>1</v>
      </c>
      <c r="I66" s="1190">
        <v>550000</v>
      </c>
      <c r="J66" s="1191">
        <f t="shared" si="0"/>
        <v>550000</v>
      </c>
      <c r="K66" s="1179">
        <v>1</v>
      </c>
      <c r="L66" s="1178">
        <f t="shared" si="1"/>
        <v>0</v>
      </c>
      <c r="M66" s="1172"/>
      <c r="N66" s="1172"/>
      <c r="O66" s="1172"/>
      <c r="P66" s="1184"/>
      <c r="Q66" s="1172"/>
      <c r="R66" s="1172"/>
      <c r="S66" s="1172"/>
    </row>
    <row r="67" spans="1:19" s="1182" customFormat="1">
      <c r="A67" s="1172"/>
      <c r="B67" s="1171"/>
      <c r="C67" s="1172"/>
      <c r="D67" s="1172" t="s">
        <v>542</v>
      </c>
      <c r="E67" s="1187"/>
      <c r="F67" s="1172"/>
      <c r="G67" s="1189" t="s">
        <v>46</v>
      </c>
      <c r="H67" s="1189">
        <v>1</v>
      </c>
      <c r="I67" s="1190">
        <v>455000</v>
      </c>
      <c r="J67" s="1191">
        <f t="shared" si="0"/>
        <v>455000</v>
      </c>
      <c r="K67" s="1179">
        <v>1</v>
      </c>
      <c r="L67" s="1178">
        <f t="shared" si="1"/>
        <v>0</v>
      </c>
      <c r="M67" s="1172"/>
      <c r="N67" s="1172"/>
      <c r="O67" s="1172"/>
      <c r="P67" s="1184"/>
      <c r="Q67" s="1172"/>
      <c r="R67" s="1172"/>
      <c r="S67" s="1172"/>
    </row>
    <row r="68" spans="1:19" s="1182" customFormat="1">
      <c r="A68" s="1172">
        <v>304</v>
      </c>
      <c r="B68" s="1171" t="s">
        <v>543</v>
      </c>
      <c r="C68" s="1172" t="s">
        <v>544</v>
      </c>
      <c r="D68" s="1172" t="s">
        <v>545</v>
      </c>
      <c r="E68" s="1187"/>
      <c r="F68" s="1172"/>
      <c r="G68" s="1189" t="s">
        <v>60</v>
      </c>
      <c r="H68" s="1189">
        <v>12</v>
      </c>
      <c r="I68" s="1190">
        <v>455000</v>
      </c>
      <c r="J68" s="1191">
        <f t="shared" si="0"/>
        <v>5460000</v>
      </c>
      <c r="K68" s="1179">
        <v>0.41</v>
      </c>
      <c r="L68" s="1178">
        <f t="shared" si="1"/>
        <v>3221400.0000000005</v>
      </c>
      <c r="M68" s="1172"/>
      <c r="N68" s="1185"/>
      <c r="O68" s="1172"/>
      <c r="P68" s="1184"/>
      <c r="Q68" s="1172"/>
      <c r="R68" s="1185">
        <f>L68+L70+L69</f>
        <v>9876600.0000000019</v>
      </c>
      <c r="S68" s="1172"/>
    </row>
    <row r="69" spans="1:19" s="1182" customFormat="1">
      <c r="A69" s="1172"/>
      <c r="B69" s="1171"/>
      <c r="C69" s="1172" t="s">
        <v>544</v>
      </c>
      <c r="D69" s="1172" t="s">
        <v>545</v>
      </c>
      <c r="E69" s="1187"/>
      <c r="F69" s="1172"/>
      <c r="G69" s="1189" t="s">
        <v>73</v>
      </c>
      <c r="H69" s="1189">
        <v>12</v>
      </c>
      <c r="I69" s="1190">
        <v>485000</v>
      </c>
      <c r="J69" s="1191">
        <f t="shared" si="0"/>
        <v>5820000</v>
      </c>
      <c r="K69" s="1179">
        <v>0.41</v>
      </c>
      <c r="L69" s="1178">
        <f t="shared" si="1"/>
        <v>3433800.0000000005</v>
      </c>
      <c r="M69" s="1172"/>
      <c r="N69" s="1172"/>
      <c r="O69" s="1172"/>
      <c r="P69" s="1184"/>
      <c r="Q69" s="1172"/>
      <c r="R69" s="1172"/>
      <c r="S69" s="1172"/>
    </row>
    <row r="70" spans="1:19" s="1182" customFormat="1">
      <c r="A70" s="1172"/>
      <c r="B70" s="1171"/>
      <c r="C70" s="1172" t="s">
        <v>544</v>
      </c>
      <c r="D70" s="1172" t="s">
        <v>545</v>
      </c>
      <c r="E70" s="1187"/>
      <c r="F70" s="1172"/>
      <c r="G70" s="1189" t="s">
        <v>34</v>
      </c>
      <c r="H70" s="1189">
        <v>12</v>
      </c>
      <c r="I70" s="1190">
        <v>455000</v>
      </c>
      <c r="J70" s="1191">
        <f t="shared" si="0"/>
        <v>5460000</v>
      </c>
      <c r="K70" s="1179">
        <v>0.41</v>
      </c>
      <c r="L70" s="1178">
        <f t="shared" si="1"/>
        <v>3221400.0000000005</v>
      </c>
      <c r="M70" s="1172"/>
      <c r="N70" s="1172"/>
      <c r="O70" s="1172"/>
      <c r="P70" s="1184"/>
      <c r="Q70" s="1172"/>
      <c r="R70" s="1172"/>
      <c r="S70" s="1172"/>
    </row>
    <row r="71" spans="1:19" s="1182" customFormat="1" ht="21.75">
      <c r="A71" s="1172">
        <v>288</v>
      </c>
      <c r="B71" s="1171" t="s">
        <v>546</v>
      </c>
      <c r="C71" s="1172" t="s">
        <v>96</v>
      </c>
      <c r="D71" s="1172" t="s">
        <v>547</v>
      </c>
      <c r="E71" s="1187" t="s">
        <v>548</v>
      </c>
      <c r="F71" s="1172"/>
      <c r="G71" s="1189" t="s">
        <v>74</v>
      </c>
      <c r="H71" s="1189">
        <v>1</v>
      </c>
      <c r="I71" s="1190">
        <v>550000</v>
      </c>
      <c r="J71" s="1191">
        <f t="shared" si="0"/>
        <v>550000</v>
      </c>
      <c r="K71" s="1179">
        <v>0.41</v>
      </c>
      <c r="L71" s="1178">
        <f t="shared" si="1"/>
        <v>324500.00000000006</v>
      </c>
      <c r="M71" s="1172"/>
      <c r="N71" s="1185">
        <f>L71</f>
        <v>324500.00000000006</v>
      </c>
      <c r="O71" s="1172"/>
      <c r="P71" s="1184"/>
      <c r="Q71" s="1172"/>
      <c r="R71" s="1172"/>
      <c r="S71" s="1172"/>
    </row>
    <row r="72" spans="1:19" s="1182" customFormat="1">
      <c r="A72" s="1172">
        <v>289</v>
      </c>
      <c r="B72" s="1171" t="s">
        <v>549</v>
      </c>
      <c r="C72" s="1172" t="s">
        <v>27</v>
      </c>
      <c r="D72" s="1172"/>
      <c r="E72" s="1174"/>
      <c r="F72" s="1172"/>
      <c r="G72" s="1189" t="s">
        <v>253</v>
      </c>
      <c r="H72" s="1189">
        <v>2</v>
      </c>
      <c r="I72" s="1190">
        <v>255000</v>
      </c>
      <c r="J72" s="1191">
        <f>H72*I72</f>
        <v>510000</v>
      </c>
      <c r="K72" s="1179">
        <v>0.41</v>
      </c>
      <c r="L72" s="1178">
        <f t="shared" si="1"/>
        <v>300900.00000000006</v>
      </c>
      <c r="M72" s="1172"/>
      <c r="N72" s="1185"/>
      <c r="O72" s="1172"/>
      <c r="P72" s="1184"/>
      <c r="Q72" s="1172"/>
      <c r="R72" s="1185">
        <f>L72+L73</f>
        <v>3253850.0000000005</v>
      </c>
      <c r="S72" s="1172"/>
    </row>
    <row r="73" spans="1:19" s="1182" customFormat="1">
      <c r="A73" s="1172"/>
      <c r="B73" s="1171"/>
      <c r="C73" s="1172" t="s">
        <v>27</v>
      </c>
      <c r="D73" s="1172"/>
      <c r="E73" s="1174"/>
      <c r="F73" s="1172"/>
      <c r="G73" s="1189" t="s">
        <v>60</v>
      </c>
      <c r="H73" s="1189">
        <v>11</v>
      </c>
      <c r="I73" s="1190">
        <v>455000</v>
      </c>
      <c r="J73" s="1191">
        <f>H73*I73</f>
        <v>5005000</v>
      </c>
      <c r="K73" s="1179">
        <v>0.41</v>
      </c>
      <c r="L73" s="1178">
        <f t="shared" si="1"/>
        <v>2952950.0000000005</v>
      </c>
      <c r="M73" s="1172"/>
      <c r="N73" s="1172"/>
      <c r="O73" s="1172"/>
      <c r="P73" s="1184"/>
      <c r="Q73" s="1172"/>
      <c r="R73" s="1172"/>
      <c r="S73" s="1172"/>
    </row>
    <row r="74" spans="1:19" s="1182" customFormat="1">
      <c r="A74" s="1172">
        <v>290</v>
      </c>
      <c r="B74" s="1171" t="s">
        <v>550</v>
      </c>
      <c r="C74" s="1172" t="s">
        <v>96</v>
      </c>
      <c r="D74" s="1172" t="s">
        <v>551</v>
      </c>
      <c r="E74" s="1187" t="s">
        <v>552</v>
      </c>
      <c r="F74" s="1172"/>
      <c r="G74" s="1189" t="s">
        <v>30</v>
      </c>
      <c r="H74" s="1189">
        <v>1</v>
      </c>
      <c r="I74" s="1190">
        <v>465000</v>
      </c>
      <c r="J74" s="1191">
        <f>H74*I74</f>
        <v>465000</v>
      </c>
      <c r="K74" s="1179">
        <v>0.41</v>
      </c>
      <c r="L74" s="1178">
        <f t="shared" si="1"/>
        <v>274350.00000000006</v>
      </c>
      <c r="M74" s="1172"/>
      <c r="N74" s="1185">
        <f>L74+L75</f>
        <v>811250.00000000023</v>
      </c>
      <c r="O74" s="1172"/>
      <c r="P74" s="1184"/>
      <c r="Q74" s="1172"/>
      <c r="R74" s="1172"/>
      <c r="S74" s="1172"/>
    </row>
    <row r="75" spans="1:19" s="1182" customFormat="1">
      <c r="A75" s="1172"/>
      <c r="B75" s="1171"/>
      <c r="C75" s="1172" t="s">
        <v>96</v>
      </c>
      <c r="D75" s="1172" t="s">
        <v>551</v>
      </c>
      <c r="E75" s="1187" t="s">
        <v>552</v>
      </c>
      <c r="F75" s="1172"/>
      <c r="G75" s="1189" t="s">
        <v>34</v>
      </c>
      <c r="H75" s="1189">
        <v>2</v>
      </c>
      <c r="I75" s="1190">
        <v>455000</v>
      </c>
      <c r="J75" s="1191">
        <f t="shared" si="0"/>
        <v>910000</v>
      </c>
      <c r="K75" s="1179">
        <v>0.41</v>
      </c>
      <c r="L75" s="1178">
        <f t="shared" si="1"/>
        <v>536900.00000000012</v>
      </c>
      <c r="M75" s="1172"/>
      <c r="N75" s="1172"/>
      <c r="O75" s="1172"/>
      <c r="P75" s="1184"/>
      <c r="Q75" s="1172"/>
      <c r="R75" s="1172"/>
      <c r="S75" s="1192"/>
    </row>
    <row r="76" spans="1:19" s="1182" customFormat="1">
      <c r="A76" s="1172">
        <v>292</v>
      </c>
      <c r="B76" s="1171" t="s">
        <v>1342</v>
      </c>
      <c r="C76" s="1172" t="s">
        <v>27</v>
      </c>
      <c r="D76" s="1172" t="s">
        <v>528</v>
      </c>
      <c r="E76" s="1187" t="s">
        <v>529</v>
      </c>
      <c r="F76" s="1172"/>
      <c r="G76" s="1189" t="s">
        <v>30</v>
      </c>
      <c r="H76" s="1189">
        <v>6</v>
      </c>
      <c r="I76" s="1190">
        <v>465000</v>
      </c>
      <c r="J76" s="1191">
        <f t="shared" si="0"/>
        <v>2790000</v>
      </c>
      <c r="K76" s="1179">
        <v>0.41</v>
      </c>
      <c r="L76" s="1178">
        <f t="shared" si="1"/>
        <v>1646100.0000000002</v>
      </c>
      <c r="M76" s="1172"/>
      <c r="N76" s="1172"/>
      <c r="O76" s="1172"/>
      <c r="P76" s="1184">
        <f>SUM(L76:L79)</f>
        <v>6147800.0000000009</v>
      </c>
      <c r="Q76" s="1172"/>
      <c r="R76" s="1172"/>
      <c r="S76" s="1719" t="s">
        <v>1692</v>
      </c>
    </row>
    <row r="77" spans="1:19" s="1182" customFormat="1">
      <c r="A77" s="1172"/>
      <c r="B77" s="1171"/>
      <c r="C77" s="1172" t="s">
        <v>27</v>
      </c>
      <c r="D77" s="1172" t="s">
        <v>528</v>
      </c>
      <c r="E77" s="1187" t="s">
        <v>529</v>
      </c>
      <c r="F77" s="1172"/>
      <c r="G77" s="1189" t="s">
        <v>50</v>
      </c>
      <c r="H77" s="1189">
        <v>6</v>
      </c>
      <c r="I77" s="1190">
        <v>475000</v>
      </c>
      <c r="J77" s="1191">
        <f t="shared" si="0"/>
        <v>2850000</v>
      </c>
      <c r="K77" s="1179">
        <v>0.41</v>
      </c>
      <c r="L77" s="1178">
        <f t="shared" si="1"/>
        <v>1681500.0000000002</v>
      </c>
      <c r="M77" s="1172"/>
      <c r="N77" s="1172"/>
      <c r="O77" s="1172"/>
      <c r="P77" s="1184"/>
      <c r="Q77" s="1172"/>
      <c r="R77" s="1172"/>
      <c r="S77" s="1720"/>
    </row>
    <row r="78" spans="1:19" s="1182" customFormat="1">
      <c r="A78" s="1172"/>
      <c r="B78" s="1171"/>
      <c r="C78" s="1172" t="s">
        <v>27</v>
      </c>
      <c r="D78" s="1172" t="s">
        <v>528</v>
      </c>
      <c r="E78" s="1187" t="s">
        <v>529</v>
      </c>
      <c r="F78" s="1172"/>
      <c r="G78" s="1189" t="s">
        <v>45</v>
      </c>
      <c r="H78" s="1189">
        <v>8</v>
      </c>
      <c r="I78" s="1190">
        <v>485000</v>
      </c>
      <c r="J78" s="1191">
        <f t="shared" si="0"/>
        <v>3880000</v>
      </c>
      <c r="K78" s="1179">
        <v>0.41</v>
      </c>
      <c r="L78" s="1178">
        <f t="shared" si="1"/>
        <v>2289200.0000000005</v>
      </c>
      <c r="M78" s="1172"/>
      <c r="N78" s="1172"/>
      <c r="O78" s="1172"/>
      <c r="P78" s="1184"/>
      <c r="Q78" s="1172"/>
      <c r="R78" s="1172"/>
      <c r="S78" s="1720"/>
    </row>
    <row r="79" spans="1:19" s="1182" customFormat="1">
      <c r="A79" s="1172"/>
      <c r="B79" s="1171"/>
      <c r="C79" s="1172" t="s">
        <v>27</v>
      </c>
      <c r="D79" s="1172" t="s">
        <v>528</v>
      </c>
      <c r="E79" s="1187" t="s">
        <v>529</v>
      </c>
      <c r="F79" s="1172"/>
      <c r="G79" s="1189" t="s">
        <v>36</v>
      </c>
      <c r="H79" s="1189">
        <v>2</v>
      </c>
      <c r="I79" s="1190">
        <v>450000</v>
      </c>
      <c r="J79" s="1191">
        <f t="shared" si="0"/>
        <v>900000</v>
      </c>
      <c r="K79" s="1179">
        <v>0.41</v>
      </c>
      <c r="L79" s="1178">
        <f t="shared" si="1"/>
        <v>531000.00000000012</v>
      </c>
      <c r="M79" s="1172"/>
      <c r="N79" s="1172"/>
      <c r="O79" s="1172"/>
      <c r="P79" s="1184"/>
      <c r="Q79" s="1172"/>
      <c r="R79" s="1172"/>
      <c r="S79" s="1721"/>
    </row>
    <row r="80" spans="1:19" s="1182" customFormat="1">
      <c r="A80" s="1172">
        <v>310</v>
      </c>
      <c r="B80" s="1171" t="s">
        <v>553</v>
      </c>
      <c r="C80" s="1172" t="s">
        <v>27</v>
      </c>
      <c r="D80" s="1183" t="s">
        <v>520</v>
      </c>
      <c r="E80" s="1174" t="s">
        <v>241</v>
      </c>
      <c r="F80" s="1172"/>
      <c r="G80" s="1189" t="s">
        <v>60</v>
      </c>
      <c r="H80" s="1189">
        <v>24</v>
      </c>
      <c r="I80" s="1190">
        <v>455000</v>
      </c>
      <c r="J80" s="1191">
        <f t="shared" si="0"/>
        <v>10920000</v>
      </c>
      <c r="K80" s="1179">
        <v>0.41</v>
      </c>
      <c r="L80" s="1178">
        <f t="shared" si="1"/>
        <v>6442800.0000000009</v>
      </c>
      <c r="M80" s="1172"/>
      <c r="N80" s="1172"/>
      <c r="O80" s="1172"/>
      <c r="P80" s="1184">
        <f>'[1]Các khoản Thu chi T12'!G101</f>
        <v>10160000</v>
      </c>
      <c r="Q80" s="1172"/>
      <c r="R80" s="1185">
        <f>L80+L81+L82-P80</f>
        <v>3150400.0000000019</v>
      </c>
      <c r="S80" s="1172"/>
    </row>
    <row r="81" spans="1:19" s="1182" customFormat="1">
      <c r="A81" s="1172"/>
      <c r="B81" s="1171"/>
      <c r="C81" s="1172" t="s">
        <v>27</v>
      </c>
      <c r="D81" s="1183" t="s">
        <v>520</v>
      </c>
      <c r="E81" s="1174" t="s">
        <v>241</v>
      </c>
      <c r="F81" s="1172"/>
      <c r="G81" s="1189" t="s">
        <v>45</v>
      </c>
      <c r="H81" s="1189">
        <v>12</v>
      </c>
      <c r="I81" s="1190">
        <v>485000</v>
      </c>
      <c r="J81" s="1191">
        <f t="shared" si="0"/>
        <v>5820000</v>
      </c>
      <c r="K81" s="1179">
        <v>0.41</v>
      </c>
      <c r="L81" s="1178">
        <f t="shared" si="1"/>
        <v>3433800.0000000005</v>
      </c>
      <c r="M81" s="1172"/>
      <c r="N81" s="1172"/>
      <c r="O81" s="1172"/>
      <c r="P81" s="1184"/>
      <c r="Q81" s="1172"/>
      <c r="R81" s="1172"/>
      <c r="S81" s="1172"/>
    </row>
    <row r="82" spans="1:19" s="1182" customFormat="1">
      <c r="A82" s="1172"/>
      <c r="B82" s="1171"/>
      <c r="C82" s="1172" t="s">
        <v>27</v>
      </c>
      <c r="D82" s="1183" t="s">
        <v>520</v>
      </c>
      <c r="E82" s="1174" t="s">
        <v>241</v>
      </c>
      <c r="F82" s="1172"/>
      <c r="G82" s="1189" t="s">
        <v>73</v>
      </c>
      <c r="H82" s="1189">
        <v>12</v>
      </c>
      <c r="I82" s="1190">
        <v>485000</v>
      </c>
      <c r="J82" s="1191">
        <f t="shared" si="0"/>
        <v>5820000</v>
      </c>
      <c r="K82" s="1179">
        <v>0.41</v>
      </c>
      <c r="L82" s="1178">
        <f t="shared" si="1"/>
        <v>3433800.0000000005</v>
      </c>
      <c r="M82" s="1172"/>
      <c r="N82" s="1172"/>
      <c r="O82" s="1172"/>
      <c r="P82" s="1184"/>
      <c r="Q82" s="1172"/>
      <c r="R82" s="1172"/>
      <c r="S82" s="1172"/>
    </row>
    <row r="83" spans="1:19" s="1182" customFormat="1">
      <c r="A83" s="1172">
        <v>293</v>
      </c>
      <c r="B83" s="1171" t="s">
        <v>553</v>
      </c>
      <c r="C83" s="1172" t="s">
        <v>96</v>
      </c>
      <c r="D83" s="1172"/>
      <c r="E83" s="1174"/>
      <c r="F83" s="1172"/>
      <c r="G83" s="1189" t="s">
        <v>36</v>
      </c>
      <c r="H83" s="1189">
        <v>1</v>
      </c>
      <c r="I83" s="1190">
        <v>450000</v>
      </c>
      <c r="J83" s="1191">
        <f t="shared" si="0"/>
        <v>450000</v>
      </c>
      <c r="K83" s="1179">
        <v>0.41</v>
      </c>
      <c r="L83" s="1178">
        <f t="shared" si="1"/>
        <v>265500.00000000006</v>
      </c>
      <c r="M83" s="1172"/>
      <c r="N83" s="1185">
        <f>L83+L84</f>
        <v>533950.00000000012</v>
      </c>
      <c r="O83" s="1172"/>
      <c r="P83" s="1184"/>
      <c r="Q83" s="1172"/>
      <c r="R83" s="1172"/>
      <c r="S83" s="1172"/>
    </row>
    <row r="84" spans="1:19" s="1182" customFormat="1">
      <c r="A84" s="1172"/>
      <c r="B84" s="1171"/>
      <c r="C84" s="1172" t="s">
        <v>96</v>
      </c>
      <c r="D84" s="1172"/>
      <c r="E84" s="1174"/>
      <c r="F84" s="1172"/>
      <c r="G84" s="1189" t="s">
        <v>34</v>
      </c>
      <c r="H84" s="1189">
        <v>1</v>
      </c>
      <c r="I84" s="1190">
        <v>455000</v>
      </c>
      <c r="J84" s="1191">
        <f t="shared" si="0"/>
        <v>455000</v>
      </c>
      <c r="K84" s="1179">
        <v>0.41</v>
      </c>
      <c r="L84" s="1178">
        <f t="shared" si="1"/>
        <v>268450.00000000006</v>
      </c>
      <c r="M84" s="1172"/>
      <c r="N84" s="1172"/>
      <c r="O84" s="1172"/>
      <c r="P84" s="1184"/>
      <c r="Q84" s="1172"/>
      <c r="R84" s="1172"/>
      <c r="S84" s="1172"/>
    </row>
    <row r="85" spans="1:19" s="1182" customFormat="1">
      <c r="A85" s="1172">
        <v>294</v>
      </c>
      <c r="B85" s="1171" t="s">
        <v>554</v>
      </c>
      <c r="C85" s="1172" t="s">
        <v>27</v>
      </c>
      <c r="D85" s="1172" t="s">
        <v>528</v>
      </c>
      <c r="E85" s="1187" t="s">
        <v>529</v>
      </c>
      <c r="F85" s="1187"/>
      <c r="G85" s="1189" t="s">
        <v>253</v>
      </c>
      <c r="H85" s="1189">
        <v>14</v>
      </c>
      <c r="I85" s="1190">
        <f>J85/H85</f>
        <v>227500</v>
      </c>
      <c r="J85" s="1191">
        <v>3185000</v>
      </c>
      <c r="K85" s="1179">
        <v>0.41</v>
      </c>
      <c r="L85" s="1178">
        <f t="shared" si="1"/>
        <v>1879150.0000000002</v>
      </c>
      <c r="M85" s="1172"/>
      <c r="N85" s="1172"/>
      <c r="O85" s="1172"/>
      <c r="P85" s="1184"/>
      <c r="Q85" s="1172"/>
      <c r="R85" s="1185">
        <f>L85+L86</f>
        <v>2852650.0000000005</v>
      </c>
      <c r="S85" s="1172"/>
    </row>
    <row r="86" spans="1:19" s="1182" customFormat="1">
      <c r="A86" s="1172"/>
      <c r="B86" s="1171"/>
      <c r="C86" s="1172" t="s">
        <v>27</v>
      </c>
      <c r="D86" s="1172" t="s">
        <v>528</v>
      </c>
      <c r="E86" s="1187" t="s">
        <v>529</v>
      </c>
      <c r="F86" s="1172"/>
      <c r="G86" s="1189" t="s">
        <v>74</v>
      </c>
      <c r="H86" s="1189">
        <v>3</v>
      </c>
      <c r="I86" s="1190">
        <v>550000</v>
      </c>
      <c r="J86" s="1191">
        <f t="shared" si="0"/>
        <v>1650000</v>
      </c>
      <c r="K86" s="1179">
        <v>0.41</v>
      </c>
      <c r="L86" s="1178">
        <f t="shared" si="1"/>
        <v>973500.00000000012</v>
      </c>
      <c r="M86" s="1172"/>
      <c r="N86" s="1172"/>
      <c r="O86" s="1172"/>
      <c r="P86" s="1184"/>
      <c r="Q86" s="1172"/>
      <c r="R86" s="1172"/>
      <c r="S86" s="1172"/>
    </row>
    <row r="87" spans="1:19" s="1182" customFormat="1">
      <c r="A87" s="1172">
        <v>295</v>
      </c>
      <c r="B87" s="1171" t="s">
        <v>555</v>
      </c>
      <c r="C87" s="1172" t="s">
        <v>27</v>
      </c>
      <c r="D87" s="1172"/>
      <c r="E87" s="1174" t="s">
        <v>556</v>
      </c>
      <c r="F87" s="1172"/>
      <c r="G87" s="1189" t="s">
        <v>34</v>
      </c>
      <c r="H87" s="1189">
        <v>3</v>
      </c>
      <c r="I87" s="1190">
        <v>455000</v>
      </c>
      <c r="J87" s="1191">
        <f t="shared" si="0"/>
        <v>1365000</v>
      </c>
      <c r="K87" s="1179">
        <v>0.41</v>
      </c>
      <c r="L87" s="1178">
        <f t="shared" si="1"/>
        <v>805350.00000000012</v>
      </c>
      <c r="M87" s="1172"/>
      <c r="N87" s="1185"/>
      <c r="O87" s="1172"/>
      <c r="P87" s="1184"/>
      <c r="Q87" s="1172"/>
      <c r="R87" s="1185">
        <f>L87</f>
        <v>805350.00000000012</v>
      </c>
      <c r="S87" s="1172"/>
    </row>
    <row r="88" spans="1:19" s="1182" customFormat="1">
      <c r="A88" s="1172">
        <v>296</v>
      </c>
      <c r="B88" s="1171" t="s">
        <v>1356</v>
      </c>
      <c r="C88" s="1172" t="s">
        <v>124</v>
      </c>
      <c r="D88" s="1193" t="s">
        <v>411</v>
      </c>
      <c r="E88" s="1174" t="s">
        <v>328</v>
      </c>
      <c r="F88" s="1172"/>
      <c r="G88" s="1189" t="s">
        <v>36</v>
      </c>
      <c r="H88" s="1189">
        <v>4</v>
      </c>
      <c r="I88" s="1190">
        <v>450000</v>
      </c>
      <c r="J88" s="1191">
        <f t="shared" si="0"/>
        <v>1800000</v>
      </c>
      <c r="K88" s="1179">
        <v>0.5</v>
      </c>
      <c r="L88" s="1178">
        <f t="shared" si="1"/>
        <v>900000</v>
      </c>
      <c r="M88" s="1172"/>
      <c r="N88" s="1185"/>
      <c r="O88" s="1172"/>
      <c r="P88" s="1184">
        <v>900000</v>
      </c>
      <c r="Q88" s="1172"/>
      <c r="R88" s="1185"/>
      <c r="S88" s="1172"/>
    </row>
    <row r="89" spans="1:19" s="706" customFormat="1">
      <c r="A89" s="647">
        <v>311</v>
      </c>
      <c r="B89" s="665" t="s">
        <v>557</v>
      </c>
      <c r="C89" s="647" t="s">
        <v>544</v>
      </c>
      <c r="D89" s="618" t="s">
        <v>358</v>
      </c>
      <c r="E89" s="626" t="s">
        <v>545</v>
      </c>
      <c r="F89" s="647"/>
      <c r="G89" s="674" t="s">
        <v>253</v>
      </c>
      <c r="H89" s="674">
        <v>24</v>
      </c>
      <c r="I89" s="623">
        <v>255000</v>
      </c>
      <c r="J89" s="628">
        <f t="shared" si="0"/>
        <v>6120000</v>
      </c>
      <c r="K89" s="622">
        <v>0.41</v>
      </c>
      <c r="L89" s="627">
        <f t="shared" si="1"/>
        <v>3610800.0000000005</v>
      </c>
      <c r="M89" s="647"/>
      <c r="N89" s="647"/>
      <c r="O89" s="647"/>
      <c r="P89" s="654"/>
      <c r="Q89" s="647"/>
      <c r="R89" s="625">
        <f>L89+L90+L91</f>
        <v>10124400.000000002</v>
      </c>
      <c r="S89" s="647"/>
    </row>
    <row r="90" spans="1:19" s="706" customFormat="1">
      <c r="A90" s="647"/>
      <c r="B90" s="665"/>
      <c r="C90" s="647" t="s">
        <v>544</v>
      </c>
      <c r="D90" s="618" t="s">
        <v>358</v>
      </c>
      <c r="E90" s="626" t="s">
        <v>545</v>
      </c>
      <c r="F90" s="647"/>
      <c r="G90" s="674" t="s">
        <v>30</v>
      </c>
      <c r="H90" s="674">
        <v>12</v>
      </c>
      <c r="I90" s="623">
        <v>455000</v>
      </c>
      <c r="J90" s="628">
        <f t="shared" si="0"/>
        <v>5460000</v>
      </c>
      <c r="K90" s="622">
        <v>0.41</v>
      </c>
      <c r="L90" s="627">
        <f t="shared" si="1"/>
        <v>3221400.0000000005</v>
      </c>
      <c r="M90" s="647"/>
      <c r="N90" s="647"/>
      <c r="O90" s="647"/>
      <c r="P90" s="654"/>
      <c r="Q90" s="647"/>
      <c r="R90" s="647"/>
      <c r="S90" s="647"/>
    </row>
    <row r="91" spans="1:19" s="706" customFormat="1">
      <c r="A91" s="647"/>
      <c r="B91" s="665"/>
      <c r="C91" s="647" t="s">
        <v>544</v>
      </c>
      <c r="D91" s="618" t="s">
        <v>358</v>
      </c>
      <c r="E91" s="626" t="s">
        <v>545</v>
      </c>
      <c r="F91" s="647"/>
      <c r="G91" s="674" t="s">
        <v>30</v>
      </c>
      <c r="H91" s="674">
        <v>12</v>
      </c>
      <c r="I91" s="623">
        <v>465000</v>
      </c>
      <c r="J91" s="628">
        <f t="shared" si="0"/>
        <v>5580000</v>
      </c>
      <c r="K91" s="622">
        <v>0.41</v>
      </c>
      <c r="L91" s="627">
        <f t="shared" si="1"/>
        <v>3292200.0000000005</v>
      </c>
      <c r="M91" s="647"/>
      <c r="N91" s="647"/>
      <c r="O91" s="647"/>
      <c r="P91" s="654"/>
      <c r="Q91" s="647"/>
      <c r="R91" s="647"/>
      <c r="S91" s="647"/>
    </row>
    <row r="92" spans="1:19" s="1182" customFormat="1">
      <c r="A92" s="1172">
        <v>313</v>
      </c>
      <c r="B92" s="1171" t="s">
        <v>558</v>
      </c>
      <c r="C92" s="1172" t="s">
        <v>27</v>
      </c>
      <c r="D92" s="1183" t="s">
        <v>520</v>
      </c>
      <c r="E92" s="1174" t="s">
        <v>241</v>
      </c>
      <c r="F92" s="1192"/>
      <c r="G92" s="1189" t="s">
        <v>60</v>
      </c>
      <c r="H92" s="1189">
        <v>12</v>
      </c>
      <c r="I92" s="1190">
        <v>455000</v>
      </c>
      <c r="J92" s="1191">
        <f t="shared" si="0"/>
        <v>5460000</v>
      </c>
      <c r="K92" s="1188">
        <v>0.41</v>
      </c>
      <c r="L92" s="1191">
        <f t="shared" si="1"/>
        <v>3221400.0000000005</v>
      </c>
      <c r="M92" s="1192"/>
      <c r="N92" s="1192"/>
      <c r="O92" s="1192"/>
      <c r="P92" s="1194"/>
      <c r="Q92" s="1192"/>
      <c r="R92" s="1185">
        <f>L92+L93+L94</f>
        <v>9947400.0000000019</v>
      </c>
      <c r="S92" s="1172" t="s">
        <v>559</v>
      </c>
    </row>
    <row r="93" spans="1:19" s="1182" customFormat="1">
      <c r="A93" s="1172"/>
      <c r="B93" s="1195"/>
      <c r="C93" s="1172" t="s">
        <v>27</v>
      </c>
      <c r="D93" s="1183" t="s">
        <v>520</v>
      </c>
      <c r="E93" s="1174" t="s">
        <v>241</v>
      </c>
      <c r="F93" s="1192"/>
      <c r="G93" s="1189" t="s">
        <v>30</v>
      </c>
      <c r="H93" s="1189">
        <v>12</v>
      </c>
      <c r="I93" s="1190">
        <v>465000</v>
      </c>
      <c r="J93" s="1191">
        <f t="shared" si="0"/>
        <v>5580000</v>
      </c>
      <c r="K93" s="1188">
        <v>0.41</v>
      </c>
      <c r="L93" s="1191">
        <f t="shared" si="1"/>
        <v>3292200.0000000005</v>
      </c>
      <c r="M93" s="1192"/>
      <c r="N93" s="1192"/>
      <c r="O93" s="1192"/>
      <c r="P93" s="1194"/>
      <c r="Q93" s="1192"/>
      <c r="R93" s="1192"/>
      <c r="S93" s="1192"/>
    </row>
    <row r="94" spans="1:19" s="1182" customFormat="1">
      <c r="A94" s="1172"/>
      <c r="B94" s="1195"/>
      <c r="C94" s="1172" t="s">
        <v>27</v>
      </c>
      <c r="D94" s="1183" t="s">
        <v>520</v>
      </c>
      <c r="E94" s="1174" t="s">
        <v>241</v>
      </c>
      <c r="F94" s="1192"/>
      <c r="G94" s="1189" t="s">
        <v>45</v>
      </c>
      <c r="H94" s="1189">
        <v>12</v>
      </c>
      <c r="I94" s="1190">
        <v>485000</v>
      </c>
      <c r="J94" s="1191">
        <f t="shared" si="0"/>
        <v>5820000</v>
      </c>
      <c r="K94" s="1188">
        <v>0.41</v>
      </c>
      <c r="L94" s="1191">
        <f t="shared" si="1"/>
        <v>3433800.0000000005</v>
      </c>
      <c r="M94" s="1192"/>
      <c r="N94" s="1192"/>
      <c r="O94" s="1192"/>
      <c r="P94" s="1194"/>
      <c r="Q94" s="1192"/>
      <c r="R94" s="1192"/>
      <c r="S94" s="1192"/>
    </row>
    <row r="95" spans="1:19" s="1182" customFormat="1">
      <c r="A95" s="1172">
        <v>314</v>
      </c>
      <c r="B95" s="1196" t="s">
        <v>560</v>
      </c>
      <c r="C95" s="1172"/>
      <c r="D95" s="1197" t="s">
        <v>561</v>
      </c>
      <c r="E95" s="1174" t="s">
        <v>562</v>
      </c>
      <c r="F95" s="1172"/>
      <c r="G95" s="1189" t="s">
        <v>30</v>
      </c>
      <c r="H95" s="1189">
        <v>36</v>
      </c>
      <c r="I95" s="1190">
        <v>465000</v>
      </c>
      <c r="J95" s="1191">
        <f t="shared" si="0"/>
        <v>16740000</v>
      </c>
      <c r="K95" s="1188">
        <v>0.41</v>
      </c>
      <c r="L95" s="1191">
        <f t="shared" si="1"/>
        <v>9876600.0000000019</v>
      </c>
      <c r="M95" s="1172"/>
      <c r="N95" s="1172"/>
      <c r="O95" s="1172"/>
      <c r="P95" s="1184"/>
      <c r="Q95" s="1172"/>
      <c r="R95" s="1185">
        <f>L95+L96+L97+L98+L99+L100</f>
        <v>51294600.000000007</v>
      </c>
      <c r="S95" s="1172"/>
    </row>
    <row r="96" spans="1:19" s="1182" customFormat="1">
      <c r="A96" s="1172"/>
      <c r="B96" s="1196"/>
      <c r="C96" s="1172"/>
      <c r="D96" s="1197" t="s">
        <v>561</v>
      </c>
      <c r="E96" s="1174" t="s">
        <v>562</v>
      </c>
      <c r="F96" s="1172"/>
      <c r="G96" s="1189" t="s">
        <v>50</v>
      </c>
      <c r="H96" s="1189">
        <v>12</v>
      </c>
      <c r="I96" s="1190">
        <v>475000</v>
      </c>
      <c r="J96" s="1191">
        <f t="shared" si="0"/>
        <v>5700000</v>
      </c>
      <c r="K96" s="1188">
        <v>0.41</v>
      </c>
      <c r="L96" s="1191">
        <f t="shared" ref="L96:L100" si="2">H96*I96*(1-K96)</f>
        <v>3363000.0000000005</v>
      </c>
      <c r="M96" s="1172"/>
      <c r="N96" s="1172"/>
      <c r="O96" s="1172"/>
      <c r="P96" s="1184"/>
      <c r="Q96" s="1172"/>
      <c r="R96" s="1172"/>
      <c r="S96" s="1172"/>
    </row>
    <row r="97" spans="1:19" s="1182" customFormat="1">
      <c r="A97" s="1172"/>
      <c r="B97" s="1196"/>
      <c r="C97" s="1172"/>
      <c r="D97" s="1197" t="s">
        <v>561</v>
      </c>
      <c r="E97" s="1174" t="s">
        <v>562</v>
      </c>
      <c r="F97" s="1172"/>
      <c r="G97" s="1189" t="s">
        <v>45</v>
      </c>
      <c r="H97" s="1189">
        <v>36</v>
      </c>
      <c r="I97" s="1190">
        <v>485000</v>
      </c>
      <c r="J97" s="1191">
        <f t="shared" si="0"/>
        <v>17460000</v>
      </c>
      <c r="K97" s="1188">
        <v>0.41</v>
      </c>
      <c r="L97" s="1191">
        <f t="shared" si="2"/>
        <v>10301400.000000002</v>
      </c>
      <c r="M97" s="1172"/>
      <c r="N97" s="1172"/>
      <c r="O97" s="1172"/>
      <c r="P97" s="1184"/>
      <c r="Q97" s="1172"/>
      <c r="R97" s="1172"/>
      <c r="S97" s="1172"/>
    </row>
    <row r="98" spans="1:19" s="1182" customFormat="1">
      <c r="A98" s="1172"/>
      <c r="B98" s="1196"/>
      <c r="C98" s="1172"/>
      <c r="D98" s="1197" t="s">
        <v>561</v>
      </c>
      <c r="E98" s="1174" t="s">
        <v>562</v>
      </c>
      <c r="F98" s="1172"/>
      <c r="G98" s="1189" t="s">
        <v>73</v>
      </c>
      <c r="H98" s="1189">
        <v>24</v>
      </c>
      <c r="I98" s="1190">
        <v>485000</v>
      </c>
      <c r="J98" s="1191">
        <f t="shared" si="0"/>
        <v>11640000</v>
      </c>
      <c r="K98" s="1188">
        <v>0.41</v>
      </c>
      <c r="L98" s="1191">
        <f t="shared" si="2"/>
        <v>6867600.0000000009</v>
      </c>
      <c r="M98" s="1172"/>
      <c r="N98" s="1172"/>
      <c r="O98" s="1172"/>
      <c r="P98" s="1184"/>
      <c r="Q98" s="1172"/>
      <c r="R98" s="1172"/>
      <c r="S98" s="1172"/>
    </row>
    <row r="99" spans="1:19" s="1182" customFormat="1">
      <c r="A99" s="1172"/>
      <c r="B99" s="1196"/>
      <c r="C99" s="1172"/>
      <c r="D99" s="1197" t="s">
        <v>561</v>
      </c>
      <c r="E99" s="1174" t="s">
        <v>562</v>
      </c>
      <c r="F99" s="1172"/>
      <c r="G99" s="1189" t="s">
        <v>74</v>
      </c>
      <c r="H99" s="1189">
        <v>48</v>
      </c>
      <c r="I99" s="1190">
        <v>550000</v>
      </c>
      <c r="J99" s="1191">
        <f t="shared" si="0"/>
        <v>26400000</v>
      </c>
      <c r="K99" s="1188">
        <v>0.41</v>
      </c>
      <c r="L99" s="1191">
        <f t="shared" si="2"/>
        <v>15576000.000000002</v>
      </c>
      <c r="M99" s="1172"/>
      <c r="N99" s="1172"/>
      <c r="O99" s="1172"/>
      <c r="P99" s="1184"/>
      <c r="Q99" s="1172"/>
      <c r="R99" s="1172"/>
      <c r="S99" s="1172"/>
    </row>
    <row r="100" spans="1:19" s="1182" customFormat="1">
      <c r="A100" s="1172"/>
      <c r="B100" s="1196"/>
      <c r="C100" s="1172"/>
      <c r="D100" s="1197" t="s">
        <v>561</v>
      </c>
      <c r="E100" s="1174" t="s">
        <v>562</v>
      </c>
      <c r="F100" s="1172"/>
      <c r="G100" s="1189" t="s">
        <v>36</v>
      </c>
      <c r="H100" s="1189">
        <v>20</v>
      </c>
      <c r="I100" s="1190">
        <v>450000</v>
      </c>
      <c r="J100" s="1191">
        <f t="shared" si="0"/>
        <v>9000000</v>
      </c>
      <c r="K100" s="1188">
        <v>0.41</v>
      </c>
      <c r="L100" s="1191">
        <f t="shared" si="2"/>
        <v>5310000.0000000009</v>
      </c>
      <c r="M100" s="1172"/>
      <c r="N100" s="1172"/>
      <c r="O100" s="1172"/>
      <c r="P100" s="1184"/>
      <c r="Q100" s="1172"/>
      <c r="R100" s="1172"/>
      <c r="S100" s="1172"/>
    </row>
    <row r="101" spans="1:19">
      <c r="A101" s="1722" t="s">
        <v>105</v>
      </c>
      <c r="B101" s="1723"/>
      <c r="C101" s="1723"/>
      <c r="D101" s="1723"/>
      <c r="E101" s="1723"/>
      <c r="F101" s="1723"/>
      <c r="G101" s="1724"/>
      <c r="H101" s="655">
        <f>SUM(H7:H100)</f>
        <v>754</v>
      </c>
      <c r="I101" s="655"/>
      <c r="J101" s="630">
        <f>SUM(J7:J100)</f>
        <v>335640000</v>
      </c>
      <c r="K101" s="655"/>
      <c r="L101" s="630">
        <f>SUM(L7:L100)</f>
        <v>187358750</v>
      </c>
      <c r="M101" s="655"/>
      <c r="N101" s="657">
        <f>SUM(N7:N100)</f>
        <v>13427300</v>
      </c>
      <c r="O101" s="655"/>
      <c r="P101" s="657">
        <f>SUM(P7:P100)</f>
        <v>17207800</v>
      </c>
      <c r="Q101" s="655"/>
      <c r="R101" s="657">
        <f>SUM(R7:R100)</f>
        <v>156723650.00000003</v>
      </c>
      <c r="S101" s="655"/>
    </row>
    <row r="102" spans="1:19">
      <c r="A102" s="1717" t="s">
        <v>563</v>
      </c>
      <c r="B102" s="1718"/>
      <c r="C102" s="1718"/>
      <c r="D102" s="1718"/>
      <c r="E102" s="1718"/>
      <c r="F102" s="1718"/>
      <c r="G102" s="1718"/>
      <c r="H102" s="655">
        <f>H101</f>
        <v>754</v>
      </c>
      <c r="I102" s="655"/>
      <c r="J102" s="655"/>
      <c r="K102" s="655"/>
      <c r="L102" s="630">
        <f>L101</f>
        <v>187358750</v>
      </c>
      <c r="M102" s="655"/>
      <c r="N102" s="655"/>
      <c r="O102" s="655"/>
      <c r="P102" s="655"/>
      <c r="Q102" s="655"/>
      <c r="R102" s="655"/>
      <c r="S102" s="655"/>
    </row>
    <row r="103" spans="1:19">
      <c r="A103" s="1717" t="s">
        <v>509</v>
      </c>
      <c r="B103" s="1718"/>
      <c r="C103" s="1718"/>
      <c r="D103" s="1718"/>
      <c r="E103" s="1718"/>
      <c r="F103" s="1718"/>
      <c r="G103" s="1718"/>
      <c r="H103" s="655"/>
      <c r="I103" s="655"/>
      <c r="J103" s="655"/>
      <c r="K103" s="655"/>
      <c r="L103" s="631">
        <f>N101</f>
        <v>13427300</v>
      </c>
      <c r="M103" s="655"/>
      <c r="N103" s="655"/>
      <c r="O103" s="655"/>
      <c r="P103" s="655"/>
      <c r="Q103" s="655"/>
      <c r="R103" s="655"/>
      <c r="S103" s="655"/>
    </row>
    <row r="104" spans="1:19">
      <c r="A104" s="1717" t="s">
        <v>510</v>
      </c>
      <c r="B104" s="1718"/>
      <c r="C104" s="1718"/>
      <c r="D104" s="1718"/>
      <c r="E104" s="1718"/>
      <c r="F104" s="1718"/>
      <c r="G104" s="1718"/>
      <c r="H104" s="655"/>
      <c r="I104" s="655"/>
      <c r="J104" s="655"/>
      <c r="K104" s="655"/>
      <c r="L104" s="631">
        <f>P101</f>
        <v>17207800</v>
      </c>
      <c r="M104" s="655"/>
      <c r="N104" s="655"/>
      <c r="O104" s="655"/>
      <c r="P104" s="655"/>
      <c r="Q104" s="655"/>
      <c r="R104" s="655"/>
      <c r="S104" s="655"/>
    </row>
    <row r="105" spans="1:19">
      <c r="A105" s="1717" t="s">
        <v>511</v>
      </c>
      <c r="B105" s="1718"/>
      <c r="C105" s="1718"/>
      <c r="D105" s="1718"/>
      <c r="E105" s="1718"/>
      <c r="F105" s="1718"/>
      <c r="G105" s="1718"/>
      <c r="H105" s="655"/>
      <c r="I105" s="655"/>
      <c r="J105" s="655"/>
      <c r="K105" s="655"/>
      <c r="L105" s="631">
        <f>R101</f>
        <v>156723650.00000003</v>
      </c>
      <c r="M105" s="655"/>
      <c r="N105" s="655"/>
      <c r="O105" s="655"/>
      <c r="P105" s="655"/>
      <c r="Q105" s="655"/>
      <c r="R105" s="655"/>
      <c r="S105" s="655"/>
    </row>
    <row r="106" spans="1:19">
      <c r="L106" s="629">
        <f>L101-N101-P101-R101</f>
        <v>0</v>
      </c>
    </row>
  </sheetData>
  <mergeCells count="16"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A103:G103"/>
    <mergeCell ref="A104:G104"/>
    <mergeCell ref="A105:G105"/>
    <mergeCell ref="S76:S79"/>
    <mergeCell ref="A101:G101"/>
    <mergeCell ref="A102:G102"/>
  </mergeCells>
  <pageMargins left="0.7" right="0.7" top="0.75" bottom="0.75" header="0.3" footer="0.3"/>
  <pageSetup paperSize="9" scale="81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13"/>
  <sheetViews>
    <sheetView topLeftCell="A97" zoomScaleNormal="100" workbookViewId="0">
      <selection activeCell="C116" sqref="C116"/>
    </sheetView>
  </sheetViews>
  <sheetFormatPr defaultRowHeight="15"/>
  <cols>
    <col min="1" max="1" width="3.85546875" style="812" customWidth="1"/>
    <col min="2" max="2" width="5.42578125" style="812" customWidth="1"/>
    <col min="3" max="3" width="11" style="812" customWidth="1"/>
    <col min="4" max="4" width="9.140625" style="812"/>
    <col min="5" max="5" width="12.5703125" style="812" customWidth="1"/>
    <col min="6" max="6" width="10.5703125" style="812" bestFit="1" customWidth="1"/>
    <col min="7" max="8" width="9.140625" style="812"/>
    <col min="9" max="9" width="11.5703125" style="812" bestFit="1" customWidth="1"/>
    <col min="10" max="10" width="12" style="812" bestFit="1" customWidth="1"/>
    <col min="11" max="11" width="9.140625" style="812"/>
    <col min="12" max="12" width="13.5703125" style="812" customWidth="1"/>
    <col min="13" max="14" width="9.140625" style="812"/>
    <col min="15" max="16" width="9.85546875" style="812" bestFit="1" customWidth="1"/>
    <col min="17" max="17" width="9.140625" style="812"/>
    <col min="18" max="18" width="12.5703125" style="812" bestFit="1" customWidth="1"/>
    <col min="19" max="16384" width="9.140625" style="812"/>
  </cols>
  <sheetData>
    <row r="1" spans="1:19" s="706" customFormat="1" ht="16.5">
      <c r="A1" s="635" t="s">
        <v>0</v>
      </c>
      <c r="B1" s="645"/>
      <c r="C1" s="636"/>
      <c r="D1" s="637"/>
      <c r="E1" s="637"/>
      <c r="F1" s="637"/>
      <c r="G1" s="634"/>
      <c r="H1" s="1650" t="s">
        <v>1</v>
      </c>
      <c r="I1" s="1650"/>
      <c r="J1" s="1650"/>
      <c r="K1" s="1650"/>
      <c r="L1" s="1650"/>
      <c r="M1" s="1650"/>
      <c r="N1" s="1650"/>
      <c r="O1" s="1650"/>
      <c r="P1" s="1650"/>
      <c r="Q1" s="1650"/>
      <c r="R1" s="1650"/>
      <c r="S1" s="1650"/>
    </row>
    <row r="2" spans="1:19" s="706" customFormat="1" ht="15.75">
      <c r="A2" s="639" t="s">
        <v>2</v>
      </c>
      <c r="B2" s="646"/>
      <c r="C2" s="640"/>
      <c r="D2" s="641"/>
      <c r="E2" s="641"/>
      <c r="F2" s="641"/>
      <c r="G2" s="634"/>
      <c r="H2" s="1651" t="s">
        <v>3</v>
      </c>
      <c r="I2" s="1651"/>
      <c r="J2" s="1651"/>
      <c r="K2" s="1651"/>
      <c r="L2" s="1651"/>
      <c r="M2" s="1651"/>
      <c r="N2" s="1651"/>
      <c r="O2" s="1651"/>
      <c r="P2" s="1651"/>
      <c r="Q2" s="1651"/>
      <c r="R2" s="1651"/>
      <c r="S2" s="1651"/>
    </row>
    <row r="3" spans="1:19" s="706" customFormat="1" ht="20.25">
      <c r="A3" s="1661" t="s">
        <v>4</v>
      </c>
      <c r="B3" s="1661"/>
      <c r="C3" s="1661"/>
      <c r="D3" s="1661"/>
      <c r="E3" s="1661"/>
      <c r="F3" s="1661"/>
      <c r="G3" s="1661"/>
      <c r="H3" s="1661"/>
      <c r="I3" s="1661"/>
      <c r="J3" s="1661"/>
      <c r="K3" s="1662"/>
      <c r="L3" s="1661"/>
      <c r="M3" s="1661"/>
      <c r="N3" s="1661"/>
      <c r="O3" s="1661"/>
      <c r="P3" s="1661"/>
      <c r="Q3" s="1661"/>
      <c r="R3" s="1661"/>
      <c r="S3" s="1661"/>
    </row>
    <row r="4" spans="1:19" s="706" customFormat="1" ht="15.75" thickBot="1">
      <c r="A4" s="1684" t="s">
        <v>564</v>
      </c>
      <c r="B4" s="1684"/>
      <c r="C4" s="1684"/>
      <c r="D4" s="1684"/>
      <c r="E4" s="1684"/>
      <c r="F4" s="1684"/>
      <c r="G4" s="1684"/>
      <c r="H4" s="1684"/>
      <c r="I4" s="1684"/>
      <c r="J4" s="1684"/>
      <c r="K4" s="1685"/>
      <c r="L4" s="1684"/>
      <c r="M4" s="1684"/>
      <c r="N4" s="1684"/>
      <c r="O4" s="1684"/>
      <c r="P4" s="1684"/>
      <c r="Q4" s="1684"/>
      <c r="R4" s="1684"/>
      <c r="S4" s="1684"/>
    </row>
    <row r="5" spans="1:19" s="706" customFormat="1" ht="15.75" thickTop="1">
      <c r="A5" s="1672" t="s">
        <v>6</v>
      </c>
      <c r="B5" s="1686" t="s">
        <v>7</v>
      </c>
      <c r="C5" s="1674" t="s">
        <v>8</v>
      </c>
      <c r="D5" s="1674" t="s">
        <v>9</v>
      </c>
      <c r="E5" s="1674"/>
      <c r="F5" s="1674"/>
      <c r="G5" s="1690" t="s">
        <v>119</v>
      </c>
      <c r="H5" s="1690"/>
      <c r="I5" s="1690"/>
      <c r="J5" s="1690"/>
      <c r="K5" s="1691"/>
      <c r="L5" s="1634" t="s">
        <v>120</v>
      </c>
      <c r="M5" s="1690" t="s">
        <v>12</v>
      </c>
      <c r="N5" s="1690"/>
      <c r="O5" s="1690"/>
      <c r="P5" s="1690"/>
      <c r="Q5" s="1690"/>
      <c r="R5" s="1690"/>
      <c r="S5" s="1659" t="s">
        <v>13</v>
      </c>
    </row>
    <row r="6" spans="1:19" s="706" customFormat="1" ht="27">
      <c r="A6" s="1673"/>
      <c r="B6" s="1687"/>
      <c r="C6" s="1675"/>
      <c r="D6" s="643" t="s">
        <v>14</v>
      </c>
      <c r="E6" s="1368" t="s">
        <v>15</v>
      </c>
      <c r="F6" s="1368" t="s">
        <v>16</v>
      </c>
      <c r="G6" s="1368" t="s">
        <v>17</v>
      </c>
      <c r="H6" s="1368" t="s">
        <v>18</v>
      </c>
      <c r="I6" s="1368" t="s">
        <v>19</v>
      </c>
      <c r="J6" s="1367" t="s">
        <v>20</v>
      </c>
      <c r="K6" s="644" t="s">
        <v>21</v>
      </c>
      <c r="L6" s="1635"/>
      <c r="M6" s="1368" t="s">
        <v>121</v>
      </c>
      <c r="N6" s="1368" t="s">
        <v>23</v>
      </c>
      <c r="O6" s="1368" t="s">
        <v>122</v>
      </c>
      <c r="P6" s="1368" t="s">
        <v>23</v>
      </c>
      <c r="Q6" s="1368" t="s">
        <v>25</v>
      </c>
      <c r="R6" s="1368" t="s">
        <v>23</v>
      </c>
      <c r="S6" s="1660"/>
    </row>
    <row r="7" spans="1:19" s="706" customFormat="1">
      <c r="A7" s="648">
        <v>299</v>
      </c>
      <c r="B7" s="665">
        <v>43862</v>
      </c>
      <c r="C7" s="647" t="s">
        <v>1718</v>
      </c>
      <c r="D7" s="647" t="s">
        <v>533</v>
      </c>
      <c r="E7" s="647" t="s">
        <v>221</v>
      </c>
      <c r="F7" s="647"/>
      <c r="G7" s="648" t="s">
        <v>60</v>
      </c>
      <c r="H7" s="648">
        <v>9</v>
      </c>
      <c r="I7" s="653">
        <v>455000</v>
      </c>
      <c r="J7" s="653">
        <f>H7*I7</f>
        <v>4095000</v>
      </c>
      <c r="K7" s="652">
        <v>0.41</v>
      </c>
      <c r="L7" s="654">
        <f>H7*I7*(1-K7)</f>
        <v>2416050.0000000005</v>
      </c>
      <c r="M7" s="647"/>
      <c r="N7" s="647"/>
      <c r="O7" s="647"/>
      <c r="P7" s="660"/>
      <c r="Q7" s="647"/>
      <c r="R7" s="666">
        <f>L7</f>
        <v>2416050.0000000005</v>
      </c>
      <c r="S7" s="660"/>
    </row>
    <row r="8" spans="1:19" s="706" customFormat="1">
      <c r="A8" s="648">
        <v>351</v>
      </c>
      <c r="B8" s="665">
        <v>43862</v>
      </c>
      <c r="C8" s="647" t="s">
        <v>1718</v>
      </c>
      <c r="D8" s="647" t="s">
        <v>565</v>
      </c>
      <c r="E8" s="647" t="s">
        <v>566</v>
      </c>
      <c r="F8" s="654">
        <v>906996409</v>
      </c>
      <c r="G8" s="648" t="s">
        <v>60</v>
      </c>
      <c r="H8" s="648">
        <v>72</v>
      </c>
      <c r="I8" s="653">
        <v>455000</v>
      </c>
      <c r="J8" s="653">
        <f t="shared" ref="J8:J23" si="0">H8*I8</f>
        <v>32760000</v>
      </c>
      <c r="K8" s="652">
        <v>0.38</v>
      </c>
      <c r="L8" s="654">
        <f t="shared" ref="L8:L71" si="1">H8*I8*(1-K8)</f>
        <v>20311200</v>
      </c>
      <c r="M8" s="647"/>
      <c r="N8" s="647"/>
      <c r="O8" s="660"/>
      <c r="P8" s="654"/>
      <c r="Q8" s="647"/>
      <c r="R8" s="659">
        <f>SUM(L8:L16)-P8</f>
        <v>138774600</v>
      </c>
      <c r="S8" s="647"/>
    </row>
    <row r="9" spans="1:19" s="706" customFormat="1">
      <c r="A9" s="648"/>
      <c r="B9" s="665"/>
      <c r="C9" s="647" t="s">
        <v>1718</v>
      </c>
      <c r="D9" s="647" t="s">
        <v>565</v>
      </c>
      <c r="E9" s="647" t="s">
        <v>566</v>
      </c>
      <c r="F9" s="654"/>
      <c r="G9" s="648" t="s">
        <v>30</v>
      </c>
      <c r="H9" s="648">
        <v>72</v>
      </c>
      <c r="I9" s="653">
        <v>465000</v>
      </c>
      <c r="J9" s="653">
        <f t="shared" si="0"/>
        <v>33480000</v>
      </c>
      <c r="K9" s="652">
        <v>0.38</v>
      </c>
      <c r="L9" s="654">
        <f t="shared" si="1"/>
        <v>20757600</v>
      </c>
      <c r="M9" s="647"/>
      <c r="N9" s="647"/>
      <c r="O9" s="654"/>
      <c r="P9" s="647"/>
      <c r="Q9" s="647"/>
      <c r="R9" s="647"/>
      <c r="S9" s="647"/>
    </row>
    <row r="10" spans="1:19" s="706" customFormat="1">
      <c r="A10" s="648"/>
      <c r="B10" s="665"/>
      <c r="C10" s="647" t="s">
        <v>1718</v>
      </c>
      <c r="D10" s="647" t="s">
        <v>565</v>
      </c>
      <c r="E10" s="647" t="s">
        <v>566</v>
      </c>
      <c r="F10" s="654"/>
      <c r="G10" s="648" t="s">
        <v>50</v>
      </c>
      <c r="H10" s="648">
        <v>72</v>
      </c>
      <c r="I10" s="653">
        <v>475000</v>
      </c>
      <c r="J10" s="653">
        <f t="shared" si="0"/>
        <v>34200000</v>
      </c>
      <c r="K10" s="652">
        <v>0.38</v>
      </c>
      <c r="L10" s="654">
        <f t="shared" si="1"/>
        <v>21204000</v>
      </c>
      <c r="M10" s="647"/>
      <c r="N10" s="647"/>
      <c r="O10" s="654"/>
      <c r="P10" s="647"/>
      <c r="Q10" s="647"/>
      <c r="R10" s="647"/>
      <c r="S10" s="647"/>
    </row>
    <row r="11" spans="1:19" s="706" customFormat="1">
      <c r="A11" s="648"/>
      <c r="B11" s="665"/>
      <c r="C11" s="647" t="s">
        <v>1718</v>
      </c>
      <c r="D11" s="647" t="s">
        <v>565</v>
      </c>
      <c r="E11" s="647" t="s">
        <v>566</v>
      </c>
      <c r="F11" s="654"/>
      <c r="G11" s="648" t="s">
        <v>45</v>
      </c>
      <c r="H11" s="648">
        <v>72</v>
      </c>
      <c r="I11" s="653">
        <v>485000</v>
      </c>
      <c r="J11" s="653">
        <f t="shared" si="0"/>
        <v>34920000</v>
      </c>
      <c r="K11" s="652">
        <v>0.38</v>
      </c>
      <c r="L11" s="654">
        <f t="shared" si="1"/>
        <v>21650400</v>
      </c>
      <c r="M11" s="647"/>
      <c r="N11" s="647"/>
      <c r="O11" s="654"/>
      <c r="P11" s="647"/>
      <c r="Q11" s="647"/>
      <c r="R11" s="647"/>
      <c r="S11" s="647"/>
    </row>
    <row r="12" spans="1:19" s="706" customFormat="1">
      <c r="A12" s="648"/>
      <c r="B12" s="665"/>
      <c r="C12" s="647" t="s">
        <v>1718</v>
      </c>
      <c r="D12" s="647" t="s">
        <v>565</v>
      </c>
      <c r="E12" s="647" t="s">
        <v>566</v>
      </c>
      <c r="F12" s="654"/>
      <c r="G12" s="648" t="s">
        <v>73</v>
      </c>
      <c r="H12" s="648">
        <v>24</v>
      </c>
      <c r="I12" s="653">
        <v>485000</v>
      </c>
      <c r="J12" s="653">
        <f t="shared" si="0"/>
        <v>11640000</v>
      </c>
      <c r="K12" s="652">
        <v>0.38</v>
      </c>
      <c r="L12" s="654">
        <f t="shared" si="1"/>
        <v>7216800</v>
      </c>
      <c r="M12" s="647"/>
      <c r="N12" s="647"/>
      <c r="O12" s="654"/>
      <c r="P12" s="647"/>
      <c r="Q12" s="647"/>
      <c r="R12" s="647"/>
      <c r="S12" s="647"/>
    </row>
    <row r="13" spans="1:19" s="706" customFormat="1">
      <c r="A13" s="648"/>
      <c r="B13" s="665"/>
      <c r="C13" s="647" t="s">
        <v>1718</v>
      </c>
      <c r="D13" s="647" t="s">
        <v>565</v>
      </c>
      <c r="E13" s="647" t="s">
        <v>566</v>
      </c>
      <c r="F13" s="654"/>
      <c r="G13" s="648" t="s">
        <v>74</v>
      </c>
      <c r="H13" s="648">
        <v>48</v>
      </c>
      <c r="I13" s="653">
        <v>550000</v>
      </c>
      <c r="J13" s="653">
        <f t="shared" si="0"/>
        <v>26400000</v>
      </c>
      <c r="K13" s="652">
        <v>0.38</v>
      </c>
      <c r="L13" s="654">
        <f t="shared" si="1"/>
        <v>16368000</v>
      </c>
      <c r="M13" s="647"/>
      <c r="N13" s="647"/>
      <c r="O13" s="654"/>
      <c r="P13" s="647"/>
      <c r="Q13" s="647"/>
      <c r="R13" s="647"/>
      <c r="S13" s="647"/>
    </row>
    <row r="14" spans="1:19" s="706" customFormat="1">
      <c r="A14" s="648"/>
      <c r="B14" s="665"/>
      <c r="C14" s="647" t="s">
        <v>1718</v>
      </c>
      <c r="D14" s="647" t="s">
        <v>565</v>
      </c>
      <c r="E14" s="647" t="s">
        <v>566</v>
      </c>
      <c r="F14" s="654"/>
      <c r="G14" s="648" t="s">
        <v>36</v>
      </c>
      <c r="H14" s="648">
        <v>15</v>
      </c>
      <c r="I14" s="653">
        <v>450000</v>
      </c>
      <c r="J14" s="653">
        <f t="shared" si="0"/>
        <v>6750000</v>
      </c>
      <c r="K14" s="652">
        <v>0.38</v>
      </c>
      <c r="L14" s="654">
        <f t="shared" si="1"/>
        <v>4185000</v>
      </c>
      <c r="M14" s="647"/>
      <c r="N14" s="647"/>
      <c r="O14" s="654"/>
      <c r="P14" s="647"/>
      <c r="Q14" s="647"/>
      <c r="R14" s="647"/>
      <c r="S14" s="647"/>
    </row>
    <row r="15" spans="1:19" s="706" customFormat="1">
      <c r="A15" s="648"/>
      <c r="B15" s="665"/>
      <c r="C15" s="647" t="s">
        <v>1718</v>
      </c>
      <c r="D15" s="647" t="s">
        <v>565</v>
      </c>
      <c r="E15" s="647" t="s">
        <v>566</v>
      </c>
      <c r="F15" s="654"/>
      <c r="G15" s="648" t="s">
        <v>34</v>
      </c>
      <c r="H15" s="648">
        <v>72</v>
      </c>
      <c r="I15" s="653">
        <v>455000</v>
      </c>
      <c r="J15" s="653">
        <f t="shared" si="0"/>
        <v>32760000</v>
      </c>
      <c r="K15" s="652">
        <v>0.38</v>
      </c>
      <c r="L15" s="654">
        <f t="shared" si="1"/>
        <v>20311200</v>
      </c>
      <c r="M15" s="647"/>
      <c r="N15" s="647"/>
      <c r="O15" s="654"/>
      <c r="P15" s="647"/>
      <c r="Q15" s="647"/>
      <c r="R15" s="647"/>
      <c r="S15" s="647"/>
    </row>
    <row r="16" spans="1:19" s="706" customFormat="1">
      <c r="A16" s="648"/>
      <c r="B16" s="665"/>
      <c r="C16" s="647" t="s">
        <v>1718</v>
      </c>
      <c r="D16" s="647" t="s">
        <v>565</v>
      </c>
      <c r="E16" s="647" t="s">
        <v>566</v>
      </c>
      <c r="F16" s="654"/>
      <c r="G16" s="648" t="s">
        <v>46</v>
      </c>
      <c r="H16" s="648">
        <v>24</v>
      </c>
      <c r="I16" s="653">
        <v>455000</v>
      </c>
      <c r="J16" s="653">
        <f t="shared" si="0"/>
        <v>10920000</v>
      </c>
      <c r="K16" s="652">
        <v>0.38</v>
      </c>
      <c r="L16" s="654">
        <f t="shared" si="1"/>
        <v>6770400</v>
      </c>
      <c r="M16" s="647"/>
      <c r="N16" s="647"/>
      <c r="O16" s="654"/>
      <c r="P16" s="647"/>
      <c r="Q16" s="647"/>
      <c r="R16" s="647"/>
      <c r="S16" s="647"/>
    </row>
    <row r="17" spans="1:19" s="706" customFormat="1">
      <c r="A17" s="648">
        <v>353</v>
      </c>
      <c r="B17" s="665">
        <v>43862</v>
      </c>
      <c r="C17" s="647" t="s">
        <v>1718</v>
      </c>
      <c r="D17" s="647" t="s">
        <v>567</v>
      </c>
      <c r="E17" s="647" t="s">
        <v>241</v>
      </c>
      <c r="F17" s="654"/>
      <c r="G17" s="648" t="s">
        <v>253</v>
      </c>
      <c r="H17" s="648">
        <v>24</v>
      </c>
      <c r="I17" s="653">
        <v>255000</v>
      </c>
      <c r="J17" s="653">
        <f t="shared" si="0"/>
        <v>6120000</v>
      </c>
      <c r="K17" s="652">
        <v>0.41</v>
      </c>
      <c r="L17" s="654">
        <f t="shared" si="1"/>
        <v>3610800.0000000005</v>
      </c>
      <c r="M17" s="647"/>
      <c r="N17" s="647"/>
      <c r="O17" s="654"/>
      <c r="P17" s="647"/>
      <c r="Q17" s="647"/>
      <c r="R17" s="659">
        <f>SUM(L17:L23)</f>
        <v>52923000.000000007</v>
      </c>
      <c r="S17" s="1726" t="s">
        <v>568</v>
      </c>
    </row>
    <row r="18" spans="1:19" s="706" customFormat="1">
      <c r="A18" s="648"/>
      <c r="B18" s="665"/>
      <c r="C18" s="647" t="s">
        <v>1718</v>
      </c>
      <c r="D18" s="647" t="s">
        <v>567</v>
      </c>
      <c r="E18" s="647" t="s">
        <v>241</v>
      </c>
      <c r="F18" s="654"/>
      <c r="G18" s="648" t="s">
        <v>60</v>
      </c>
      <c r="H18" s="648">
        <v>60</v>
      </c>
      <c r="I18" s="653">
        <v>455000</v>
      </c>
      <c r="J18" s="653">
        <f t="shared" si="0"/>
        <v>27300000</v>
      </c>
      <c r="K18" s="652">
        <v>0.41</v>
      </c>
      <c r="L18" s="654">
        <f t="shared" si="1"/>
        <v>16107000.000000002</v>
      </c>
      <c r="M18" s="647"/>
      <c r="N18" s="647"/>
      <c r="O18" s="654"/>
      <c r="P18" s="647"/>
      <c r="Q18" s="647"/>
      <c r="R18" s="647"/>
      <c r="S18" s="1727"/>
    </row>
    <row r="19" spans="1:19" s="706" customFormat="1">
      <c r="A19" s="648"/>
      <c r="B19" s="665"/>
      <c r="C19" s="647" t="s">
        <v>1718</v>
      </c>
      <c r="D19" s="647" t="s">
        <v>567</v>
      </c>
      <c r="E19" s="647" t="s">
        <v>241</v>
      </c>
      <c r="F19" s="654"/>
      <c r="G19" s="648" t="s">
        <v>30</v>
      </c>
      <c r="H19" s="648">
        <v>36</v>
      </c>
      <c r="I19" s="653">
        <v>465000</v>
      </c>
      <c r="J19" s="653">
        <f t="shared" si="0"/>
        <v>16740000</v>
      </c>
      <c r="K19" s="652">
        <v>0.41</v>
      </c>
      <c r="L19" s="654">
        <f t="shared" si="1"/>
        <v>9876600.0000000019</v>
      </c>
      <c r="M19" s="647"/>
      <c r="N19" s="647"/>
      <c r="O19" s="654"/>
      <c r="P19" s="647"/>
      <c r="Q19" s="647"/>
      <c r="R19" s="647"/>
      <c r="S19" s="1727"/>
    </row>
    <row r="20" spans="1:19" s="706" customFormat="1">
      <c r="A20" s="648"/>
      <c r="B20" s="665"/>
      <c r="C20" s="647" t="s">
        <v>1718</v>
      </c>
      <c r="D20" s="647" t="s">
        <v>567</v>
      </c>
      <c r="E20" s="647" t="s">
        <v>241</v>
      </c>
      <c r="F20" s="654"/>
      <c r="G20" s="648" t="s">
        <v>50</v>
      </c>
      <c r="H20" s="648">
        <v>12</v>
      </c>
      <c r="I20" s="653">
        <v>475000</v>
      </c>
      <c r="J20" s="653">
        <f t="shared" si="0"/>
        <v>5700000</v>
      </c>
      <c r="K20" s="652">
        <v>0.41</v>
      </c>
      <c r="L20" s="654">
        <f t="shared" si="1"/>
        <v>3363000.0000000005</v>
      </c>
      <c r="M20" s="647"/>
      <c r="N20" s="647"/>
      <c r="O20" s="654"/>
      <c r="P20" s="647"/>
      <c r="Q20" s="647"/>
      <c r="R20" s="647"/>
      <c r="S20" s="1727"/>
    </row>
    <row r="21" spans="1:19" s="706" customFormat="1">
      <c r="A21" s="648"/>
      <c r="B21" s="665"/>
      <c r="C21" s="647" t="s">
        <v>1718</v>
      </c>
      <c r="D21" s="647" t="s">
        <v>567</v>
      </c>
      <c r="E21" s="647" t="s">
        <v>241</v>
      </c>
      <c r="F21" s="654"/>
      <c r="G21" s="648" t="s">
        <v>45</v>
      </c>
      <c r="H21" s="648">
        <v>36</v>
      </c>
      <c r="I21" s="653">
        <v>485000</v>
      </c>
      <c r="J21" s="653">
        <f t="shared" si="0"/>
        <v>17460000</v>
      </c>
      <c r="K21" s="652">
        <v>0.41</v>
      </c>
      <c r="L21" s="654">
        <f t="shared" si="1"/>
        <v>10301400.000000002</v>
      </c>
      <c r="M21" s="647"/>
      <c r="N21" s="647"/>
      <c r="O21" s="654"/>
      <c r="P21" s="647"/>
      <c r="Q21" s="647"/>
      <c r="R21" s="647"/>
      <c r="S21" s="1727"/>
    </row>
    <row r="22" spans="1:19" s="706" customFormat="1">
      <c r="A22" s="648"/>
      <c r="B22" s="665"/>
      <c r="C22" s="647" t="s">
        <v>1718</v>
      </c>
      <c r="D22" s="647" t="s">
        <v>567</v>
      </c>
      <c r="E22" s="647" t="s">
        <v>241</v>
      </c>
      <c r="F22" s="654"/>
      <c r="G22" s="648" t="s">
        <v>34</v>
      </c>
      <c r="H22" s="648">
        <v>12</v>
      </c>
      <c r="I22" s="653">
        <v>455000</v>
      </c>
      <c r="J22" s="653">
        <f t="shared" si="0"/>
        <v>5460000</v>
      </c>
      <c r="K22" s="652">
        <v>0.41</v>
      </c>
      <c r="L22" s="654">
        <f t="shared" si="1"/>
        <v>3221400.0000000005</v>
      </c>
      <c r="M22" s="647"/>
      <c r="N22" s="647"/>
      <c r="O22" s="654"/>
      <c r="P22" s="647"/>
      <c r="Q22" s="647"/>
      <c r="R22" s="647"/>
      <c r="S22" s="1727"/>
    </row>
    <row r="23" spans="1:19" s="706" customFormat="1">
      <c r="A23" s="648"/>
      <c r="B23" s="665"/>
      <c r="C23" s="647" t="s">
        <v>1718</v>
      </c>
      <c r="D23" s="647" t="s">
        <v>567</v>
      </c>
      <c r="E23" s="647" t="s">
        <v>241</v>
      </c>
      <c r="F23" s="654"/>
      <c r="G23" s="648" t="s">
        <v>46</v>
      </c>
      <c r="H23" s="648">
        <v>24</v>
      </c>
      <c r="I23" s="653">
        <v>455000</v>
      </c>
      <c r="J23" s="653">
        <f t="shared" si="0"/>
        <v>10920000</v>
      </c>
      <c r="K23" s="652">
        <v>0.41</v>
      </c>
      <c r="L23" s="654">
        <f t="shared" si="1"/>
        <v>6442800.0000000009</v>
      </c>
      <c r="M23" s="647"/>
      <c r="N23" s="647"/>
      <c r="O23" s="654"/>
      <c r="P23" s="647"/>
      <c r="Q23" s="647"/>
      <c r="R23" s="647"/>
      <c r="S23" s="1728"/>
    </row>
    <row r="24" spans="1:19" s="706" customFormat="1">
      <c r="A24" s="648">
        <v>300</v>
      </c>
      <c r="B24" s="650">
        <v>43922</v>
      </c>
      <c r="C24" s="647" t="s">
        <v>1718</v>
      </c>
      <c r="D24" s="647" t="s">
        <v>569</v>
      </c>
      <c r="E24" s="647"/>
      <c r="F24" s="647"/>
      <c r="G24" s="648" t="s">
        <v>45</v>
      </c>
      <c r="H24" s="648">
        <v>2</v>
      </c>
      <c r="I24" s="654">
        <v>485000</v>
      </c>
      <c r="J24" s="653">
        <f>H24*I24</f>
        <v>970000</v>
      </c>
      <c r="K24" s="652">
        <v>0.41</v>
      </c>
      <c r="L24" s="654">
        <f t="shared" si="1"/>
        <v>572300.00000000012</v>
      </c>
      <c r="M24" s="647"/>
      <c r="N24" s="647"/>
      <c r="O24" s="654"/>
      <c r="P24" s="647"/>
      <c r="Q24" s="647"/>
      <c r="R24" s="659">
        <f>SUM(L24:L25)</f>
        <v>1109200.0000000002</v>
      </c>
      <c r="S24" s="647"/>
    </row>
    <row r="25" spans="1:19" s="706" customFormat="1">
      <c r="A25" s="648"/>
      <c r="B25" s="647"/>
      <c r="C25" s="647" t="s">
        <v>1718</v>
      </c>
      <c r="D25" s="647" t="s">
        <v>569</v>
      </c>
      <c r="E25" s="647"/>
      <c r="F25" s="647"/>
      <c r="G25" s="648" t="s">
        <v>46</v>
      </c>
      <c r="H25" s="648">
        <v>2</v>
      </c>
      <c r="I25" s="654">
        <v>455000</v>
      </c>
      <c r="J25" s="653">
        <f t="shared" ref="J25:J106" si="2">H25*I25</f>
        <v>910000</v>
      </c>
      <c r="K25" s="652">
        <v>0.41</v>
      </c>
      <c r="L25" s="654">
        <f t="shared" si="1"/>
        <v>536900.00000000012</v>
      </c>
      <c r="M25" s="647"/>
      <c r="N25" s="647"/>
      <c r="O25" s="654"/>
      <c r="P25" s="647"/>
      <c r="Q25" s="647"/>
      <c r="R25" s="647"/>
      <c r="S25" s="647"/>
    </row>
    <row r="26" spans="1:19" s="706" customFormat="1">
      <c r="A26" s="648">
        <v>298</v>
      </c>
      <c r="B26" s="650">
        <v>43952</v>
      </c>
      <c r="C26" s="647" t="s">
        <v>1718</v>
      </c>
      <c r="D26" s="647" t="s">
        <v>570</v>
      </c>
      <c r="E26" s="647"/>
      <c r="F26" s="647"/>
      <c r="G26" s="648" t="s">
        <v>42</v>
      </c>
      <c r="H26" s="648">
        <v>2</v>
      </c>
      <c r="I26" s="654">
        <v>265000</v>
      </c>
      <c r="J26" s="653">
        <f t="shared" si="2"/>
        <v>530000</v>
      </c>
      <c r="K26" s="652">
        <v>1</v>
      </c>
      <c r="L26" s="654">
        <f t="shared" si="1"/>
        <v>0</v>
      </c>
      <c r="M26" s="647"/>
      <c r="N26" s="647"/>
      <c r="O26" s="654"/>
      <c r="P26" s="647"/>
      <c r="Q26" s="647"/>
      <c r="R26" s="647"/>
      <c r="S26" s="647"/>
    </row>
    <row r="27" spans="1:19" s="706" customFormat="1">
      <c r="A27" s="648">
        <v>401</v>
      </c>
      <c r="B27" s="650">
        <v>43952</v>
      </c>
      <c r="C27" s="647" t="s">
        <v>571</v>
      </c>
      <c r="D27" s="647" t="s">
        <v>304</v>
      </c>
      <c r="E27" s="647"/>
      <c r="F27" s="647"/>
      <c r="G27" s="648" t="s">
        <v>45</v>
      </c>
      <c r="H27" s="648">
        <v>2</v>
      </c>
      <c r="I27" s="654">
        <v>485000</v>
      </c>
      <c r="J27" s="653">
        <f t="shared" si="2"/>
        <v>970000</v>
      </c>
      <c r="K27" s="652">
        <v>0.41</v>
      </c>
      <c r="L27" s="654">
        <f t="shared" si="1"/>
        <v>572300.00000000012</v>
      </c>
      <c r="M27" s="647"/>
      <c r="N27" s="659">
        <f>SUM(L27:L29)</f>
        <v>1377650.0000000002</v>
      </c>
      <c r="O27" s="654"/>
      <c r="P27" s="647"/>
      <c r="Q27" s="647"/>
      <c r="R27" s="647"/>
      <c r="S27" s="647"/>
    </row>
    <row r="28" spans="1:19" s="706" customFormat="1">
      <c r="A28" s="648"/>
      <c r="B28" s="650"/>
      <c r="C28" s="647" t="s">
        <v>571</v>
      </c>
      <c r="D28" s="647" t="s">
        <v>304</v>
      </c>
      <c r="E28" s="647"/>
      <c r="F28" s="647"/>
      <c r="G28" s="648" t="s">
        <v>34</v>
      </c>
      <c r="H28" s="648">
        <v>2</v>
      </c>
      <c r="I28" s="654">
        <v>455000</v>
      </c>
      <c r="J28" s="653">
        <f t="shared" si="2"/>
        <v>910000</v>
      </c>
      <c r="K28" s="652">
        <v>0.41</v>
      </c>
      <c r="L28" s="654">
        <f t="shared" si="1"/>
        <v>536900.00000000012</v>
      </c>
      <c r="M28" s="647"/>
      <c r="N28" s="647"/>
      <c r="O28" s="654"/>
      <c r="P28" s="647"/>
      <c r="Q28" s="647"/>
      <c r="R28" s="647"/>
      <c r="S28" s="647"/>
    </row>
    <row r="29" spans="1:19" s="706" customFormat="1">
      <c r="A29" s="648"/>
      <c r="B29" s="650"/>
      <c r="C29" s="647" t="s">
        <v>571</v>
      </c>
      <c r="D29" s="647" t="s">
        <v>304</v>
      </c>
      <c r="E29" s="647"/>
      <c r="F29" s="647"/>
      <c r="G29" s="648" t="s">
        <v>46</v>
      </c>
      <c r="H29" s="648">
        <v>1</v>
      </c>
      <c r="I29" s="654">
        <v>455000</v>
      </c>
      <c r="J29" s="653">
        <f t="shared" si="2"/>
        <v>455000</v>
      </c>
      <c r="K29" s="652">
        <v>0.41</v>
      </c>
      <c r="L29" s="654">
        <f t="shared" si="1"/>
        <v>268450.00000000006</v>
      </c>
      <c r="M29" s="647"/>
      <c r="N29" s="647"/>
      <c r="O29" s="654"/>
      <c r="P29" s="647"/>
      <c r="Q29" s="647"/>
      <c r="R29" s="647"/>
      <c r="S29" s="647"/>
    </row>
    <row r="30" spans="1:19" s="706" customFormat="1">
      <c r="A30" s="648">
        <v>402</v>
      </c>
      <c r="B30" s="650">
        <v>43983</v>
      </c>
      <c r="C30" s="647" t="s">
        <v>1718</v>
      </c>
      <c r="D30" s="647" t="s">
        <v>572</v>
      </c>
      <c r="E30" s="647" t="s">
        <v>573</v>
      </c>
      <c r="F30" s="647"/>
      <c r="G30" s="648" t="s">
        <v>60</v>
      </c>
      <c r="H30" s="648">
        <v>1</v>
      </c>
      <c r="I30" s="654">
        <v>455000</v>
      </c>
      <c r="J30" s="653">
        <f t="shared" si="2"/>
        <v>455000</v>
      </c>
      <c r="K30" s="652">
        <v>0.25</v>
      </c>
      <c r="L30" s="654">
        <f t="shared" si="1"/>
        <v>341250</v>
      </c>
      <c r="M30" s="647"/>
      <c r="N30" s="647"/>
      <c r="O30" s="654"/>
      <c r="P30" s="647"/>
      <c r="Q30" s="647"/>
      <c r="R30" s="659">
        <f>L30</f>
        <v>341250</v>
      </c>
      <c r="S30" s="647"/>
    </row>
    <row r="31" spans="1:19" s="706" customFormat="1">
      <c r="A31" s="671">
        <v>355</v>
      </c>
      <c r="B31" s="1370">
        <v>44013</v>
      </c>
      <c r="C31" s="647" t="s">
        <v>1718</v>
      </c>
      <c r="D31" s="672" t="s">
        <v>575</v>
      </c>
      <c r="E31" s="661" t="s">
        <v>576</v>
      </c>
      <c r="F31" s="661"/>
      <c r="G31" s="648" t="s">
        <v>60</v>
      </c>
      <c r="H31" s="648">
        <v>36</v>
      </c>
      <c r="I31" s="668">
        <v>455000</v>
      </c>
      <c r="J31" s="669">
        <f t="shared" si="2"/>
        <v>16380000</v>
      </c>
      <c r="K31" s="652">
        <v>0.41</v>
      </c>
      <c r="L31" s="654">
        <f t="shared" si="1"/>
        <v>9664200.0000000019</v>
      </c>
      <c r="M31" s="661"/>
      <c r="N31" s="661"/>
      <c r="O31" s="670"/>
      <c r="P31" s="661"/>
      <c r="Q31" s="661"/>
      <c r="R31" s="662">
        <f>SUM(L31:L34)</f>
        <v>29736000.000000004</v>
      </c>
      <c r="S31" s="661"/>
    </row>
    <row r="32" spans="1:19" s="706" customFormat="1">
      <c r="A32" s="667"/>
      <c r="B32" s="673"/>
      <c r="C32" s="647" t="s">
        <v>1718</v>
      </c>
      <c r="D32" s="672" t="s">
        <v>575</v>
      </c>
      <c r="E32" s="661" t="s">
        <v>576</v>
      </c>
      <c r="F32" s="661"/>
      <c r="G32" s="648" t="s">
        <v>42</v>
      </c>
      <c r="H32" s="648">
        <v>24</v>
      </c>
      <c r="I32" s="668">
        <v>265000</v>
      </c>
      <c r="J32" s="669">
        <f t="shared" si="2"/>
        <v>6360000</v>
      </c>
      <c r="K32" s="652">
        <v>0.41</v>
      </c>
      <c r="L32" s="654">
        <f t="shared" si="1"/>
        <v>3752400.0000000005</v>
      </c>
      <c r="M32" s="661"/>
      <c r="N32" s="661"/>
      <c r="O32" s="670"/>
      <c r="P32" s="661"/>
      <c r="Q32" s="661"/>
      <c r="R32" s="661"/>
      <c r="S32" s="661"/>
    </row>
    <row r="33" spans="1:19" s="706" customFormat="1">
      <c r="A33" s="667"/>
      <c r="B33" s="673"/>
      <c r="C33" s="647" t="s">
        <v>1718</v>
      </c>
      <c r="D33" s="672" t="s">
        <v>575</v>
      </c>
      <c r="E33" s="661" t="s">
        <v>576</v>
      </c>
      <c r="F33" s="661"/>
      <c r="G33" s="648" t="s">
        <v>30</v>
      </c>
      <c r="H33" s="648">
        <v>36</v>
      </c>
      <c r="I33" s="668">
        <v>465000</v>
      </c>
      <c r="J33" s="669">
        <f t="shared" si="2"/>
        <v>16740000</v>
      </c>
      <c r="K33" s="652">
        <v>0.41</v>
      </c>
      <c r="L33" s="654">
        <f t="shared" si="1"/>
        <v>9876600.0000000019</v>
      </c>
      <c r="M33" s="661"/>
      <c r="N33" s="661"/>
      <c r="O33" s="670"/>
      <c r="P33" s="661"/>
      <c r="Q33" s="661"/>
      <c r="R33" s="661"/>
      <c r="S33" s="661"/>
    </row>
    <row r="34" spans="1:19" s="706" customFormat="1">
      <c r="A34" s="667"/>
      <c r="B34" s="673"/>
      <c r="C34" s="647" t="s">
        <v>1718</v>
      </c>
      <c r="D34" s="672" t="s">
        <v>575</v>
      </c>
      <c r="E34" s="661" t="s">
        <v>576</v>
      </c>
      <c r="F34" s="661"/>
      <c r="G34" s="648" t="s">
        <v>46</v>
      </c>
      <c r="H34" s="648">
        <v>24</v>
      </c>
      <c r="I34" s="668">
        <v>455000</v>
      </c>
      <c r="J34" s="669">
        <f t="shared" si="2"/>
        <v>10920000</v>
      </c>
      <c r="K34" s="652">
        <v>0.41</v>
      </c>
      <c r="L34" s="654">
        <f t="shared" si="1"/>
        <v>6442800.0000000009</v>
      </c>
      <c r="M34" s="661"/>
      <c r="N34" s="661"/>
      <c r="O34" s="670"/>
      <c r="P34" s="661"/>
      <c r="Q34" s="661"/>
      <c r="R34" s="661"/>
      <c r="S34" s="661"/>
    </row>
    <row r="35" spans="1:19" s="706" customFormat="1">
      <c r="A35" s="648">
        <v>404</v>
      </c>
      <c r="B35" s="650">
        <v>44013</v>
      </c>
      <c r="C35" s="647" t="s">
        <v>302</v>
      </c>
      <c r="D35" s="647"/>
      <c r="E35" s="647" t="s">
        <v>577</v>
      </c>
      <c r="F35" s="647"/>
      <c r="G35" s="648" t="s">
        <v>42</v>
      </c>
      <c r="H35" s="648">
        <v>2</v>
      </c>
      <c r="I35" s="654">
        <v>265000</v>
      </c>
      <c r="J35" s="654">
        <f t="shared" si="2"/>
        <v>530000</v>
      </c>
      <c r="K35" s="652">
        <v>0.41</v>
      </c>
      <c r="L35" s="654">
        <f t="shared" si="1"/>
        <v>312700.00000000006</v>
      </c>
      <c r="M35" s="647"/>
      <c r="N35" s="659">
        <f>L35</f>
        <v>312700.00000000006</v>
      </c>
      <c r="O35" s="654"/>
      <c r="P35" s="661"/>
      <c r="Q35" s="661"/>
      <c r="R35" s="661"/>
      <c r="S35" s="661"/>
    </row>
    <row r="36" spans="1:19" s="706" customFormat="1">
      <c r="A36" s="648">
        <v>405</v>
      </c>
      <c r="B36" s="650">
        <v>44013</v>
      </c>
      <c r="C36" s="647" t="s">
        <v>1718</v>
      </c>
      <c r="D36" s="647" t="s">
        <v>578</v>
      </c>
      <c r="E36" s="647"/>
      <c r="F36" s="647"/>
      <c r="G36" s="648" t="s">
        <v>45</v>
      </c>
      <c r="H36" s="648">
        <v>3</v>
      </c>
      <c r="I36" s="654">
        <v>485000</v>
      </c>
      <c r="J36" s="654">
        <f t="shared" si="2"/>
        <v>1455000</v>
      </c>
      <c r="K36" s="652">
        <v>0.41</v>
      </c>
      <c r="L36" s="654">
        <f t="shared" si="1"/>
        <v>858450.00000000012</v>
      </c>
      <c r="M36" s="647"/>
      <c r="N36" s="647"/>
      <c r="O36" s="654"/>
      <c r="P36" s="661"/>
      <c r="Q36" s="661"/>
      <c r="R36" s="662">
        <f>L36</f>
        <v>858450.00000000012</v>
      </c>
      <c r="S36" s="661"/>
    </row>
    <row r="37" spans="1:19" s="706" customFormat="1">
      <c r="A37" s="648">
        <v>406</v>
      </c>
      <c r="B37" s="650">
        <v>44044</v>
      </c>
      <c r="C37" s="647" t="s">
        <v>571</v>
      </c>
      <c r="D37" s="647" t="s">
        <v>304</v>
      </c>
      <c r="E37" s="647"/>
      <c r="F37" s="647"/>
      <c r="G37" s="648" t="s">
        <v>34</v>
      </c>
      <c r="H37" s="648">
        <v>2</v>
      </c>
      <c r="I37" s="654">
        <v>455000</v>
      </c>
      <c r="J37" s="654">
        <f t="shared" si="2"/>
        <v>910000</v>
      </c>
      <c r="K37" s="652">
        <v>0.41</v>
      </c>
      <c r="L37" s="654">
        <f t="shared" si="1"/>
        <v>536900.00000000012</v>
      </c>
      <c r="M37" s="647"/>
      <c r="N37" s="659">
        <f>L37</f>
        <v>536900.00000000012</v>
      </c>
      <c r="O37" s="654"/>
      <c r="P37" s="661"/>
      <c r="Q37" s="661"/>
      <c r="R37" s="661"/>
      <c r="S37" s="661"/>
    </row>
    <row r="38" spans="1:19" s="706" customFormat="1">
      <c r="A38" s="648">
        <v>408</v>
      </c>
      <c r="B38" s="665">
        <v>44044</v>
      </c>
      <c r="C38" s="647" t="s">
        <v>1718</v>
      </c>
      <c r="D38" s="647" t="s">
        <v>565</v>
      </c>
      <c r="E38" s="647" t="s">
        <v>566</v>
      </c>
      <c r="F38" s="647"/>
      <c r="G38" s="648" t="s">
        <v>30</v>
      </c>
      <c r="H38" s="648">
        <v>48</v>
      </c>
      <c r="I38" s="654">
        <v>465000</v>
      </c>
      <c r="J38" s="654">
        <f t="shared" si="2"/>
        <v>22320000</v>
      </c>
      <c r="K38" s="652">
        <v>0.38</v>
      </c>
      <c r="L38" s="654">
        <f t="shared" si="1"/>
        <v>13838400</v>
      </c>
      <c r="M38" s="647"/>
      <c r="N38" s="647"/>
      <c r="O38" s="654"/>
      <c r="P38" s="661"/>
      <c r="Q38" s="661"/>
      <c r="R38" s="670">
        <f>SUM(L38:L41)</f>
        <v>55948800</v>
      </c>
      <c r="S38" s="1730" t="s">
        <v>579</v>
      </c>
    </row>
    <row r="39" spans="1:19" s="706" customFormat="1">
      <c r="A39" s="648"/>
      <c r="B39" s="665"/>
      <c r="C39" s="647" t="s">
        <v>1718</v>
      </c>
      <c r="D39" s="647" t="s">
        <v>565</v>
      </c>
      <c r="E39" s="647" t="s">
        <v>566</v>
      </c>
      <c r="F39" s="647"/>
      <c r="G39" s="648" t="s">
        <v>50</v>
      </c>
      <c r="H39" s="648">
        <v>48</v>
      </c>
      <c r="I39" s="654">
        <v>475000</v>
      </c>
      <c r="J39" s="654">
        <f t="shared" si="2"/>
        <v>22800000</v>
      </c>
      <c r="K39" s="652">
        <v>0.38</v>
      </c>
      <c r="L39" s="654">
        <f t="shared" si="1"/>
        <v>14136000</v>
      </c>
      <c r="M39" s="647"/>
      <c r="N39" s="647"/>
      <c r="O39" s="654"/>
      <c r="P39" s="661"/>
      <c r="Q39" s="661"/>
      <c r="R39" s="661"/>
      <c r="S39" s="1731"/>
    </row>
    <row r="40" spans="1:19" s="706" customFormat="1">
      <c r="A40" s="648"/>
      <c r="B40" s="665"/>
      <c r="C40" s="647" t="s">
        <v>1718</v>
      </c>
      <c r="D40" s="647" t="s">
        <v>565</v>
      </c>
      <c r="E40" s="647" t="s">
        <v>566</v>
      </c>
      <c r="F40" s="647"/>
      <c r="G40" s="648" t="s">
        <v>45</v>
      </c>
      <c r="H40" s="648">
        <v>48</v>
      </c>
      <c r="I40" s="654">
        <v>485000</v>
      </c>
      <c r="J40" s="654">
        <f t="shared" si="2"/>
        <v>23280000</v>
      </c>
      <c r="K40" s="652">
        <v>0.38</v>
      </c>
      <c r="L40" s="654">
        <f t="shared" si="1"/>
        <v>14433600</v>
      </c>
      <c r="M40" s="647"/>
      <c r="N40" s="647"/>
      <c r="O40" s="654"/>
      <c r="P40" s="661"/>
      <c r="Q40" s="661"/>
      <c r="R40" s="661"/>
      <c r="S40" s="1731"/>
    </row>
    <row r="41" spans="1:19" s="706" customFormat="1">
      <c r="A41" s="648"/>
      <c r="B41" s="665"/>
      <c r="C41" s="647" t="s">
        <v>1718</v>
      </c>
      <c r="D41" s="647" t="s">
        <v>565</v>
      </c>
      <c r="E41" s="647" t="s">
        <v>566</v>
      </c>
      <c r="F41" s="647"/>
      <c r="G41" s="648" t="s">
        <v>34</v>
      </c>
      <c r="H41" s="648">
        <v>48</v>
      </c>
      <c r="I41" s="654">
        <v>455000</v>
      </c>
      <c r="J41" s="654">
        <f t="shared" si="2"/>
        <v>21840000</v>
      </c>
      <c r="K41" s="652">
        <v>0.38</v>
      </c>
      <c r="L41" s="654">
        <f t="shared" si="1"/>
        <v>13540800</v>
      </c>
      <c r="M41" s="647"/>
      <c r="N41" s="647"/>
      <c r="O41" s="654"/>
      <c r="P41" s="661"/>
      <c r="Q41" s="661"/>
      <c r="R41" s="661"/>
      <c r="S41" s="1732"/>
    </row>
    <row r="42" spans="1:19" s="706" customFormat="1">
      <c r="A42" s="648">
        <v>409</v>
      </c>
      <c r="B42" s="650">
        <v>44105</v>
      </c>
      <c r="C42" s="647" t="s">
        <v>1718</v>
      </c>
      <c r="D42" s="647" t="s">
        <v>580</v>
      </c>
      <c r="E42" s="647" t="s">
        <v>581</v>
      </c>
      <c r="F42" s="647"/>
      <c r="G42" s="648" t="s">
        <v>45</v>
      </c>
      <c r="H42" s="648">
        <v>12</v>
      </c>
      <c r="I42" s="654">
        <v>485000</v>
      </c>
      <c r="J42" s="654">
        <f t="shared" si="2"/>
        <v>5820000</v>
      </c>
      <c r="K42" s="652">
        <v>0.41</v>
      </c>
      <c r="L42" s="654">
        <f t="shared" si="1"/>
        <v>3433800.0000000005</v>
      </c>
      <c r="M42" s="647"/>
      <c r="N42" s="647"/>
      <c r="O42" s="654"/>
      <c r="P42" s="661"/>
      <c r="Q42" s="661"/>
      <c r="R42" s="662">
        <f>L42</f>
        <v>3433800.0000000005</v>
      </c>
      <c r="S42" s="661"/>
    </row>
    <row r="43" spans="1:19" s="706" customFormat="1">
      <c r="A43" s="648">
        <v>410</v>
      </c>
      <c r="B43" s="650">
        <v>44075</v>
      </c>
      <c r="C43" s="647" t="s">
        <v>1718</v>
      </c>
      <c r="D43" s="647" t="s">
        <v>582</v>
      </c>
      <c r="E43" s="647" t="s">
        <v>331</v>
      </c>
      <c r="F43" s="647"/>
      <c r="G43" s="648" t="s">
        <v>30</v>
      </c>
      <c r="H43" s="648">
        <v>2</v>
      </c>
      <c r="I43" s="654">
        <v>465000</v>
      </c>
      <c r="J43" s="654">
        <f t="shared" si="2"/>
        <v>930000</v>
      </c>
      <c r="K43" s="647" t="s">
        <v>583</v>
      </c>
      <c r="L43" s="654">
        <v>853000</v>
      </c>
      <c r="M43" s="647"/>
      <c r="N43" s="647"/>
      <c r="O43" s="654"/>
      <c r="P43" s="661"/>
      <c r="Q43" s="661"/>
      <c r="R43" s="662">
        <f t="shared" ref="R43:R45" si="3">L43</f>
        <v>853000</v>
      </c>
      <c r="S43" s="661"/>
    </row>
    <row r="44" spans="1:19" s="706" customFormat="1">
      <c r="A44" s="648">
        <v>411</v>
      </c>
      <c r="B44" s="650">
        <v>44075</v>
      </c>
      <c r="C44" s="647" t="s">
        <v>1718</v>
      </c>
      <c r="D44" s="647" t="s">
        <v>584</v>
      </c>
      <c r="E44" s="647" t="s">
        <v>585</v>
      </c>
      <c r="F44" s="647"/>
      <c r="G44" s="648" t="s">
        <v>60</v>
      </c>
      <c r="H44" s="648">
        <v>2</v>
      </c>
      <c r="I44" s="654">
        <v>455000</v>
      </c>
      <c r="J44" s="654">
        <f t="shared" si="2"/>
        <v>910000</v>
      </c>
      <c r="K44" s="647" t="s">
        <v>583</v>
      </c>
      <c r="L44" s="654">
        <v>856000</v>
      </c>
      <c r="M44" s="647"/>
      <c r="N44" s="647"/>
      <c r="O44" s="654"/>
      <c r="P44" s="661"/>
      <c r="Q44" s="661"/>
      <c r="R44" s="662">
        <f t="shared" si="3"/>
        <v>856000</v>
      </c>
      <c r="S44" s="661"/>
    </row>
    <row r="45" spans="1:19" s="706" customFormat="1">
      <c r="A45" s="648">
        <v>412</v>
      </c>
      <c r="B45" s="650">
        <v>44136</v>
      </c>
      <c r="C45" s="647" t="s">
        <v>1718</v>
      </c>
      <c r="D45" s="647" t="s">
        <v>572</v>
      </c>
      <c r="E45" s="647" t="s">
        <v>573</v>
      </c>
      <c r="F45" s="647"/>
      <c r="G45" s="648" t="s">
        <v>60</v>
      </c>
      <c r="H45" s="648">
        <v>2</v>
      </c>
      <c r="I45" s="654">
        <v>455000</v>
      </c>
      <c r="J45" s="654">
        <f t="shared" si="2"/>
        <v>910000</v>
      </c>
      <c r="K45" s="652">
        <v>0.25</v>
      </c>
      <c r="L45" s="654">
        <f t="shared" si="1"/>
        <v>682500</v>
      </c>
      <c r="M45" s="647"/>
      <c r="N45" s="647"/>
      <c r="O45" s="654"/>
      <c r="P45" s="661"/>
      <c r="Q45" s="661"/>
      <c r="R45" s="662">
        <f t="shared" si="3"/>
        <v>682500</v>
      </c>
      <c r="S45" s="661"/>
    </row>
    <row r="46" spans="1:19" s="706" customFormat="1">
      <c r="A46" s="648">
        <v>371</v>
      </c>
      <c r="B46" s="650">
        <v>44166</v>
      </c>
      <c r="C46" s="647" t="s">
        <v>1719</v>
      </c>
      <c r="D46" s="647" t="s">
        <v>574</v>
      </c>
      <c r="E46" s="647" t="s">
        <v>562</v>
      </c>
      <c r="F46" s="647"/>
      <c r="G46" s="648" t="s">
        <v>60</v>
      </c>
      <c r="H46" s="648">
        <v>24</v>
      </c>
      <c r="I46" s="654">
        <v>455000</v>
      </c>
      <c r="J46" s="654">
        <f t="shared" si="2"/>
        <v>10920000</v>
      </c>
      <c r="K46" s="652">
        <v>0.41</v>
      </c>
      <c r="L46" s="654">
        <f t="shared" si="1"/>
        <v>6442800.0000000009</v>
      </c>
      <c r="M46" s="647"/>
      <c r="N46" s="647"/>
      <c r="O46" s="654"/>
      <c r="P46" s="661"/>
      <c r="Q46" s="661"/>
      <c r="R46" s="662">
        <f>SUM(L46:L53)</f>
        <v>44373900.000000007</v>
      </c>
      <c r="S46" s="661"/>
    </row>
    <row r="47" spans="1:19" s="706" customFormat="1">
      <c r="A47" s="648"/>
      <c r="B47" s="650"/>
      <c r="C47" s="647" t="s">
        <v>1719</v>
      </c>
      <c r="D47" s="647" t="s">
        <v>574</v>
      </c>
      <c r="E47" s="647" t="s">
        <v>562</v>
      </c>
      <c r="F47" s="647"/>
      <c r="G47" s="648" t="s">
        <v>30</v>
      </c>
      <c r="H47" s="648">
        <v>12</v>
      </c>
      <c r="I47" s="654">
        <v>465000</v>
      </c>
      <c r="J47" s="654">
        <f t="shared" si="2"/>
        <v>5580000</v>
      </c>
      <c r="K47" s="652">
        <v>0.41</v>
      </c>
      <c r="L47" s="654">
        <f t="shared" si="1"/>
        <v>3292200.0000000005</v>
      </c>
      <c r="M47" s="647"/>
      <c r="N47" s="647"/>
      <c r="O47" s="654"/>
      <c r="P47" s="661"/>
      <c r="Q47" s="661"/>
      <c r="R47" s="661"/>
      <c r="S47" s="661"/>
    </row>
    <row r="48" spans="1:19" s="706" customFormat="1">
      <c r="A48" s="648"/>
      <c r="B48" s="650"/>
      <c r="C48" s="647" t="s">
        <v>1719</v>
      </c>
      <c r="D48" s="647" t="s">
        <v>574</v>
      </c>
      <c r="E48" s="647" t="s">
        <v>562</v>
      </c>
      <c r="F48" s="647"/>
      <c r="G48" s="648" t="s">
        <v>50</v>
      </c>
      <c r="H48" s="648">
        <v>24</v>
      </c>
      <c r="I48" s="654">
        <v>475000</v>
      </c>
      <c r="J48" s="654">
        <f t="shared" si="2"/>
        <v>11400000</v>
      </c>
      <c r="K48" s="652">
        <v>0.41</v>
      </c>
      <c r="L48" s="654">
        <f t="shared" si="1"/>
        <v>6726000.0000000009</v>
      </c>
      <c r="M48" s="647"/>
      <c r="N48" s="647"/>
      <c r="O48" s="654"/>
      <c r="P48" s="661"/>
      <c r="Q48" s="661"/>
      <c r="R48" s="661"/>
      <c r="S48" s="661"/>
    </row>
    <row r="49" spans="1:19" s="706" customFormat="1">
      <c r="A49" s="648"/>
      <c r="B49" s="650"/>
      <c r="C49" s="647" t="s">
        <v>1719</v>
      </c>
      <c r="D49" s="647" t="s">
        <v>574</v>
      </c>
      <c r="E49" s="647" t="s">
        <v>562</v>
      </c>
      <c r="F49" s="647"/>
      <c r="G49" s="648" t="s">
        <v>45</v>
      </c>
      <c r="H49" s="648">
        <v>12</v>
      </c>
      <c r="I49" s="654">
        <v>485000</v>
      </c>
      <c r="J49" s="654">
        <f t="shared" si="2"/>
        <v>5820000</v>
      </c>
      <c r="K49" s="652">
        <v>0.41</v>
      </c>
      <c r="L49" s="654">
        <f t="shared" si="1"/>
        <v>3433800.0000000005</v>
      </c>
      <c r="M49" s="647"/>
      <c r="N49" s="647"/>
      <c r="O49" s="654"/>
      <c r="P49" s="661"/>
      <c r="Q49" s="661"/>
      <c r="R49" s="661"/>
      <c r="S49" s="661"/>
    </row>
    <row r="50" spans="1:19" s="706" customFormat="1">
      <c r="A50" s="648"/>
      <c r="B50" s="650"/>
      <c r="C50" s="647" t="s">
        <v>1719</v>
      </c>
      <c r="D50" s="647" t="s">
        <v>574</v>
      </c>
      <c r="E50" s="647" t="s">
        <v>562</v>
      </c>
      <c r="F50" s="647"/>
      <c r="G50" s="648" t="s">
        <v>74</v>
      </c>
      <c r="H50" s="648">
        <v>12</v>
      </c>
      <c r="I50" s="654">
        <v>550000</v>
      </c>
      <c r="J50" s="654">
        <f t="shared" si="2"/>
        <v>6600000</v>
      </c>
      <c r="K50" s="652">
        <v>0.41</v>
      </c>
      <c r="L50" s="654">
        <f t="shared" si="1"/>
        <v>3894000.0000000005</v>
      </c>
      <c r="M50" s="647"/>
      <c r="N50" s="647"/>
      <c r="O50" s="654"/>
      <c r="P50" s="661"/>
      <c r="Q50" s="661"/>
      <c r="R50" s="661"/>
      <c r="S50" s="661"/>
    </row>
    <row r="51" spans="1:19">
      <c r="A51" s="648"/>
      <c r="B51" s="650"/>
      <c r="C51" s="647" t="s">
        <v>1719</v>
      </c>
      <c r="D51" s="647" t="s">
        <v>574</v>
      </c>
      <c r="E51" s="647" t="s">
        <v>562</v>
      </c>
      <c r="F51" s="647"/>
      <c r="G51" s="648" t="s">
        <v>36</v>
      </c>
      <c r="H51" s="648">
        <v>29</v>
      </c>
      <c r="I51" s="654">
        <v>450000</v>
      </c>
      <c r="J51" s="654">
        <f t="shared" si="2"/>
        <v>13050000</v>
      </c>
      <c r="K51" s="652">
        <v>0.41</v>
      </c>
      <c r="L51" s="654">
        <f t="shared" si="1"/>
        <v>7699500.0000000009</v>
      </c>
      <c r="M51" s="647"/>
      <c r="N51" s="647"/>
      <c r="O51" s="654"/>
      <c r="P51" s="661"/>
      <c r="Q51" s="661"/>
      <c r="R51" s="661"/>
      <c r="S51" s="661"/>
    </row>
    <row r="52" spans="1:19">
      <c r="A52" s="648"/>
      <c r="B52" s="650"/>
      <c r="C52" s="647" t="s">
        <v>1719</v>
      </c>
      <c r="D52" s="647" t="s">
        <v>574</v>
      </c>
      <c r="E52" s="647" t="s">
        <v>562</v>
      </c>
      <c r="F52" s="647"/>
      <c r="G52" s="648" t="s">
        <v>34</v>
      </c>
      <c r="H52" s="648">
        <v>36</v>
      </c>
      <c r="I52" s="654">
        <v>455000</v>
      </c>
      <c r="J52" s="654">
        <f t="shared" si="2"/>
        <v>16380000</v>
      </c>
      <c r="K52" s="652">
        <v>0.41</v>
      </c>
      <c r="L52" s="654">
        <f t="shared" si="1"/>
        <v>9664200.0000000019</v>
      </c>
      <c r="M52" s="647"/>
      <c r="N52" s="647"/>
      <c r="O52" s="654"/>
      <c r="P52" s="661"/>
      <c r="Q52" s="661"/>
      <c r="R52" s="661"/>
      <c r="S52" s="661"/>
    </row>
    <row r="53" spans="1:19">
      <c r="A53" s="648"/>
      <c r="B53" s="650"/>
      <c r="C53" s="647" t="s">
        <v>1719</v>
      </c>
      <c r="D53" s="647" t="s">
        <v>574</v>
      </c>
      <c r="E53" s="647" t="s">
        <v>562</v>
      </c>
      <c r="F53" s="647"/>
      <c r="G53" s="648" t="s">
        <v>46</v>
      </c>
      <c r="H53" s="648">
        <v>12</v>
      </c>
      <c r="I53" s="654">
        <v>455000</v>
      </c>
      <c r="J53" s="654">
        <f t="shared" si="2"/>
        <v>5460000</v>
      </c>
      <c r="K53" s="652">
        <v>0.41</v>
      </c>
      <c r="L53" s="654">
        <f t="shared" si="1"/>
        <v>3221400.0000000005</v>
      </c>
      <c r="M53" s="647"/>
      <c r="N53" s="647"/>
      <c r="O53" s="654"/>
      <c r="P53" s="661"/>
      <c r="Q53" s="661"/>
      <c r="R53" s="661"/>
      <c r="S53" s="661"/>
    </row>
    <row r="54" spans="1:19">
      <c r="A54" s="648">
        <v>413</v>
      </c>
      <c r="B54" s="650">
        <v>44166</v>
      </c>
      <c r="C54" s="647" t="s">
        <v>571</v>
      </c>
      <c r="D54" s="647" t="s">
        <v>304</v>
      </c>
      <c r="E54" s="647"/>
      <c r="F54" s="647"/>
      <c r="G54" s="648" t="s">
        <v>74</v>
      </c>
      <c r="H54" s="648">
        <v>2</v>
      </c>
      <c r="I54" s="654">
        <v>550000</v>
      </c>
      <c r="J54" s="654">
        <f t="shared" si="2"/>
        <v>1100000</v>
      </c>
      <c r="K54" s="652">
        <v>0.41</v>
      </c>
      <c r="L54" s="654">
        <f t="shared" si="1"/>
        <v>649000.00000000012</v>
      </c>
      <c r="M54" s="647"/>
      <c r="N54" s="659">
        <f>L54</f>
        <v>649000.00000000012</v>
      </c>
      <c r="O54" s="654"/>
      <c r="P54" s="661"/>
      <c r="Q54" s="661"/>
      <c r="R54" s="661"/>
      <c r="S54" s="661"/>
    </row>
    <row r="55" spans="1:19">
      <c r="A55" s="648">
        <v>415</v>
      </c>
      <c r="B55" s="650" t="s">
        <v>586</v>
      </c>
      <c r="C55" s="647" t="s">
        <v>1718</v>
      </c>
      <c r="D55" s="647" t="s">
        <v>354</v>
      </c>
      <c r="E55" s="647" t="s">
        <v>483</v>
      </c>
      <c r="F55" s="647"/>
      <c r="G55" s="648" t="s">
        <v>60</v>
      </c>
      <c r="H55" s="648">
        <v>5</v>
      </c>
      <c r="I55" s="654">
        <v>455000</v>
      </c>
      <c r="J55" s="654">
        <f t="shared" si="2"/>
        <v>2275000</v>
      </c>
      <c r="K55" s="652">
        <v>0.3</v>
      </c>
      <c r="L55" s="654">
        <f t="shared" si="1"/>
        <v>1592500</v>
      </c>
      <c r="M55" s="647"/>
      <c r="N55" s="647"/>
      <c r="O55" s="654"/>
      <c r="P55" s="661"/>
      <c r="Q55" s="661"/>
      <c r="R55" s="662">
        <f t="shared" ref="R55:R57" si="4">L55</f>
        <v>1592500</v>
      </c>
      <c r="S55" s="661"/>
    </row>
    <row r="56" spans="1:19">
      <c r="A56" s="648">
        <v>416</v>
      </c>
      <c r="B56" s="650" t="s">
        <v>586</v>
      </c>
      <c r="C56" s="647" t="s">
        <v>1718</v>
      </c>
      <c r="D56" s="647" t="s">
        <v>578</v>
      </c>
      <c r="E56" s="647"/>
      <c r="F56" s="647"/>
      <c r="G56" s="648" t="s">
        <v>45</v>
      </c>
      <c r="H56" s="648">
        <v>3</v>
      </c>
      <c r="I56" s="654">
        <v>485000</v>
      </c>
      <c r="J56" s="654">
        <f t="shared" si="2"/>
        <v>1455000</v>
      </c>
      <c r="K56" s="652">
        <v>0.41</v>
      </c>
      <c r="L56" s="654">
        <f t="shared" si="1"/>
        <v>858450.00000000012</v>
      </c>
      <c r="M56" s="647"/>
      <c r="N56" s="647"/>
      <c r="O56" s="654"/>
      <c r="P56" s="661"/>
      <c r="Q56" s="661"/>
      <c r="R56" s="662">
        <f t="shared" si="4"/>
        <v>858450.00000000012</v>
      </c>
      <c r="S56" s="661"/>
    </row>
    <row r="57" spans="1:19">
      <c r="A57" s="648">
        <v>358</v>
      </c>
      <c r="B57" s="651" t="s">
        <v>586</v>
      </c>
      <c r="C57" s="647" t="s">
        <v>1718</v>
      </c>
      <c r="D57" s="647" t="s">
        <v>567</v>
      </c>
      <c r="E57" s="647" t="s">
        <v>241</v>
      </c>
      <c r="F57" s="647"/>
      <c r="G57" s="648" t="s">
        <v>73</v>
      </c>
      <c r="H57" s="648">
        <v>24</v>
      </c>
      <c r="I57" s="654">
        <v>485000</v>
      </c>
      <c r="J57" s="654">
        <f t="shared" si="2"/>
        <v>11640000</v>
      </c>
      <c r="K57" s="652">
        <v>0.51</v>
      </c>
      <c r="L57" s="654">
        <f t="shared" si="1"/>
        <v>5703600</v>
      </c>
      <c r="M57" s="647"/>
      <c r="N57" s="647"/>
      <c r="O57" s="654"/>
      <c r="P57" s="661"/>
      <c r="Q57" s="661"/>
      <c r="R57" s="662">
        <f t="shared" si="4"/>
        <v>5703600</v>
      </c>
      <c r="S57" s="661" t="s">
        <v>587</v>
      </c>
    </row>
    <row r="58" spans="1:19">
      <c r="A58" s="648">
        <v>359</v>
      </c>
      <c r="B58" s="651" t="s">
        <v>588</v>
      </c>
      <c r="C58" s="647" t="s">
        <v>1718</v>
      </c>
      <c r="D58" s="647" t="s">
        <v>589</v>
      </c>
      <c r="E58" s="647" t="s">
        <v>590</v>
      </c>
      <c r="F58" s="647"/>
      <c r="G58" s="648" t="s">
        <v>30</v>
      </c>
      <c r="H58" s="648">
        <f>144-60-72</f>
        <v>12</v>
      </c>
      <c r="I58" s="654">
        <v>465000</v>
      </c>
      <c r="J58" s="654">
        <f t="shared" si="2"/>
        <v>5580000</v>
      </c>
      <c r="K58" s="652">
        <v>0.41</v>
      </c>
      <c r="L58" s="654">
        <f t="shared" si="1"/>
        <v>3292200.0000000005</v>
      </c>
      <c r="M58" s="647"/>
      <c r="N58" s="647"/>
      <c r="O58" s="654"/>
      <c r="P58" s="661"/>
      <c r="Q58" s="661"/>
      <c r="R58" s="662">
        <f>SUM(L58:L62)</f>
        <v>16531800.000000002</v>
      </c>
      <c r="S58" s="1730" t="s">
        <v>591</v>
      </c>
    </row>
    <row r="59" spans="1:19">
      <c r="A59" s="648"/>
      <c r="B59" s="651"/>
      <c r="C59" s="647" t="s">
        <v>1718</v>
      </c>
      <c r="D59" s="647" t="s">
        <v>589</v>
      </c>
      <c r="E59" s="647" t="s">
        <v>592</v>
      </c>
      <c r="F59" s="647"/>
      <c r="G59" s="648" t="s">
        <v>50</v>
      </c>
      <c r="H59" s="648">
        <f>108-60-36</f>
        <v>12</v>
      </c>
      <c r="I59" s="654">
        <v>475000</v>
      </c>
      <c r="J59" s="654">
        <f t="shared" si="2"/>
        <v>5700000</v>
      </c>
      <c r="K59" s="652">
        <v>0.41</v>
      </c>
      <c r="L59" s="654">
        <f t="shared" si="1"/>
        <v>3363000.0000000005</v>
      </c>
      <c r="M59" s="647"/>
      <c r="N59" s="647"/>
      <c r="O59" s="654"/>
      <c r="P59" s="661"/>
      <c r="Q59" s="661"/>
      <c r="R59" s="661"/>
      <c r="S59" s="1731"/>
    </row>
    <row r="60" spans="1:19">
      <c r="A60" s="648"/>
      <c r="B60" s="651"/>
      <c r="C60" s="647" t="s">
        <v>1718</v>
      </c>
      <c r="D60" s="647" t="s">
        <v>589</v>
      </c>
      <c r="E60" s="647" t="s">
        <v>593</v>
      </c>
      <c r="F60" s="647"/>
      <c r="G60" s="648" t="s">
        <v>45</v>
      </c>
      <c r="H60" s="648">
        <f>120-60-48</f>
        <v>12</v>
      </c>
      <c r="I60" s="654">
        <v>485000</v>
      </c>
      <c r="J60" s="654">
        <f t="shared" si="2"/>
        <v>5820000</v>
      </c>
      <c r="K60" s="652">
        <v>0.41</v>
      </c>
      <c r="L60" s="654">
        <f t="shared" si="1"/>
        <v>3433800.0000000005</v>
      </c>
      <c r="M60" s="647"/>
      <c r="N60" s="647"/>
      <c r="O60" s="654"/>
      <c r="P60" s="661"/>
      <c r="Q60" s="661"/>
      <c r="R60" s="661"/>
      <c r="S60" s="1731"/>
    </row>
    <row r="61" spans="1:19">
      <c r="A61" s="648"/>
      <c r="B61" s="651"/>
      <c r="C61" s="647" t="s">
        <v>1718</v>
      </c>
      <c r="D61" s="647" t="s">
        <v>589</v>
      </c>
      <c r="E61" s="647" t="s">
        <v>594</v>
      </c>
      <c r="F61" s="647"/>
      <c r="G61" s="648" t="s">
        <v>34</v>
      </c>
      <c r="H61" s="648">
        <f>120-60-48</f>
        <v>12</v>
      </c>
      <c r="I61" s="654">
        <v>455000</v>
      </c>
      <c r="J61" s="654">
        <f t="shared" si="2"/>
        <v>5460000</v>
      </c>
      <c r="K61" s="652">
        <v>0.41</v>
      </c>
      <c r="L61" s="654">
        <f t="shared" si="1"/>
        <v>3221400.0000000005</v>
      </c>
      <c r="M61" s="647"/>
      <c r="N61" s="647"/>
      <c r="O61" s="654"/>
      <c r="P61" s="661"/>
      <c r="Q61" s="661"/>
      <c r="R61" s="661"/>
      <c r="S61" s="1731"/>
    </row>
    <row r="62" spans="1:19">
      <c r="A62" s="648"/>
      <c r="B62" s="651"/>
      <c r="C62" s="647" t="s">
        <v>1718</v>
      </c>
      <c r="D62" s="647" t="s">
        <v>589</v>
      </c>
      <c r="E62" s="647" t="s">
        <v>595</v>
      </c>
      <c r="F62" s="647"/>
      <c r="G62" s="648" t="s">
        <v>46</v>
      </c>
      <c r="H62" s="648">
        <f>48-36</f>
        <v>12</v>
      </c>
      <c r="I62" s="654">
        <v>455000</v>
      </c>
      <c r="J62" s="654">
        <f t="shared" si="2"/>
        <v>5460000</v>
      </c>
      <c r="K62" s="652">
        <v>0.41</v>
      </c>
      <c r="L62" s="654">
        <f t="shared" si="1"/>
        <v>3221400.0000000005</v>
      </c>
      <c r="M62" s="647"/>
      <c r="N62" s="647"/>
      <c r="O62" s="654"/>
      <c r="P62" s="661"/>
      <c r="Q62" s="661"/>
      <c r="R62" s="661"/>
      <c r="S62" s="1732"/>
    </row>
    <row r="63" spans="1:19">
      <c r="A63" s="648">
        <v>363</v>
      </c>
      <c r="B63" s="647" t="s">
        <v>588</v>
      </c>
      <c r="C63" s="647" t="s">
        <v>519</v>
      </c>
      <c r="D63" s="647"/>
      <c r="E63" s="647"/>
      <c r="F63" s="647"/>
      <c r="G63" s="648" t="s">
        <v>253</v>
      </c>
      <c r="H63" s="648">
        <v>1</v>
      </c>
      <c r="I63" s="654"/>
      <c r="J63" s="654">
        <f t="shared" si="2"/>
        <v>0</v>
      </c>
      <c r="K63" s="647"/>
      <c r="L63" s="654">
        <f t="shared" si="1"/>
        <v>0</v>
      </c>
      <c r="M63" s="647"/>
      <c r="N63" s="647"/>
      <c r="O63" s="654"/>
      <c r="P63" s="661"/>
      <c r="Q63" s="661"/>
      <c r="R63" s="661"/>
      <c r="S63" s="661"/>
    </row>
    <row r="64" spans="1:19">
      <c r="A64" s="648"/>
      <c r="B64" s="647"/>
      <c r="C64" s="647"/>
      <c r="D64" s="647"/>
      <c r="E64" s="647"/>
      <c r="F64" s="647"/>
      <c r="G64" s="648" t="s">
        <v>30</v>
      </c>
      <c r="H64" s="648">
        <v>1</v>
      </c>
      <c r="I64" s="654"/>
      <c r="J64" s="654">
        <f t="shared" si="2"/>
        <v>0</v>
      </c>
      <c r="K64" s="647"/>
      <c r="L64" s="654">
        <f t="shared" si="1"/>
        <v>0</v>
      </c>
      <c r="M64" s="647"/>
      <c r="N64" s="647"/>
      <c r="O64" s="654"/>
      <c r="P64" s="661"/>
      <c r="Q64" s="661"/>
      <c r="R64" s="661"/>
      <c r="S64" s="661"/>
    </row>
    <row r="65" spans="1:19">
      <c r="A65" s="648"/>
      <c r="B65" s="647"/>
      <c r="C65" s="647"/>
      <c r="D65" s="647"/>
      <c r="E65" s="647"/>
      <c r="F65" s="647"/>
      <c r="G65" s="648" t="s">
        <v>50</v>
      </c>
      <c r="H65" s="648">
        <v>1</v>
      </c>
      <c r="I65" s="654"/>
      <c r="J65" s="654">
        <f t="shared" si="2"/>
        <v>0</v>
      </c>
      <c r="K65" s="647"/>
      <c r="L65" s="654">
        <f t="shared" si="1"/>
        <v>0</v>
      </c>
      <c r="M65" s="647"/>
      <c r="N65" s="647"/>
      <c r="O65" s="654"/>
      <c r="P65" s="661"/>
      <c r="Q65" s="661"/>
      <c r="R65" s="661"/>
      <c r="S65" s="661"/>
    </row>
    <row r="66" spans="1:19">
      <c r="A66" s="648"/>
      <c r="B66" s="647"/>
      <c r="C66" s="647"/>
      <c r="D66" s="647"/>
      <c r="E66" s="647"/>
      <c r="F66" s="647"/>
      <c r="G66" s="648" t="s">
        <v>45</v>
      </c>
      <c r="H66" s="648">
        <v>1</v>
      </c>
      <c r="I66" s="654"/>
      <c r="J66" s="654">
        <f t="shared" si="2"/>
        <v>0</v>
      </c>
      <c r="K66" s="647"/>
      <c r="L66" s="654">
        <f t="shared" si="1"/>
        <v>0</v>
      </c>
      <c r="M66" s="647"/>
      <c r="N66" s="647"/>
      <c r="O66" s="654"/>
      <c r="P66" s="661"/>
      <c r="Q66" s="661"/>
      <c r="R66" s="661"/>
      <c r="S66" s="661"/>
    </row>
    <row r="67" spans="1:19">
      <c r="A67" s="667"/>
      <c r="B67" s="661"/>
      <c r="C67" s="661"/>
      <c r="D67" s="661"/>
      <c r="E67" s="661"/>
      <c r="F67" s="661"/>
      <c r="G67" s="674" t="s">
        <v>74</v>
      </c>
      <c r="H67" s="674">
        <v>1</v>
      </c>
      <c r="I67" s="670"/>
      <c r="J67" s="654">
        <f t="shared" si="2"/>
        <v>0</v>
      </c>
      <c r="K67" s="661"/>
      <c r="L67" s="654">
        <f t="shared" si="1"/>
        <v>0</v>
      </c>
      <c r="M67" s="661"/>
      <c r="N67" s="647"/>
      <c r="O67" s="654"/>
      <c r="P67" s="661"/>
      <c r="Q67" s="661"/>
      <c r="R67" s="661"/>
      <c r="S67" s="661"/>
    </row>
    <row r="68" spans="1:19">
      <c r="A68" s="648"/>
      <c r="B68" s="647"/>
      <c r="C68" s="647"/>
      <c r="D68" s="647"/>
      <c r="E68" s="647"/>
      <c r="F68" s="647"/>
      <c r="G68" s="674" t="s">
        <v>34</v>
      </c>
      <c r="H68" s="674">
        <v>1</v>
      </c>
      <c r="I68" s="654"/>
      <c r="J68" s="654">
        <f t="shared" si="2"/>
        <v>0</v>
      </c>
      <c r="K68" s="647"/>
      <c r="L68" s="654">
        <f t="shared" si="1"/>
        <v>0</v>
      </c>
      <c r="M68" s="647"/>
      <c r="N68" s="661"/>
      <c r="O68" s="670"/>
      <c r="P68" s="661"/>
      <c r="Q68" s="661"/>
      <c r="R68" s="661"/>
      <c r="S68" s="661"/>
    </row>
    <row r="69" spans="1:19">
      <c r="A69" s="648"/>
      <c r="B69" s="647"/>
      <c r="C69" s="647"/>
      <c r="D69" s="647"/>
      <c r="E69" s="647"/>
      <c r="F69" s="647"/>
      <c r="G69" s="674" t="s">
        <v>46</v>
      </c>
      <c r="H69" s="674">
        <v>1</v>
      </c>
      <c r="I69" s="654"/>
      <c r="J69" s="654">
        <f t="shared" si="2"/>
        <v>0</v>
      </c>
      <c r="K69" s="647"/>
      <c r="L69" s="654">
        <f t="shared" si="1"/>
        <v>0</v>
      </c>
      <c r="M69" s="647"/>
      <c r="N69" s="647"/>
      <c r="O69" s="654"/>
      <c r="P69" s="647"/>
      <c r="Q69" s="647"/>
      <c r="R69" s="647"/>
      <c r="S69" s="647"/>
    </row>
    <row r="70" spans="1:19">
      <c r="A70" s="648">
        <v>364</v>
      </c>
      <c r="B70" s="647" t="s">
        <v>588</v>
      </c>
      <c r="C70" s="647" t="s">
        <v>1718</v>
      </c>
      <c r="D70" s="647" t="s">
        <v>596</v>
      </c>
      <c r="E70" s="647" t="s">
        <v>597</v>
      </c>
      <c r="F70" s="647"/>
      <c r="G70" s="648" t="s">
        <v>253</v>
      </c>
      <c r="H70" s="648">
        <v>2</v>
      </c>
      <c r="I70" s="654"/>
      <c r="J70" s="654">
        <f t="shared" si="2"/>
        <v>0</v>
      </c>
      <c r="K70" s="652">
        <v>1</v>
      </c>
      <c r="L70" s="654">
        <f t="shared" si="1"/>
        <v>0</v>
      </c>
      <c r="M70" s="647"/>
      <c r="N70" s="647"/>
      <c r="O70" s="654"/>
      <c r="P70" s="647"/>
      <c r="Q70" s="647"/>
      <c r="R70" s="647"/>
      <c r="S70" s="647"/>
    </row>
    <row r="71" spans="1:19">
      <c r="A71" s="648"/>
      <c r="B71" s="647"/>
      <c r="C71" s="647" t="s">
        <v>1718</v>
      </c>
      <c r="D71" s="647" t="s">
        <v>596</v>
      </c>
      <c r="E71" s="647" t="s">
        <v>598</v>
      </c>
      <c r="F71" s="647"/>
      <c r="G71" s="648" t="s">
        <v>45</v>
      </c>
      <c r="H71" s="648">
        <v>10</v>
      </c>
      <c r="I71" s="654">
        <v>485000</v>
      </c>
      <c r="J71" s="654">
        <f t="shared" si="2"/>
        <v>4850000</v>
      </c>
      <c r="K71" s="652">
        <v>0.41</v>
      </c>
      <c r="L71" s="654">
        <f t="shared" si="1"/>
        <v>2861500.0000000005</v>
      </c>
      <c r="M71" s="647"/>
      <c r="N71" s="647"/>
      <c r="O71" s="654"/>
      <c r="P71" s="647"/>
      <c r="Q71" s="647"/>
      <c r="R71" s="659">
        <f>L71</f>
        <v>2861500.0000000005</v>
      </c>
      <c r="S71" s="647"/>
    </row>
    <row r="72" spans="1:19">
      <c r="A72" s="648">
        <v>417</v>
      </c>
      <c r="B72" s="647" t="s">
        <v>588</v>
      </c>
      <c r="C72" s="647" t="s">
        <v>599</v>
      </c>
      <c r="D72" s="647"/>
      <c r="E72" s="647"/>
      <c r="F72" s="647"/>
      <c r="G72" s="648" t="s">
        <v>253</v>
      </c>
      <c r="H72" s="648">
        <v>1</v>
      </c>
      <c r="I72" s="654">
        <v>455000</v>
      </c>
      <c r="J72" s="654">
        <f t="shared" si="2"/>
        <v>455000</v>
      </c>
      <c r="K72" s="652">
        <v>0.41</v>
      </c>
      <c r="L72" s="654">
        <f t="shared" ref="L72:L106" si="5">H72*I72*(1-K72)</f>
        <v>268450.00000000006</v>
      </c>
      <c r="M72" s="647"/>
      <c r="N72" s="647"/>
      <c r="O72" s="654"/>
      <c r="P72" s="647"/>
      <c r="Q72" s="647"/>
      <c r="R72" s="654">
        <v>1970600</v>
      </c>
      <c r="S72" s="647"/>
    </row>
    <row r="73" spans="1:19">
      <c r="A73" s="648"/>
      <c r="B73" s="647"/>
      <c r="C73" s="647" t="s">
        <v>599</v>
      </c>
      <c r="D73" s="647"/>
      <c r="E73" s="647"/>
      <c r="F73" s="647"/>
      <c r="G73" s="648" t="s">
        <v>30</v>
      </c>
      <c r="H73" s="648">
        <v>1</v>
      </c>
      <c r="I73" s="654">
        <v>465000</v>
      </c>
      <c r="J73" s="654">
        <f t="shared" si="2"/>
        <v>465000</v>
      </c>
      <c r="K73" s="652">
        <v>0.41</v>
      </c>
      <c r="L73" s="654">
        <f t="shared" si="5"/>
        <v>274350.00000000006</v>
      </c>
      <c r="M73" s="647"/>
      <c r="N73" s="647"/>
      <c r="O73" s="654"/>
      <c r="P73" s="647"/>
      <c r="Q73" s="647"/>
      <c r="R73" s="654"/>
      <c r="S73" s="647"/>
    </row>
    <row r="74" spans="1:19">
      <c r="A74" s="648"/>
      <c r="B74" s="647"/>
      <c r="C74" s="647" t="s">
        <v>599</v>
      </c>
      <c r="D74" s="647"/>
      <c r="E74" s="647"/>
      <c r="F74" s="647"/>
      <c r="G74" s="648" t="s">
        <v>50</v>
      </c>
      <c r="H74" s="648">
        <v>1</v>
      </c>
      <c r="I74" s="654">
        <v>475000</v>
      </c>
      <c r="J74" s="654">
        <f t="shared" si="2"/>
        <v>475000</v>
      </c>
      <c r="K74" s="652">
        <v>0.41</v>
      </c>
      <c r="L74" s="654">
        <f t="shared" si="5"/>
        <v>280250.00000000006</v>
      </c>
      <c r="M74" s="647"/>
      <c r="N74" s="647"/>
      <c r="O74" s="654"/>
      <c r="P74" s="647"/>
      <c r="Q74" s="647"/>
      <c r="R74" s="654"/>
      <c r="S74" s="647"/>
    </row>
    <row r="75" spans="1:19">
      <c r="A75" s="648"/>
      <c r="B75" s="647"/>
      <c r="C75" s="647" t="s">
        <v>599</v>
      </c>
      <c r="D75" s="647"/>
      <c r="E75" s="647"/>
      <c r="F75" s="647"/>
      <c r="G75" s="648" t="s">
        <v>45</v>
      </c>
      <c r="H75" s="648">
        <v>1</v>
      </c>
      <c r="I75" s="654">
        <v>485000</v>
      </c>
      <c r="J75" s="654">
        <f t="shared" si="2"/>
        <v>485000</v>
      </c>
      <c r="K75" s="652">
        <v>0.41</v>
      </c>
      <c r="L75" s="654">
        <f t="shared" si="5"/>
        <v>286150.00000000006</v>
      </c>
      <c r="M75" s="647"/>
      <c r="N75" s="647"/>
      <c r="O75" s="654"/>
      <c r="P75" s="647"/>
      <c r="Q75" s="647"/>
      <c r="R75" s="654"/>
      <c r="S75" s="647"/>
    </row>
    <row r="76" spans="1:19">
      <c r="A76" s="648"/>
      <c r="B76" s="647"/>
      <c r="C76" s="647" t="s">
        <v>599</v>
      </c>
      <c r="D76" s="647"/>
      <c r="E76" s="647"/>
      <c r="F76" s="647"/>
      <c r="G76" s="648" t="s">
        <v>74</v>
      </c>
      <c r="H76" s="648">
        <v>1</v>
      </c>
      <c r="I76" s="654">
        <v>550000</v>
      </c>
      <c r="J76" s="654">
        <f t="shared" si="2"/>
        <v>550000</v>
      </c>
      <c r="K76" s="652">
        <v>0.41</v>
      </c>
      <c r="L76" s="654">
        <f t="shared" si="5"/>
        <v>324500.00000000006</v>
      </c>
      <c r="M76" s="647"/>
      <c r="N76" s="647"/>
      <c r="O76" s="654"/>
      <c r="P76" s="647"/>
      <c r="Q76" s="647"/>
      <c r="R76" s="654"/>
      <c r="S76" s="647"/>
    </row>
    <row r="77" spans="1:19">
      <c r="A77" s="648"/>
      <c r="B77" s="647"/>
      <c r="C77" s="647" t="s">
        <v>599</v>
      </c>
      <c r="D77" s="647"/>
      <c r="E77" s="647"/>
      <c r="F77" s="647"/>
      <c r="G77" s="648" t="s">
        <v>34</v>
      </c>
      <c r="H77" s="648">
        <v>1</v>
      </c>
      <c r="I77" s="654">
        <v>455000</v>
      </c>
      <c r="J77" s="654">
        <f t="shared" si="2"/>
        <v>455000</v>
      </c>
      <c r="K77" s="652">
        <v>0.41</v>
      </c>
      <c r="L77" s="654">
        <f t="shared" si="5"/>
        <v>268450.00000000006</v>
      </c>
      <c r="M77" s="647"/>
      <c r="N77" s="647"/>
      <c r="O77" s="654"/>
      <c r="P77" s="647"/>
      <c r="Q77" s="647"/>
      <c r="R77" s="654"/>
      <c r="S77" s="647"/>
    </row>
    <row r="78" spans="1:19">
      <c r="A78" s="648"/>
      <c r="B78" s="647"/>
      <c r="C78" s="647" t="s">
        <v>599</v>
      </c>
      <c r="D78" s="647"/>
      <c r="E78" s="647"/>
      <c r="F78" s="647"/>
      <c r="G78" s="648" t="s">
        <v>46</v>
      </c>
      <c r="H78" s="648">
        <v>1</v>
      </c>
      <c r="I78" s="654">
        <v>455000</v>
      </c>
      <c r="J78" s="654">
        <f t="shared" si="2"/>
        <v>455000</v>
      </c>
      <c r="K78" s="652">
        <v>0.41</v>
      </c>
      <c r="L78" s="654">
        <f t="shared" si="5"/>
        <v>268450.00000000006</v>
      </c>
      <c r="M78" s="647"/>
      <c r="N78" s="647"/>
      <c r="O78" s="654"/>
      <c r="P78" s="647"/>
      <c r="Q78" s="647"/>
      <c r="R78" s="654"/>
      <c r="S78" s="647"/>
    </row>
    <row r="79" spans="1:19">
      <c r="A79" s="648">
        <v>418</v>
      </c>
      <c r="B79" s="647" t="s">
        <v>588</v>
      </c>
      <c r="C79" s="647" t="s">
        <v>1718</v>
      </c>
      <c r="D79" s="647" t="s">
        <v>567</v>
      </c>
      <c r="E79" s="647" t="s">
        <v>241</v>
      </c>
      <c r="F79" s="647"/>
      <c r="G79" s="648" t="s">
        <v>73</v>
      </c>
      <c r="H79" s="648">
        <v>18</v>
      </c>
      <c r="I79" s="654">
        <v>485000</v>
      </c>
      <c r="J79" s="654">
        <f t="shared" si="2"/>
        <v>8730000</v>
      </c>
      <c r="K79" s="652">
        <v>0.41</v>
      </c>
      <c r="L79" s="654">
        <f t="shared" si="5"/>
        <v>5150700.0000000009</v>
      </c>
      <c r="M79" s="647"/>
      <c r="N79" s="647"/>
      <c r="O79" s="654"/>
      <c r="P79" s="647"/>
      <c r="Q79" s="647"/>
      <c r="R79" s="659">
        <f>L79</f>
        <v>5150700.0000000009</v>
      </c>
      <c r="S79" s="647"/>
    </row>
    <row r="80" spans="1:19">
      <c r="A80" s="648">
        <v>420</v>
      </c>
      <c r="B80" s="647" t="s">
        <v>586</v>
      </c>
      <c r="C80" s="647" t="s">
        <v>600</v>
      </c>
      <c r="D80" s="647" t="s">
        <v>601</v>
      </c>
      <c r="E80" s="647" t="s">
        <v>328</v>
      </c>
      <c r="F80" s="647"/>
      <c r="G80" s="648" t="s">
        <v>46</v>
      </c>
      <c r="H80" s="648">
        <v>6</v>
      </c>
      <c r="I80" s="654">
        <v>455000</v>
      </c>
      <c r="J80" s="654">
        <f t="shared" si="2"/>
        <v>2730000</v>
      </c>
      <c r="K80" s="652">
        <v>0.5</v>
      </c>
      <c r="L80" s="654">
        <f t="shared" si="5"/>
        <v>1365000</v>
      </c>
      <c r="M80" s="647"/>
      <c r="N80" s="647"/>
      <c r="O80" s="654"/>
      <c r="P80" s="647"/>
      <c r="Q80" s="647"/>
      <c r="R80" s="659"/>
      <c r="S80" s="647"/>
    </row>
    <row r="81" spans="1:19">
      <c r="A81" s="648">
        <v>422</v>
      </c>
      <c r="B81" s="647"/>
      <c r="C81" s="647" t="s">
        <v>1718</v>
      </c>
      <c r="D81" s="647" t="s">
        <v>602</v>
      </c>
      <c r="E81" s="647" t="s">
        <v>597</v>
      </c>
      <c r="F81" s="647"/>
      <c r="G81" s="648" t="s">
        <v>253</v>
      </c>
      <c r="H81" s="648">
        <v>2</v>
      </c>
      <c r="I81" s="654">
        <v>255000</v>
      </c>
      <c r="J81" s="654">
        <f t="shared" si="2"/>
        <v>510000</v>
      </c>
      <c r="K81" s="652">
        <v>0.41</v>
      </c>
      <c r="L81" s="654">
        <f t="shared" si="5"/>
        <v>300900.00000000006</v>
      </c>
      <c r="M81" s="647"/>
      <c r="N81" s="647"/>
      <c r="O81" s="654"/>
      <c r="P81" s="647"/>
      <c r="Q81" s="647"/>
      <c r="R81" s="659">
        <f>L81+L82</f>
        <v>3162400.0000000005</v>
      </c>
      <c r="S81" s="647"/>
    </row>
    <row r="82" spans="1:19">
      <c r="A82" s="648"/>
      <c r="B82" s="647"/>
      <c r="C82" s="647" t="s">
        <v>1718</v>
      </c>
      <c r="D82" s="647" t="s">
        <v>602</v>
      </c>
      <c r="E82" s="647" t="s">
        <v>598</v>
      </c>
      <c r="F82" s="647"/>
      <c r="G82" s="648" t="s">
        <v>45</v>
      </c>
      <c r="H82" s="648">
        <v>10</v>
      </c>
      <c r="I82" s="654">
        <v>485000</v>
      </c>
      <c r="J82" s="654">
        <f t="shared" si="2"/>
        <v>4850000</v>
      </c>
      <c r="K82" s="652">
        <v>0.41</v>
      </c>
      <c r="L82" s="654">
        <f t="shared" si="5"/>
        <v>2861500.0000000005</v>
      </c>
      <c r="M82" s="647"/>
      <c r="N82" s="647"/>
      <c r="O82" s="654"/>
      <c r="P82" s="647"/>
      <c r="Q82" s="647"/>
      <c r="R82" s="654">
        <v>1365000</v>
      </c>
      <c r="S82" s="647"/>
    </row>
    <row r="83" spans="1:19">
      <c r="A83" s="648">
        <v>423</v>
      </c>
      <c r="B83" s="647" t="s">
        <v>603</v>
      </c>
      <c r="C83" s="647" t="s">
        <v>604</v>
      </c>
      <c r="D83" s="647"/>
      <c r="E83" s="647"/>
      <c r="F83" s="647"/>
      <c r="G83" s="648" t="s">
        <v>45</v>
      </c>
      <c r="H83" s="648">
        <v>1</v>
      </c>
      <c r="I83" s="654">
        <v>485000</v>
      </c>
      <c r="J83" s="654">
        <f t="shared" si="2"/>
        <v>485000</v>
      </c>
      <c r="K83" s="652">
        <v>0.41</v>
      </c>
      <c r="L83" s="654">
        <f t="shared" si="5"/>
        <v>286150.00000000006</v>
      </c>
      <c r="M83" s="647"/>
      <c r="N83" s="647"/>
      <c r="O83" s="654"/>
      <c r="P83" s="647"/>
      <c r="Q83" s="647"/>
      <c r="R83" s="659">
        <f>L83</f>
        <v>286150.00000000006</v>
      </c>
      <c r="S83" s="647"/>
    </row>
    <row r="84" spans="1:19">
      <c r="A84" s="648">
        <v>424</v>
      </c>
      <c r="B84" s="647" t="s">
        <v>605</v>
      </c>
      <c r="C84" s="647" t="s">
        <v>1718</v>
      </c>
      <c r="D84" s="647" t="s">
        <v>606</v>
      </c>
      <c r="E84" s="647"/>
      <c r="F84" s="647"/>
      <c r="G84" s="648" t="s">
        <v>45</v>
      </c>
      <c r="H84" s="648">
        <v>2</v>
      </c>
      <c r="I84" s="654">
        <v>485000</v>
      </c>
      <c r="J84" s="654">
        <f t="shared" si="2"/>
        <v>970000</v>
      </c>
      <c r="K84" s="652">
        <v>0.41</v>
      </c>
      <c r="L84" s="654">
        <f t="shared" si="5"/>
        <v>572300.00000000012</v>
      </c>
      <c r="M84" s="647"/>
      <c r="N84" s="647"/>
      <c r="O84" s="654"/>
      <c r="P84" s="647"/>
      <c r="Q84" s="647"/>
      <c r="R84" s="659">
        <f>L84</f>
        <v>572300.00000000012</v>
      </c>
      <c r="S84" s="647"/>
    </row>
    <row r="85" spans="1:19">
      <c r="A85" s="648">
        <v>368</v>
      </c>
      <c r="B85" s="647" t="s">
        <v>607</v>
      </c>
      <c r="C85" s="647" t="s">
        <v>1719</v>
      </c>
      <c r="D85" s="647" t="s">
        <v>574</v>
      </c>
      <c r="E85" s="647" t="s">
        <v>562</v>
      </c>
      <c r="F85" s="647"/>
      <c r="G85" s="648" t="s">
        <v>30</v>
      </c>
      <c r="H85" s="648">
        <v>36</v>
      </c>
      <c r="I85" s="654">
        <v>465000</v>
      </c>
      <c r="J85" s="654">
        <f t="shared" si="2"/>
        <v>16740000</v>
      </c>
      <c r="K85" s="652">
        <v>0.41</v>
      </c>
      <c r="L85" s="654">
        <f t="shared" si="5"/>
        <v>9876600.0000000019</v>
      </c>
      <c r="M85" s="647"/>
      <c r="N85" s="647"/>
      <c r="O85" s="654"/>
      <c r="P85" s="647"/>
      <c r="Q85" s="647"/>
      <c r="R85" s="659">
        <f>SUM(L85:L90)</f>
        <v>51294600.000000007</v>
      </c>
      <c r="S85" s="647"/>
    </row>
    <row r="86" spans="1:19">
      <c r="A86" s="648"/>
      <c r="B86" s="647"/>
      <c r="C86" s="647" t="s">
        <v>1719</v>
      </c>
      <c r="D86" s="647" t="s">
        <v>574</v>
      </c>
      <c r="E86" s="647" t="s">
        <v>562</v>
      </c>
      <c r="F86" s="647"/>
      <c r="G86" s="648" t="s">
        <v>50</v>
      </c>
      <c r="H86" s="648">
        <v>12</v>
      </c>
      <c r="I86" s="654">
        <v>475000</v>
      </c>
      <c r="J86" s="654">
        <f t="shared" si="2"/>
        <v>5700000</v>
      </c>
      <c r="K86" s="652">
        <v>0.41</v>
      </c>
      <c r="L86" s="654">
        <f t="shared" si="5"/>
        <v>3363000.0000000005</v>
      </c>
      <c r="M86" s="647"/>
      <c r="N86" s="647"/>
      <c r="O86" s="654"/>
      <c r="P86" s="647"/>
      <c r="Q86" s="647"/>
      <c r="R86" s="647"/>
      <c r="S86" s="647"/>
    </row>
    <row r="87" spans="1:19">
      <c r="A87" s="648"/>
      <c r="B87" s="647"/>
      <c r="C87" s="647" t="s">
        <v>1719</v>
      </c>
      <c r="D87" s="647" t="s">
        <v>574</v>
      </c>
      <c r="E87" s="647" t="s">
        <v>562</v>
      </c>
      <c r="F87" s="647"/>
      <c r="G87" s="648" t="s">
        <v>45</v>
      </c>
      <c r="H87" s="648">
        <v>36</v>
      </c>
      <c r="I87" s="654">
        <v>485000</v>
      </c>
      <c r="J87" s="654">
        <f t="shared" si="2"/>
        <v>17460000</v>
      </c>
      <c r="K87" s="652">
        <v>0.41</v>
      </c>
      <c r="L87" s="654">
        <f t="shared" si="5"/>
        <v>10301400.000000002</v>
      </c>
      <c r="M87" s="647"/>
      <c r="N87" s="647"/>
      <c r="O87" s="654"/>
      <c r="P87" s="647"/>
      <c r="Q87" s="647"/>
      <c r="R87" s="647"/>
      <c r="S87" s="647"/>
    </row>
    <row r="88" spans="1:19">
      <c r="A88" s="648"/>
      <c r="B88" s="647"/>
      <c r="C88" s="647" t="s">
        <v>1719</v>
      </c>
      <c r="D88" s="647" t="s">
        <v>574</v>
      </c>
      <c r="E88" s="647" t="s">
        <v>562</v>
      </c>
      <c r="F88" s="647"/>
      <c r="G88" s="648" t="s">
        <v>73</v>
      </c>
      <c r="H88" s="648">
        <v>24</v>
      </c>
      <c r="I88" s="654">
        <v>485000</v>
      </c>
      <c r="J88" s="654">
        <f t="shared" si="2"/>
        <v>11640000</v>
      </c>
      <c r="K88" s="652">
        <v>0.41</v>
      </c>
      <c r="L88" s="654">
        <f t="shared" si="5"/>
        <v>6867600.0000000009</v>
      </c>
      <c r="M88" s="647"/>
      <c r="N88" s="647"/>
      <c r="O88" s="654"/>
      <c r="P88" s="647"/>
      <c r="Q88" s="647"/>
      <c r="R88" s="647"/>
      <c r="S88" s="647"/>
    </row>
    <row r="89" spans="1:19">
      <c r="A89" s="648"/>
      <c r="B89" s="647"/>
      <c r="C89" s="647" t="s">
        <v>1719</v>
      </c>
      <c r="D89" s="647" t="s">
        <v>574</v>
      </c>
      <c r="E89" s="647" t="s">
        <v>562</v>
      </c>
      <c r="F89" s="647"/>
      <c r="G89" s="648" t="s">
        <v>74</v>
      </c>
      <c r="H89" s="648">
        <v>48</v>
      </c>
      <c r="I89" s="654">
        <v>550000</v>
      </c>
      <c r="J89" s="654">
        <f t="shared" si="2"/>
        <v>26400000</v>
      </c>
      <c r="K89" s="652">
        <v>0.41</v>
      </c>
      <c r="L89" s="654">
        <f t="shared" si="5"/>
        <v>15576000.000000002</v>
      </c>
      <c r="M89" s="647"/>
      <c r="N89" s="647"/>
      <c r="O89" s="654"/>
      <c r="P89" s="647"/>
      <c r="Q89" s="647"/>
      <c r="R89" s="647"/>
      <c r="S89" s="647"/>
    </row>
    <row r="90" spans="1:19">
      <c r="A90" s="648"/>
      <c r="B90" s="647"/>
      <c r="C90" s="647" t="s">
        <v>1719</v>
      </c>
      <c r="D90" s="647" t="s">
        <v>574</v>
      </c>
      <c r="E90" s="647" t="s">
        <v>562</v>
      </c>
      <c r="F90" s="647"/>
      <c r="G90" s="648" t="s">
        <v>36</v>
      </c>
      <c r="H90" s="648">
        <v>20</v>
      </c>
      <c r="I90" s="654">
        <v>450000</v>
      </c>
      <c r="J90" s="654">
        <f t="shared" si="2"/>
        <v>9000000</v>
      </c>
      <c r="K90" s="652">
        <v>0.41</v>
      </c>
      <c r="L90" s="654">
        <f t="shared" si="5"/>
        <v>5310000.0000000009</v>
      </c>
      <c r="M90" s="647"/>
      <c r="N90" s="647"/>
      <c r="O90" s="654"/>
      <c r="P90" s="647"/>
      <c r="Q90" s="647"/>
      <c r="R90" s="647"/>
      <c r="S90" s="647"/>
    </row>
    <row r="91" spans="1:19">
      <c r="A91" s="648">
        <v>366</v>
      </c>
      <c r="B91" s="647" t="s">
        <v>607</v>
      </c>
      <c r="C91" s="647" t="s">
        <v>1718</v>
      </c>
      <c r="D91" s="647" t="s">
        <v>608</v>
      </c>
      <c r="E91" s="647" t="s">
        <v>609</v>
      </c>
      <c r="F91" s="647"/>
      <c r="G91" s="648" t="s">
        <v>60</v>
      </c>
      <c r="H91" s="648">
        <v>1</v>
      </c>
      <c r="I91" s="654">
        <v>455000</v>
      </c>
      <c r="J91" s="654">
        <f t="shared" si="2"/>
        <v>455000</v>
      </c>
      <c r="K91" s="652">
        <v>0.3</v>
      </c>
      <c r="L91" s="654">
        <f t="shared" si="5"/>
        <v>318500</v>
      </c>
      <c r="M91" s="647"/>
      <c r="N91" s="647"/>
      <c r="O91" s="654"/>
      <c r="P91" s="647"/>
      <c r="Q91" s="647"/>
      <c r="R91" s="659">
        <f>SUM(L91:L97)</f>
        <v>2352000</v>
      </c>
      <c r="S91" s="647"/>
    </row>
    <row r="92" spans="1:19">
      <c r="A92" s="648"/>
      <c r="B92" s="647"/>
      <c r="C92" s="647" t="s">
        <v>1718</v>
      </c>
      <c r="D92" s="647" t="s">
        <v>608</v>
      </c>
      <c r="E92" s="647" t="s">
        <v>609</v>
      </c>
      <c r="F92" s="647"/>
      <c r="G92" s="648" t="s">
        <v>50</v>
      </c>
      <c r="H92" s="648">
        <v>1</v>
      </c>
      <c r="I92" s="654">
        <v>475000</v>
      </c>
      <c r="J92" s="654">
        <f t="shared" si="2"/>
        <v>475000</v>
      </c>
      <c r="K92" s="652">
        <v>0.3</v>
      </c>
      <c r="L92" s="654">
        <f t="shared" si="5"/>
        <v>332500</v>
      </c>
      <c r="M92" s="647"/>
      <c r="N92" s="647"/>
      <c r="O92" s="654"/>
      <c r="P92" s="647"/>
      <c r="Q92" s="647"/>
      <c r="R92" s="647"/>
      <c r="S92" s="647"/>
    </row>
    <row r="93" spans="1:19">
      <c r="A93" s="648"/>
      <c r="B93" s="647"/>
      <c r="C93" s="647" t="s">
        <v>1718</v>
      </c>
      <c r="D93" s="647" t="s">
        <v>608</v>
      </c>
      <c r="E93" s="647" t="s">
        <v>609</v>
      </c>
      <c r="F93" s="647"/>
      <c r="G93" s="648" t="s">
        <v>45</v>
      </c>
      <c r="H93" s="648">
        <v>1</v>
      </c>
      <c r="I93" s="654">
        <v>485000</v>
      </c>
      <c r="J93" s="654">
        <f t="shared" si="2"/>
        <v>485000</v>
      </c>
      <c r="K93" s="652">
        <v>0.3</v>
      </c>
      <c r="L93" s="654">
        <f t="shared" si="5"/>
        <v>339500</v>
      </c>
      <c r="M93" s="647"/>
      <c r="N93" s="647"/>
      <c r="O93" s="654"/>
      <c r="P93" s="647"/>
      <c r="Q93" s="647"/>
      <c r="R93" s="647"/>
      <c r="S93" s="647"/>
    </row>
    <row r="94" spans="1:19">
      <c r="A94" s="648"/>
      <c r="B94" s="647"/>
      <c r="C94" s="647" t="s">
        <v>1718</v>
      </c>
      <c r="D94" s="647" t="s">
        <v>608</v>
      </c>
      <c r="E94" s="647" t="s">
        <v>609</v>
      </c>
      <c r="F94" s="647"/>
      <c r="G94" s="648" t="s">
        <v>73</v>
      </c>
      <c r="H94" s="648">
        <v>1</v>
      </c>
      <c r="I94" s="654">
        <v>485000</v>
      </c>
      <c r="J94" s="654">
        <f t="shared" si="2"/>
        <v>485000</v>
      </c>
      <c r="K94" s="652">
        <v>0.3</v>
      </c>
      <c r="L94" s="654">
        <f t="shared" si="5"/>
        <v>339500</v>
      </c>
      <c r="M94" s="647"/>
      <c r="N94" s="647"/>
      <c r="O94" s="654"/>
      <c r="P94" s="647"/>
      <c r="Q94" s="647"/>
      <c r="R94" s="647"/>
      <c r="S94" s="647"/>
    </row>
    <row r="95" spans="1:19">
      <c r="A95" s="648"/>
      <c r="B95" s="647"/>
      <c r="C95" s="647" t="s">
        <v>1718</v>
      </c>
      <c r="D95" s="647" t="s">
        <v>608</v>
      </c>
      <c r="E95" s="647" t="s">
        <v>609</v>
      </c>
      <c r="F95" s="647"/>
      <c r="G95" s="648" t="s">
        <v>74</v>
      </c>
      <c r="H95" s="648">
        <v>1</v>
      </c>
      <c r="I95" s="654">
        <v>550000</v>
      </c>
      <c r="J95" s="654">
        <f t="shared" si="2"/>
        <v>550000</v>
      </c>
      <c r="K95" s="652">
        <v>0.3</v>
      </c>
      <c r="L95" s="654">
        <f t="shared" si="5"/>
        <v>385000</v>
      </c>
      <c r="M95" s="647"/>
      <c r="N95" s="647"/>
      <c r="O95" s="654"/>
      <c r="P95" s="647"/>
      <c r="Q95" s="647"/>
      <c r="R95" s="647"/>
      <c r="S95" s="647"/>
    </row>
    <row r="96" spans="1:19">
      <c r="A96" s="648"/>
      <c r="B96" s="647"/>
      <c r="C96" s="647" t="s">
        <v>1718</v>
      </c>
      <c r="D96" s="647" t="s">
        <v>608</v>
      </c>
      <c r="E96" s="647" t="s">
        <v>609</v>
      </c>
      <c r="F96" s="647"/>
      <c r="G96" s="648" t="s">
        <v>34</v>
      </c>
      <c r="H96" s="648">
        <v>1</v>
      </c>
      <c r="I96" s="654">
        <v>455000</v>
      </c>
      <c r="J96" s="654">
        <f t="shared" si="2"/>
        <v>455000</v>
      </c>
      <c r="K96" s="652">
        <v>0.3</v>
      </c>
      <c r="L96" s="654">
        <f t="shared" si="5"/>
        <v>318500</v>
      </c>
      <c r="M96" s="647"/>
      <c r="N96" s="647"/>
      <c r="O96" s="654"/>
      <c r="P96" s="647"/>
      <c r="Q96" s="647"/>
      <c r="R96" s="647"/>
      <c r="S96" s="647"/>
    </row>
    <row r="97" spans="1:19">
      <c r="A97" s="648"/>
      <c r="B97" s="647"/>
      <c r="C97" s="647" t="s">
        <v>1718</v>
      </c>
      <c r="D97" s="647" t="s">
        <v>608</v>
      </c>
      <c r="E97" s="647" t="s">
        <v>609</v>
      </c>
      <c r="F97" s="647"/>
      <c r="G97" s="648" t="s">
        <v>46</v>
      </c>
      <c r="H97" s="648">
        <v>1</v>
      </c>
      <c r="I97" s="654">
        <v>455000</v>
      </c>
      <c r="J97" s="654">
        <f t="shared" si="2"/>
        <v>455000</v>
      </c>
      <c r="K97" s="652">
        <v>0.3</v>
      </c>
      <c r="L97" s="654">
        <f t="shared" si="5"/>
        <v>318500</v>
      </c>
      <c r="M97" s="647"/>
      <c r="N97" s="647"/>
      <c r="O97" s="654"/>
      <c r="P97" s="647"/>
      <c r="Q97" s="647"/>
      <c r="R97" s="647"/>
      <c r="S97" s="647"/>
    </row>
    <row r="98" spans="1:19">
      <c r="A98" s="648">
        <v>425</v>
      </c>
      <c r="B98" s="647" t="s">
        <v>607</v>
      </c>
      <c r="C98" s="647" t="s">
        <v>1718</v>
      </c>
      <c r="D98" s="647" t="s">
        <v>610</v>
      </c>
      <c r="E98" s="647" t="s">
        <v>328</v>
      </c>
      <c r="F98" s="647"/>
      <c r="G98" s="648" t="s">
        <v>34</v>
      </c>
      <c r="H98" s="648">
        <v>3</v>
      </c>
      <c r="I98" s="654">
        <v>455000</v>
      </c>
      <c r="J98" s="654">
        <f t="shared" si="2"/>
        <v>1365000</v>
      </c>
      <c r="K98" s="652">
        <v>0.5</v>
      </c>
      <c r="L98" s="654">
        <f t="shared" si="5"/>
        <v>682500</v>
      </c>
      <c r="M98" s="647"/>
      <c r="N98" s="647"/>
      <c r="O98" s="654"/>
      <c r="P98" s="647"/>
      <c r="Q98" s="647"/>
      <c r="R98" s="659">
        <f>L98</f>
        <v>682500</v>
      </c>
      <c r="S98" s="647"/>
    </row>
    <row r="99" spans="1:19">
      <c r="A99" s="648">
        <v>426</v>
      </c>
      <c r="B99" s="647" t="s">
        <v>611</v>
      </c>
      <c r="C99" s="647" t="s">
        <v>571</v>
      </c>
      <c r="D99" s="647" t="s">
        <v>304</v>
      </c>
      <c r="E99" s="647"/>
      <c r="F99" s="647"/>
      <c r="G99" s="648" t="s">
        <v>34</v>
      </c>
      <c r="H99" s="648">
        <v>2</v>
      </c>
      <c r="I99" s="654">
        <v>455000</v>
      </c>
      <c r="J99" s="654">
        <f t="shared" si="2"/>
        <v>910000</v>
      </c>
      <c r="K99" s="652">
        <v>0.41</v>
      </c>
      <c r="L99" s="654">
        <f t="shared" si="5"/>
        <v>536900.00000000012</v>
      </c>
      <c r="M99" s="647"/>
      <c r="N99" s="659">
        <f>L99</f>
        <v>536900.00000000012</v>
      </c>
      <c r="O99" s="654"/>
      <c r="P99" s="647"/>
      <c r="Q99" s="647"/>
      <c r="R99" s="647"/>
      <c r="S99" s="647"/>
    </row>
    <row r="100" spans="1:19">
      <c r="A100" s="648">
        <v>427</v>
      </c>
      <c r="B100" s="647" t="s">
        <v>612</v>
      </c>
      <c r="C100" s="647" t="s">
        <v>1718</v>
      </c>
      <c r="D100" s="647" t="s">
        <v>569</v>
      </c>
      <c r="E100" s="647"/>
      <c r="F100" s="647"/>
      <c r="G100" s="648" t="s">
        <v>45</v>
      </c>
      <c r="H100" s="648">
        <v>1</v>
      </c>
      <c r="I100" s="654">
        <v>485000</v>
      </c>
      <c r="J100" s="654">
        <f t="shared" si="2"/>
        <v>485000</v>
      </c>
      <c r="K100" s="652">
        <v>0.41</v>
      </c>
      <c r="L100" s="654">
        <f t="shared" si="5"/>
        <v>286150.00000000006</v>
      </c>
      <c r="M100" s="647"/>
      <c r="N100" s="659"/>
      <c r="O100" s="654"/>
      <c r="P100" s="647"/>
      <c r="Q100" s="647"/>
      <c r="R100" s="659">
        <f>L100+L101</f>
        <v>554600.00000000012</v>
      </c>
      <c r="S100" s="647"/>
    </row>
    <row r="101" spans="1:19">
      <c r="A101" s="648"/>
      <c r="B101" s="647"/>
      <c r="C101" s="647" t="s">
        <v>1718</v>
      </c>
      <c r="D101" s="647" t="s">
        <v>569</v>
      </c>
      <c r="E101" s="647"/>
      <c r="F101" s="647"/>
      <c r="G101" s="648" t="s">
        <v>46</v>
      </c>
      <c r="H101" s="648">
        <v>1</v>
      </c>
      <c r="I101" s="654">
        <v>455000</v>
      </c>
      <c r="J101" s="654">
        <f t="shared" si="2"/>
        <v>455000</v>
      </c>
      <c r="K101" s="652">
        <v>0.41</v>
      </c>
      <c r="L101" s="654">
        <f t="shared" si="5"/>
        <v>268450.00000000006</v>
      </c>
      <c r="M101" s="647"/>
      <c r="N101" s="659"/>
      <c r="O101" s="654"/>
      <c r="P101" s="647"/>
      <c r="Q101" s="647"/>
      <c r="R101" s="647"/>
      <c r="S101" s="647"/>
    </row>
    <row r="102" spans="1:19">
      <c r="A102" s="648">
        <v>1002</v>
      </c>
      <c r="B102" s="647" t="s">
        <v>613</v>
      </c>
      <c r="C102" s="647" t="s">
        <v>1718</v>
      </c>
      <c r="D102" s="647" t="s">
        <v>614</v>
      </c>
      <c r="E102" s="647" t="s">
        <v>399</v>
      </c>
      <c r="F102" s="647"/>
      <c r="G102" s="648" t="s">
        <v>34</v>
      </c>
      <c r="H102" s="648">
        <v>24</v>
      </c>
      <c r="I102" s="654">
        <v>455000</v>
      </c>
      <c r="J102" s="654">
        <f t="shared" si="2"/>
        <v>10920000</v>
      </c>
      <c r="K102" s="652">
        <v>0.45</v>
      </c>
      <c r="L102" s="654">
        <f t="shared" si="5"/>
        <v>6006000.0000000009</v>
      </c>
      <c r="M102" s="647"/>
      <c r="N102" s="659"/>
      <c r="O102" s="654"/>
      <c r="P102" s="647"/>
      <c r="Q102" s="647"/>
      <c r="R102" s="659">
        <f>L102</f>
        <v>6006000.0000000009</v>
      </c>
      <c r="S102" s="647"/>
    </row>
    <row r="103" spans="1:19">
      <c r="A103" s="648">
        <v>1005</v>
      </c>
      <c r="B103" s="647" t="s">
        <v>613</v>
      </c>
      <c r="C103" s="647" t="s">
        <v>1718</v>
      </c>
      <c r="D103" s="647" t="s">
        <v>567</v>
      </c>
      <c r="E103" s="647" t="s">
        <v>241</v>
      </c>
      <c r="F103" s="647"/>
      <c r="G103" s="648" t="s">
        <v>60</v>
      </c>
      <c r="H103" s="648">
        <v>36</v>
      </c>
      <c r="I103" s="654">
        <v>455000</v>
      </c>
      <c r="J103" s="654">
        <f t="shared" si="2"/>
        <v>16380000</v>
      </c>
      <c r="K103" s="652">
        <v>0.41</v>
      </c>
      <c r="L103" s="654">
        <f t="shared" si="5"/>
        <v>9664200.0000000019</v>
      </c>
      <c r="M103" s="647"/>
      <c r="N103" s="659"/>
      <c r="O103" s="654"/>
      <c r="P103" s="647"/>
      <c r="Q103" s="647"/>
      <c r="R103" s="659">
        <f>SUM(L103:L106)</f>
        <v>12885600.000000002</v>
      </c>
      <c r="S103" s="1727" t="s">
        <v>1693</v>
      </c>
    </row>
    <row r="104" spans="1:19">
      <c r="A104" s="648"/>
      <c r="B104" s="647"/>
      <c r="C104" s="647" t="s">
        <v>1718</v>
      </c>
      <c r="D104" s="647" t="s">
        <v>567</v>
      </c>
      <c r="E104" s="647" t="s">
        <v>241</v>
      </c>
      <c r="F104" s="647"/>
      <c r="G104" s="648" t="s">
        <v>30</v>
      </c>
      <c r="H104" s="648">
        <v>6</v>
      </c>
      <c r="I104" s="654">
        <v>465000</v>
      </c>
      <c r="J104" s="654">
        <f t="shared" si="2"/>
        <v>2790000</v>
      </c>
      <c r="K104" s="652">
        <v>1</v>
      </c>
      <c r="L104" s="654">
        <f t="shared" si="5"/>
        <v>0</v>
      </c>
      <c r="M104" s="647"/>
      <c r="N104" s="659"/>
      <c r="O104" s="654"/>
      <c r="P104" s="647"/>
      <c r="Q104" s="647"/>
      <c r="R104" s="647"/>
      <c r="S104" s="1727"/>
    </row>
    <row r="105" spans="1:19">
      <c r="A105" s="648"/>
      <c r="B105" s="647"/>
      <c r="C105" s="647" t="s">
        <v>1718</v>
      </c>
      <c r="D105" s="647" t="s">
        <v>567</v>
      </c>
      <c r="E105" s="647" t="s">
        <v>241</v>
      </c>
      <c r="F105" s="647"/>
      <c r="G105" s="648" t="s">
        <v>73</v>
      </c>
      <c r="H105" s="648">
        <v>6</v>
      </c>
      <c r="I105" s="654">
        <v>485000</v>
      </c>
      <c r="J105" s="654">
        <f t="shared" si="2"/>
        <v>2910000</v>
      </c>
      <c r="K105" s="652">
        <v>1</v>
      </c>
      <c r="L105" s="654">
        <f t="shared" si="5"/>
        <v>0</v>
      </c>
      <c r="M105" s="647"/>
      <c r="N105" s="659"/>
      <c r="O105" s="654"/>
      <c r="P105" s="647"/>
      <c r="Q105" s="647"/>
      <c r="R105" s="647"/>
      <c r="S105" s="1727"/>
    </row>
    <row r="106" spans="1:19">
      <c r="A106" s="648"/>
      <c r="B106" s="647"/>
      <c r="C106" s="647" t="s">
        <v>1718</v>
      </c>
      <c r="D106" s="647" t="s">
        <v>567</v>
      </c>
      <c r="E106" s="647" t="s">
        <v>241</v>
      </c>
      <c r="F106" s="647"/>
      <c r="G106" s="648" t="s">
        <v>46</v>
      </c>
      <c r="H106" s="648">
        <v>12</v>
      </c>
      <c r="I106" s="654">
        <v>455000</v>
      </c>
      <c r="J106" s="654">
        <f t="shared" si="2"/>
        <v>5460000</v>
      </c>
      <c r="K106" s="652">
        <v>0.41</v>
      </c>
      <c r="L106" s="654">
        <f t="shared" si="5"/>
        <v>3221400.0000000005</v>
      </c>
      <c r="M106" s="647"/>
      <c r="N106" s="659"/>
      <c r="O106" s="654"/>
      <c r="P106" s="647"/>
      <c r="Q106" s="647"/>
      <c r="R106" s="647"/>
      <c r="S106" s="1728"/>
    </row>
    <row r="107" spans="1:19">
      <c r="A107" s="647"/>
      <c r="B107" s="647"/>
      <c r="C107" s="1729" t="s">
        <v>105</v>
      </c>
      <c r="D107" s="1729"/>
      <c r="E107" s="1729"/>
      <c r="F107" s="1729"/>
      <c r="G107" s="647"/>
      <c r="H107" s="1369">
        <f>SUM(H7:H106)</f>
        <v>1627</v>
      </c>
      <c r="I107" s="654"/>
      <c r="J107" s="663">
        <f>SUM(J7:J106)</f>
        <v>753070000</v>
      </c>
      <c r="K107" s="647"/>
      <c r="L107" s="663">
        <f>SUM(L7:L106)</f>
        <v>449550000</v>
      </c>
      <c r="M107" s="647"/>
      <c r="N107" s="663">
        <f>SUM(N7:N106)</f>
        <v>3413150.0000000005</v>
      </c>
      <c r="O107" s="654"/>
      <c r="P107" s="663"/>
      <c r="Q107" s="647"/>
      <c r="R107" s="664">
        <f>SUM(R7:R106)</f>
        <v>446136850</v>
      </c>
      <c r="S107" s="647"/>
    </row>
    <row r="108" spans="1:19">
      <c r="A108" s="1717" t="s">
        <v>615</v>
      </c>
      <c r="B108" s="1718"/>
      <c r="C108" s="1718"/>
      <c r="D108" s="1718"/>
      <c r="E108" s="1718"/>
      <c r="F108" s="1718"/>
      <c r="G108" s="1718"/>
      <c r="H108" s="647">
        <f>H107</f>
        <v>1627</v>
      </c>
      <c r="I108" s="654"/>
      <c r="J108" s="654"/>
      <c r="K108" s="647"/>
      <c r="L108" s="663">
        <f>L107</f>
        <v>449550000</v>
      </c>
      <c r="M108" s="647"/>
      <c r="N108" s="647"/>
      <c r="O108" s="647"/>
      <c r="P108" s="647"/>
      <c r="Q108" s="647"/>
      <c r="R108" s="647"/>
      <c r="S108" s="647"/>
    </row>
    <row r="109" spans="1:19">
      <c r="A109" s="1717" t="s">
        <v>509</v>
      </c>
      <c r="B109" s="1718"/>
      <c r="C109" s="1718"/>
      <c r="D109" s="1718"/>
      <c r="E109" s="1718"/>
      <c r="F109" s="1718"/>
      <c r="G109" s="1718"/>
      <c r="H109" s="655"/>
      <c r="I109" s="657"/>
      <c r="J109" s="657"/>
      <c r="K109" s="655"/>
      <c r="L109" s="675">
        <f>N107</f>
        <v>3413150.0000000005</v>
      </c>
      <c r="M109" s="655"/>
      <c r="N109" s="655"/>
      <c r="O109" s="655"/>
      <c r="P109" s="655"/>
      <c r="Q109" s="655"/>
      <c r="R109" s="655"/>
      <c r="S109" s="655"/>
    </row>
    <row r="110" spans="1:19">
      <c r="A110" s="1717" t="s">
        <v>510</v>
      </c>
      <c r="B110" s="1718"/>
      <c r="C110" s="1718"/>
      <c r="D110" s="1718"/>
      <c r="E110" s="1718"/>
      <c r="F110" s="1718"/>
      <c r="G110" s="1718"/>
      <c r="H110" s="655"/>
      <c r="I110" s="657"/>
      <c r="J110" s="657"/>
      <c r="K110" s="655"/>
      <c r="L110" s="675">
        <f>P107</f>
        <v>0</v>
      </c>
      <c r="M110" s="655"/>
      <c r="N110" s="655"/>
      <c r="O110" s="655"/>
      <c r="P110" s="655"/>
      <c r="Q110" s="655"/>
      <c r="R110" s="655"/>
      <c r="S110" s="655"/>
    </row>
    <row r="111" spans="1:19">
      <c r="A111" s="1717" t="s">
        <v>1681</v>
      </c>
      <c r="B111" s="1718"/>
      <c r="C111" s="1718"/>
      <c r="D111" s="1718"/>
      <c r="E111" s="1718"/>
      <c r="F111" s="1718"/>
      <c r="G111" s="1718"/>
      <c r="H111" s="655"/>
      <c r="I111" s="657"/>
      <c r="J111" s="657"/>
      <c r="K111" s="655"/>
      <c r="L111" s="675">
        <f>R107</f>
        <v>446136850</v>
      </c>
      <c r="M111" s="655"/>
      <c r="N111" s="655"/>
      <c r="O111" s="655"/>
      <c r="P111" s="655"/>
      <c r="Q111" s="655"/>
      <c r="R111" s="655"/>
      <c r="S111" s="655"/>
    </row>
    <row r="112" spans="1:19">
      <c r="A112" s="656" t="s">
        <v>512</v>
      </c>
      <c r="B112" s="656"/>
      <c r="C112" s="656"/>
      <c r="D112" s="656"/>
      <c r="E112" s="656"/>
      <c r="F112" s="656"/>
      <c r="G112" s="656"/>
      <c r="H112" s="656"/>
      <c r="I112" s="658"/>
      <c r="J112" s="658"/>
      <c r="K112" s="656"/>
      <c r="L112" s="658">
        <f>L107-N107-P107-R107</f>
        <v>0</v>
      </c>
      <c r="M112" s="656"/>
      <c r="N112" s="656"/>
      <c r="O112" s="656"/>
      <c r="P112" s="656"/>
      <c r="Q112" s="656"/>
      <c r="R112" s="656"/>
      <c r="S112" s="656"/>
    </row>
    <row r="113" spans="1:19">
      <c r="A113" s="1371"/>
      <c r="B113" s="1725" t="s">
        <v>114</v>
      </c>
      <c r="C113" s="1725"/>
      <c r="D113" s="1725"/>
      <c r="E113" s="1372"/>
      <c r="F113" s="1373"/>
      <c r="G113" s="1371"/>
      <c r="H113" s="1373"/>
      <c r="I113" s="1373"/>
      <c r="J113" s="1372" t="s">
        <v>115</v>
      </c>
      <c r="K113" s="1373"/>
      <c r="L113" s="1373"/>
      <c r="M113" s="1373"/>
      <c r="N113" s="1373"/>
      <c r="O113" s="1373"/>
      <c r="P113" s="1371"/>
      <c r="Q113" s="1373" t="s">
        <v>214</v>
      </c>
      <c r="R113" s="1371"/>
      <c r="S113" s="1371"/>
    </row>
  </sheetData>
  <mergeCells count="22">
    <mergeCell ref="A111:G111"/>
    <mergeCell ref="H1:S1"/>
    <mergeCell ref="H2:S2"/>
    <mergeCell ref="S38:S41"/>
    <mergeCell ref="S58:S62"/>
    <mergeCell ref="S103:S106"/>
    <mergeCell ref="B113:D113"/>
    <mergeCell ref="S17:S23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C107:F107"/>
    <mergeCell ref="A108:G108"/>
    <mergeCell ref="A109:G109"/>
    <mergeCell ref="A110:G110"/>
  </mergeCells>
  <pageMargins left="0.7" right="0.7" top="0.75" bottom="0.75" header="0.3" footer="0.3"/>
  <pageSetup paperSize="9" scale="81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T129"/>
  <sheetViews>
    <sheetView topLeftCell="A76" workbookViewId="0">
      <selection activeCell="G100" sqref="G100"/>
    </sheetView>
  </sheetViews>
  <sheetFormatPr defaultRowHeight="15"/>
  <cols>
    <col min="1" max="1" width="5" style="812" customWidth="1"/>
    <col min="2" max="2" width="6.28515625" style="812" customWidth="1"/>
    <col min="3" max="3" width="6.140625" style="812" customWidth="1"/>
    <col min="4" max="4" width="11.42578125" style="812" customWidth="1"/>
    <col min="5" max="5" width="11.5703125" style="812" customWidth="1"/>
    <col min="6" max="6" width="6.85546875" style="812" customWidth="1"/>
    <col min="7" max="7" width="9.140625" style="812"/>
    <col min="8" max="8" width="4.85546875" style="812" customWidth="1"/>
    <col min="9" max="9" width="10.85546875" style="812" customWidth="1"/>
    <col min="10" max="10" width="11.28515625" style="812" customWidth="1"/>
    <col min="11" max="11" width="4.7109375" style="812" customWidth="1"/>
    <col min="12" max="12" width="12.5703125" style="812" bestFit="1" customWidth="1"/>
    <col min="13" max="13" width="10.5703125" style="812" bestFit="1" customWidth="1"/>
    <col min="14" max="14" width="13.28515625" style="812" bestFit="1" customWidth="1"/>
    <col min="15" max="15" width="9.140625" style="812"/>
    <col min="16" max="16" width="11.5703125" style="812" bestFit="1" customWidth="1"/>
    <col min="17" max="17" width="9.140625" style="812"/>
    <col min="18" max="18" width="12.5703125" style="812" bestFit="1" customWidth="1"/>
    <col min="19" max="16384" width="9.140625" style="812"/>
  </cols>
  <sheetData>
    <row r="1" spans="1:19" ht="16.5">
      <c r="A1" s="635" t="s">
        <v>0</v>
      </c>
      <c r="B1" s="645"/>
      <c r="C1" s="636"/>
      <c r="D1" s="637"/>
      <c r="E1" s="637"/>
      <c r="F1" s="637"/>
      <c r="G1" s="634"/>
      <c r="H1" s="634"/>
      <c r="I1" s="1082"/>
      <c r="J1" s="1082"/>
      <c r="K1" s="638"/>
      <c r="L1" s="1082"/>
      <c r="M1" s="1082"/>
      <c r="N1" s="1082"/>
      <c r="O1" s="636"/>
      <c r="P1" s="634"/>
      <c r="Q1" s="634"/>
      <c r="R1" s="1082" t="s">
        <v>1</v>
      </c>
      <c r="S1" s="1082"/>
    </row>
    <row r="2" spans="1:19" ht="15.75">
      <c r="A2" s="639" t="s">
        <v>2</v>
      </c>
      <c r="B2" s="646"/>
      <c r="C2" s="640"/>
      <c r="D2" s="641"/>
      <c r="E2" s="641"/>
      <c r="F2" s="641"/>
      <c r="G2" s="634"/>
      <c r="H2" s="634"/>
      <c r="I2" s="1078"/>
      <c r="J2" s="1078"/>
      <c r="K2" s="642"/>
      <c r="L2" s="1078"/>
      <c r="M2" s="1078"/>
      <c r="N2" s="1078"/>
      <c r="O2" s="640"/>
      <c r="P2" s="634"/>
      <c r="Q2" s="634"/>
      <c r="R2" s="1078" t="s">
        <v>3</v>
      </c>
      <c r="S2" s="1078"/>
    </row>
    <row r="3" spans="1:19" ht="20.25">
      <c r="A3" s="1661" t="s">
        <v>4</v>
      </c>
      <c r="B3" s="1661"/>
      <c r="C3" s="1661"/>
      <c r="D3" s="1661"/>
      <c r="E3" s="1661"/>
      <c r="F3" s="1661"/>
      <c r="G3" s="1661"/>
      <c r="H3" s="1661"/>
      <c r="I3" s="1661"/>
      <c r="J3" s="1661"/>
      <c r="K3" s="1662"/>
      <c r="L3" s="1661"/>
      <c r="M3" s="1661"/>
      <c r="N3" s="1661"/>
      <c r="O3" s="1661"/>
      <c r="P3" s="1661"/>
      <c r="Q3" s="1661"/>
      <c r="R3" s="1661"/>
      <c r="S3" s="1661"/>
    </row>
    <row r="4" spans="1:19" ht="15.75" thickBot="1">
      <c r="A4" s="1684" t="s">
        <v>1646</v>
      </c>
      <c r="B4" s="1684"/>
      <c r="C4" s="1684"/>
      <c r="D4" s="1684"/>
      <c r="E4" s="1684"/>
      <c r="F4" s="1684"/>
      <c r="G4" s="1684"/>
      <c r="H4" s="1684"/>
      <c r="I4" s="1684"/>
      <c r="J4" s="1684"/>
      <c r="K4" s="1685"/>
      <c r="L4" s="1684"/>
      <c r="M4" s="1684"/>
      <c r="N4" s="1684"/>
      <c r="O4" s="1684"/>
      <c r="P4" s="1684"/>
      <c r="Q4" s="1684"/>
      <c r="R4" s="1684"/>
      <c r="S4" s="1684"/>
    </row>
    <row r="5" spans="1:19" ht="15.75" thickTop="1">
      <c r="A5" s="1672" t="s">
        <v>6</v>
      </c>
      <c r="B5" s="1686" t="s">
        <v>7</v>
      </c>
      <c r="C5" s="1674" t="s">
        <v>8</v>
      </c>
      <c r="D5" s="1674" t="s">
        <v>9</v>
      </c>
      <c r="E5" s="1674"/>
      <c r="F5" s="1674"/>
      <c r="G5" s="1690" t="s">
        <v>119</v>
      </c>
      <c r="H5" s="1690"/>
      <c r="I5" s="1690"/>
      <c r="J5" s="1690"/>
      <c r="K5" s="1691"/>
      <c r="L5" s="1634" t="s">
        <v>120</v>
      </c>
      <c r="M5" s="1690" t="s">
        <v>12</v>
      </c>
      <c r="N5" s="1690"/>
      <c r="O5" s="1690"/>
      <c r="P5" s="1690"/>
      <c r="Q5" s="1690"/>
      <c r="R5" s="1690"/>
      <c r="S5" s="1659" t="s">
        <v>13</v>
      </c>
    </row>
    <row r="6" spans="1:19" ht="45">
      <c r="A6" s="1673"/>
      <c r="B6" s="1687"/>
      <c r="C6" s="1675"/>
      <c r="D6" s="643" t="s">
        <v>14</v>
      </c>
      <c r="E6" s="1079" t="s">
        <v>15</v>
      </c>
      <c r="F6" s="1079" t="s">
        <v>16</v>
      </c>
      <c r="G6" s="1079" t="s">
        <v>17</v>
      </c>
      <c r="H6" s="1079" t="s">
        <v>18</v>
      </c>
      <c r="I6" s="1079" t="s">
        <v>19</v>
      </c>
      <c r="J6" s="1076" t="s">
        <v>20</v>
      </c>
      <c r="K6" s="644" t="s">
        <v>21</v>
      </c>
      <c r="L6" s="1635"/>
      <c r="M6" s="1079" t="s">
        <v>121</v>
      </c>
      <c r="N6" s="1079" t="s">
        <v>23</v>
      </c>
      <c r="O6" s="1079" t="s">
        <v>122</v>
      </c>
      <c r="P6" s="1079" t="s">
        <v>23</v>
      </c>
      <c r="Q6" s="1079" t="s">
        <v>25</v>
      </c>
      <c r="R6" s="1079" t="s">
        <v>23</v>
      </c>
      <c r="S6" s="1660"/>
    </row>
    <row r="7" spans="1:19" s="1098" customFormat="1" ht="18">
      <c r="A7" s="1136">
        <v>448</v>
      </c>
      <c r="B7" s="1137"/>
      <c r="C7" s="1138" t="s">
        <v>519</v>
      </c>
      <c r="D7" s="1139" t="s">
        <v>1647</v>
      </c>
      <c r="E7" s="1138"/>
      <c r="F7" s="1138"/>
      <c r="G7" s="1138" t="s">
        <v>42</v>
      </c>
      <c r="H7" s="1138">
        <v>1</v>
      </c>
      <c r="I7" s="1140">
        <v>265000</v>
      </c>
      <c r="J7" s="1141">
        <f t="shared" ref="J7:J15" si="0">H7*I7</f>
        <v>265000</v>
      </c>
      <c r="K7" s="1142">
        <v>1</v>
      </c>
      <c r="L7" s="1143">
        <f t="shared" ref="L7:L15" si="1">H7*I7*(1-K7)</f>
        <v>0</v>
      </c>
      <c r="M7" s="1138"/>
      <c r="N7" s="1138"/>
      <c r="O7" s="1138"/>
      <c r="P7" s="1138"/>
      <c r="Q7" s="1138"/>
      <c r="R7" s="1144">
        <f>SUM(L7:L14)</f>
        <v>0</v>
      </c>
      <c r="S7" s="1145"/>
    </row>
    <row r="8" spans="1:19" s="1098" customFormat="1" ht="18">
      <c r="A8" s="1136"/>
      <c r="B8" s="1137"/>
      <c r="C8" s="1138" t="s">
        <v>519</v>
      </c>
      <c r="D8" s="1139" t="s">
        <v>1647</v>
      </c>
      <c r="E8" s="1138"/>
      <c r="F8" s="1138"/>
      <c r="G8" s="1138" t="s">
        <v>74</v>
      </c>
      <c r="H8" s="1138">
        <v>1</v>
      </c>
      <c r="I8" s="1140">
        <v>550000</v>
      </c>
      <c r="J8" s="1141">
        <v>550000</v>
      </c>
      <c r="K8" s="1142">
        <v>1</v>
      </c>
      <c r="L8" s="1143">
        <f t="shared" si="1"/>
        <v>0</v>
      </c>
      <c r="M8" s="1138"/>
      <c r="N8" s="1138"/>
      <c r="O8" s="1138"/>
      <c r="P8" s="1138"/>
      <c r="Q8" s="1138"/>
      <c r="R8" s="1138"/>
      <c r="S8" s="1145"/>
    </row>
    <row r="9" spans="1:19" s="1098" customFormat="1" ht="21">
      <c r="A9" s="1136">
        <v>433</v>
      </c>
      <c r="B9" s="1146">
        <v>43953</v>
      </c>
      <c r="C9" s="1147" t="s">
        <v>1648</v>
      </c>
      <c r="D9" s="1148" t="s">
        <v>411</v>
      </c>
      <c r="E9" s="1147" t="s">
        <v>328</v>
      </c>
      <c r="F9" s="1138"/>
      <c r="G9" s="1138" t="s">
        <v>60</v>
      </c>
      <c r="H9" s="1138">
        <v>1</v>
      </c>
      <c r="I9" s="1140">
        <v>455000</v>
      </c>
      <c r="J9" s="1141">
        <f t="shared" si="0"/>
        <v>455000</v>
      </c>
      <c r="K9" s="1142">
        <v>1</v>
      </c>
      <c r="L9" s="1143">
        <f t="shared" si="1"/>
        <v>0</v>
      </c>
      <c r="M9" s="1138"/>
      <c r="N9" s="1138"/>
      <c r="O9" s="1138"/>
      <c r="P9" s="1138"/>
      <c r="Q9" s="1138"/>
      <c r="R9" s="1138"/>
      <c r="S9" s="1145"/>
    </row>
    <row r="10" spans="1:19" s="1098" customFormat="1">
      <c r="A10" s="1136"/>
      <c r="B10" s="1146"/>
      <c r="C10" s="1138"/>
      <c r="D10" s="1148" t="s">
        <v>411</v>
      </c>
      <c r="E10" s="1147" t="s">
        <v>328</v>
      </c>
      <c r="F10" s="1138"/>
      <c r="G10" s="1138" t="s">
        <v>30</v>
      </c>
      <c r="H10" s="1138">
        <v>1</v>
      </c>
      <c r="I10" s="1140">
        <v>465000</v>
      </c>
      <c r="J10" s="1141">
        <f t="shared" si="0"/>
        <v>465000</v>
      </c>
      <c r="K10" s="1142">
        <v>1</v>
      </c>
      <c r="L10" s="1143">
        <f t="shared" si="1"/>
        <v>0</v>
      </c>
      <c r="M10" s="1138"/>
      <c r="N10" s="1138"/>
      <c r="O10" s="1138"/>
      <c r="P10" s="1138"/>
      <c r="Q10" s="1138"/>
      <c r="R10" s="1138"/>
      <c r="S10" s="1145"/>
    </row>
    <row r="11" spans="1:19" s="1098" customFormat="1">
      <c r="A11" s="1136"/>
      <c r="B11" s="1146"/>
      <c r="C11" s="1138"/>
      <c r="D11" s="1148" t="s">
        <v>411</v>
      </c>
      <c r="E11" s="1147" t="s">
        <v>328</v>
      </c>
      <c r="F11" s="1138"/>
      <c r="G11" s="1138" t="s">
        <v>50</v>
      </c>
      <c r="H11" s="1138">
        <v>1</v>
      </c>
      <c r="I11" s="1140">
        <v>475000</v>
      </c>
      <c r="J11" s="1141">
        <f t="shared" si="0"/>
        <v>475000</v>
      </c>
      <c r="K11" s="1142">
        <v>1</v>
      </c>
      <c r="L11" s="1143">
        <f t="shared" si="1"/>
        <v>0</v>
      </c>
      <c r="M11" s="1138"/>
      <c r="N11" s="1138"/>
      <c r="O11" s="1138"/>
      <c r="P11" s="1138"/>
      <c r="Q11" s="1138"/>
      <c r="R11" s="1138"/>
      <c r="S11" s="1145"/>
    </row>
    <row r="12" spans="1:19" s="1098" customFormat="1">
      <c r="A12" s="1136"/>
      <c r="B12" s="1146"/>
      <c r="C12" s="1138"/>
      <c r="D12" s="1148" t="s">
        <v>411</v>
      </c>
      <c r="E12" s="1147" t="s">
        <v>328</v>
      </c>
      <c r="F12" s="1138"/>
      <c r="G12" s="1138" t="s">
        <v>45</v>
      </c>
      <c r="H12" s="1138">
        <v>1</v>
      </c>
      <c r="I12" s="1140">
        <v>485000</v>
      </c>
      <c r="J12" s="1141">
        <f t="shared" si="0"/>
        <v>485000</v>
      </c>
      <c r="K12" s="1142">
        <v>1</v>
      </c>
      <c r="L12" s="1143">
        <f t="shared" si="1"/>
        <v>0</v>
      </c>
      <c r="M12" s="1138"/>
      <c r="N12" s="1138"/>
      <c r="O12" s="1138"/>
      <c r="P12" s="1138"/>
      <c r="Q12" s="1138"/>
      <c r="R12" s="1138"/>
      <c r="S12" s="1145"/>
    </row>
    <row r="13" spans="1:19" s="1098" customFormat="1">
      <c r="A13" s="1136"/>
      <c r="B13" s="1146"/>
      <c r="C13" s="1138"/>
      <c r="D13" s="1148" t="s">
        <v>411</v>
      </c>
      <c r="E13" s="1147" t="s">
        <v>328</v>
      </c>
      <c r="F13" s="1138"/>
      <c r="G13" s="1138" t="s">
        <v>74</v>
      </c>
      <c r="H13" s="1138">
        <v>1</v>
      </c>
      <c r="I13" s="1140">
        <v>550000</v>
      </c>
      <c r="J13" s="1141">
        <f t="shared" si="0"/>
        <v>550000</v>
      </c>
      <c r="K13" s="1142">
        <v>1</v>
      </c>
      <c r="L13" s="1143">
        <f t="shared" si="1"/>
        <v>0</v>
      </c>
      <c r="M13" s="1138"/>
      <c r="N13" s="1138"/>
      <c r="O13" s="1138"/>
      <c r="P13" s="1138"/>
      <c r="Q13" s="1138"/>
      <c r="R13" s="1138"/>
      <c r="S13" s="1145"/>
    </row>
    <row r="14" spans="1:19" s="1098" customFormat="1">
      <c r="A14" s="1136"/>
      <c r="B14" s="1146"/>
      <c r="C14" s="1138"/>
      <c r="D14" s="1148" t="s">
        <v>411</v>
      </c>
      <c r="E14" s="1147" t="s">
        <v>328</v>
      </c>
      <c r="F14" s="1138"/>
      <c r="G14" s="1138" t="s">
        <v>34</v>
      </c>
      <c r="H14" s="1138">
        <v>1</v>
      </c>
      <c r="I14" s="1140">
        <v>455000</v>
      </c>
      <c r="J14" s="1141">
        <f t="shared" si="0"/>
        <v>455000</v>
      </c>
      <c r="K14" s="1142">
        <v>1</v>
      </c>
      <c r="L14" s="1143">
        <f t="shared" si="1"/>
        <v>0</v>
      </c>
      <c r="M14" s="1138"/>
      <c r="N14" s="1138"/>
      <c r="O14" s="1138"/>
      <c r="P14" s="1138"/>
      <c r="Q14" s="1138"/>
      <c r="R14" s="1138"/>
      <c r="S14" s="1145"/>
    </row>
    <row r="15" spans="1:19" s="1098" customFormat="1">
      <c r="A15" s="1149">
        <v>432</v>
      </c>
      <c r="B15" s="1146">
        <v>43953</v>
      </c>
      <c r="C15" s="1147"/>
      <c r="D15" s="1148" t="s">
        <v>572</v>
      </c>
      <c r="E15" s="1147"/>
      <c r="F15" s="1147"/>
      <c r="G15" s="1147" t="s">
        <v>60</v>
      </c>
      <c r="H15" s="1147">
        <v>3</v>
      </c>
      <c r="I15" s="1141">
        <v>455000</v>
      </c>
      <c r="J15" s="1141">
        <f t="shared" si="0"/>
        <v>1365000</v>
      </c>
      <c r="K15" s="1150">
        <v>0.25</v>
      </c>
      <c r="L15" s="1143">
        <f t="shared" si="1"/>
        <v>1023750</v>
      </c>
      <c r="M15" s="1076"/>
      <c r="N15" s="1151">
        <f>L15</f>
        <v>1023750</v>
      </c>
      <c r="O15" s="1076"/>
      <c r="P15" s="1076"/>
      <c r="Q15" s="1076"/>
      <c r="R15" s="1076"/>
      <c r="S15" s="1152"/>
    </row>
    <row r="16" spans="1:19" s="1098" customFormat="1">
      <c r="A16" s="1149">
        <v>1008</v>
      </c>
      <c r="B16" s="1146">
        <v>43953</v>
      </c>
      <c r="C16" s="1147"/>
      <c r="D16" s="1148" t="s">
        <v>411</v>
      </c>
      <c r="E16" s="1147" t="s">
        <v>328</v>
      </c>
      <c r="F16" s="1147"/>
      <c r="G16" s="1147" t="s">
        <v>60</v>
      </c>
      <c r="H16" s="1147">
        <v>1</v>
      </c>
      <c r="I16" s="1153">
        <v>455000</v>
      </c>
      <c r="J16" s="1141">
        <f>H16*I16</f>
        <v>455000</v>
      </c>
      <c r="K16" s="1150">
        <v>0.5</v>
      </c>
      <c r="L16" s="1143">
        <f>H16*I16*(1-K16)</f>
        <v>227500</v>
      </c>
      <c r="M16" s="1147"/>
      <c r="N16" s="1147"/>
      <c r="O16" s="1147"/>
      <c r="P16" s="1147"/>
      <c r="Q16" s="1147"/>
      <c r="R16" s="1154">
        <f>SUM(L16:L21)</f>
        <v>1442500</v>
      </c>
      <c r="S16" s="1155"/>
    </row>
    <row r="17" spans="1:19" s="1098" customFormat="1">
      <c r="A17" s="1149"/>
      <c r="B17" s="1156"/>
      <c r="C17" s="1147"/>
      <c r="D17" s="1148" t="s">
        <v>411</v>
      </c>
      <c r="E17" s="1147" t="s">
        <v>328</v>
      </c>
      <c r="F17" s="1147"/>
      <c r="G17" s="1147" t="s">
        <v>30</v>
      </c>
      <c r="H17" s="1147">
        <v>1</v>
      </c>
      <c r="I17" s="1153">
        <v>465000</v>
      </c>
      <c r="J17" s="1141">
        <f t="shared" ref="J17:J26" si="2">H17*I17</f>
        <v>465000</v>
      </c>
      <c r="K17" s="1150">
        <v>0.5</v>
      </c>
      <c r="L17" s="1143">
        <f t="shared" ref="L17:L92" si="3">H17*I17*(1-K17)</f>
        <v>232500</v>
      </c>
      <c r="M17" s="1147"/>
      <c r="N17" s="1147"/>
      <c r="O17" s="1147"/>
      <c r="P17" s="1147"/>
      <c r="Q17" s="1147"/>
      <c r="R17" s="1147"/>
      <c r="S17" s="1155"/>
    </row>
    <row r="18" spans="1:19" s="1098" customFormat="1">
      <c r="A18" s="1149"/>
      <c r="B18" s="1156"/>
      <c r="C18" s="1147"/>
      <c r="D18" s="1148" t="s">
        <v>411</v>
      </c>
      <c r="E18" s="1147" t="s">
        <v>328</v>
      </c>
      <c r="F18" s="1147"/>
      <c r="G18" s="1147" t="s">
        <v>50</v>
      </c>
      <c r="H18" s="1147">
        <v>1</v>
      </c>
      <c r="I18" s="1153">
        <v>475000</v>
      </c>
      <c r="J18" s="1141">
        <f t="shared" si="2"/>
        <v>475000</v>
      </c>
      <c r="K18" s="1150">
        <v>0.5</v>
      </c>
      <c r="L18" s="1143">
        <f t="shared" si="3"/>
        <v>237500</v>
      </c>
      <c r="M18" s="1147"/>
      <c r="N18" s="1147"/>
      <c r="O18" s="1147"/>
      <c r="P18" s="1147"/>
      <c r="Q18" s="1147"/>
      <c r="R18" s="1147"/>
      <c r="S18" s="1155"/>
    </row>
    <row r="19" spans="1:19" s="1098" customFormat="1">
      <c r="A19" s="1149"/>
      <c r="B19" s="1156"/>
      <c r="C19" s="1147"/>
      <c r="D19" s="1148" t="s">
        <v>411</v>
      </c>
      <c r="E19" s="1147" t="s">
        <v>328</v>
      </c>
      <c r="F19" s="1147"/>
      <c r="G19" s="1147" t="s">
        <v>45</v>
      </c>
      <c r="H19" s="1147">
        <v>1</v>
      </c>
      <c r="I19" s="1153">
        <v>485000</v>
      </c>
      <c r="J19" s="1141">
        <f t="shared" si="2"/>
        <v>485000</v>
      </c>
      <c r="K19" s="1150">
        <v>0.5</v>
      </c>
      <c r="L19" s="1143">
        <f t="shared" si="3"/>
        <v>242500</v>
      </c>
      <c r="M19" s="1147"/>
      <c r="N19" s="1147"/>
      <c r="O19" s="1147"/>
      <c r="P19" s="1147"/>
      <c r="Q19" s="1147"/>
      <c r="R19" s="1147"/>
      <c r="S19" s="1155"/>
    </row>
    <row r="20" spans="1:19" s="1098" customFormat="1">
      <c r="A20" s="1149"/>
      <c r="B20" s="1156"/>
      <c r="C20" s="1147"/>
      <c r="D20" s="1148" t="s">
        <v>411</v>
      </c>
      <c r="E20" s="1147" t="s">
        <v>328</v>
      </c>
      <c r="F20" s="1147"/>
      <c r="G20" s="1147" t="s">
        <v>74</v>
      </c>
      <c r="H20" s="1147">
        <v>1</v>
      </c>
      <c r="I20" s="1153">
        <v>550000</v>
      </c>
      <c r="J20" s="1141">
        <f t="shared" si="2"/>
        <v>550000</v>
      </c>
      <c r="K20" s="1150">
        <v>0.5</v>
      </c>
      <c r="L20" s="1143">
        <f t="shared" si="3"/>
        <v>275000</v>
      </c>
      <c r="M20" s="1147"/>
      <c r="N20" s="1147"/>
      <c r="O20" s="1147"/>
      <c r="P20" s="1147"/>
      <c r="Q20" s="1147"/>
      <c r="R20" s="1147"/>
      <c r="S20" s="1155"/>
    </row>
    <row r="21" spans="1:19" s="1098" customFormat="1">
      <c r="A21" s="1149"/>
      <c r="B21" s="1156"/>
      <c r="C21" s="1147"/>
      <c r="D21" s="1148" t="s">
        <v>411</v>
      </c>
      <c r="E21" s="1147" t="s">
        <v>328</v>
      </c>
      <c r="F21" s="1147"/>
      <c r="G21" s="1147" t="s">
        <v>34</v>
      </c>
      <c r="H21" s="1147">
        <v>1</v>
      </c>
      <c r="I21" s="1153">
        <v>455000</v>
      </c>
      <c r="J21" s="1141">
        <f t="shared" si="2"/>
        <v>455000</v>
      </c>
      <c r="K21" s="1150">
        <v>0.5</v>
      </c>
      <c r="L21" s="1143">
        <f t="shared" si="3"/>
        <v>227500</v>
      </c>
      <c r="M21" s="1147"/>
      <c r="N21" s="1147"/>
      <c r="O21" s="1147"/>
      <c r="P21" s="1147"/>
      <c r="Q21" s="1147"/>
      <c r="R21" s="1147"/>
      <c r="S21" s="1155"/>
    </row>
    <row r="22" spans="1:19" s="1098" customFormat="1">
      <c r="A22" s="1149">
        <v>1009</v>
      </c>
      <c r="B22" s="1146">
        <v>43984</v>
      </c>
      <c r="C22" s="1147"/>
      <c r="D22" s="1148" t="s">
        <v>1649</v>
      </c>
      <c r="E22" s="1147" t="s">
        <v>1546</v>
      </c>
      <c r="F22" s="1147"/>
      <c r="G22" s="1147" t="s">
        <v>253</v>
      </c>
      <c r="H22" s="1147">
        <v>24</v>
      </c>
      <c r="I22" s="1153">
        <v>255000</v>
      </c>
      <c r="J22" s="1141">
        <f t="shared" si="2"/>
        <v>6120000</v>
      </c>
      <c r="K22" s="1150">
        <v>0.5</v>
      </c>
      <c r="L22" s="1143">
        <f t="shared" si="3"/>
        <v>3060000</v>
      </c>
      <c r="M22" s="1147"/>
      <c r="N22" s="1147"/>
      <c r="O22" s="1147"/>
      <c r="P22" s="1147"/>
      <c r="Q22" s="1147"/>
      <c r="R22" s="1154">
        <f>L22</f>
        <v>3060000</v>
      </c>
      <c r="S22" s="1155"/>
    </row>
    <row r="23" spans="1:19" s="1098" customFormat="1">
      <c r="A23" s="1149">
        <v>1015</v>
      </c>
      <c r="B23" s="1146">
        <v>44045</v>
      </c>
      <c r="D23" s="668" t="s">
        <v>1545</v>
      </c>
      <c r="E23" s="668" t="s">
        <v>145</v>
      </c>
      <c r="F23" s="1147"/>
      <c r="G23" s="1147" t="s">
        <v>60</v>
      </c>
      <c r="H23" s="1147">
        <v>6</v>
      </c>
      <c r="I23" s="1153">
        <v>455000</v>
      </c>
      <c r="J23" s="1141">
        <f t="shared" si="2"/>
        <v>2730000</v>
      </c>
      <c r="K23" s="1150">
        <v>0.41</v>
      </c>
      <c r="L23" s="1143">
        <f t="shared" si="3"/>
        <v>1610700.0000000002</v>
      </c>
      <c r="M23" s="1147"/>
      <c r="N23" s="1147"/>
      <c r="O23" s="1147"/>
      <c r="P23" s="1147"/>
      <c r="Q23" s="1147"/>
      <c r="R23" s="1154">
        <f>L23</f>
        <v>1610700.0000000002</v>
      </c>
      <c r="S23" s="1155"/>
    </row>
    <row r="24" spans="1:19" s="1098" customFormat="1">
      <c r="A24" s="1149">
        <v>1019</v>
      </c>
      <c r="B24" s="1146">
        <v>44076</v>
      </c>
      <c r="C24" s="1147"/>
      <c r="D24" s="1148" t="s">
        <v>565</v>
      </c>
      <c r="E24" s="1147" t="s">
        <v>1650</v>
      </c>
      <c r="F24" s="1147"/>
      <c r="G24" s="1147" t="s">
        <v>30</v>
      </c>
      <c r="H24" s="1147">
        <v>60</v>
      </c>
      <c r="I24" s="1153">
        <v>465000</v>
      </c>
      <c r="J24" s="1141">
        <f t="shared" si="2"/>
        <v>27900000</v>
      </c>
      <c r="K24" s="1150">
        <v>0.38</v>
      </c>
      <c r="L24" s="1143">
        <f t="shared" si="3"/>
        <v>17298000</v>
      </c>
      <c r="M24" s="1147"/>
      <c r="N24" s="1147"/>
      <c r="O24" s="1147"/>
      <c r="P24" s="1147"/>
      <c r="Q24" s="1147"/>
      <c r="R24" s="1154">
        <f>SUM(L24:L26)</f>
        <v>53010000</v>
      </c>
      <c r="S24" s="1155"/>
    </row>
    <row r="25" spans="1:19" s="1098" customFormat="1" ht="42">
      <c r="A25" s="1149"/>
      <c r="B25" s="1157"/>
      <c r="C25" s="1147"/>
      <c r="D25" s="1148" t="s">
        <v>565</v>
      </c>
      <c r="E25" s="1147" t="s">
        <v>1650</v>
      </c>
      <c r="F25" s="1147"/>
      <c r="G25" s="1147" t="s">
        <v>50</v>
      </c>
      <c r="H25" s="1147">
        <v>60</v>
      </c>
      <c r="I25" s="1153">
        <v>475000</v>
      </c>
      <c r="J25" s="1141">
        <f t="shared" si="2"/>
        <v>28500000</v>
      </c>
      <c r="K25" s="1150">
        <v>0.38</v>
      </c>
      <c r="L25" s="1143">
        <f t="shared" si="3"/>
        <v>17670000</v>
      </c>
      <c r="M25" s="1147"/>
      <c r="N25" s="1147"/>
      <c r="O25" s="1147"/>
      <c r="P25" s="1147"/>
      <c r="Q25" s="1147"/>
      <c r="R25" s="1147"/>
      <c r="S25" s="1155" t="s">
        <v>1651</v>
      </c>
    </row>
    <row r="26" spans="1:19" s="1098" customFormat="1">
      <c r="A26" s="1149"/>
      <c r="B26" s="1157"/>
      <c r="C26" s="1147"/>
      <c r="D26" s="1148" t="s">
        <v>565</v>
      </c>
      <c r="E26" s="1147" t="s">
        <v>1650</v>
      </c>
      <c r="F26" s="1147"/>
      <c r="G26" s="1147" t="s">
        <v>45</v>
      </c>
      <c r="H26" s="1147">
        <v>60</v>
      </c>
      <c r="I26" s="1153">
        <v>485000</v>
      </c>
      <c r="J26" s="1141">
        <f t="shared" si="2"/>
        <v>29100000</v>
      </c>
      <c r="K26" s="1150">
        <v>0.38</v>
      </c>
      <c r="L26" s="1143">
        <f t="shared" si="3"/>
        <v>18042000</v>
      </c>
      <c r="M26" s="1147"/>
      <c r="N26" s="1147"/>
      <c r="O26" s="1147"/>
      <c r="P26" s="1147"/>
      <c r="Q26" s="1147"/>
      <c r="R26" s="1147"/>
      <c r="S26" s="1155"/>
    </row>
    <row r="27" spans="1:19" s="1098" customFormat="1">
      <c r="A27" s="1158">
        <v>1013</v>
      </c>
      <c r="B27" s="665">
        <v>44106</v>
      </c>
      <c r="C27" s="647"/>
      <c r="D27" s="647" t="s">
        <v>525</v>
      </c>
      <c r="E27" s="647" t="s">
        <v>1652</v>
      </c>
      <c r="F27" s="647"/>
      <c r="G27" s="648" t="s">
        <v>50</v>
      </c>
      <c r="H27" s="648">
        <v>12</v>
      </c>
      <c r="I27" s="1159">
        <v>475000</v>
      </c>
      <c r="J27" s="654">
        <f>H27*I27</f>
        <v>5700000</v>
      </c>
      <c r="K27" s="652">
        <v>0.38</v>
      </c>
      <c r="L27" s="1143">
        <f t="shared" si="3"/>
        <v>3534000</v>
      </c>
      <c r="M27" s="647"/>
      <c r="N27" s="647"/>
      <c r="O27" s="647"/>
      <c r="P27" s="647"/>
      <c r="Q27" s="647"/>
      <c r="R27" s="659">
        <f>SUM(L27:L29)</f>
        <v>9926200</v>
      </c>
      <c r="S27" s="1155"/>
    </row>
    <row r="28" spans="1:19" s="1098" customFormat="1">
      <c r="A28" s="648"/>
      <c r="B28" s="648"/>
      <c r="C28" s="647"/>
      <c r="D28" s="647" t="s">
        <v>525</v>
      </c>
      <c r="E28" s="647" t="s">
        <v>1652</v>
      </c>
      <c r="F28" s="647"/>
      <c r="G28" s="648" t="s">
        <v>45</v>
      </c>
      <c r="H28" s="648">
        <v>10</v>
      </c>
      <c r="I28" s="1159">
        <v>485000</v>
      </c>
      <c r="J28" s="654">
        <f t="shared" ref="J28:J92" si="4">H28*I28</f>
        <v>4850000</v>
      </c>
      <c r="K28" s="652">
        <v>0.38</v>
      </c>
      <c r="L28" s="1143">
        <f t="shared" si="3"/>
        <v>3007000</v>
      </c>
      <c r="M28" s="647"/>
      <c r="N28" s="647"/>
      <c r="O28" s="647"/>
      <c r="P28" s="647"/>
      <c r="Q28" s="647"/>
      <c r="R28" s="647"/>
      <c r="S28" s="647"/>
    </row>
    <row r="29" spans="1:19" s="1098" customFormat="1">
      <c r="A29" s="648"/>
      <c r="B29" s="648"/>
      <c r="C29" s="647"/>
      <c r="D29" s="647" t="s">
        <v>525</v>
      </c>
      <c r="E29" s="647" t="s">
        <v>1652</v>
      </c>
      <c r="F29" s="647"/>
      <c r="G29" s="648" t="s">
        <v>46</v>
      </c>
      <c r="H29" s="648">
        <v>12</v>
      </c>
      <c r="I29" s="1159">
        <v>455000</v>
      </c>
      <c r="J29" s="654">
        <f t="shared" si="4"/>
        <v>5460000</v>
      </c>
      <c r="K29" s="652">
        <v>0.38</v>
      </c>
      <c r="L29" s="1143">
        <f t="shared" si="3"/>
        <v>3385200</v>
      </c>
      <c r="M29" s="647"/>
      <c r="N29" s="647"/>
      <c r="O29" s="647"/>
      <c r="P29" s="647"/>
      <c r="Q29" s="647"/>
      <c r="R29" s="647"/>
      <c r="S29" s="647"/>
    </row>
    <row r="30" spans="1:19" s="1098" customFormat="1">
      <c r="A30" s="648">
        <v>1012</v>
      </c>
      <c r="B30" s="665">
        <v>44106</v>
      </c>
      <c r="C30" s="647"/>
      <c r="D30" s="647" t="s">
        <v>574</v>
      </c>
      <c r="E30" s="647" t="s">
        <v>562</v>
      </c>
      <c r="F30" s="647"/>
      <c r="G30" s="648" t="s">
        <v>253</v>
      </c>
      <c r="H30" s="648">
        <v>24</v>
      </c>
      <c r="I30" s="1159">
        <v>255000</v>
      </c>
      <c r="J30" s="654">
        <f t="shared" si="4"/>
        <v>6120000</v>
      </c>
      <c r="K30" s="652">
        <v>0.41</v>
      </c>
      <c r="L30" s="1143">
        <f t="shared" si="3"/>
        <v>3610800.0000000005</v>
      </c>
      <c r="M30" s="647"/>
      <c r="N30" s="647"/>
      <c r="O30" s="647"/>
      <c r="P30" s="647"/>
      <c r="Q30" s="647"/>
      <c r="R30" s="659">
        <f>L30</f>
        <v>3610800.0000000005</v>
      </c>
      <c r="S30" s="647"/>
    </row>
    <row r="31" spans="1:19" s="1098" customFormat="1">
      <c r="A31" s="648">
        <v>434</v>
      </c>
      <c r="B31" s="665" t="s">
        <v>1600</v>
      </c>
      <c r="C31" s="647"/>
      <c r="D31" s="647" t="s">
        <v>1653</v>
      </c>
      <c r="E31" s="647" t="s">
        <v>1654</v>
      </c>
      <c r="F31" s="647"/>
      <c r="G31" s="648" t="s">
        <v>45</v>
      </c>
      <c r="H31" s="648">
        <v>3</v>
      </c>
      <c r="I31" s="1159">
        <v>485000</v>
      </c>
      <c r="J31" s="654">
        <f t="shared" si="4"/>
        <v>1455000</v>
      </c>
      <c r="K31" s="652">
        <v>0.5</v>
      </c>
      <c r="L31" s="1143">
        <f t="shared" si="3"/>
        <v>727500</v>
      </c>
      <c r="M31" s="647"/>
      <c r="N31" s="647"/>
      <c r="O31" s="647"/>
      <c r="P31" s="659">
        <f>L31+L32</f>
        <v>955000</v>
      </c>
      <c r="Q31" s="647"/>
      <c r="R31" s="647"/>
      <c r="S31" s="647"/>
    </row>
    <row r="32" spans="1:19" s="1098" customFormat="1">
      <c r="A32" s="648"/>
      <c r="B32" s="665"/>
      <c r="C32" s="647"/>
      <c r="D32" s="647" t="s">
        <v>1653</v>
      </c>
      <c r="E32" s="647" t="s">
        <v>1655</v>
      </c>
      <c r="F32" s="647"/>
      <c r="G32" s="648" t="s">
        <v>46</v>
      </c>
      <c r="H32" s="648">
        <v>1</v>
      </c>
      <c r="I32" s="1159">
        <v>455000</v>
      </c>
      <c r="J32" s="654">
        <f t="shared" si="4"/>
        <v>455000</v>
      </c>
      <c r="K32" s="652">
        <v>0.5</v>
      </c>
      <c r="L32" s="1143">
        <f t="shared" si="3"/>
        <v>227500</v>
      </c>
      <c r="M32" s="647"/>
      <c r="N32" s="647"/>
      <c r="O32" s="647"/>
      <c r="P32" s="647"/>
      <c r="Q32" s="647"/>
      <c r="R32" s="647"/>
      <c r="S32" s="647"/>
    </row>
    <row r="33" spans="1:19" s="1098" customFormat="1">
      <c r="A33" s="648">
        <v>436</v>
      </c>
      <c r="B33" s="648" t="s">
        <v>1600</v>
      </c>
      <c r="C33" s="647" t="s">
        <v>96</v>
      </c>
      <c r="D33" s="619"/>
      <c r="E33" s="1147" t="s">
        <v>1656</v>
      </c>
      <c r="F33" s="647"/>
      <c r="G33" s="648" t="s">
        <v>32</v>
      </c>
      <c r="H33" s="648">
        <v>1</v>
      </c>
      <c r="I33" s="1159">
        <v>275000</v>
      </c>
      <c r="J33" s="654">
        <f t="shared" si="4"/>
        <v>275000</v>
      </c>
      <c r="K33" s="652">
        <v>0.41</v>
      </c>
      <c r="L33" s="1143">
        <f t="shared" si="3"/>
        <v>162250.00000000003</v>
      </c>
      <c r="M33" s="647"/>
      <c r="N33" s="659">
        <f>L33</f>
        <v>162250.00000000003</v>
      </c>
      <c r="O33" s="647"/>
      <c r="P33" s="647"/>
      <c r="Q33" s="647"/>
      <c r="R33" s="647"/>
      <c r="S33" s="647"/>
    </row>
    <row r="34" spans="1:19" s="1098" customFormat="1">
      <c r="A34" s="648">
        <v>437</v>
      </c>
      <c r="B34" s="648" t="s">
        <v>1605</v>
      </c>
      <c r="C34" s="647" t="s">
        <v>27</v>
      </c>
      <c r="D34" s="619" t="s">
        <v>1657</v>
      </c>
      <c r="E34" s="1147"/>
      <c r="F34" s="647"/>
      <c r="G34" s="648" t="s">
        <v>50</v>
      </c>
      <c r="H34" s="648">
        <v>1</v>
      </c>
      <c r="I34" s="1159">
        <v>475000</v>
      </c>
      <c r="J34" s="654">
        <f t="shared" si="4"/>
        <v>475000</v>
      </c>
      <c r="K34" s="652">
        <v>0.41</v>
      </c>
      <c r="L34" s="1143">
        <f t="shared" si="3"/>
        <v>280250.00000000006</v>
      </c>
      <c r="M34" s="647"/>
      <c r="N34" s="659">
        <f>SUM(L34:L35)</f>
        <v>604750.00000000012</v>
      </c>
      <c r="O34" s="647"/>
      <c r="P34" s="647"/>
      <c r="Q34" s="647"/>
      <c r="R34" s="647"/>
      <c r="S34" s="647"/>
    </row>
    <row r="35" spans="1:19" s="1098" customFormat="1">
      <c r="A35" s="648"/>
      <c r="B35" s="648"/>
      <c r="C35" s="647" t="s">
        <v>27</v>
      </c>
      <c r="D35" s="619" t="s">
        <v>1657</v>
      </c>
      <c r="E35" s="1147"/>
      <c r="F35" s="647"/>
      <c r="G35" s="648" t="s">
        <v>74</v>
      </c>
      <c r="H35" s="648">
        <v>1</v>
      </c>
      <c r="I35" s="1159">
        <v>550000</v>
      </c>
      <c r="J35" s="654">
        <f t="shared" si="4"/>
        <v>550000</v>
      </c>
      <c r="K35" s="652">
        <v>0.41</v>
      </c>
      <c r="L35" s="1143">
        <f t="shared" si="3"/>
        <v>324500.00000000006</v>
      </c>
      <c r="M35" s="647"/>
      <c r="N35" s="647"/>
      <c r="O35" s="647"/>
      <c r="P35" s="647"/>
      <c r="Q35" s="647"/>
      <c r="R35" s="647"/>
      <c r="S35" s="647"/>
    </row>
    <row r="36" spans="1:19" s="1098" customFormat="1">
      <c r="A36" s="648">
        <v>439</v>
      </c>
      <c r="B36" s="648" t="s">
        <v>1600</v>
      </c>
      <c r="C36" s="647" t="s">
        <v>96</v>
      </c>
      <c r="D36" s="619"/>
      <c r="E36" s="1147" t="s">
        <v>1656</v>
      </c>
      <c r="F36" s="647"/>
      <c r="G36" s="648" t="s">
        <v>253</v>
      </c>
      <c r="H36" s="648">
        <v>1</v>
      </c>
      <c r="I36" s="1159">
        <v>255000</v>
      </c>
      <c r="J36" s="654">
        <f t="shared" si="4"/>
        <v>255000</v>
      </c>
      <c r="K36" s="652">
        <v>0.41</v>
      </c>
      <c r="L36" s="1143">
        <f t="shared" si="3"/>
        <v>150450.00000000003</v>
      </c>
      <c r="M36" s="647"/>
      <c r="N36" s="659">
        <f>SUM(L36:L38)</f>
        <v>1280300.0000000002</v>
      </c>
      <c r="O36" s="647"/>
      <c r="P36" s="647"/>
      <c r="Q36" s="647"/>
      <c r="R36" s="647"/>
      <c r="S36" s="647"/>
    </row>
    <row r="37" spans="1:19" s="1098" customFormat="1">
      <c r="A37" s="648"/>
      <c r="B37" s="648"/>
      <c r="C37" s="647" t="s">
        <v>96</v>
      </c>
      <c r="D37" s="619"/>
      <c r="E37" s="1147" t="s">
        <v>1656</v>
      </c>
      <c r="F37" s="647"/>
      <c r="G37" s="648" t="s">
        <v>42</v>
      </c>
      <c r="H37" s="648">
        <v>1</v>
      </c>
      <c r="I37" s="1159">
        <v>265000</v>
      </c>
      <c r="J37" s="654">
        <f t="shared" si="4"/>
        <v>265000</v>
      </c>
      <c r="K37" s="652">
        <v>0.41</v>
      </c>
      <c r="L37" s="1143">
        <f t="shared" si="3"/>
        <v>156350.00000000003</v>
      </c>
      <c r="M37" s="647"/>
      <c r="N37" s="647"/>
      <c r="O37" s="647"/>
      <c r="P37" s="647"/>
      <c r="Q37" s="647"/>
      <c r="R37" s="647"/>
      <c r="S37" s="647"/>
    </row>
    <row r="38" spans="1:19" s="1098" customFormat="1">
      <c r="A38" s="648"/>
      <c r="B38" s="648"/>
      <c r="C38" s="647" t="s">
        <v>96</v>
      </c>
      <c r="D38" s="619"/>
      <c r="E38" s="1147" t="s">
        <v>1656</v>
      </c>
      <c r="F38" s="647"/>
      <c r="G38" s="648" t="s">
        <v>74</v>
      </c>
      <c r="H38" s="648">
        <v>3</v>
      </c>
      <c r="I38" s="1159">
        <v>550000</v>
      </c>
      <c r="J38" s="654">
        <f t="shared" si="4"/>
        <v>1650000</v>
      </c>
      <c r="K38" s="652">
        <v>0.41</v>
      </c>
      <c r="L38" s="1143">
        <f t="shared" si="3"/>
        <v>973500.00000000012</v>
      </c>
      <c r="M38" s="647"/>
      <c r="N38" s="647"/>
      <c r="O38" s="647"/>
      <c r="P38" s="647"/>
      <c r="Q38" s="647"/>
      <c r="R38" s="647"/>
      <c r="S38" s="647"/>
    </row>
    <row r="39" spans="1:19" s="1098" customFormat="1">
      <c r="A39" s="648">
        <v>438</v>
      </c>
      <c r="B39" s="648" t="s">
        <v>1607</v>
      </c>
      <c r="C39" s="647" t="s">
        <v>96</v>
      </c>
      <c r="D39" s="619"/>
      <c r="E39" s="1147" t="s">
        <v>1656</v>
      </c>
      <c r="F39" s="647"/>
      <c r="G39" s="648" t="s">
        <v>253</v>
      </c>
      <c r="H39" s="648">
        <v>1</v>
      </c>
      <c r="I39" s="1159">
        <v>255000</v>
      </c>
      <c r="J39" s="654">
        <f t="shared" si="4"/>
        <v>255000</v>
      </c>
      <c r="K39" s="652">
        <v>0.41</v>
      </c>
      <c r="L39" s="1143">
        <f t="shared" si="3"/>
        <v>150450.00000000003</v>
      </c>
      <c r="M39" s="647"/>
      <c r="N39" s="659">
        <f>SUM(L39:L40)</f>
        <v>418900.00000000012</v>
      </c>
      <c r="O39" s="647"/>
      <c r="P39" s="647"/>
      <c r="Q39" s="647"/>
      <c r="R39" s="647"/>
      <c r="S39" s="647"/>
    </row>
    <row r="40" spans="1:19" s="1098" customFormat="1">
      <c r="A40" s="648"/>
      <c r="B40" s="648"/>
      <c r="C40" s="647" t="s">
        <v>96</v>
      </c>
      <c r="D40" s="619"/>
      <c r="E40" s="1147" t="s">
        <v>1656</v>
      </c>
      <c r="F40" s="647"/>
      <c r="G40" s="648" t="s">
        <v>46</v>
      </c>
      <c r="H40" s="648">
        <v>1</v>
      </c>
      <c r="I40" s="1159">
        <v>455000</v>
      </c>
      <c r="J40" s="654">
        <f t="shared" si="4"/>
        <v>455000</v>
      </c>
      <c r="K40" s="652">
        <v>0.41</v>
      </c>
      <c r="L40" s="1143">
        <f t="shared" si="3"/>
        <v>268450.00000000006</v>
      </c>
      <c r="M40" s="647"/>
      <c r="N40" s="647"/>
      <c r="O40" s="647"/>
      <c r="P40" s="647"/>
      <c r="Q40" s="647"/>
      <c r="R40" s="647"/>
      <c r="S40" s="647"/>
    </row>
    <row r="41" spans="1:19" s="1098" customFormat="1">
      <c r="A41" s="648">
        <v>440</v>
      </c>
      <c r="B41" s="648" t="s">
        <v>1608</v>
      </c>
      <c r="C41" s="647" t="s">
        <v>27</v>
      </c>
      <c r="D41" s="619" t="s">
        <v>1658</v>
      </c>
      <c r="E41" s="1147" t="s">
        <v>1659</v>
      </c>
      <c r="F41" s="647"/>
      <c r="G41" s="648" t="s">
        <v>60</v>
      </c>
      <c r="H41" s="648">
        <v>1</v>
      </c>
      <c r="I41" s="1159">
        <v>455000</v>
      </c>
      <c r="J41" s="654">
        <f t="shared" si="4"/>
        <v>455000</v>
      </c>
      <c r="K41" s="652">
        <v>0.41</v>
      </c>
      <c r="L41" s="1143">
        <f t="shared" si="3"/>
        <v>268450.00000000006</v>
      </c>
      <c r="M41" s="647"/>
      <c r="N41" s="647"/>
      <c r="O41" s="647"/>
      <c r="P41" s="647"/>
      <c r="Q41" s="647"/>
      <c r="R41" s="659">
        <f>L41</f>
        <v>268450.00000000006</v>
      </c>
      <c r="S41" s="647"/>
    </row>
    <row r="42" spans="1:19" s="1098" customFormat="1">
      <c r="A42" s="648">
        <v>1024</v>
      </c>
      <c r="B42" s="648"/>
      <c r="C42" s="647"/>
      <c r="D42" s="619" t="s">
        <v>1545</v>
      </c>
      <c r="E42" s="647" t="s">
        <v>145</v>
      </c>
      <c r="F42" s="647"/>
      <c r="G42" s="648" t="s">
        <v>60</v>
      </c>
      <c r="H42" s="648">
        <v>24</v>
      </c>
      <c r="I42" s="1159">
        <v>455000</v>
      </c>
      <c r="J42" s="654">
        <f t="shared" si="4"/>
        <v>10920000</v>
      </c>
      <c r="K42" s="652">
        <v>0.41</v>
      </c>
      <c r="L42" s="1143">
        <f t="shared" si="3"/>
        <v>6442800.0000000009</v>
      </c>
      <c r="M42" s="647"/>
      <c r="N42" s="647"/>
      <c r="O42" s="647"/>
      <c r="P42" s="647"/>
      <c r="Q42" s="647"/>
      <c r="R42" s="659">
        <f>L42</f>
        <v>6442800.0000000009</v>
      </c>
      <c r="S42" s="647"/>
    </row>
    <row r="43" spans="1:19" s="1098" customFormat="1">
      <c r="A43" s="648">
        <v>1025</v>
      </c>
      <c r="B43" s="648"/>
      <c r="C43" s="647" t="s">
        <v>1545</v>
      </c>
      <c r="D43" s="647" t="s">
        <v>1660</v>
      </c>
      <c r="E43" s="647" t="s">
        <v>1661</v>
      </c>
      <c r="F43" s="647"/>
      <c r="G43" s="648" t="s">
        <v>60</v>
      </c>
      <c r="H43" s="648">
        <v>24</v>
      </c>
      <c r="I43" s="1159">
        <v>455000</v>
      </c>
      <c r="J43" s="654">
        <f t="shared" si="4"/>
        <v>10920000</v>
      </c>
      <c r="K43" s="652">
        <v>0.35</v>
      </c>
      <c r="L43" s="1143">
        <f t="shared" si="3"/>
        <v>7098000</v>
      </c>
      <c r="M43" s="647"/>
      <c r="N43" s="647"/>
      <c r="O43" s="647"/>
      <c r="P43" s="647"/>
      <c r="Q43" s="647"/>
      <c r="R43" s="659">
        <f>L43</f>
        <v>7098000</v>
      </c>
      <c r="S43" s="647"/>
    </row>
    <row r="44" spans="1:19" s="1098" customFormat="1">
      <c r="A44" s="648">
        <v>1026</v>
      </c>
      <c r="B44" s="648" t="s">
        <v>1605</v>
      </c>
      <c r="C44" s="647"/>
      <c r="D44" s="647" t="s">
        <v>1662</v>
      </c>
      <c r="E44" s="647" t="s">
        <v>263</v>
      </c>
      <c r="F44" s="647"/>
      <c r="G44" s="648" t="s">
        <v>60</v>
      </c>
      <c r="H44" s="648">
        <v>10</v>
      </c>
      <c r="I44" s="1159">
        <v>455000</v>
      </c>
      <c r="J44" s="654">
        <f t="shared" si="4"/>
        <v>4550000</v>
      </c>
      <c r="K44" s="652">
        <v>0.3</v>
      </c>
      <c r="L44" s="1143">
        <f t="shared" si="3"/>
        <v>3185000</v>
      </c>
      <c r="M44" s="647"/>
      <c r="N44" s="647"/>
      <c r="O44" s="647"/>
      <c r="P44" s="647"/>
      <c r="Q44" s="647"/>
      <c r="R44" s="659">
        <f>SUM(L44:L45)</f>
        <v>7938000</v>
      </c>
      <c r="S44" s="647"/>
    </row>
    <row r="45" spans="1:19" s="1098" customFormat="1">
      <c r="A45" s="648"/>
      <c r="B45" s="648"/>
      <c r="C45" s="647"/>
      <c r="D45" s="647" t="s">
        <v>1662</v>
      </c>
      <c r="E45" s="647" t="s">
        <v>263</v>
      </c>
      <c r="F45" s="647"/>
      <c r="G45" s="648" t="s">
        <v>45</v>
      </c>
      <c r="H45" s="648">
        <v>14</v>
      </c>
      <c r="I45" s="1159">
        <v>485000</v>
      </c>
      <c r="J45" s="654">
        <f t="shared" si="4"/>
        <v>6790000</v>
      </c>
      <c r="K45" s="652">
        <v>0.3</v>
      </c>
      <c r="L45" s="1143">
        <f t="shared" si="3"/>
        <v>4753000</v>
      </c>
      <c r="M45" s="647"/>
      <c r="N45" s="647"/>
      <c r="O45" s="647"/>
      <c r="P45" s="647"/>
      <c r="Q45" s="647"/>
      <c r="R45" s="647"/>
      <c r="S45" s="647"/>
    </row>
    <row r="46" spans="1:19" s="1098" customFormat="1">
      <c r="A46" s="648">
        <v>1027</v>
      </c>
      <c r="B46" s="648" t="s">
        <v>1605</v>
      </c>
      <c r="C46" s="647"/>
      <c r="D46" s="647" t="s">
        <v>1663</v>
      </c>
      <c r="E46" s="647" t="s">
        <v>1546</v>
      </c>
      <c r="F46" s="647"/>
      <c r="G46" s="648" t="s">
        <v>45</v>
      </c>
      <c r="H46" s="648">
        <v>36</v>
      </c>
      <c r="I46" s="1159">
        <v>485000</v>
      </c>
      <c r="J46" s="654">
        <f t="shared" si="4"/>
        <v>17460000</v>
      </c>
      <c r="K46" s="652">
        <v>0.41</v>
      </c>
      <c r="L46" s="1143">
        <f t="shared" si="3"/>
        <v>10301400.000000002</v>
      </c>
      <c r="M46" s="647"/>
      <c r="N46" s="647"/>
      <c r="O46" s="647"/>
      <c r="P46" s="647"/>
      <c r="Q46" s="647"/>
      <c r="R46" s="659">
        <f>L46</f>
        <v>10301400.000000002</v>
      </c>
      <c r="S46" s="647"/>
    </row>
    <row r="47" spans="1:19" s="1098" customFormat="1">
      <c r="A47" s="648">
        <v>1028</v>
      </c>
      <c r="B47" s="648" t="s">
        <v>1610</v>
      </c>
      <c r="C47" s="647"/>
      <c r="D47" s="647" t="s">
        <v>1649</v>
      </c>
      <c r="E47" s="647" t="s">
        <v>1546</v>
      </c>
      <c r="F47" s="647"/>
      <c r="G47" s="648" t="s">
        <v>60</v>
      </c>
      <c r="H47" s="648">
        <v>12</v>
      </c>
      <c r="I47" s="1159">
        <v>455000</v>
      </c>
      <c r="J47" s="654">
        <f t="shared" si="4"/>
        <v>5460000</v>
      </c>
      <c r="K47" s="652">
        <v>0.5</v>
      </c>
      <c r="L47" s="1143">
        <f t="shared" si="3"/>
        <v>2730000</v>
      </c>
      <c r="M47" s="647"/>
      <c r="N47" s="647"/>
      <c r="O47" s="647"/>
      <c r="P47" s="647"/>
      <c r="Q47" s="647"/>
      <c r="R47" s="659">
        <f>L47</f>
        <v>2730000</v>
      </c>
      <c r="S47" s="647"/>
    </row>
    <row r="48" spans="1:19" s="1098" customFormat="1">
      <c r="A48" s="648">
        <v>441</v>
      </c>
      <c r="B48" s="648" t="s">
        <v>1611</v>
      </c>
      <c r="C48" s="647" t="s">
        <v>96</v>
      </c>
      <c r="D48" s="647"/>
      <c r="E48" s="1147" t="s">
        <v>1656</v>
      </c>
      <c r="F48" s="647"/>
      <c r="G48" s="648" t="s">
        <v>50</v>
      </c>
      <c r="H48" s="648">
        <v>1</v>
      </c>
      <c r="I48" s="1159">
        <v>475000</v>
      </c>
      <c r="J48" s="654">
        <f t="shared" si="4"/>
        <v>475000</v>
      </c>
      <c r="K48" s="652">
        <v>0.41</v>
      </c>
      <c r="L48" s="1143">
        <f t="shared" si="3"/>
        <v>280250.00000000006</v>
      </c>
      <c r="M48" s="647"/>
      <c r="N48" s="659">
        <f>L48+L49</f>
        <v>548700.00000000012</v>
      </c>
      <c r="O48" s="647"/>
      <c r="P48" s="647"/>
      <c r="Q48" s="647"/>
      <c r="R48" s="647"/>
      <c r="S48" s="647"/>
    </row>
    <row r="49" spans="1:19" s="1098" customFormat="1">
      <c r="A49" s="648"/>
      <c r="B49" s="648"/>
      <c r="C49" s="647" t="s">
        <v>96</v>
      </c>
      <c r="D49" s="647"/>
      <c r="E49" s="1147" t="s">
        <v>1656</v>
      </c>
      <c r="F49" s="647"/>
      <c r="G49" s="648" t="s">
        <v>34</v>
      </c>
      <c r="H49" s="648">
        <v>1</v>
      </c>
      <c r="I49" s="1159">
        <v>455000</v>
      </c>
      <c r="J49" s="654">
        <f t="shared" si="4"/>
        <v>455000</v>
      </c>
      <c r="K49" s="652">
        <v>0.41</v>
      </c>
      <c r="L49" s="1143">
        <f t="shared" si="3"/>
        <v>268450.00000000006</v>
      </c>
      <c r="M49" s="647"/>
      <c r="N49" s="647"/>
      <c r="O49" s="647"/>
      <c r="P49" s="647"/>
      <c r="Q49" s="647"/>
      <c r="R49" s="647"/>
      <c r="S49" s="647"/>
    </row>
    <row r="50" spans="1:19" s="1098" customFormat="1">
      <c r="A50" s="648">
        <v>1030</v>
      </c>
      <c r="B50" s="648" t="s">
        <v>1611</v>
      </c>
      <c r="C50" s="647" t="s">
        <v>96</v>
      </c>
      <c r="D50" s="647"/>
      <c r="E50" s="1147" t="s">
        <v>1656</v>
      </c>
      <c r="F50" s="647"/>
      <c r="G50" s="648" t="s">
        <v>45</v>
      </c>
      <c r="H50" s="648">
        <v>12</v>
      </c>
      <c r="I50" s="1159">
        <v>485000</v>
      </c>
      <c r="J50" s="654">
        <f t="shared" si="4"/>
        <v>5820000</v>
      </c>
      <c r="K50" s="652">
        <v>0.41</v>
      </c>
      <c r="L50" s="654">
        <f t="shared" si="3"/>
        <v>3433800.0000000005</v>
      </c>
      <c r="M50" s="647"/>
      <c r="N50" s="659">
        <f>L50+L51</f>
        <v>8265900.0000000019</v>
      </c>
      <c r="O50" s="647"/>
      <c r="P50" s="647"/>
      <c r="Q50" s="647"/>
      <c r="R50" s="647"/>
      <c r="S50" s="647"/>
    </row>
    <row r="51" spans="1:19" s="1098" customFormat="1">
      <c r="A51" s="648"/>
      <c r="B51" s="648"/>
      <c r="C51" s="647" t="s">
        <v>96</v>
      </c>
      <c r="D51" s="647"/>
      <c r="E51" s="1147" t="s">
        <v>1656</v>
      </c>
      <c r="F51" s="647"/>
      <c r="G51" s="648" t="s">
        <v>46</v>
      </c>
      <c r="H51" s="648">
        <v>18</v>
      </c>
      <c r="I51" s="1159">
        <v>455000</v>
      </c>
      <c r="J51" s="654">
        <f t="shared" si="4"/>
        <v>8190000</v>
      </c>
      <c r="K51" s="652">
        <v>0.41</v>
      </c>
      <c r="L51" s="654">
        <f t="shared" si="3"/>
        <v>4832100.0000000009</v>
      </c>
      <c r="M51" s="647"/>
      <c r="N51" s="647"/>
      <c r="O51" s="647"/>
      <c r="P51" s="647"/>
      <c r="Q51" s="647"/>
      <c r="R51" s="647"/>
      <c r="S51" s="647"/>
    </row>
    <row r="52" spans="1:19" s="1098" customFormat="1">
      <c r="A52" s="648">
        <v>1031</v>
      </c>
      <c r="B52" s="648" t="s">
        <v>1611</v>
      </c>
      <c r="C52" s="647"/>
      <c r="D52" s="647" t="s">
        <v>1664</v>
      </c>
      <c r="E52" s="647" t="s">
        <v>1661</v>
      </c>
      <c r="F52" s="647"/>
      <c r="G52" s="648" t="s">
        <v>30</v>
      </c>
      <c r="H52" s="648">
        <v>12</v>
      </c>
      <c r="I52" s="1159">
        <v>465000</v>
      </c>
      <c r="J52" s="654">
        <f t="shared" si="4"/>
        <v>5580000</v>
      </c>
      <c r="K52" s="652">
        <v>0.35</v>
      </c>
      <c r="L52" s="654">
        <f t="shared" si="3"/>
        <v>3627000</v>
      </c>
      <c r="M52" s="647"/>
      <c r="N52" s="647"/>
      <c r="O52" s="647"/>
      <c r="P52" s="647"/>
      <c r="Q52" s="647"/>
      <c r="R52" s="659">
        <f>L52</f>
        <v>3627000</v>
      </c>
      <c r="S52" s="647"/>
    </row>
    <row r="53" spans="1:19" s="1098" customFormat="1">
      <c r="A53" s="648">
        <v>1032</v>
      </c>
      <c r="B53" s="648" t="s">
        <v>1611</v>
      </c>
      <c r="C53" s="647"/>
      <c r="D53" s="647" t="s">
        <v>1665</v>
      </c>
      <c r="E53" s="647" t="s">
        <v>483</v>
      </c>
      <c r="F53" s="647"/>
      <c r="G53" s="648" t="s">
        <v>60</v>
      </c>
      <c r="H53" s="648">
        <v>12</v>
      </c>
      <c r="I53" s="1159">
        <v>455000</v>
      </c>
      <c r="J53" s="654">
        <f t="shared" si="4"/>
        <v>5460000</v>
      </c>
      <c r="K53" s="652">
        <v>0.38</v>
      </c>
      <c r="L53" s="654">
        <f t="shared" si="3"/>
        <v>3385200</v>
      </c>
      <c r="M53" s="647"/>
      <c r="N53" s="647"/>
      <c r="O53" s="647"/>
      <c r="P53" s="647"/>
      <c r="Q53" s="647"/>
      <c r="R53" s="659">
        <f>L53</f>
        <v>3385200</v>
      </c>
      <c r="S53" s="647"/>
    </row>
    <row r="54" spans="1:19" s="1098" customFormat="1">
      <c r="A54" s="648">
        <v>1033</v>
      </c>
      <c r="B54" s="648" t="s">
        <v>1611</v>
      </c>
      <c r="C54" s="647"/>
      <c r="D54" s="647" t="s">
        <v>1666</v>
      </c>
      <c r="E54" s="647" t="s">
        <v>1667</v>
      </c>
      <c r="F54" s="647"/>
      <c r="G54" s="648" t="s">
        <v>60</v>
      </c>
      <c r="H54" s="648">
        <v>7</v>
      </c>
      <c r="I54" s="1159">
        <v>455000</v>
      </c>
      <c r="J54" s="654">
        <f t="shared" si="4"/>
        <v>3185000</v>
      </c>
      <c r="K54" s="652">
        <v>0.41</v>
      </c>
      <c r="L54" s="654">
        <f>H54*I54*(1-K54)</f>
        <v>1879150.0000000002</v>
      </c>
      <c r="M54" s="647"/>
      <c r="N54" s="647"/>
      <c r="O54" s="647"/>
      <c r="P54" s="647"/>
      <c r="Q54" s="647"/>
      <c r="R54" s="659">
        <f>SUM(L54:L56)</f>
        <v>3256800.0000000005</v>
      </c>
      <c r="S54" s="647"/>
    </row>
    <row r="55" spans="1:19" s="1098" customFormat="1">
      <c r="A55" s="648"/>
      <c r="B55" s="648"/>
      <c r="C55" s="647"/>
      <c r="D55" s="647" t="s">
        <v>1666</v>
      </c>
      <c r="E55" s="647" t="s">
        <v>1667</v>
      </c>
      <c r="F55" s="647"/>
      <c r="G55" s="648" t="s">
        <v>50</v>
      </c>
      <c r="H55" s="648">
        <v>3</v>
      </c>
      <c r="I55" s="1159">
        <v>475000</v>
      </c>
      <c r="J55" s="654">
        <f t="shared" si="4"/>
        <v>1425000</v>
      </c>
      <c r="K55" s="652">
        <v>0.41</v>
      </c>
      <c r="L55" s="654">
        <f t="shared" si="3"/>
        <v>840750.00000000012</v>
      </c>
      <c r="M55" s="647"/>
      <c r="N55" s="647"/>
      <c r="O55" s="647"/>
      <c r="P55" s="647"/>
      <c r="Q55" s="647"/>
      <c r="R55" s="647"/>
      <c r="S55" s="647"/>
    </row>
    <row r="56" spans="1:19" s="1098" customFormat="1">
      <c r="A56" s="648"/>
      <c r="B56" s="648"/>
      <c r="C56" s="647"/>
      <c r="D56" s="647" t="s">
        <v>1666</v>
      </c>
      <c r="E56" s="647" t="s">
        <v>1667</v>
      </c>
      <c r="F56" s="647"/>
      <c r="G56" s="648" t="s">
        <v>46</v>
      </c>
      <c r="H56" s="648">
        <v>2</v>
      </c>
      <c r="I56" s="1159">
        <v>455000</v>
      </c>
      <c r="J56" s="654">
        <f t="shared" si="4"/>
        <v>910000</v>
      </c>
      <c r="K56" s="652">
        <v>0.41</v>
      </c>
      <c r="L56" s="654">
        <f t="shared" si="3"/>
        <v>536900.00000000012</v>
      </c>
      <c r="M56" s="647"/>
      <c r="N56" s="647"/>
      <c r="O56" s="647"/>
      <c r="P56" s="647"/>
      <c r="Q56" s="647"/>
      <c r="R56" s="647"/>
      <c r="S56" s="647"/>
    </row>
    <row r="57" spans="1:19" s="1098" customFormat="1">
      <c r="A57" s="648">
        <v>1035</v>
      </c>
      <c r="B57" s="648" t="s">
        <v>1668</v>
      </c>
      <c r="C57" s="647"/>
      <c r="D57" s="647" t="s">
        <v>1664</v>
      </c>
      <c r="E57" s="647" t="s">
        <v>1661</v>
      </c>
      <c r="F57" s="647"/>
      <c r="G57" s="648" t="s">
        <v>253</v>
      </c>
      <c r="H57" s="648">
        <v>10</v>
      </c>
      <c r="I57" s="1159">
        <v>255000</v>
      </c>
      <c r="J57" s="654">
        <f t="shared" si="4"/>
        <v>2550000</v>
      </c>
      <c r="K57" s="652">
        <v>0.35</v>
      </c>
      <c r="L57" s="654">
        <f t="shared" si="3"/>
        <v>1657500</v>
      </c>
      <c r="M57" s="647"/>
      <c r="N57" s="647"/>
      <c r="O57" s="647"/>
      <c r="P57" s="647"/>
      <c r="Q57" s="647"/>
      <c r="R57" s="659">
        <f>L57</f>
        <v>1657500</v>
      </c>
      <c r="S57" s="647"/>
    </row>
    <row r="58" spans="1:19" s="1098" customFormat="1">
      <c r="A58" s="648">
        <v>443</v>
      </c>
      <c r="B58" s="648" t="s">
        <v>1668</v>
      </c>
      <c r="C58" s="647"/>
      <c r="D58" s="647" t="s">
        <v>1669</v>
      </c>
      <c r="E58" s="647" t="s">
        <v>221</v>
      </c>
      <c r="F58" s="647"/>
      <c r="G58" s="648" t="s">
        <v>60</v>
      </c>
      <c r="H58" s="648">
        <v>12</v>
      </c>
      <c r="I58" s="1159">
        <v>455000</v>
      </c>
      <c r="J58" s="654">
        <f t="shared" si="4"/>
        <v>5460000</v>
      </c>
      <c r="K58" s="652">
        <v>0.25</v>
      </c>
      <c r="L58" s="654">
        <f t="shared" si="3"/>
        <v>4095000</v>
      </c>
      <c r="M58" s="647"/>
      <c r="N58" s="647"/>
      <c r="O58" s="647"/>
      <c r="P58" s="647"/>
      <c r="Q58" s="647"/>
      <c r="R58" s="659">
        <f>L58</f>
        <v>4095000</v>
      </c>
      <c r="S58" s="647" t="s">
        <v>1670</v>
      </c>
    </row>
    <row r="59" spans="1:19" s="1098" customFormat="1">
      <c r="A59" s="648">
        <v>442</v>
      </c>
      <c r="B59" s="648" t="s">
        <v>1668</v>
      </c>
      <c r="C59" s="647"/>
      <c r="D59" s="647" t="s">
        <v>1671</v>
      </c>
      <c r="E59" s="647" t="s">
        <v>562</v>
      </c>
      <c r="F59" s="647"/>
      <c r="G59" s="648" t="s">
        <v>60</v>
      </c>
      <c r="H59" s="648">
        <v>12</v>
      </c>
      <c r="I59" s="1159">
        <v>455000</v>
      </c>
      <c r="J59" s="654">
        <f t="shared" si="4"/>
        <v>5460000</v>
      </c>
      <c r="K59" s="652">
        <v>0.41</v>
      </c>
      <c r="L59" s="654">
        <f t="shared" si="3"/>
        <v>3221400.0000000005</v>
      </c>
      <c r="M59" s="647"/>
      <c r="N59" s="647"/>
      <c r="O59" s="647"/>
      <c r="P59" s="647"/>
      <c r="Q59" s="647"/>
      <c r="R59" s="659">
        <f>L59</f>
        <v>3221400.0000000005</v>
      </c>
      <c r="S59" s="647"/>
    </row>
    <row r="60" spans="1:19" s="1098" customFormat="1">
      <c r="A60" s="648">
        <v>1036</v>
      </c>
      <c r="B60" s="648" t="s">
        <v>1617</v>
      </c>
      <c r="C60" s="647"/>
      <c r="D60" s="647" t="s">
        <v>1672</v>
      </c>
      <c r="E60" s="647" t="s">
        <v>1673</v>
      </c>
      <c r="F60" s="647"/>
      <c r="G60" s="648" t="s">
        <v>60</v>
      </c>
      <c r="H60" s="648">
        <v>5</v>
      </c>
      <c r="I60" s="1159">
        <v>455000</v>
      </c>
      <c r="J60" s="654">
        <f t="shared" si="4"/>
        <v>2275000</v>
      </c>
      <c r="K60" s="652">
        <v>0.41</v>
      </c>
      <c r="L60" s="654">
        <f t="shared" si="3"/>
        <v>1342250.0000000002</v>
      </c>
      <c r="M60" s="647"/>
      <c r="N60" s="647"/>
      <c r="O60" s="647"/>
      <c r="P60" s="647"/>
      <c r="Q60" s="647"/>
      <c r="R60" s="659">
        <f>SUM(L60:L67)</f>
        <v>11283750.000000002</v>
      </c>
      <c r="S60" s="647"/>
    </row>
    <row r="61" spans="1:19" s="1098" customFormat="1">
      <c r="A61" s="648"/>
      <c r="B61" s="648"/>
      <c r="C61" s="647"/>
      <c r="D61" s="647" t="s">
        <v>1672</v>
      </c>
      <c r="E61" s="647" t="s">
        <v>1673</v>
      </c>
      <c r="F61" s="647"/>
      <c r="G61" s="648" t="s">
        <v>30</v>
      </c>
      <c r="H61" s="648">
        <v>5</v>
      </c>
      <c r="I61" s="1159">
        <v>465000</v>
      </c>
      <c r="J61" s="654">
        <f t="shared" si="4"/>
        <v>2325000</v>
      </c>
      <c r="K61" s="652">
        <v>0.41</v>
      </c>
      <c r="L61" s="654">
        <f t="shared" si="3"/>
        <v>1371750.0000000002</v>
      </c>
      <c r="M61" s="647"/>
      <c r="N61" s="647"/>
      <c r="O61" s="647"/>
      <c r="P61" s="647"/>
      <c r="Q61" s="647"/>
      <c r="R61" s="647"/>
      <c r="S61" s="647"/>
    </row>
    <row r="62" spans="1:19" s="1098" customFormat="1">
      <c r="A62" s="648"/>
      <c r="B62" s="648"/>
      <c r="C62" s="647"/>
      <c r="D62" s="647" t="s">
        <v>1672</v>
      </c>
      <c r="E62" s="647" t="s">
        <v>1673</v>
      </c>
      <c r="F62" s="647"/>
      <c r="G62" s="648" t="s">
        <v>50</v>
      </c>
      <c r="H62" s="648">
        <v>5</v>
      </c>
      <c r="I62" s="1159">
        <v>475000</v>
      </c>
      <c r="J62" s="654">
        <f t="shared" si="4"/>
        <v>2375000</v>
      </c>
      <c r="K62" s="652">
        <v>0.41</v>
      </c>
      <c r="L62" s="654">
        <f t="shared" si="3"/>
        <v>1401250.0000000002</v>
      </c>
      <c r="M62" s="647"/>
      <c r="N62" s="647"/>
      <c r="O62" s="647"/>
      <c r="P62" s="647"/>
      <c r="Q62" s="647"/>
      <c r="R62" s="647"/>
      <c r="S62" s="647"/>
    </row>
    <row r="63" spans="1:19" s="1098" customFormat="1">
      <c r="A63" s="648"/>
      <c r="B63" s="648"/>
      <c r="C63" s="647"/>
      <c r="D63" s="647" t="s">
        <v>1672</v>
      </c>
      <c r="E63" s="647" t="s">
        <v>1673</v>
      </c>
      <c r="F63" s="647"/>
      <c r="G63" s="648" t="s">
        <v>45</v>
      </c>
      <c r="H63" s="648">
        <v>5</v>
      </c>
      <c r="I63" s="1159">
        <v>485000</v>
      </c>
      <c r="J63" s="654">
        <f t="shared" si="4"/>
        <v>2425000</v>
      </c>
      <c r="K63" s="652">
        <v>0.41</v>
      </c>
      <c r="L63" s="654">
        <f t="shared" si="3"/>
        <v>1430750.0000000002</v>
      </c>
      <c r="M63" s="647"/>
      <c r="N63" s="647"/>
      <c r="O63" s="647"/>
      <c r="P63" s="647"/>
      <c r="Q63" s="647"/>
      <c r="R63" s="647"/>
      <c r="S63" s="647"/>
    </row>
    <row r="64" spans="1:19" s="1098" customFormat="1">
      <c r="A64" s="648"/>
      <c r="B64" s="648"/>
      <c r="C64" s="647"/>
      <c r="D64" s="647" t="s">
        <v>1672</v>
      </c>
      <c r="E64" s="647" t="s">
        <v>1673</v>
      </c>
      <c r="F64" s="647"/>
      <c r="G64" s="648" t="s">
        <v>73</v>
      </c>
      <c r="H64" s="648">
        <v>5</v>
      </c>
      <c r="I64" s="1159">
        <v>485000</v>
      </c>
      <c r="J64" s="654">
        <f t="shared" si="4"/>
        <v>2425000</v>
      </c>
      <c r="K64" s="652">
        <v>0.41</v>
      </c>
      <c r="L64" s="654">
        <f t="shared" si="3"/>
        <v>1430750.0000000002</v>
      </c>
      <c r="M64" s="647"/>
      <c r="N64" s="647"/>
      <c r="O64" s="647"/>
      <c r="P64" s="647"/>
      <c r="Q64" s="647"/>
      <c r="R64" s="647"/>
      <c r="S64" s="647"/>
    </row>
    <row r="65" spans="1:19" s="1098" customFormat="1">
      <c r="A65" s="648"/>
      <c r="B65" s="648"/>
      <c r="C65" s="647"/>
      <c r="D65" s="647" t="s">
        <v>1672</v>
      </c>
      <c r="E65" s="647" t="s">
        <v>1673</v>
      </c>
      <c r="F65" s="647"/>
      <c r="G65" s="648" t="s">
        <v>74</v>
      </c>
      <c r="H65" s="648">
        <v>5</v>
      </c>
      <c r="I65" s="1159">
        <v>550000</v>
      </c>
      <c r="J65" s="654">
        <f t="shared" si="4"/>
        <v>2750000</v>
      </c>
      <c r="K65" s="652">
        <v>0.41</v>
      </c>
      <c r="L65" s="654">
        <f t="shared" si="3"/>
        <v>1622500.0000000002</v>
      </c>
      <c r="M65" s="647"/>
      <c r="N65" s="647"/>
      <c r="O65" s="647"/>
      <c r="P65" s="647"/>
      <c r="Q65" s="647"/>
      <c r="R65" s="647"/>
      <c r="S65" s="647"/>
    </row>
    <row r="66" spans="1:19" s="1098" customFormat="1">
      <c r="A66" s="648"/>
      <c r="B66" s="648"/>
      <c r="C66" s="647"/>
      <c r="D66" s="647" t="s">
        <v>1672</v>
      </c>
      <c r="E66" s="647" t="s">
        <v>1673</v>
      </c>
      <c r="F66" s="647"/>
      <c r="G66" s="648" t="s">
        <v>34</v>
      </c>
      <c r="H66" s="648">
        <v>5</v>
      </c>
      <c r="I66" s="1159">
        <v>455000</v>
      </c>
      <c r="J66" s="654">
        <f t="shared" si="4"/>
        <v>2275000</v>
      </c>
      <c r="K66" s="652">
        <v>0.41</v>
      </c>
      <c r="L66" s="654">
        <f t="shared" si="3"/>
        <v>1342250.0000000002</v>
      </c>
      <c r="M66" s="647"/>
      <c r="N66" s="647"/>
      <c r="O66" s="647"/>
      <c r="P66" s="647"/>
      <c r="Q66" s="647"/>
      <c r="R66" s="647"/>
      <c r="S66" s="647"/>
    </row>
    <row r="67" spans="1:19" s="1098" customFormat="1">
      <c r="A67" s="648"/>
      <c r="B67" s="648"/>
      <c r="C67" s="647"/>
      <c r="D67" s="647" t="s">
        <v>1672</v>
      </c>
      <c r="E67" s="647" t="s">
        <v>1673</v>
      </c>
      <c r="F67" s="647"/>
      <c r="G67" s="648" t="s">
        <v>46</v>
      </c>
      <c r="H67" s="648">
        <v>5</v>
      </c>
      <c r="I67" s="1159">
        <v>455000</v>
      </c>
      <c r="J67" s="654">
        <f t="shared" si="4"/>
        <v>2275000</v>
      </c>
      <c r="K67" s="652">
        <v>0.41</v>
      </c>
      <c r="L67" s="654">
        <f t="shared" si="3"/>
        <v>1342250.0000000002</v>
      </c>
      <c r="M67" s="647"/>
      <c r="N67" s="647"/>
      <c r="O67" s="647"/>
      <c r="P67" s="647"/>
      <c r="Q67" s="647"/>
      <c r="R67" s="647"/>
      <c r="S67" s="647"/>
    </row>
    <row r="68" spans="1:19" s="1098" customFormat="1">
      <c r="A68" s="648">
        <v>1051</v>
      </c>
      <c r="B68" s="648" t="s">
        <v>1617</v>
      </c>
      <c r="C68" s="647"/>
      <c r="D68" s="647" t="s">
        <v>1669</v>
      </c>
      <c r="E68" s="647" t="s">
        <v>221</v>
      </c>
      <c r="F68" s="647"/>
      <c r="G68" s="648" t="s">
        <v>60</v>
      </c>
      <c r="H68" s="648">
        <v>5</v>
      </c>
      <c r="I68" s="1159">
        <v>455000</v>
      </c>
      <c r="J68" s="654">
        <f>H68*I68</f>
        <v>2275000</v>
      </c>
      <c r="K68" s="652">
        <v>0.25</v>
      </c>
      <c r="L68" s="654">
        <f>H68*I68*(1-K68)</f>
        <v>1706250</v>
      </c>
      <c r="M68" s="647"/>
      <c r="N68" s="647"/>
      <c r="O68" s="647"/>
      <c r="P68" s="659">
        <f>L68</f>
        <v>1706250</v>
      </c>
      <c r="Q68" s="647"/>
      <c r="R68" s="647"/>
      <c r="S68" s="647"/>
    </row>
    <row r="69" spans="1:19" s="1098" customFormat="1">
      <c r="A69" s="648">
        <v>1053</v>
      </c>
      <c r="B69" s="648" t="s">
        <v>1620</v>
      </c>
      <c r="C69" s="647" t="s">
        <v>96</v>
      </c>
      <c r="D69" s="647"/>
      <c r="E69" s="1147" t="s">
        <v>1656</v>
      </c>
      <c r="F69" s="647"/>
      <c r="G69" s="648" t="s">
        <v>60</v>
      </c>
      <c r="H69" s="648">
        <v>2</v>
      </c>
      <c r="I69" s="1159">
        <v>455000</v>
      </c>
      <c r="J69" s="654">
        <f t="shared" si="4"/>
        <v>910000</v>
      </c>
      <c r="K69" s="652">
        <v>0.41</v>
      </c>
      <c r="L69" s="654">
        <f t="shared" si="3"/>
        <v>536900.00000000012</v>
      </c>
      <c r="M69" s="647"/>
      <c r="N69" s="659">
        <f>L69</f>
        <v>536900.00000000012</v>
      </c>
      <c r="O69" s="647"/>
      <c r="P69" s="647"/>
      <c r="Q69" s="647"/>
      <c r="R69" s="647"/>
      <c r="S69" s="647"/>
    </row>
    <row r="70" spans="1:19" s="1098" customFormat="1">
      <c r="A70" s="674">
        <v>1039</v>
      </c>
      <c r="B70" s="674" t="s">
        <v>1674</v>
      </c>
      <c r="C70" s="1160"/>
      <c r="D70" s="668" t="s">
        <v>1675</v>
      </c>
      <c r="E70" s="668" t="s">
        <v>1661</v>
      </c>
      <c r="F70" s="1160"/>
      <c r="G70" s="674" t="s">
        <v>60</v>
      </c>
      <c r="H70" s="674">
        <v>48</v>
      </c>
      <c r="I70" s="1159">
        <v>455000</v>
      </c>
      <c r="J70" s="1161">
        <f t="shared" si="4"/>
        <v>21840000</v>
      </c>
      <c r="K70" s="652">
        <v>0.38</v>
      </c>
      <c r="L70" s="654">
        <f t="shared" si="3"/>
        <v>13540800</v>
      </c>
      <c r="M70" s="1160"/>
      <c r="N70" s="1160"/>
      <c r="O70" s="1160"/>
      <c r="P70" s="1160"/>
      <c r="Q70" s="1160"/>
      <c r="R70" s="1162">
        <f>SUM(L70:L79)</f>
        <v>158602200</v>
      </c>
      <c r="S70" s="647"/>
    </row>
    <row r="71" spans="1:19" s="1098" customFormat="1">
      <c r="A71" s="674"/>
      <c r="B71" s="674"/>
      <c r="C71" s="1160"/>
      <c r="D71" s="668" t="s">
        <v>1675</v>
      </c>
      <c r="E71" s="668" t="s">
        <v>1661</v>
      </c>
      <c r="F71" s="1160"/>
      <c r="G71" s="674" t="s">
        <v>42</v>
      </c>
      <c r="H71" s="674">
        <v>24</v>
      </c>
      <c r="I71" s="1159">
        <v>265000</v>
      </c>
      <c r="J71" s="1161">
        <f t="shared" si="4"/>
        <v>6360000</v>
      </c>
      <c r="K71" s="652">
        <v>0.38</v>
      </c>
      <c r="L71" s="654">
        <f t="shared" si="3"/>
        <v>3943200</v>
      </c>
      <c r="M71" s="1160"/>
      <c r="N71" s="1160"/>
      <c r="O71" s="1160"/>
      <c r="P71" s="1160"/>
      <c r="Q71" s="1160"/>
      <c r="R71" s="1160"/>
      <c r="S71" s="1160"/>
    </row>
    <row r="72" spans="1:19" s="1098" customFormat="1">
      <c r="A72" s="674"/>
      <c r="B72" s="674"/>
      <c r="C72" s="1160"/>
      <c r="D72" s="668" t="s">
        <v>1675</v>
      </c>
      <c r="E72" s="668" t="s">
        <v>1661</v>
      </c>
      <c r="F72" s="1160"/>
      <c r="G72" s="674" t="s">
        <v>30</v>
      </c>
      <c r="H72" s="674">
        <v>48</v>
      </c>
      <c r="I72" s="1159">
        <v>465000</v>
      </c>
      <c r="J72" s="1161">
        <f t="shared" si="4"/>
        <v>22320000</v>
      </c>
      <c r="K72" s="652">
        <v>0.38</v>
      </c>
      <c r="L72" s="654">
        <f t="shared" si="3"/>
        <v>13838400</v>
      </c>
      <c r="M72" s="1160"/>
      <c r="N72" s="1160"/>
      <c r="O72" s="1160"/>
      <c r="P72" s="1160"/>
      <c r="Q72" s="1160"/>
      <c r="R72" s="1160"/>
      <c r="S72" s="1160"/>
    </row>
    <row r="73" spans="1:19" s="1098" customFormat="1">
      <c r="A73" s="674"/>
      <c r="B73" s="674"/>
      <c r="C73" s="1160"/>
      <c r="D73" s="668" t="s">
        <v>1675</v>
      </c>
      <c r="E73" s="668" t="s">
        <v>1661</v>
      </c>
      <c r="F73" s="1160"/>
      <c r="G73" s="674" t="s">
        <v>50</v>
      </c>
      <c r="H73" s="674">
        <v>12</v>
      </c>
      <c r="I73" s="1159">
        <v>475000</v>
      </c>
      <c r="J73" s="1161">
        <f t="shared" si="4"/>
        <v>5700000</v>
      </c>
      <c r="K73" s="652">
        <v>0.38</v>
      </c>
      <c r="L73" s="654">
        <f t="shared" si="3"/>
        <v>3534000</v>
      </c>
      <c r="M73" s="1160"/>
      <c r="N73" s="1160"/>
      <c r="O73" s="1160"/>
      <c r="P73" s="1160"/>
      <c r="Q73" s="1160"/>
      <c r="R73" s="1160"/>
      <c r="S73" s="1160"/>
    </row>
    <row r="74" spans="1:19" s="1098" customFormat="1">
      <c r="A74" s="674"/>
      <c r="B74" s="674"/>
      <c r="C74" s="1160"/>
      <c r="D74" s="668" t="s">
        <v>1675</v>
      </c>
      <c r="E74" s="668" t="s">
        <v>1661</v>
      </c>
      <c r="F74" s="1160"/>
      <c r="G74" s="674" t="s">
        <v>45</v>
      </c>
      <c r="H74" s="674">
        <v>132</v>
      </c>
      <c r="I74" s="1159">
        <v>485000</v>
      </c>
      <c r="J74" s="1161">
        <f t="shared" si="4"/>
        <v>64020000</v>
      </c>
      <c r="K74" s="652">
        <v>0.38</v>
      </c>
      <c r="L74" s="654">
        <f t="shared" si="3"/>
        <v>39692400</v>
      </c>
      <c r="M74" s="1160"/>
      <c r="N74" s="1160"/>
      <c r="O74" s="1160"/>
      <c r="P74" s="1160"/>
      <c r="Q74" s="1160"/>
      <c r="R74" s="1160"/>
      <c r="S74" s="1160"/>
    </row>
    <row r="75" spans="1:19" s="1098" customFormat="1">
      <c r="A75" s="674"/>
      <c r="B75" s="674"/>
      <c r="C75" s="1160"/>
      <c r="D75" s="668" t="s">
        <v>1675</v>
      </c>
      <c r="E75" s="668" t="s">
        <v>1661</v>
      </c>
      <c r="F75" s="1160"/>
      <c r="G75" s="674" t="s">
        <v>73</v>
      </c>
      <c r="H75" s="674">
        <v>48</v>
      </c>
      <c r="I75" s="1159">
        <v>485000</v>
      </c>
      <c r="J75" s="1161">
        <f t="shared" si="4"/>
        <v>23280000</v>
      </c>
      <c r="K75" s="652">
        <v>0.38</v>
      </c>
      <c r="L75" s="654">
        <f t="shared" si="3"/>
        <v>14433600</v>
      </c>
      <c r="M75" s="1160"/>
      <c r="N75" s="1160"/>
      <c r="O75" s="1160"/>
      <c r="P75" s="1160"/>
      <c r="Q75" s="1160"/>
      <c r="R75" s="1160"/>
      <c r="S75" s="1160"/>
    </row>
    <row r="76" spans="1:19" s="1098" customFormat="1">
      <c r="A76" s="674"/>
      <c r="B76" s="674"/>
      <c r="C76" s="1160"/>
      <c r="D76" s="668" t="s">
        <v>1675</v>
      </c>
      <c r="E76" s="668" t="s">
        <v>1661</v>
      </c>
      <c r="F76" s="1160"/>
      <c r="G76" s="674" t="s">
        <v>74</v>
      </c>
      <c r="H76" s="674">
        <v>48</v>
      </c>
      <c r="I76" s="1159">
        <v>550000</v>
      </c>
      <c r="J76" s="1161">
        <f t="shared" si="4"/>
        <v>26400000</v>
      </c>
      <c r="K76" s="652">
        <v>0.38</v>
      </c>
      <c r="L76" s="654">
        <f t="shared" si="3"/>
        <v>16368000</v>
      </c>
      <c r="M76" s="1160"/>
      <c r="N76" s="1160"/>
      <c r="O76" s="1160"/>
      <c r="P76" s="1160"/>
      <c r="Q76" s="1160"/>
      <c r="R76" s="1160"/>
      <c r="S76" s="1160"/>
    </row>
    <row r="77" spans="1:19" s="1098" customFormat="1">
      <c r="A77" s="674"/>
      <c r="B77" s="674"/>
      <c r="C77" s="1160"/>
      <c r="D77" s="668" t="s">
        <v>1675</v>
      </c>
      <c r="E77" s="668" t="s">
        <v>1661</v>
      </c>
      <c r="F77" s="1160"/>
      <c r="G77" s="674" t="s">
        <v>36</v>
      </c>
      <c r="H77" s="674">
        <v>21</v>
      </c>
      <c r="I77" s="1159">
        <v>450000</v>
      </c>
      <c r="J77" s="1161">
        <f t="shared" si="4"/>
        <v>9450000</v>
      </c>
      <c r="K77" s="652">
        <v>0.38</v>
      </c>
      <c r="L77" s="654">
        <f t="shared" si="3"/>
        <v>5859000</v>
      </c>
      <c r="M77" s="1160"/>
      <c r="N77" s="1160"/>
      <c r="O77" s="1160"/>
      <c r="P77" s="1160"/>
      <c r="Q77" s="1160"/>
      <c r="R77" s="1160"/>
      <c r="S77" s="1160"/>
    </row>
    <row r="78" spans="1:19" s="1098" customFormat="1">
      <c r="A78" s="674"/>
      <c r="B78" s="674"/>
      <c r="C78" s="1160"/>
      <c r="D78" s="668" t="s">
        <v>1675</v>
      </c>
      <c r="E78" s="668" t="s">
        <v>1661</v>
      </c>
      <c r="F78" s="1160"/>
      <c r="G78" s="674" t="s">
        <v>34</v>
      </c>
      <c r="H78" s="674">
        <v>84</v>
      </c>
      <c r="I78" s="1159">
        <v>455000</v>
      </c>
      <c r="J78" s="1161">
        <f t="shared" si="4"/>
        <v>38220000</v>
      </c>
      <c r="K78" s="652">
        <v>0.38</v>
      </c>
      <c r="L78" s="654">
        <f t="shared" si="3"/>
        <v>23696400</v>
      </c>
      <c r="M78" s="1160"/>
      <c r="N78" s="1160"/>
      <c r="O78" s="1160"/>
      <c r="P78" s="1160"/>
      <c r="Q78" s="1160"/>
      <c r="R78" s="1160"/>
      <c r="S78" s="1160"/>
    </row>
    <row r="79" spans="1:19" s="1098" customFormat="1">
      <c r="A79" s="674"/>
      <c r="B79" s="674"/>
      <c r="C79" s="1160"/>
      <c r="D79" s="668" t="s">
        <v>1675</v>
      </c>
      <c r="E79" s="668" t="s">
        <v>1661</v>
      </c>
      <c r="F79" s="1160"/>
      <c r="G79" s="674" t="s">
        <v>46</v>
      </c>
      <c r="H79" s="674">
        <v>84</v>
      </c>
      <c r="I79" s="1159">
        <v>455000</v>
      </c>
      <c r="J79" s="1161">
        <f t="shared" si="4"/>
        <v>38220000</v>
      </c>
      <c r="K79" s="652">
        <v>0.38</v>
      </c>
      <c r="L79" s="654">
        <f t="shared" si="3"/>
        <v>23696400</v>
      </c>
      <c r="M79" s="1160"/>
      <c r="N79" s="1160"/>
      <c r="O79" s="1160"/>
      <c r="P79" s="1160"/>
      <c r="Q79" s="1160"/>
      <c r="R79" s="1160"/>
      <c r="S79" s="1160"/>
    </row>
    <row r="80" spans="1:19" s="1098" customFormat="1">
      <c r="A80" s="674">
        <v>1041</v>
      </c>
      <c r="B80" s="674" t="s">
        <v>1627</v>
      </c>
      <c r="C80" s="1160"/>
      <c r="D80" s="668" t="s">
        <v>1675</v>
      </c>
      <c r="E80" s="668" t="s">
        <v>1661</v>
      </c>
      <c r="F80" s="1160"/>
      <c r="G80" s="674" t="s">
        <v>30</v>
      </c>
      <c r="H80" s="674">
        <v>5</v>
      </c>
      <c r="I80" s="1159">
        <v>465000</v>
      </c>
      <c r="J80" s="1161">
        <f t="shared" si="4"/>
        <v>2325000</v>
      </c>
      <c r="K80" s="652">
        <v>1</v>
      </c>
      <c r="L80" s="654">
        <f t="shared" si="3"/>
        <v>0</v>
      </c>
      <c r="M80" s="1160"/>
      <c r="N80" s="1160"/>
      <c r="O80" s="1160"/>
      <c r="P80" s="1160"/>
      <c r="Q80" s="1160"/>
      <c r="R80" s="1162">
        <f>SUM(L80:L81)</f>
        <v>0</v>
      </c>
      <c r="S80" s="1160"/>
    </row>
    <row r="81" spans="1:20" s="1098" customFormat="1">
      <c r="A81" s="674"/>
      <c r="B81" s="674"/>
      <c r="C81" s="1160"/>
      <c r="D81" s="668" t="s">
        <v>1675</v>
      </c>
      <c r="E81" s="668" t="s">
        <v>1661</v>
      </c>
      <c r="F81" s="1160"/>
      <c r="G81" s="674" t="s">
        <v>50</v>
      </c>
      <c r="H81" s="674">
        <v>5</v>
      </c>
      <c r="I81" s="1159">
        <v>475000</v>
      </c>
      <c r="J81" s="1161">
        <f t="shared" si="4"/>
        <v>2375000</v>
      </c>
      <c r="K81" s="652">
        <v>1</v>
      </c>
      <c r="L81" s="654">
        <f t="shared" si="3"/>
        <v>0</v>
      </c>
      <c r="M81" s="1160"/>
      <c r="N81" s="1160"/>
      <c r="O81" s="1160"/>
      <c r="P81" s="1160"/>
      <c r="Q81" s="1160"/>
      <c r="R81" s="1162"/>
      <c r="S81" s="1160"/>
    </row>
    <row r="82" spans="1:20" s="1098" customFormat="1">
      <c r="A82" s="674">
        <v>1043</v>
      </c>
      <c r="B82" s="674" t="s">
        <v>1627</v>
      </c>
      <c r="C82" s="1160"/>
      <c r="D82" s="668" t="s">
        <v>1675</v>
      </c>
      <c r="E82" s="668" t="s">
        <v>1661</v>
      </c>
      <c r="F82" s="1160"/>
      <c r="G82" s="674" t="s">
        <v>74</v>
      </c>
      <c r="H82" s="674">
        <v>2</v>
      </c>
      <c r="I82" s="1159">
        <v>550000</v>
      </c>
      <c r="J82" s="1161">
        <f t="shared" si="4"/>
        <v>1100000</v>
      </c>
      <c r="K82" s="652">
        <v>1</v>
      </c>
      <c r="L82" s="654">
        <f t="shared" si="3"/>
        <v>0</v>
      </c>
      <c r="M82" s="1160"/>
      <c r="N82" s="1160"/>
      <c r="O82" s="1160"/>
      <c r="P82" s="1160"/>
      <c r="Q82" s="1160"/>
      <c r="R82" s="1162">
        <f>L82</f>
        <v>0</v>
      </c>
      <c r="S82" s="1160" t="s">
        <v>1676</v>
      </c>
    </row>
    <row r="83" spans="1:20" s="1098" customFormat="1">
      <c r="A83" s="674">
        <v>1044</v>
      </c>
      <c r="B83" s="674" t="s">
        <v>1635</v>
      </c>
      <c r="C83" s="1160"/>
      <c r="D83" s="668" t="s">
        <v>1545</v>
      </c>
      <c r="E83" s="668" t="s">
        <v>145</v>
      </c>
      <c r="F83" s="1160"/>
      <c r="G83" s="674" t="s">
        <v>60</v>
      </c>
      <c r="H83" s="674">
        <v>24</v>
      </c>
      <c r="I83" s="1159">
        <v>455000</v>
      </c>
      <c r="J83" s="1161">
        <f t="shared" si="4"/>
        <v>10920000</v>
      </c>
      <c r="K83" s="652">
        <v>0.41</v>
      </c>
      <c r="L83" s="654">
        <f t="shared" si="3"/>
        <v>6442800.0000000009</v>
      </c>
      <c r="M83" s="1160"/>
      <c r="N83" s="1160"/>
      <c r="O83" s="1160"/>
      <c r="P83" s="1160"/>
      <c r="Q83" s="1160"/>
      <c r="R83" s="1162">
        <f>SUM(L83:L86)</f>
        <v>16319400.000000002</v>
      </c>
    </row>
    <row r="84" spans="1:20" s="1098" customFormat="1">
      <c r="A84" s="674"/>
      <c r="B84" s="674"/>
      <c r="C84" s="1160"/>
      <c r="D84" s="668" t="s">
        <v>1545</v>
      </c>
      <c r="E84" s="668" t="s">
        <v>145</v>
      </c>
      <c r="F84" s="1160"/>
      <c r="G84" s="674" t="s">
        <v>30</v>
      </c>
      <c r="H84" s="674">
        <v>12</v>
      </c>
      <c r="I84" s="1159">
        <v>465000</v>
      </c>
      <c r="J84" s="1161">
        <f t="shared" si="4"/>
        <v>5580000</v>
      </c>
      <c r="K84" s="652">
        <v>0.41</v>
      </c>
      <c r="L84" s="654">
        <f t="shared" si="3"/>
        <v>3292200.0000000005</v>
      </c>
      <c r="M84" s="1160"/>
      <c r="N84" s="1160"/>
      <c r="O84" s="1160"/>
      <c r="P84" s="1160"/>
      <c r="Q84" s="1160"/>
      <c r="R84" s="1160"/>
      <c r="S84" s="1160"/>
    </row>
    <row r="85" spans="1:20" s="1098" customFormat="1">
      <c r="A85" s="674"/>
      <c r="B85" s="674"/>
      <c r="C85" s="1160"/>
      <c r="D85" s="668" t="s">
        <v>1545</v>
      </c>
      <c r="E85" s="668" t="s">
        <v>145</v>
      </c>
      <c r="F85" s="1160"/>
      <c r="G85" s="674" t="s">
        <v>50</v>
      </c>
      <c r="H85" s="674">
        <v>12</v>
      </c>
      <c r="I85" s="1159">
        <v>475000</v>
      </c>
      <c r="J85" s="1161">
        <f t="shared" si="4"/>
        <v>5700000</v>
      </c>
      <c r="K85" s="652">
        <v>0.41</v>
      </c>
      <c r="L85" s="654">
        <f t="shared" si="3"/>
        <v>3363000.0000000005</v>
      </c>
      <c r="M85" s="1160"/>
      <c r="N85" s="1160"/>
      <c r="O85" s="1160"/>
      <c r="P85" s="1160"/>
      <c r="Q85" s="1160"/>
      <c r="R85" s="1160"/>
      <c r="S85" s="1160"/>
    </row>
    <row r="86" spans="1:20" s="1098" customFormat="1">
      <c r="A86" s="674"/>
      <c r="B86" s="674"/>
      <c r="C86" s="1160"/>
      <c r="D86" s="668" t="s">
        <v>1545</v>
      </c>
      <c r="E86" s="668" t="s">
        <v>145</v>
      </c>
      <c r="F86" s="1160"/>
      <c r="G86" s="674" t="s">
        <v>46</v>
      </c>
      <c r="H86" s="674">
        <v>12</v>
      </c>
      <c r="I86" s="1159">
        <v>455000</v>
      </c>
      <c r="J86" s="1161">
        <f t="shared" si="4"/>
        <v>5460000</v>
      </c>
      <c r="K86" s="652">
        <v>0.41</v>
      </c>
      <c r="L86" s="654">
        <f t="shared" si="3"/>
        <v>3221400.0000000005</v>
      </c>
      <c r="M86" s="1160"/>
      <c r="N86" s="1160"/>
      <c r="O86" s="1160"/>
      <c r="P86" s="1160"/>
      <c r="Q86" s="1160"/>
      <c r="R86" s="1160"/>
      <c r="S86" s="1160"/>
    </row>
    <row r="87" spans="1:20" s="1098" customFormat="1">
      <c r="A87" s="674">
        <v>1052</v>
      </c>
      <c r="B87" s="674" t="s">
        <v>1620</v>
      </c>
      <c r="C87" s="647"/>
      <c r="D87" s="668" t="s">
        <v>411</v>
      </c>
      <c r="E87" s="668" t="s">
        <v>328</v>
      </c>
      <c r="F87" s="647"/>
      <c r="G87" s="674" t="s">
        <v>74</v>
      </c>
      <c r="H87" s="674">
        <v>24</v>
      </c>
      <c r="I87" s="1159">
        <v>550000</v>
      </c>
      <c r="J87" s="1161">
        <f t="shared" si="4"/>
        <v>13200000</v>
      </c>
      <c r="K87" s="652">
        <v>0.5</v>
      </c>
      <c r="L87" s="654">
        <f t="shared" si="3"/>
        <v>6600000</v>
      </c>
      <c r="M87" s="647"/>
      <c r="N87" s="647"/>
      <c r="O87" s="647"/>
      <c r="P87" s="659">
        <f>L87</f>
        <v>6600000</v>
      </c>
      <c r="Q87" s="647"/>
      <c r="R87" s="647"/>
      <c r="S87" s="1160"/>
    </row>
    <row r="88" spans="1:20" s="649" customFormat="1" ht="10.5">
      <c r="A88" s="674">
        <v>1045</v>
      </c>
      <c r="B88" s="674" t="s">
        <v>1635</v>
      </c>
      <c r="C88" s="647"/>
      <c r="D88" s="668" t="s">
        <v>1677</v>
      </c>
      <c r="E88" s="668" t="s">
        <v>1661</v>
      </c>
      <c r="F88" s="647"/>
      <c r="G88" s="674" t="s">
        <v>60</v>
      </c>
      <c r="H88" s="674">
        <v>24</v>
      </c>
      <c r="I88" s="1159">
        <v>455000</v>
      </c>
      <c r="J88" s="1161">
        <f t="shared" si="4"/>
        <v>10920000</v>
      </c>
      <c r="K88" s="652">
        <v>0.35</v>
      </c>
      <c r="L88" s="654">
        <f t="shared" si="3"/>
        <v>7098000</v>
      </c>
      <c r="M88" s="647"/>
      <c r="N88" s="647"/>
      <c r="O88" s="647"/>
      <c r="P88" s="647"/>
      <c r="Q88" s="647"/>
      <c r="R88" s="659">
        <f>SUM(L88:L89)</f>
        <v>14352000</v>
      </c>
      <c r="S88" s="647"/>
    </row>
    <row r="89" spans="1:20" s="649" customFormat="1" ht="10.5">
      <c r="A89" s="674"/>
      <c r="B89" s="674"/>
      <c r="C89" s="647"/>
      <c r="D89" s="668" t="s">
        <v>1677</v>
      </c>
      <c r="E89" s="668" t="s">
        <v>1661</v>
      </c>
      <c r="F89" s="647"/>
      <c r="G89" s="674" t="s">
        <v>30</v>
      </c>
      <c r="H89" s="674">
        <v>24</v>
      </c>
      <c r="I89" s="1159">
        <v>465000</v>
      </c>
      <c r="J89" s="1161">
        <f t="shared" si="4"/>
        <v>11160000</v>
      </c>
      <c r="K89" s="652">
        <v>0.35</v>
      </c>
      <c r="L89" s="654">
        <f t="shared" si="3"/>
        <v>7254000</v>
      </c>
      <c r="M89" s="647"/>
      <c r="N89" s="647"/>
      <c r="O89" s="647"/>
      <c r="P89" s="647"/>
      <c r="Q89" s="647"/>
      <c r="R89" s="647"/>
      <c r="S89" s="647"/>
    </row>
    <row r="90" spans="1:20" s="649" customFormat="1" ht="10.5">
      <c r="A90" s="674">
        <v>1046</v>
      </c>
      <c r="B90" s="674" t="s">
        <v>1635</v>
      </c>
      <c r="C90" s="647"/>
      <c r="D90" s="668" t="s">
        <v>240</v>
      </c>
      <c r="E90" s="668" t="s">
        <v>241</v>
      </c>
      <c r="F90" s="647"/>
      <c r="G90" s="674" t="s">
        <v>60</v>
      </c>
      <c r="H90" s="674">
        <v>24</v>
      </c>
      <c r="I90" s="1159">
        <v>455000</v>
      </c>
      <c r="J90" s="1161">
        <f t="shared" si="4"/>
        <v>10920000</v>
      </c>
      <c r="K90" s="652">
        <v>0.41</v>
      </c>
      <c r="L90" s="654">
        <f t="shared" si="3"/>
        <v>6442800.0000000009</v>
      </c>
      <c r="M90" s="647"/>
      <c r="N90" s="647"/>
      <c r="O90" s="647"/>
      <c r="P90" s="647"/>
      <c r="Q90" s="647"/>
      <c r="R90" s="659">
        <f>L90</f>
        <v>6442800.0000000009</v>
      </c>
      <c r="S90" s="647"/>
    </row>
    <row r="91" spans="1:20" s="649" customFormat="1" ht="10.5">
      <c r="A91" s="674">
        <v>1048</v>
      </c>
      <c r="B91" s="674" t="s">
        <v>1635</v>
      </c>
      <c r="C91" s="647"/>
      <c r="D91" s="668" t="s">
        <v>1678</v>
      </c>
      <c r="E91" s="668"/>
      <c r="F91" s="647"/>
      <c r="G91" s="674" t="s">
        <v>60</v>
      </c>
      <c r="H91" s="674">
        <v>3</v>
      </c>
      <c r="I91" s="1159">
        <v>455000</v>
      </c>
      <c r="J91" s="1161">
        <f t="shared" si="4"/>
        <v>1365000</v>
      </c>
      <c r="K91" s="652">
        <v>1</v>
      </c>
      <c r="L91" s="654">
        <f t="shared" si="3"/>
        <v>0</v>
      </c>
      <c r="M91" s="647"/>
      <c r="N91" s="647"/>
      <c r="O91" s="647"/>
      <c r="P91" s="647"/>
      <c r="Q91" s="647"/>
      <c r="R91" s="659">
        <f>L91</f>
        <v>0</v>
      </c>
      <c r="S91" s="647"/>
    </row>
    <row r="92" spans="1:20" s="649" customFormat="1" ht="10.5">
      <c r="A92" s="674">
        <v>1055</v>
      </c>
      <c r="B92" s="674" t="s">
        <v>1679</v>
      </c>
      <c r="C92" s="647"/>
      <c r="D92" s="668" t="s">
        <v>1545</v>
      </c>
      <c r="E92" s="668" t="s">
        <v>145</v>
      </c>
      <c r="F92" s="647"/>
      <c r="G92" s="674" t="s">
        <v>46</v>
      </c>
      <c r="H92" s="674">
        <v>1</v>
      </c>
      <c r="I92" s="1159">
        <v>455000</v>
      </c>
      <c r="J92" s="1161">
        <f t="shared" si="4"/>
        <v>455000</v>
      </c>
      <c r="K92" s="652">
        <v>0.41</v>
      </c>
      <c r="L92" s="654">
        <f t="shared" si="3"/>
        <v>268450.00000000006</v>
      </c>
      <c r="M92" s="647"/>
      <c r="N92" s="647"/>
      <c r="O92" s="647"/>
      <c r="P92" s="647"/>
      <c r="Q92" s="647"/>
      <c r="R92" s="659">
        <f>L92</f>
        <v>268450.00000000006</v>
      </c>
      <c r="S92" s="647"/>
    </row>
    <row r="93" spans="1:20">
      <c r="A93" s="1733" t="s">
        <v>105</v>
      </c>
      <c r="B93" s="1733"/>
      <c r="C93" s="1733"/>
      <c r="D93" s="1733"/>
      <c r="E93" s="1733"/>
      <c r="F93" s="1733"/>
      <c r="G93" s="1733"/>
      <c r="H93" s="674">
        <f>SUM(H7:H92)</f>
        <v>1290</v>
      </c>
      <c r="I93" s="1163"/>
      <c r="J93" s="1161">
        <f>SUM(J7:J92)</f>
        <v>591645000</v>
      </c>
      <c r="K93" s="652"/>
      <c r="L93" s="663">
        <f>SUM(L7:L92)</f>
        <v>356053050</v>
      </c>
      <c r="M93" s="1164"/>
      <c r="N93" s="1165">
        <f>SUM(N7:N92)</f>
        <v>12841450.000000002</v>
      </c>
      <c r="O93" s="1165"/>
      <c r="P93" s="1165">
        <f>SUM(P7:P92)</f>
        <v>9261250</v>
      </c>
      <c r="Q93" s="1165"/>
      <c r="R93" s="1165">
        <f>SUM(R7:R92)</f>
        <v>333950350</v>
      </c>
      <c r="S93" s="1165"/>
    </row>
    <row r="94" spans="1:20" s="706" customFormat="1">
      <c r="A94" s="1717" t="s">
        <v>1680</v>
      </c>
      <c r="B94" s="1718"/>
      <c r="C94" s="1718"/>
      <c r="D94" s="1718"/>
      <c r="E94" s="1718"/>
      <c r="F94" s="1718"/>
      <c r="G94" s="1718"/>
      <c r="H94" s="647">
        <f>H93</f>
        <v>1290</v>
      </c>
      <c r="I94" s="654"/>
      <c r="J94" s="654"/>
      <c r="K94" s="647"/>
      <c r="L94" s="663">
        <f>L93</f>
        <v>356053050</v>
      </c>
      <c r="M94" s="647"/>
      <c r="N94" s="647"/>
      <c r="O94" s="647"/>
      <c r="P94" s="647"/>
      <c r="Q94" s="647"/>
      <c r="R94" s="647"/>
      <c r="S94" s="647"/>
      <c r="T94" s="649"/>
    </row>
    <row r="95" spans="1:20" s="706" customFormat="1">
      <c r="A95" s="1717" t="s">
        <v>509</v>
      </c>
      <c r="B95" s="1718"/>
      <c r="C95" s="1718"/>
      <c r="D95" s="1718"/>
      <c r="E95" s="1718"/>
      <c r="F95" s="1718"/>
      <c r="G95" s="1718"/>
      <c r="H95" s="655"/>
      <c r="I95" s="657"/>
      <c r="J95" s="657"/>
      <c r="K95" s="655"/>
      <c r="L95" s="675">
        <f>N93</f>
        <v>12841450.000000002</v>
      </c>
      <c r="M95" s="655"/>
      <c r="N95" s="655"/>
      <c r="O95" s="655"/>
      <c r="P95" s="655"/>
      <c r="Q95" s="655"/>
      <c r="R95" s="655"/>
      <c r="S95" s="655"/>
    </row>
    <row r="96" spans="1:20" s="706" customFormat="1">
      <c r="A96" s="1717" t="s">
        <v>510</v>
      </c>
      <c r="B96" s="1718"/>
      <c r="C96" s="1718"/>
      <c r="D96" s="1718"/>
      <c r="E96" s="1718"/>
      <c r="F96" s="1718"/>
      <c r="G96" s="1718"/>
      <c r="H96" s="655"/>
      <c r="I96" s="657"/>
      <c r="J96" s="657"/>
      <c r="K96" s="655"/>
      <c r="L96" s="675">
        <f>P93</f>
        <v>9261250</v>
      </c>
      <c r="M96" s="655"/>
      <c r="N96" s="655"/>
      <c r="O96" s="655"/>
      <c r="P96" s="655"/>
      <c r="Q96" s="655"/>
      <c r="R96" s="655"/>
      <c r="S96" s="655"/>
    </row>
    <row r="97" spans="1:19" s="706" customFormat="1">
      <c r="A97" s="1717" t="s">
        <v>1681</v>
      </c>
      <c r="B97" s="1718"/>
      <c r="C97" s="1718"/>
      <c r="D97" s="1718"/>
      <c r="E97" s="1718"/>
      <c r="F97" s="1718"/>
      <c r="G97" s="1718"/>
      <c r="H97" s="655"/>
      <c r="I97" s="657"/>
      <c r="J97" s="657"/>
      <c r="K97" s="655"/>
      <c r="L97" s="675">
        <f>R93</f>
        <v>333950350</v>
      </c>
      <c r="M97" s="655"/>
      <c r="N97" s="655"/>
      <c r="O97" s="655"/>
      <c r="P97" s="655"/>
      <c r="Q97" s="655"/>
      <c r="R97" s="655"/>
      <c r="S97" s="655"/>
    </row>
    <row r="98" spans="1:19">
      <c r="A98" s="812" t="s">
        <v>512</v>
      </c>
      <c r="I98" s="1166"/>
      <c r="L98" s="826">
        <f>L93-N93-P93-R93</f>
        <v>0</v>
      </c>
      <c r="S98" s="1167"/>
    </row>
    <row r="99" spans="1:19">
      <c r="I99" s="1166"/>
      <c r="M99" s="826"/>
    </row>
    <row r="100" spans="1:19">
      <c r="I100" s="1166"/>
    </row>
    <row r="101" spans="1:19">
      <c r="I101" s="1166"/>
    </row>
    <row r="102" spans="1:19">
      <c r="I102" s="1166"/>
    </row>
    <row r="103" spans="1:19">
      <c r="I103" s="1166"/>
    </row>
    <row r="104" spans="1:19">
      <c r="I104" s="1166"/>
    </row>
    <row r="105" spans="1:19">
      <c r="I105" s="1166"/>
    </row>
    <row r="106" spans="1:19">
      <c r="I106" s="1166"/>
    </row>
    <row r="107" spans="1:19">
      <c r="I107" s="1166"/>
    </row>
    <row r="108" spans="1:19">
      <c r="I108" s="1166"/>
    </row>
    <row r="109" spans="1:19">
      <c r="I109" s="1166"/>
    </row>
    <row r="110" spans="1:19">
      <c r="I110" s="1166"/>
    </row>
    <row r="111" spans="1:19">
      <c r="I111" s="1166"/>
    </row>
    <row r="112" spans="1:19">
      <c r="I112" s="1166"/>
    </row>
    <row r="113" spans="9:9">
      <c r="I113" s="1166"/>
    </row>
    <row r="114" spans="9:9">
      <c r="I114" s="1166"/>
    </row>
    <row r="115" spans="9:9">
      <c r="I115" s="1166"/>
    </row>
    <row r="116" spans="9:9">
      <c r="I116" s="1166"/>
    </row>
    <row r="117" spans="9:9">
      <c r="I117" s="714"/>
    </row>
    <row r="118" spans="9:9">
      <c r="I118" s="714"/>
    </row>
    <row r="119" spans="9:9">
      <c r="I119" s="714"/>
    </row>
    <row r="120" spans="9:9">
      <c r="I120" s="714"/>
    </row>
    <row r="121" spans="9:9">
      <c r="I121" s="714"/>
    </row>
    <row r="122" spans="9:9">
      <c r="I122" s="714"/>
    </row>
    <row r="123" spans="9:9">
      <c r="I123" s="714"/>
    </row>
    <row r="124" spans="9:9">
      <c r="I124" s="714"/>
    </row>
    <row r="125" spans="9:9">
      <c r="I125" s="714"/>
    </row>
    <row r="126" spans="9:9">
      <c r="I126" s="714"/>
    </row>
    <row r="127" spans="9:9">
      <c r="I127" s="714"/>
    </row>
    <row r="128" spans="9:9">
      <c r="I128" s="714"/>
    </row>
    <row r="129" spans="9:9">
      <c r="I129" s="714"/>
    </row>
  </sheetData>
  <mergeCells count="15"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A93:G93"/>
    <mergeCell ref="A94:G94"/>
    <mergeCell ref="A95:G95"/>
    <mergeCell ref="A96:G96"/>
    <mergeCell ref="A97:G9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S61"/>
  <sheetViews>
    <sheetView topLeftCell="A43" zoomScaleNormal="100" workbookViewId="0">
      <selection activeCell="H64" sqref="H64"/>
    </sheetView>
  </sheetViews>
  <sheetFormatPr defaultRowHeight="15"/>
  <cols>
    <col min="1" max="1" width="4.5703125" style="812" customWidth="1"/>
    <col min="2" max="2" width="5.28515625" style="812" customWidth="1"/>
    <col min="3" max="3" width="6.5703125" style="812" customWidth="1"/>
    <col min="4" max="4" width="10.42578125" style="812" customWidth="1"/>
    <col min="5" max="5" width="8.7109375" style="812" customWidth="1"/>
    <col min="6" max="6" width="9.140625" style="812" customWidth="1"/>
    <col min="7" max="7" width="8" style="812" customWidth="1"/>
    <col min="8" max="8" width="5.7109375" style="812" customWidth="1"/>
    <col min="9" max="9" width="6.140625" style="812" customWidth="1"/>
    <col min="10" max="10" width="8.7109375" style="812" customWidth="1"/>
    <col min="11" max="11" width="7" style="812" customWidth="1"/>
    <col min="12" max="12" width="8.5703125" style="812" customWidth="1"/>
    <col min="13" max="13" width="7" style="812" customWidth="1"/>
    <col min="14" max="14" width="8.28515625" style="812" customWidth="1"/>
    <col min="15" max="15" width="8.42578125" style="812" customWidth="1"/>
    <col min="16" max="16" width="7.7109375" style="812" customWidth="1"/>
    <col min="17" max="17" width="9.140625" style="812" customWidth="1"/>
    <col min="18" max="18" width="10.7109375" style="812" customWidth="1"/>
    <col min="19" max="19" width="8.5703125" style="812" customWidth="1"/>
    <col min="20" max="16384" width="9.140625" style="812"/>
  </cols>
  <sheetData>
    <row r="1" spans="1:19" s="1530" customFormat="1" ht="16.5">
      <c r="A1" s="645" t="s">
        <v>0</v>
      </c>
      <c r="B1" s="645"/>
      <c r="C1" s="1601"/>
      <c r="D1" s="1602"/>
      <c r="E1" s="1602"/>
      <c r="F1" s="1602"/>
      <c r="G1" s="500"/>
      <c r="H1" s="500"/>
      <c r="I1" s="1603"/>
      <c r="J1" s="1603"/>
      <c r="K1" s="1604"/>
      <c r="L1" s="1603"/>
      <c r="M1" s="1603"/>
      <c r="N1" s="500"/>
      <c r="O1" s="500"/>
      <c r="P1" s="1603" t="s">
        <v>1</v>
      </c>
      <c r="Q1" s="1603"/>
    </row>
    <row r="2" spans="1:19" s="1530" customFormat="1" ht="15.75">
      <c r="A2" s="646" t="s">
        <v>2</v>
      </c>
      <c r="B2" s="646"/>
      <c r="C2" s="1605"/>
      <c r="D2" s="1606"/>
      <c r="E2" s="1606"/>
      <c r="F2" s="1606"/>
      <c r="G2" s="500"/>
      <c r="H2" s="500"/>
      <c r="I2" s="1607"/>
      <c r="J2" s="1607"/>
      <c r="K2" s="1608"/>
      <c r="L2" s="1607"/>
      <c r="M2" s="1607"/>
      <c r="N2" s="500"/>
      <c r="O2" s="500"/>
      <c r="P2" s="1607" t="s">
        <v>3</v>
      </c>
      <c r="Q2" s="1607"/>
    </row>
    <row r="3" spans="1:19" s="1530" customFormat="1" ht="20.25">
      <c r="A3" s="1734" t="s">
        <v>4</v>
      </c>
      <c r="B3" s="1734"/>
      <c r="C3" s="1734"/>
      <c r="D3" s="1734"/>
      <c r="E3" s="1734"/>
      <c r="F3" s="1734"/>
      <c r="G3" s="1734"/>
      <c r="H3" s="1734"/>
      <c r="I3" s="1734"/>
      <c r="J3" s="1734"/>
      <c r="K3" s="1735"/>
      <c r="L3" s="1734"/>
      <c r="M3" s="1734"/>
      <c r="N3" s="1734"/>
      <c r="O3" s="1734"/>
      <c r="P3" s="1734"/>
      <c r="Q3" s="1734"/>
      <c r="R3" s="1734"/>
      <c r="S3" s="1734"/>
    </row>
    <row r="4" spans="1:19" s="1530" customFormat="1" ht="15.75" thickBot="1">
      <c r="A4" s="1736" t="s">
        <v>1739</v>
      </c>
      <c r="B4" s="1736"/>
      <c r="C4" s="1736"/>
      <c r="D4" s="1736"/>
      <c r="E4" s="1736"/>
      <c r="F4" s="1736"/>
      <c r="G4" s="1736"/>
      <c r="H4" s="1736"/>
      <c r="I4" s="1736"/>
      <c r="J4" s="1736"/>
      <c r="K4" s="1737"/>
      <c r="L4" s="1736"/>
      <c r="M4" s="1736"/>
      <c r="N4" s="1736"/>
      <c r="O4" s="1736"/>
      <c r="P4" s="1736"/>
      <c r="Q4" s="1736"/>
      <c r="R4" s="1736"/>
      <c r="S4" s="1736"/>
    </row>
    <row r="5" spans="1:19" s="1530" customFormat="1" ht="15.75" thickTop="1">
      <c r="A5" s="1738" t="s">
        <v>6</v>
      </c>
      <c r="B5" s="1686" t="s">
        <v>7</v>
      </c>
      <c r="C5" s="1686" t="s">
        <v>8</v>
      </c>
      <c r="D5" s="1686" t="s">
        <v>9</v>
      </c>
      <c r="E5" s="1686"/>
      <c r="F5" s="1686"/>
      <c r="G5" s="1741" t="s">
        <v>119</v>
      </c>
      <c r="H5" s="1741"/>
      <c r="I5" s="1741"/>
      <c r="J5" s="1741"/>
      <c r="K5" s="1742"/>
      <c r="L5" s="1743" t="s">
        <v>120</v>
      </c>
      <c r="M5" s="1741" t="s">
        <v>12</v>
      </c>
      <c r="N5" s="1741"/>
      <c r="O5" s="1741"/>
      <c r="P5" s="1741"/>
      <c r="Q5" s="1741"/>
      <c r="R5" s="1741"/>
      <c r="S5" s="1745" t="s">
        <v>13</v>
      </c>
    </row>
    <row r="6" spans="1:19" s="1530" customFormat="1" ht="27.75" thickBot="1">
      <c r="A6" s="1739"/>
      <c r="B6" s="1740"/>
      <c r="C6" s="1740"/>
      <c r="D6" s="1609" t="s">
        <v>14</v>
      </c>
      <c r="E6" s="1505" t="s">
        <v>15</v>
      </c>
      <c r="F6" s="1505" t="s">
        <v>16</v>
      </c>
      <c r="G6" s="1505" t="s">
        <v>17</v>
      </c>
      <c r="H6" s="1505" t="s">
        <v>18</v>
      </c>
      <c r="I6" s="1505" t="s">
        <v>19</v>
      </c>
      <c r="J6" s="1610" t="s">
        <v>20</v>
      </c>
      <c r="K6" s="1611" t="s">
        <v>21</v>
      </c>
      <c r="L6" s="1744"/>
      <c r="M6" s="1505" t="s">
        <v>121</v>
      </c>
      <c r="N6" s="1505" t="s">
        <v>23</v>
      </c>
      <c r="O6" s="1505" t="s">
        <v>122</v>
      </c>
      <c r="P6" s="1505" t="s">
        <v>23</v>
      </c>
      <c r="Q6" s="1505" t="s">
        <v>25</v>
      </c>
      <c r="R6" s="1505" t="s">
        <v>23</v>
      </c>
      <c r="S6" s="1746"/>
    </row>
    <row r="7" spans="1:19" s="1530" customFormat="1" ht="15.75" thickTop="1">
      <c r="A7" s="1612"/>
      <c r="B7" s="1506">
        <v>43833</v>
      </c>
      <c r="C7" s="1507" t="s">
        <v>27</v>
      </c>
      <c r="D7" s="1613" t="s">
        <v>1649</v>
      </c>
      <c r="E7" s="1614" t="s">
        <v>1546</v>
      </c>
      <c r="F7" s="1614"/>
      <c r="G7" s="1614" t="s">
        <v>30</v>
      </c>
      <c r="H7" s="1614">
        <v>12</v>
      </c>
      <c r="I7" s="1615">
        <v>465000</v>
      </c>
      <c r="J7" s="1508">
        <f t="shared" ref="J7:J9" si="0">H7*I7</f>
        <v>5580000</v>
      </c>
      <c r="K7" s="1616">
        <v>0.5</v>
      </c>
      <c r="L7" s="1509">
        <f t="shared" ref="L7:L17" si="1">J7*(1-K7)</f>
        <v>2790000</v>
      </c>
      <c r="M7" s="1617"/>
      <c r="N7" s="1617"/>
      <c r="O7" s="1617"/>
      <c r="P7" s="1617"/>
      <c r="Q7" s="1617"/>
      <c r="R7" s="1618">
        <f>L7+L8</f>
        <v>5700000</v>
      </c>
      <c r="S7" s="1619"/>
    </row>
    <row r="8" spans="1:19" s="1530" customFormat="1">
      <c r="A8" s="1514"/>
      <c r="B8" s="1510"/>
      <c r="C8" s="1511" t="s">
        <v>27</v>
      </c>
      <c r="D8" s="1516"/>
      <c r="E8" s="1517"/>
      <c r="F8" s="1517"/>
      <c r="G8" s="1517" t="s">
        <v>73</v>
      </c>
      <c r="H8" s="1517">
        <v>12</v>
      </c>
      <c r="I8" s="1620">
        <v>485000</v>
      </c>
      <c r="J8" s="1512">
        <f t="shared" si="0"/>
        <v>5820000</v>
      </c>
      <c r="K8" s="1519">
        <v>0.5</v>
      </c>
      <c r="L8" s="1513">
        <f t="shared" si="1"/>
        <v>2910000</v>
      </c>
      <c r="M8" s="1621"/>
      <c r="N8" s="1621"/>
      <c r="O8" s="1621"/>
      <c r="P8" s="1621"/>
      <c r="Q8" s="1621"/>
      <c r="R8" s="1621"/>
      <c r="S8" s="1622"/>
    </row>
    <row r="9" spans="1:19" s="1530" customFormat="1">
      <c r="A9" s="1514"/>
      <c r="B9" s="1510">
        <v>43833</v>
      </c>
      <c r="C9" s="1511" t="s">
        <v>27</v>
      </c>
      <c r="D9" s="1516" t="s">
        <v>1545</v>
      </c>
      <c r="E9" s="1517" t="s">
        <v>145</v>
      </c>
      <c r="F9" s="1517"/>
      <c r="G9" s="1517" t="s">
        <v>73</v>
      </c>
      <c r="H9" s="1517">
        <v>12</v>
      </c>
      <c r="I9" s="1620">
        <v>485000</v>
      </c>
      <c r="J9" s="1512">
        <f t="shared" si="0"/>
        <v>5820000</v>
      </c>
      <c r="K9" s="1519">
        <v>0.5</v>
      </c>
      <c r="L9" s="1513">
        <f t="shared" si="1"/>
        <v>2910000</v>
      </c>
      <c r="M9" s="1621"/>
      <c r="N9" s="1621"/>
      <c r="O9" s="1621"/>
      <c r="P9" s="1621"/>
      <c r="Q9" s="1621"/>
      <c r="R9" s="1520">
        <f>L9</f>
        <v>2910000</v>
      </c>
      <c r="S9" s="1622"/>
    </row>
    <row r="10" spans="1:19" s="1099" customFormat="1">
      <c r="A10" s="1514"/>
      <c r="B10" s="1515">
        <v>43833</v>
      </c>
      <c r="C10" s="1511" t="s">
        <v>27</v>
      </c>
      <c r="D10" s="1516" t="s">
        <v>1672</v>
      </c>
      <c r="E10" s="1517" t="s">
        <v>1673</v>
      </c>
      <c r="F10" s="1517"/>
      <c r="G10" s="1517" t="s">
        <v>60</v>
      </c>
      <c r="H10" s="1517">
        <v>5</v>
      </c>
      <c r="I10" s="1518">
        <v>455000</v>
      </c>
      <c r="J10" s="1512">
        <f>H10*I10</f>
        <v>2275000</v>
      </c>
      <c r="K10" s="1519">
        <v>0.41</v>
      </c>
      <c r="L10" s="1513">
        <f t="shared" si="1"/>
        <v>1342250.0000000002</v>
      </c>
      <c r="M10" s="1517"/>
      <c r="N10" s="1517"/>
      <c r="O10" s="1517"/>
      <c r="P10" s="1517"/>
      <c r="Q10" s="1517"/>
      <c r="R10" s="1520">
        <f>SUM(L10:L17)</f>
        <v>11283750.000000002</v>
      </c>
      <c r="S10" s="1521"/>
    </row>
    <row r="11" spans="1:19" s="1099" customFormat="1">
      <c r="A11" s="1522"/>
      <c r="B11" s="1515"/>
      <c r="C11" s="1511" t="s">
        <v>27</v>
      </c>
      <c r="D11" s="1516" t="s">
        <v>1672</v>
      </c>
      <c r="E11" s="1517" t="s">
        <v>1673</v>
      </c>
      <c r="F11" s="1517"/>
      <c r="G11" s="1517" t="s">
        <v>30</v>
      </c>
      <c r="H11" s="1517">
        <v>5</v>
      </c>
      <c r="I11" s="1518">
        <v>465000</v>
      </c>
      <c r="J11" s="1512">
        <f t="shared" ref="J11:J17" si="2">H11*I11</f>
        <v>2325000</v>
      </c>
      <c r="K11" s="1519">
        <v>0.41</v>
      </c>
      <c r="L11" s="1513">
        <f t="shared" si="1"/>
        <v>1371750.0000000002</v>
      </c>
      <c r="M11" s="1517"/>
      <c r="N11" s="1517"/>
      <c r="O11" s="1517"/>
      <c r="P11" s="1517"/>
      <c r="Q11" s="1517"/>
      <c r="R11" s="1517"/>
      <c r="S11" s="1521"/>
    </row>
    <row r="12" spans="1:19" s="1099" customFormat="1">
      <c r="A12" s="1522"/>
      <c r="B12" s="1515"/>
      <c r="C12" s="1511" t="s">
        <v>27</v>
      </c>
      <c r="D12" s="1516" t="s">
        <v>1672</v>
      </c>
      <c r="E12" s="1517" t="s">
        <v>1673</v>
      </c>
      <c r="F12" s="1517"/>
      <c r="G12" s="1517" t="s">
        <v>50</v>
      </c>
      <c r="H12" s="1517">
        <v>5</v>
      </c>
      <c r="I12" s="1518">
        <v>475000</v>
      </c>
      <c r="J12" s="1512">
        <f t="shared" si="2"/>
        <v>2375000</v>
      </c>
      <c r="K12" s="1519">
        <v>0.41</v>
      </c>
      <c r="L12" s="1513">
        <f t="shared" si="1"/>
        <v>1401250.0000000002</v>
      </c>
      <c r="M12" s="1517"/>
      <c r="N12" s="1517"/>
      <c r="O12" s="1517"/>
      <c r="P12" s="1517"/>
      <c r="Q12" s="1517"/>
      <c r="R12" s="1517"/>
      <c r="S12" s="1521"/>
    </row>
    <row r="13" spans="1:19" s="1099" customFormat="1">
      <c r="A13" s="1522"/>
      <c r="B13" s="1515"/>
      <c r="C13" s="1511" t="s">
        <v>27</v>
      </c>
      <c r="D13" s="1516" t="s">
        <v>1672</v>
      </c>
      <c r="E13" s="1517" t="s">
        <v>1673</v>
      </c>
      <c r="F13" s="1517"/>
      <c r="G13" s="1517" t="s">
        <v>45</v>
      </c>
      <c r="H13" s="1517">
        <v>5</v>
      </c>
      <c r="I13" s="1518">
        <v>485000</v>
      </c>
      <c r="J13" s="1512">
        <f t="shared" si="2"/>
        <v>2425000</v>
      </c>
      <c r="K13" s="1519">
        <v>0.41</v>
      </c>
      <c r="L13" s="1513">
        <f t="shared" si="1"/>
        <v>1430750.0000000002</v>
      </c>
      <c r="M13" s="1517"/>
      <c r="N13" s="1517"/>
      <c r="O13" s="1517"/>
      <c r="P13" s="1517"/>
      <c r="Q13" s="1517"/>
      <c r="R13" s="1517"/>
      <c r="S13" s="1521"/>
    </row>
    <row r="14" spans="1:19" s="1099" customFormat="1">
      <c r="A14" s="1522"/>
      <c r="B14" s="1515"/>
      <c r="C14" s="1511" t="s">
        <v>27</v>
      </c>
      <c r="D14" s="1516" t="s">
        <v>1672</v>
      </c>
      <c r="E14" s="1517" t="s">
        <v>1673</v>
      </c>
      <c r="F14" s="1517"/>
      <c r="G14" s="1517" t="s">
        <v>73</v>
      </c>
      <c r="H14" s="1517">
        <v>5</v>
      </c>
      <c r="I14" s="1518">
        <v>485000</v>
      </c>
      <c r="J14" s="1512">
        <f t="shared" si="2"/>
        <v>2425000</v>
      </c>
      <c r="K14" s="1519">
        <v>0.41</v>
      </c>
      <c r="L14" s="1513">
        <f t="shared" si="1"/>
        <v>1430750.0000000002</v>
      </c>
      <c r="M14" s="1517"/>
      <c r="N14" s="1517"/>
      <c r="O14" s="1517"/>
      <c r="P14" s="1517"/>
      <c r="Q14" s="1517"/>
      <c r="R14" s="1517"/>
      <c r="S14" s="1521"/>
    </row>
    <row r="15" spans="1:19" s="1099" customFormat="1">
      <c r="A15" s="1522"/>
      <c r="B15" s="1515"/>
      <c r="C15" s="1511" t="s">
        <v>27</v>
      </c>
      <c r="D15" s="1516" t="s">
        <v>1672</v>
      </c>
      <c r="E15" s="1517" t="s">
        <v>1673</v>
      </c>
      <c r="F15" s="1517"/>
      <c r="G15" s="1517" t="s">
        <v>74</v>
      </c>
      <c r="H15" s="1517">
        <v>5</v>
      </c>
      <c r="I15" s="1518">
        <v>550000</v>
      </c>
      <c r="J15" s="1512">
        <f t="shared" si="2"/>
        <v>2750000</v>
      </c>
      <c r="K15" s="1519">
        <v>0.41</v>
      </c>
      <c r="L15" s="1513">
        <f t="shared" si="1"/>
        <v>1622500.0000000002</v>
      </c>
      <c r="M15" s="1517"/>
      <c r="N15" s="1517"/>
      <c r="O15" s="1517"/>
      <c r="P15" s="1517"/>
      <c r="Q15" s="1517"/>
      <c r="R15" s="1517"/>
      <c r="S15" s="1521"/>
    </row>
    <row r="16" spans="1:19" s="1099" customFormat="1">
      <c r="A16" s="1522"/>
      <c r="B16" s="1515"/>
      <c r="C16" s="1511" t="s">
        <v>27</v>
      </c>
      <c r="D16" s="1516" t="s">
        <v>1672</v>
      </c>
      <c r="E16" s="1517" t="s">
        <v>1673</v>
      </c>
      <c r="F16" s="1517"/>
      <c r="G16" s="1517" t="s">
        <v>34</v>
      </c>
      <c r="H16" s="1517">
        <v>5</v>
      </c>
      <c r="I16" s="1518">
        <v>455000</v>
      </c>
      <c r="J16" s="1512">
        <f t="shared" si="2"/>
        <v>2275000</v>
      </c>
      <c r="K16" s="1519">
        <v>0.41</v>
      </c>
      <c r="L16" s="1513">
        <f t="shared" si="1"/>
        <v>1342250.0000000002</v>
      </c>
      <c r="M16" s="1517"/>
      <c r="N16" s="1517"/>
      <c r="O16" s="1517"/>
      <c r="P16" s="1517"/>
      <c r="Q16" s="1517"/>
      <c r="R16" s="1517"/>
      <c r="S16" s="1521"/>
    </row>
    <row r="17" spans="1:19" s="1099" customFormat="1">
      <c r="A17" s="1522"/>
      <c r="B17" s="1515"/>
      <c r="C17" s="1511" t="s">
        <v>27</v>
      </c>
      <c r="D17" s="1516" t="s">
        <v>1672</v>
      </c>
      <c r="E17" s="1517" t="s">
        <v>1673</v>
      </c>
      <c r="F17" s="1517"/>
      <c r="G17" s="1517" t="s">
        <v>46</v>
      </c>
      <c r="H17" s="1517">
        <v>5</v>
      </c>
      <c r="I17" s="1518">
        <v>455000</v>
      </c>
      <c r="J17" s="1512">
        <f t="shared" si="2"/>
        <v>2275000</v>
      </c>
      <c r="K17" s="1519">
        <v>0.41</v>
      </c>
      <c r="L17" s="1513">
        <f t="shared" si="1"/>
        <v>1342250.0000000002</v>
      </c>
      <c r="M17" s="1517"/>
      <c r="N17" s="1517"/>
      <c r="O17" s="1517"/>
      <c r="P17" s="1517"/>
      <c r="Q17" s="1517"/>
      <c r="R17" s="1517"/>
      <c r="S17" s="1521"/>
    </row>
    <row r="18" spans="1:19" s="1530" customFormat="1">
      <c r="A18" s="1523">
        <v>1056</v>
      </c>
      <c r="B18" s="1515">
        <v>44077</v>
      </c>
      <c r="C18" s="1511" t="s">
        <v>27</v>
      </c>
      <c r="D18" s="1524" t="s">
        <v>1740</v>
      </c>
      <c r="E18" s="1511"/>
      <c r="F18" s="1511"/>
      <c r="G18" s="1525" t="s">
        <v>50</v>
      </c>
      <c r="H18" s="1525">
        <v>3</v>
      </c>
      <c r="I18" s="1513">
        <v>475000</v>
      </c>
      <c r="J18" s="1513">
        <f>H18*I18</f>
        <v>1425000</v>
      </c>
      <c r="K18" s="1526">
        <v>0.25</v>
      </c>
      <c r="L18" s="1513">
        <f>J18*(1-K18)</f>
        <v>1068750</v>
      </c>
      <c r="M18" s="1527"/>
      <c r="N18" s="1511"/>
      <c r="O18" s="1511"/>
      <c r="P18" s="1511"/>
      <c r="Q18" s="1511"/>
      <c r="R18" s="1528">
        <f>SUM(L18:L20)</f>
        <v>3592500</v>
      </c>
      <c r="S18" s="1529"/>
    </row>
    <row r="19" spans="1:19" s="1530" customFormat="1">
      <c r="A19" s="1523"/>
      <c r="B19" s="1515"/>
      <c r="C19" s="1511" t="s">
        <v>27</v>
      </c>
      <c r="D19" s="1524" t="s">
        <v>1740</v>
      </c>
      <c r="E19" s="1511"/>
      <c r="F19" s="1511"/>
      <c r="G19" s="1525" t="s">
        <v>45</v>
      </c>
      <c r="H19" s="1525">
        <v>6</v>
      </c>
      <c r="I19" s="1513">
        <v>485000</v>
      </c>
      <c r="J19" s="1513">
        <f>H19*I19</f>
        <v>2910000</v>
      </c>
      <c r="K19" s="1526">
        <v>0.25</v>
      </c>
      <c r="L19" s="1513">
        <f>J19*(1-K19)</f>
        <v>2182500</v>
      </c>
      <c r="M19" s="1527"/>
      <c r="N19" s="1511"/>
      <c r="O19" s="1511"/>
      <c r="P19" s="1511"/>
      <c r="Q19" s="1511"/>
      <c r="R19" s="1511"/>
      <c r="S19" s="1529"/>
    </row>
    <row r="20" spans="1:19" s="1530" customFormat="1">
      <c r="A20" s="1523"/>
      <c r="B20" s="1515"/>
      <c r="C20" s="1511" t="s">
        <v>27</v>
      </c>
      <c r="D20" s="1524" t="s">
        <v>1740</v>
      </c>
      <c r="E20" s="1511"/>
      <c r="F20" s="1511"/>
      <c r="G20" s="1525" t="s">
        <v>1741</v>
      </c>
      <c r="H20" s="1525">
        <v>1</v>
      </c>
      <c r="I20" s="1513">
        <v>455000</v>
      </c>
      <c r="J20" s="1513">
        <f t="shared" ref="J20:J54" si="3">H20*I20</f>
        <v>455000</v>
      </c>
      <c r="K20" s="1526">
        <v>0.25</v>
      </c>
      <c r="L20" s="1513">
        <f>J20*(1-K20)</f>
        <v>341250</v>
      </c>
      <c r="M20" s="1527"/>
      <c r="N20" s="1511"/>
      <c r="O20" s="1511"/>
      <c r="P20" s="1511"/>
      <c r="Q20" s="1511"/>
      <c r="R20" s="1511"/>
      <c r="S20" s="1529"/>
    </row>
    <row r="21" spans="1:19" s="1530" customFormat="1">
      <c r="A21" s="1523">
        <v>1057</v>
      </c>
      <c r="B21" s="1515">
        <v>44077</v>
      </c>
      <c r="C21" s="1511"/>
      <c r="D21" s="1524" t="s">
        <v>96</v>
      </c>
      <c r="E21" s="1511"/>
      <c r="F21" s="1511"/>
      <c r="G21" s="1525" t="s">
        <v>60</v>
      </c>
      <c r="H21" s="1525">
        <v>2</v>
      </c>
      <c r="I21" s="1513">
        <v>455000</v>
      </c>
      <c r="J21" s="1513">
        <f t="shared" si="3"/>
        <v>910000</v>
      </c>
      <c r="K21" s="1526">
        <v>0.41</v>
      </c>
      <c r="L21" s="1513">
        <f>J21*(1-K21)</f>
        <v>536900.00000000012</v>
      </c>
      <c r="M21" s="1527"/>
      <c r="N21" s="1528"/>
      <c r="O21" s="1511"/>
      <c r="P21" s="1511"/>
      <c r="Q21" s="1511"/>
      <c r="R21" s="1528">
        <f>L21</f>
        <v>536900.00000000012</v>
      </c>
      <c r="S21" s="1529"/>
    </row>
    <row r="22" spans="1:19" s="1099" customFormat="1">
      <c r="A22" s="1523"/>
      <c r="B22" s="1515">
        <v>44107</v>
      </c>
      <c r="C22" s="1511"/>
      <c r="D22" s="1524" t="s">
        <v>96</v>
      </c>
      <c r="E22" s="1511"/>
      <c r="F22" s="1511"/>
      <c r="G22" s="1525" t="s">
        <v>42</v>
      </c>
      <c r="H22" s="1525">
        <v>1</v>
      </c>
      <c r="I22" s="1513">
        <v>265000</v>
      </c>
      <c r="J22" s="1513">
        <f t="shared" si="3"/>
        <v>265000</v>
      </c>
      <c r="K22" s="1526">
        <v>0.41</v>
      </c>
      <c r="L22" s="1513">
        <f>J22*(1-K22)</f>
        <v>156350.00000000003</v>
      </c>
      <c r="M22" s="1527"/>
      <c r="N22" s="1528"/>
      <c r="O22" s="1511"/>
      <c r="P22" s="1511"/>
      <c r="Q22" s="1511"/>
      <c r="R22" s="1528">
        <f>L22+L23+L24</f>
        <v>2675650.0000000005</v>
      </c>
      <c r="S22" s="1529"/>
    </row>
    <row r="23" spans="1:19" s="1099" customFormat="1">
      <c r="A23" s="1523"/>
      <c r="B23" s="1515"/>
      <c r="C23" s="1511"/>
      <c r="D23" s="1524" t="s">
        <v>96</v>
      </c>
      <c r="E23" s="1511"/>
      <c r="F23" s="1511"/>
      <c r="G23" s="1525" t="s">
        <v>30</v>
      </c>
      <c r="H23" s="1525">
        <v>8</v>
      </c>
      <c r="I23" s="1513">
        <v>465000</v>
      </c>
      <c r="J23" s="1513">
        <f t="shared" si="3"/>
        <v>3720000</v>
      </c>
      <c r="K23" s="1526">
        <v>0.41</v>
      </c>
      <c r="L23" s="1513">
        <f t="shared" ref="L23:L30" si="4">J23*(1-K23)</f>
        <v>2194800.0000000005</v>
      </c>
      <c r="M23" s="1527"/>
      <c r="N23" s="1511"/>
      <c r="O23" s="1511"/>
      <c r="P23" s="1511"/>
      <c r="Q23" s="1511"/>
      <c r="R23" s="1511"/>
      <c r="S23" s="1529"/>
    </row>
    <row r="24" spans="1:19" s="1099" customFormat="1">
      <c r="A24" s="1523"/>
      <c r="B24" s="1515"/>
      <c r="C24" s="1511"/>
      <c r="D24" s="1524" t="s">
        <v>96</v>
      </c>
      <c r="E24" s="1511"/>
      <c r="F24" s="1511"/>
      <c r="G24" s="1525" t="s">
        <v>74</v>
      </c>
      <c r="H24" s="1525">
        <v>1</v>
      </c>
      <c r="I24" s="1513">
        <v>550000</v>
      </c>
      <c r="J24" s="1513">
        <f t="shared" si="3"/>
        <v>550000</v>
      </c>
      <c r="K24" s="1526">
        <v>0.41</v>
      </c>
      <c r="L24" s="1513">
        <f t="shared" si="4"/>
        <v>324500.00000000006</v>
      </c>
      <c r="M24" s="1527"/>
      <c r="N24" s="1511"/>
      <c r="O24" s="1511"/>
      <c r="P24" s="1511"/>
      <c r="Q24" s="1511"/>
      <c r="R24" s="1511"/>
      <c r="S24" s="1529"/>
    </row>
    <row r="25" spans="1:19" s="1099" customFormat="1">
      <c r="A25" s="1523"/>
      <c r="B25" s="1515">
        <v>44107</v>
      </c>
      <c r="C25" s="1511" t="s">
        <v>27</v>
      </c>
      <c r="D25" s="1524" t="s">
        <v>240</v>
      </c>
      <c r="E25" s="1525" t="s">
        <v>241</v>
      </c>
      <c r="F25" s="1511"/>
      <c r="G25" s="1525" t="s">
        <v>60</v>
      </c>
      <c r="H25" s="1525">
        <v>36</v>
      </c>
      <c r="I25" s="1513">
        <v>455000</v>
      </c>
      <c r="J25" s="1513">
        <f t="shared" si="3"/>
        <v>16380000</v>
      </c>
      <c r="K25" s="1526">
        <v>0.41</v>
      </c>
      <c r="L25" s="1513">
        <f t="shared" si="4"/>
        <v>9664200.0000000019</v>
      </c>
      <c r="M25" s="1527"/>
      <c r="N25" s="1511"/>
      <c r="O25" s="1511"/>
      <c r="P25" s="1511"/>
      <c r="Q25" s="1511"/>
      <c r="R25" s="1528">
        <f>L25</f>
        <v>9664200.0000000019</v>
      </c>
      <c r="S25" s="1529"/>
    </row>
    <row r="26" spans="1:19" s="1099" customFormat="1">
      <c r="A26" s="1523"/>
      <c r="B26" s="1515">
        <v>44107</v>
      </c>
      <c r="C26" s="1511" t="s">
        <v>27</v>
      </c>
      <c r="D26" s="1524" t="s">
        <v>153</v>
      </c>
      <c r="E26" s="1525"/>
      <c r="F26" s="1511"/>
      <c r="G26" s="1525" t="s">
        <v>45</v>
      </c>
      <c r="H26" s="1525">
        <v>20</v>
      </c>
      <c r="I26" s="1513">
        <v>485000</v>
      </c>
      <c r="J26" s="1513">
        <f t="shared" si="3"/>
        <v>9700000</v>
      </c>
      <c r="K26" s="1526">
        <v>0.41</v>
      </c>
      <c r="L26" s="1513">
        <f t="shared" si="4"/>
        <v>5723000.0000000009</v>
      </c>
      <c r="M26" s="1527"/>
      <c r="N26" s="1511"/>
      <c r="O26" s="1511"/>
      <c r="P26" s="1511"/>
      <c r="Q26" s="1511"/>
      <c r="R26" s="1528">
        <f>L26</f>
        <v>5723000.0000000009</v>
      </c>
      <c r="S26" s="1529"/>
    </row>
    <row r="27" spans="1:19" s="1099" customFormat="1">
      <c r="A27" s="1523"/>
      <c r="B27" s="1515">
        <v>44138</v>
      </c>
      <c r="C27" s="1511" t="s">
        <v>27</v>
      </c>
      <c r="D27" s="1524" t="s">
        <v>1742</v>
      </c>
      <c r="E27" s="1525" t="s">
        <v>1743</v>
      </c>
      <c r="F27" s="1511"/>
      <c r="G27" s="1525" t="s">
        <v>36</v>
      </c>
      <c r="H27" s="1525">
        <v>3</v>
      </c>
      <c r="I27" s="1513">
        <v>450000</v>
      </c>
      <c r="J27" s="1513">
        <f t="shared" si="3"/>
        <v>1350000</v>
      </c>
      <c r="K27" s="1526">
        <v>1</v>
      </c>
      <c r="L27" s="1513">
        <f t="shared" si="4"/>
        <v>0</v>
      </c>
      <c r="M27" s="1527"/>
      <c r="N27" s="1511"/>
      <c r="O27" s="1511"/>
      <c r="P27" s="1511"/>
      <c r="Q27" s="1511"/>
      <c r="R27" s="1511"/>
      <c r="S27" s="1529"/>
    </row>
    <row r="28" spans="1:19" s="1099" customFormat="1">
      <c r="A28" s="1523"/>
      <c r="B28" s="1515">
        <v>44168</v>
      </c>
      <c r="C28" s="1511" t="s">
        <v>27</v>
      </c>
      <c r="D28" s="1524" t="s">
        <v>572</v>
      </c>
      <c r="E28" s="1525" t="s">
        <v>1744</v>
      </c>
      <c r="F28" s="1511"/>
      <c r="G28" s="1525" t="s">
        <v>60</v>
      </c>
      <c r="H28" s="1525">
        <v>2</v>
      </c>
      <c r="I28" s="1513">
        <v>455000</v>
      </c>
      <c r="J28" s="1513">
        <f t="shared" si="3"/>
        <v>910000</v>
      </c>
      <c r="K28" s="1526">
        <v>0.25</v>
      </c>
      <c r="L28" s="1513">
        <f t="shared" si="4"/>
        <v>682500</v>
      </c>
      <c r="M28" s="1527"/>
      <c r="N28" s="1511"/>
      <c r="O28" s="1511"/>
      <c r="P28" s="1511"/>
      <c r="Q28" s="1511"/>
      <c r="R28" s="1528">
        <f>L28</f>
        <v>682500</v>
      </c>
      <c r="S28" s="1529"/>
    </row>
    <row r="29" spans="1:19" s="1099" customFormat="1">
      <c r="A29" s="1523"/>
      <c r="B29" s="1515" t="s">
        <v>1745</v>
      </c>
      <c r="C29" s="1511"/>
      <c r="D29" s="1524" t="s">
        <v>96</v>
      </c>
      <c r="E29" s="1525"/>
      <c r="F29" s="1511"/>
      <c r="G29" s="1525" t="s">
        <v>42</v>
      </c>
      <c r="H29" s="1525">
        <v>1</v>
      </c>
      <c r="I29" s="1513">
        <v>265000</v>
      </c>
      <c r="J29" s="1513">
        <f t="shared" si="3"/>
        <v>265000</v>
      </c>
      <c r="K29" s="1526">
        <v>0.41</v>
      </c>
      <c r="L29" s="1513">
        <f t="shared" si="4"/>
        <v>156350.00000000003</v>
      </c>
      <c r="M29" s="1527"/>
      <c r="N29" s="1528"/>
      <c r="O29" s="1511"/>
      <c r="P29" s="1511"/>
      <c r="Q29" s="1511"/>
      <c r="R29" s="1528">
        <f>L29+L30</f>
        <v>961700.00000000012</v>
      </c>
      <c r="S29" s="1529"/>
    </row>
    <row r="30" spans="1:19" s="1099" customFormat="1">
      <c r="A30" s="1523"/>
      <c r="B30" s="1515"/>
      <c r="C30" s="1511"/>
      <c r="D30" s="1524" t="s">
        <v>96</v>
      </c>
      <c r="E30" s="1525"/>
      <c r="F30" s="1511"/>
      <c r="G30" s="1525" t="s">
        <v>34</v>
      </c>
      <c r="H30" s="1525">
        <v>3</v>
      </c>
      <c r="I30" s="1513">
        <v>455000</v>
      </c>
      <c r="J30" s="1513">
        <f t="shared" si="3"/>
        <v>1365000</v>
      </c>
      <c r="K30" s="1526">
        <v>0.41</v>
      </c>
      <c r="L30" s="1513">
        <f t="shared" si="4"/>
        <v>805350.00000000012</v>
      </c>
      <c r="M30" s="1527"/>
      <c r="N30" s="1511"/>
      <c r="O30" s="1511"/>
      <c r="P30" s="1511"/>
      <c r="Q30" s="1511"/>
      <c r="R30" s="1511"/>
      <c r="S30" s="1529"/>
    </row>
    <row r="31" spans="1:19" s="1530" customFormat="1">
      <c r="A31" s="1523">
        <v>1073</v>
      </c>
      <c r="B31" s="1525" t="s">
        <v>1745</v>
      </c>
      <c r="C31" s="1511" t="s">
        <v>27</v>
      </c>
      <c r="D31" s="1524" t="s">
        <v>338</v>
      </c>
      <c r="E31" s="1511" t="s">
        <v>435</v>
      </c>
      <c r="F31" s="1511"/>
      <c r="G31" s="1525" t="s">
        <v>45</v>
      </c>
      <c r="H31" s="1525">
        <v>24</v>
      </c>
      <c r="I31" s="1513">
        <v>485000</v>
      </c>
      <c r="J31" s="1513">
        <f>H31*I31</f>
        <v>11640000</v>
      </c>
      <c r="K31" s="1526">
        <v>0.41</v>
      </c>
      <c r="L31" s="1513">
        <f>J31*(1-K31)</f>
        <v>6867600.0000000009</v>
      </c>
      <c r="M31" s="1527"/>
      <c r="N31" s="1511"/>
      <c r="O31" s="1511"/>
      <c r="P31" s="1511"/>
      <c r="Q31" s="1511"/>
      <c r="R31" s="1528">
        <f>L31</f>
        <v>6867600.0000000009</v>
      </c>
      <c r="S31" s="1529"/>
    </row>
    <row r="32" spans="1:19" s="1530" customFormat="1">
      <c r="A32" s="1523"/>
      <c r="B32" s="1525" t="s">
        <v>1745</v>
      </c>
      <c r="C32" s="1511" t="s">
        <v>27</v>
      </c>
      <c r="D32" s="1524" t="s">
        <v>338</v>
      </c>
      <c r="E32" s="1511" t="s">
        <v>435</v>
      </c>
      <c r="F32" s="1511"/>
      <c r="G32" s="1525" t="s">
        <v>34</v>
      </c>
      <c r="H32" s="1525">
        <v>12</v>
      </c>
      <c r="I32" s="1513">
        <v>455000</v>
      </c>
      <c r="J32" s="1513">
        <f>H32*I32</f>
        <v>5460000</v>
      </c>
      <c r="K32" s="1526">
        <v>0.41</v>
      </c>
      <c r="L32" s="1513">
        <f>J32*(1-K32)</f>
        <v>3221400.0000000005</v>
      </c>
      <c r="M32" s="1527"/>
      <c r="N32" s="1511"/>
      <c r="O32" s="1511"/>
      <c r="P32" s="1511"/>
      <c r="Q32" s="1511"/>
      <c r="R32" s="1528">
        <f>L32</f>
        <v>3221400.0000000005</v>
      </c>
      <c r="S32" s="1529"/>
    </row>
    <row r="33" spans="1:19" s="1099" customFormat="1">
      <c r="A33" s="1523"/>
      <c r="B33" s="1515" t="s">
        <v>1746</v>
      </c>
      <c r="C33" s="1511"/>
      <c r="D33" s="1524" t="s">
        <v>96</v>
      </c>
      <c r="E33" s="1525"/>
      <c r="F33" s="1511"/>
      <c r="G33" s="1525" t="s">
        <v>50</v>
      </c>
      <c r="H33" s="1525">
        <v>1</v>
      </c>
      <c r="I33" s="1513">
        <v>475000</v>
      </c>
      <c r="J33" s="1513">
        <f>H33*I33</f>
        <v>475000</v>
      </c>
      <c r="K33" s="1526">
        <v>0.41</v>
      </c>
      <c r="L33" s="1513">
        <f>J33*(1-K33)</f>
        <v>280250.00000000006</v>
      </c>
      <c r="M33" s="1527"/>
      <c r="N33" s="1528"/>
      <c r="O33" s="1511"/>
      <c r="P33" s="1511"/>
      <c r="Q33" s="1511"/>
      <c r="R33" s="1528">
        <f>L33</f>
        <v>280250.00000000006</v>
      </c>
      <c r="S33" s="1529"/>
    </row>
    <row r="34" spans="1:19" s="1530" customFormat="1">
      <c r="A34" s="1523">
        <v>1069</v>
      </c>
      <c r="B34" s="1515" t="s">
        <v>1746</v>
      </c>
      <c r="C34" s="1511" t="s">
        <v>1747</v>
      </c>
      <c r="D34" s="1524" t="s">
        <v>1664</v>
      </c>
      <c r="E34" s="1511" t="s">
        <v>1748</v>
      </c>
      <c r="F34" s="1511"/>
      <c r="G34" s="1525" t="s">
        <v>60</v>
      </c>
      <c r="H34" s="1525">
        <v>24</v>
      </c>
      <c r="I34" s="1513">
        <v>455000</v>
      </c>
      <c r="J34" s="1513">
        <f t="shared" si="3"/>
        <v>10920000</v>
      </c>
      <c r="K34" s="1526">
        <v>0.35</v>
      </c>
      <c r="L34" s="1513">
        <f t="shared" ref="L34:L54" si="5">J34*(1-K34)</f>
        <v>7098000</v>
      </c>
      <c r="M34" s="1527"/>
      <c r="N34" s="1511"/>
      <c r="O34" s="1511"/>
      <c r="P34" s="1511"/>
      <c r="Q34" s="1511"/>
      <c r="R34" s="1528">
        <f>L34+L35</f>
        <v>10725000</v>
      </c>
      <c r="S34" s="1529"/>
    </row>
    <row r="35" spans="1:19" s="1530" customFormat="1">
      <c r="A35" s="1523"/>
      <c r="B35" s="1515"/>
      <c r="C35" s="1511" t="s">
        <v>1747</v>
      </c>
      <c r="D35" s="1524" t="s">
        <v>1664</v>
      </c>
      <c r="E35" s="1511" t="s">
        <v>1748</v>
      </c>
      <c r="F35" s="1511"/>
      <c r="G35" s="1525" t="s">
        <v>30</v>
      </c>
      <c r="H35" s="1525">
        <v>12</v>
      </c>
      <c r="I35" s="1513">
        <v>465000</v>
      </c>
      <c r="J35" s="1513">
        <f t="shared" si="3"/>
        <v>5580000</v>
      </c>
      <c r="K35" s="1526">
        <v>0.35</v>
      </c>
      <c r="L35" s="1513">
        <f t="shared" si="5"/>
        <v>3627000</v>
      </c>
      <c r="M35" s="1527"/>
      <c r="N35" s="1511"/>
      <c r="O35" s="1511"/>
      <c r="P35" s="1511"/>
      <c r="Q35" s="1511"/>
      <c r="R35" s="1511"/>
      <c r="S35" s="1529"/>
    </row>
    <row r="36" spans="1:19" s="1530" customFormat="1">
      <c r="A36" s="1523">
        <v>1072</v>
      </c>
      <c r="B36" s="1515" t="s">
        <v>1746</v>
      </c>
      <c r="C36" s="1511" t="s">
        <v>1747</v>
      </c>
      <c r="D36" s="1524" t="s">
        <v>1747</v>
      </c>
      <c r="E36" s="1511" t="s">
        <v>145</v>
      </c>
      <c r="F36" s="1511"/>
      <c r="G36" s="1525" t="s">
        <v>30</v>
      </c>
      <c r="H36" s="1525">
        <v>12</v>
      </c>
      <c r="I36" s="1513">
        <v>465000</v>
      </c>
      <c r="J36" s="1513">
        <f t="shared" si="3"/>
        <v>5580000</v>
      </c>
      <c r="K36" s="1526">
        <v>0.41</v>
      </c>
      <c r="L36" s="1513">
        <f t="shared" si="5"/>
        <v>3292200.0000000005</v>
      </c>
      <c r="M36" s="1527"/>
      <c r="N36" s="1511"/>
      <c r="O36" s="1511"/>
      <c r="P36" s="1511"/>
      <c r="Q36" s="1511"/>
      <c r="R36" s="1528">
        <f>SUM(L36:L38)</f>
        <v>9947400.0000000019</v>
      </c>
      <c r="S36" s="1529"/>
    </row>
    <row r="37" spans="1:19" s="1530" customFormat="1">
      <c r="A37" s="1523"/>
      <c r="B37" s="1515"/>
      <c r="C37" s="1511" t="s">
        <v>1747</v>
      </c>
      <c r="D37" s="1524" t="s">
        <v>1747</v>
      </c>
      <c r="E37" s="1511" t="s">
        <v>145</v>
      </c>
      <c r="F37" s="1511"/>
      <c r="G37" s="1525" t="s">
        <v>45</v>
      </c>
      <c r="H37" s="1525">
        <v>12</v>
      </c>
      <c r="I37" s="1513">
        <v>485000</v>
      </c>
      <c r="J37" s="1513">
        <f t="shared" si="3"/>
        <v>5820000</v>
      </c>
      <c r="K37" s="1526">
        <v>0.41</v>
      </c>
      <c r="L37" s="1513">
        <f t="shared" si="5"/>
        <v>3433800.0000000005</v>
      </c>
      <c r="M37" s="1527"/>
      <c r="N37" s="1511"/>
      <c r="O37" s="1511"/>
      <c r="P37" s="1511"/>
      <c r="Q37" s="1511"/>
      <c r="R37" s="1511"/>
      <c r="S37" s="1529"/>
    </row>
    <row r="38" spans="1:19" s="1530" customFormat="1">
      <c r="A38" s="1523"/>
      <c r="B38" s="1515"/>
      <c r="C38" s="1511" t="s">
        <v>1747</v>
      </c>
      <c r="D38" s="1524" t="s">
        <v>1747</v>
      </c>
      <c r="E38" s="1511" t="s">
        <v>145</v>
      </c>
      <c r="F38" s="1511"/>
      <c r="G38" s="1525" t="s">
        <v>34</v>
      </c>
      <c r="H38" s="1525">
        <v>12</v>
      </c>
      <c r="I38" s="1513">
        <v>455000</v>
      </c>
      <c r="J38" s="1513">
        <f t="shared" si="3"/>
        <v>5460000</v>
      </c>
      <c r="K38" s="1526">
        <v>0.41</v>
      </c>
      <c r="L38" s="1513">
        <f t="shared" si="5"/>
        <v>3221400.0000000005</v>
      </c>
      <c r="M38" s="1527"/>
      <c r="N38" s="1511"/>
      <c r="O38" s="1511"/>
      <c r="P38" s="1511"/>
      <c r="Q38" s="1511"/>
      <c r="R38" s="1511"/>
      <c r="S38" s="1529"/>
    </row>
    <row r="39" spans="1:19" s="1530" customFormat="1">
      <c r="A39" s="1523">
        <v>1070</v>
      </c>
      <c r="B39" s="1515" t="s">
        <v>1746</v>
      </c>
      <c r="C39" s="1511" t="s">
        <v>1747</v>
      </c>
      <c r="D39" s="1524" t="s">
        <v>1677</v>
      </c>
      <c r="E39" s="1511" t="s">
        <v>1661</v>
      </c>
      <c r="F39" s="1511"/>
      <c r="G39" s="1525" t="s">
        <v>60</v>
      </c>
      <c r="H39" s="1525">
        <v>24</v>
      </c>
      <c r="I39" s="1513">
        <v>455000</v>
      </c>
      <c r="J39" s="1513">
        <f t="shared" si="3"/>
        <v>10920000</v>
      </c>
      <c r="K39" s="1526">
        <v>0.35</v>
      </c>
      <c r="L39" s="1513">
        <f t="shared" si="5"/>
        <v>7098000</v>
      </c>
      <c r="M39" s="1527"/>
      <c r="N39" s="1511"/>
      <c r="O39" s="1511"/>
      <c r="P39" s="1511"/>
      <c r="Q39" s="1511"/>
      <c r="R39" s="1528">
        <f>L39+L40</f>
        <v>10725000</v>
      </c>
      <c r="S39" s="1529"/>
    </row>
    <row r="40" spans="1:19" s="1530" customFormat="1">
      <c r="A40" s="1523"/>
      <c r="B40" s="1525"/>
      <c r="C40" s="1511" t="s">
        <v>1747</v>
      </c>
      <c r="D40" s="1524" t="s">
        <v>1677</v>
      </c>
      <c r="E40" s="1511" t="s">
        <v>1661</v>
      </c>
      <c r="F40" s="1511"/>
      <c r="G40" s="1525" t="s">
        <v>30</v>
      </c>
      <c r="H40" s="1525">
        <v>12</v>
      </c>
      <c r="I40" s="1513">
        <v>465000</v>
      </c>
      <c r="J40" s="1513">
        <f t="shared" si="3"/>
        <v>5580000</v>
      </c>
      <c r="K40" s="1526">
        <v>0.35</v>
      </c>
      <c r="L40" s="1513">
        <f t="shared" si="5"/>
        <v>3627000</v>
      </c>
      <c r="M40" s="1527"/>
      <c r="N40" s="1511"/>
      <c r="O40" s="1511"/>
      <c r="P40" s="1511"/>
      <c r="Q40" s="1511"/>
      <c r="R40" s="1511"/>
      <c r="S40" s="1529"/>
    </row>
    <row r="41" spans="1:19" s="1530" customFormat="1">
      <c r="A41" s="1523"/>
      <c r="B41" s="1525" t="s">
        <v>1749</v>
      </c>
      <c r="C41" s="1511"/>
      <c r="D41" s="1524" t="s">
        <v>96</v>
      </c>
      <c r="E41" s="1511"/>
      <c r="F41" s="1511"/>
      <c r="G41" s="1525" t="s">
        <v>60</v>
      </c>
      <c r="H41" s="1525">
        <v>12</v>
      </c>
      <c r="I41" s="1513">
        <v>455000</v>
      </c>
      <c r="J41" s="1513">
        <f t="shared" si="3"/>
        <v>5460000</v>
      </c>
      <c r="K41" s="1526">
        <v>0.41</v>
      </c>
      <c r="L41" s="1513">
        <f t="shared" si="5"/>
        <v>3221400.0000000005</v>
      </c>
      <c r="M41" s="1527"/>
      <c r="N41" s="1528"/>
      <c r="O41" s="1511"/>
      <c r="P41" s="1511"/>
      <c r="Q41" s="1511"/>
      <c r="R41" s="1528">
        <f>L41</f>
        <v>3221400.0000000005</v>
      </c>
      <c r="S41" s="1529"/>
    </row>
    <row r="42" spans="1:19" s="1530" customFormat="1">
      <c r="A42" s="1523">
        <v>1077</v>
      </c>
      <c r="B42" s="1525" t="s">
        <v>1750</v>
      </c>
      <c r="C42" s="1511" t="s">
        <v>1719</v>
      </c>
      <c r="D42" s="1531" t="s">
        <v>1671</v>
      </c>
      <c r="E42" s="1511" t="s">
        <v>1751</v>
      </c>
      <c r="F42" s="1511"/>
      <c r="G42" s="1525" t="s">
        <v>60</v>
      </c>
      <c r="H42" s="1525">
        <v>24</v>
      </c>
      <c r="I42" s="1513">
        <v>455000</v>
      </c>
      <c r="J42" s="1513">
        <f t="shared" si="3"/>
        <v>10920000</v>
      </c>
      <c r="K42" s="1526">
        <v>0.38</v>
      </c>
      <c r="L42" s="1513">
        <f t="shared" si="5"/>
        <v>6770400</v>
      </c>
      <c r="M42" s="1527"/>
      <c r="N42" s="1511"/>
      <c r="O42" s="1511"/>
      <c r="P42" s="1511"/>
      <c r="Q42" s="1511"/>
      <c r="R42" s="1528">
        <f>L42</f>
        <v>6770400</v>
      </c>
      <c r="S42" s="1529"/>
    </row>
    <row r="43" spans="1:19" s="1530" customFormat="1">
      <c r="A43" s="1523">
        <v>1076</v>
      </c>
      <c r="B43" s="1525" t="s">
        <v>1750</v>
      </c>
      <c r="C43" s="1511" t="s">
        <v>27</v>
      </c>
      <c r="D43" s="1524" t="s">
        <v>1752</v>
      </c>
      <c r="E43" s="1511" t="s">
        <v>145</v>
      </c>
      <c r="F43" s="1511"/>
      <c r="G43" s="1525" t="s">
        <v>34</v>
      </c>
      <c r="H43" s="1525">
        <v>2</v>
      </c>
      <c r="I43" s="1513">
        <v>455000</v>
      </c>
      <c r="J43" s="1513">
        <f t="shared" si="3"/>
        <v>910000</v>
      </c>
      <c r="K43" s="1526">
        <v>1</v>
      </c>
      <c r="L43" s="1513">
        <f t="shared" si="5"/>
        <v>0</v>
      </c>
      <c r="M43" s="1527"/>
      <c r="N43" s="1511"/>
      <c r="O43" s="1511"/>
      <c r="P43" s="1511"/>
      <c r="Q43" s="1511"/>
      <c r="R43" s="1511"/>
      <c r="S43" s="1529"/>
    </row>
    <row r="44" spans="1:19" s="1530" customFormat="1">
      <c r="A44" s="1523"/>
      <c r="B44" s="1525" t="s">
        <v>1750</v>
      </c>
      <c r="C44" s="1511"/>
      <c r="D44" s="1524" t="s">
        <v>96</v>
      </c>
      <c r="E44" s="1511" t="s">
        <v>1656</v>
      </c>
      <c r="F44" s="1511"/>
      <c r="G44" s="1525" t="s">
        <v>30</v>
      </c>
      <c r="H44" s="1525">
        <v>1</v>
      </c>
      <c r="I44" s="1513">
        <v>465000</v>
      </c>
      <c r="J44" s="1513">
        <f t="shared" si="3"/>
        <v>465000</v>
      </c>
      <c r="K44" s="1526">
        <v>0.41</v>
      </c>
      <c r="L44" s="1513">
        <f t="shared" si="5"/>
        <v>274350.00000000006</v>
      </c>
      <c r="M44" s="1527"/>
      <c r="N44" s="1528"/>
      <c r="O44" s="1511"/>
      <c r="P44" s="1511"/>
      <c r="Q44" s="1511"/>
      <c r="R44" s="1528">
        <f>SUM(L44:L47)</f>
        <v>1129850.0000000002</v>
      </c>
      <c r="S44" s="1529"/>
    </row>
    <row r="45" spans="1:19" s="1530" customFormat="1">
      <c r="A45" s="1523"/>
      <c r="B45" s="1525"/>
      <c r="C45" s="1511"/>
      <c r="D45" s="1524" t="s">
        <v>96</v>
      </c>
      <c r="E45" s="1511" t="s">
        <v>1656</v>
      </c>
      <c r="F45" s="1511"/>
      <c r="G45" s="1525" t="s">
        <v>34</v>
      </c>
      <c r="H45" s="1525">
        <v>2</v>
      </c>
      <c r="I45" s="1513">
        <v>455000</v>
      </c>
      <c r="J45" s="1513">
        <f t="shared" si="3"/>
        <v>910000</v>
      </c>
      <c r="K45" s="1526">
        <v>0.41</v>
      </c>
      <c r="L45" s="1513">
        <f t="shared" si="5"/>
        <v>536900.00000000012</v>
      </c>
      <c r="M45" s="1527"/>
      <c r="N45" s="1511"/>
      <c r="O45" s="1511"/>
      <c r="P45" s="1511"/>
      <c r="Q45" s="1511"/>
      <c r="R45" s="1511"/>
      <c r="S45" s="1529"/>
    </row>
    <row r="46" spans="1:19" s="1530" customFormat="1">
      <c r="A46" s="1523"/>
      <c r="B46" s="1525"/>
      <c r="C46" s="1511"/>
      <c r="D46" s="1524" t="s">
        <v>96</v>
      </c>
      <c r="E46" s="1511" t="s">
        <v>1656</v>
      </c>
      <c r="F46" s="1511"/>
      <c r="G46" s="1525" t="s">
        <v>33</v>
      </c>
      <c r="H46" s="1525">
        <v>1</v>
      </c>
      <c r="I46" s="1513">
        <v>285000</v>
      </c>
      <c r="J46" s="1513">
        <f t="shared" si="3"/>
        <v>285000</v>
      </c>
      <c r="K46" s="1526">
        <v>0.41</v>
      </c>
      <c r="L46" s="1513">
        <f t="shared" si="5"/>
        <v>168150.00000000003</v>
      </c>
      <c r="M46" s="1527"/>
      <c r="N46" s="1511"/>
      <c r="O46" s="1511"/>
      <c r="P46" s="1511"/>
      <c r="Q46" s="1511"/>
      <c r="R46" s="1511"/>
      <c r="S46" s="1529"/>
    </row>
    <row r="47" spans="1:19" s="1530" customFormat="1">
      <c r="A47" s="1523"/>
      <c r="B47" s="1525"/>
      <c r="C47" s="1511"/>
      <c r="D47" s="1524" t="s">
        <v>96</v>
      </c>
      <c r="E47" s="1511" t="s">
        <v>1656</v>
      </c>
      <c r="F47" s="1511"/>
      <c r="G47" s="1525" t="s">
        <v>253</v>
      </c>
      <c r="H47" s="1525">
        <v>1</v>
      </c>
      <c r="I47" s="1513">
        <v>255000</v>
      </c>
      <c r="J47" s="1513">
        <f t="shared" si="3"/>
        <v>255000</v>
      </c>
      <c r="K47" s="1526">
        <v>0.41</v>
      </c>
      <c r="L47" s="1513">
        <f t="shared" si="5"/>
        <v>150450.00000000003</v>
      </c>
      <c r="M47" s="1527"/>
      <c r="N47" s="1511"/>
      <c r="O47" s="1511"/>
      <c r="P47" s="1511"/>
      <c r="Q47" s="1511"/>
      <c r="R47" s="1511"/>
      <c r="S47" s="1529"/>
    </row>
    <row r="48" spans="1:19" s="1530" customFormat="1">
      <c r="A48" s="1523"/>
      <c r="B48" s="1525" t="s">
        <v>1753</v>
      </c>
      <c r="C48" s="1511"/>
      <c r="D48" s="1524" t="s">
        <v>96</v>
      </c>
      <c r="E48" s="1511" t="s">
        <v>1656</v>
      </c>
      <c r="F48" s="1511"/>
      <c r="G48" s="1525" t="s">
        <v>34</v>
      </c>
      <c r="H48" s="1525">
        <v>1</v>
      </c>
      <c r="I48" s="1513">
        <v>455000</v>
      </c>
      <c r="J48" s="1513">
        <f t="shared" si="3"/>
        <v>455000</v>
      </c>
      <c r="K48" s="1526">
        <v>0.41</v>
      </c>
      <c r="L48" s="1513">
        <f>J48*(1-K48)</f>
        <v>268450.00000000006</v>
      </c>
      <c r="M48" s="1527"/>
      <c r="N48" s="1528"/>
      <c r="O48" s="1511"/>
      <c r="P48" s="1511"/>
      <c r="Q48" s="1511"/>
      <c r="R48" s="1528">
        <f>L48</f>
        <v>268450.00000000006</v>
      </c>
      <c r="S48" s="1529"/>
    </row>
    <row r="49" spans="1:19" s="1530" customFormat="1">
      <c r="A49" s="1523"/>
      <c r="B49" s="1525" t="s">
        <v>1753</v>
      </c>
      <c r="C49" s="1511" t="s">
        <v>27</v>
      </c>
      <c r="D49" s="1524" t="s">
        <v>437</v>
      </c>
      <c r="E49" s="1511"/>
      <c r="F49" s="1511"/>
      <c r="G49" s="1525" t="s">
        <v>60</v>
      </c>
      <c r="H49" s="1525">
        <v>1</v>
      </c>
      <c r="I49" s="1513">
        <v>455000</v>
      </c>
      <c r="J49" s="1513">
        <f t="shared" si="3"/>
        <v>455000</v>
      </c>
      <c r="K49" s="1526">
        <v>0.3</v>
      </c>
      <c r="L49" s="1513">
        <f t="shared" si="5"/>
        <v>318500</v>
      </c>
      <c r="M49" s="1527"/>
      <c r="N49" s="1528"/>
      <c r="O49" s="1511"/>
      <c r="P49" s="1511"/>
      <c r="Q49" s="1511"/>
      <c r="R49" s="1528">
        <f>L49</f>
        <v>318500</v>
      </c>
      <c r="S49" s="1529"/>
    </row>
    <row r="50" spans="1:19" s="1530" customFormat="1">
      <c r="A50" s="1523"/>
      <c r="B50" s="1525" t="s">
        <v>1753</v>
      </c>
      <c r="C50" s="1511" t="s">
        <v>27</v>
      </c>
      <c r="D50" s="1524" t="s">
        <v>1754</v>
      </c>
      <c r="E50" s="1511" t="s">
        <v>221</v>
      </c>
      <c r="F50" s="1511"/>
      <c r="G50" s="1525" t="s">
        <v>253</v>
      </c>
      <c r="H50" s="1525">
        <v>18</v>
      </c>
      <c r="I50" s="1513">
        <v>255000</v>
      </c>
      <c r="J50" s="1513">
        <f t="shared" si="3"/>
        <v>4590000</v>
      </c>
      <c r="K50" s="1526">
        <v>0.35</v>
      </c>
      <c r="L50" s="1513">
        <f t="shared" si="5"/>
        <v>2983500</v>
      </c>
      <c r="M50" s="1527"/>
      <c r="N50" s="1511"/>
      <c r="O50" s="1511"/>
      <c r="P50" s="1511"/>
      <c r="Q50" s="1511"/>
      <c r="R50" s="1528">
        <f>L50+L51</f>
        <v>3870750</v>
      </c>
      <c r="S50" s="1529"/>
    </row>
    <row r="51" spans="1:19" s="1530" customFormat="1">
      <c r="A51" s="1523"/>
      <c r="B51" s="1525"/>
      <c r="C51" s="1511" t="s">
        <v>27</v>
      </c>
      <c r="D51" s="1524" t="s">
        <v>1754</v>
      </c>
      <c r="E51" s="1511" t="s">
        <v>221</v>
      </c>
      <c r="F51" s="1511"/>
      <c r="G51" s="1525" t="s">
        <v>60</v>
      </c>
      <c r="H51" s="1525">
        <v>3</v>
      </c>
      <c r="I51" s="1513">
        <v>455000</v>
      </c>
      <c r="J51" s="1513">
        <f t="shared" si="3"/>
        <v>1365000</v>
      </c>
      <c r="K51" s="1526">
        <v>0.35</v>
      </c>
      <c r="L51" s="1513">
        <f t="shared" si="5"/>
        <v>887250</v>
      </c>
      <c r="M51" s="1527"/>
      <c r="N51" s="1511"/>
      <c r="O51" s="1511"/>
      <c r="P51" s="1511"/>
      <c r="Q51" s="1511"/>
      <c r="R51" s="1511"/>
      <c r="S51" s="1529"/>
    </row>
    <row r="52" spans="1:19" s="1530" customFormat="1">
      <c r="A52" s="1523"/>
      <c r="B52" s="1525" t="s">
        <v>1755</v>
      </c>
      <c r="C52" s="1511"/>
      <c r="D52" s="1524" t="s">
        <v>96</v>
      </c>
      <c r="E52" s="1511" t="s">
        <v>1656</v>
      </c>
      <c r="F52" s="1511"/>
      <c r="G52" s="1525" t="s">
        <v>60</v>
      </c>
      <c r="H52" s="1525">
        <v>1</v>
      </c>
      <c r="I52" s="1513">
        <v>455000</v>
      </c>
      <c r="J52" s="1513">
        <f t="shared" si="3"/>
        <v>455000</v>
      </c>
      <c r="K52" s="1526">
        <v>0.41</v>
      </c>
      <c r="L52" s="1513">
        <f t="shared" si="5"/>
        <v>268450.00000000006</v>
      </c>
      <c r="M52" s="1527"/>
      <c r="N52" s="1528"/>
      <c r="O52" s="1511"/>
      <c r="P52" s="1511"/>
      <c r="Q52" s="1511"/>
      <c r="R52" s="1528">
        <f>L52+L53+L54</f>
        <v>828950.00000000023</v>
      </c>
      <c r="S52" s="1529"/>
    </row>
    <row r="53" spans="1:19" s="1530" customFormat="1">
      <c r="A53" s="1523"/>
      <c r="B53" s="1525"/>
      <c r="C53" s="1511"/>
      <c r="D53" s="1524"/>
      <c r="E53" s="1511"/>
      <c r="F53" s="1511"/>
      <c r="G53" s="1525" t="s">
        <v>30</v>
      </c>
      <c r="H53" s="1525">
        <v>1</v>
      </c>
      <c r="I53" s="1513">
        <v>465000</v>
      </c>
      <c r="J53" s="1513">
        <f t="shared" si="3"/>
        <v>465000</v>
      </c>
      <c r="K53" s="1526">
        <v>0.41</v>
      </c>
      <c r="L53" s="1513">
        <f t="shared" si="5"/>
        <v>274350.00000000006</v>
      </c>
      <c r="M53" s="1527"/>
      <c r="N53" s="1511"/>
      <c r="O53" s="1511"/>
      <c r="P53" s="1511"/>
      <c r="Q53" s="1511"/>
      <c r="R53" s="1511"/>
      <c r="S53" s="1529"/>
    </row>
    <row r="54" spans="1:19" s="1530" customFormat="1">
      <c r="A54" s="1523"/>
      <c r="B54" s="1525"/>
      <c r="C54" s="1511"/>
      <c r="D54" s="1524"/>
      <c r="E54" s="1511"/>
      <c r="F54" s="1511"/>
      <c r="G54" s="1525" t="s">
        <v>73</v>
      </c>
      <c r="H54" s="1525">
        <v>1</v>
      </c>
      <c r="I54" s="1513">
        <v>485000</v>
      </c>
      <c r="J54" s="1513">
        <f t="shared" si="3"/>
        <v>485000</v>
      </c>
      <c r="K54" s="1526">
        <v>0.41</v>
      </c>
      <c r="L54" s="1513">
        <f t="shared" si="5"/>
        <v>286150.00000000006</v>
      </c>
      <c r="M54" s="1527"/>
      <c r="N54" s="1511"/>
      <c r="O54" s="1511"/>
      <c r="P54" s="1511"/>
      <c r="Q54" s="1511"/>
      <c r="R54" s="1511"/>
      <c r="S54" s="1529"/>
    </row>
    <row r="55" spans="1:19" s="1530" customFormat="1">
      <c r="A55" s="1747" t="s">
        <v>1756</v>
      </c>
      <c r="B55" s="1748"/>
      <c r="C55" s="1748"/>
      <c r="D55" s="1748"/>
      <c r="E55" s="1748"/>
      <c r="F55" s="1748"/>
      <c r="G55" s="1748"/>
      <c r="H55" s="1532">
        <f>SUM(H7:H54)</f>
        <v>377</v>
      </c>
      <c r="I55" s="1513"/>
      <c r="J55" s="1533">
        <f>SUM(J7:J54)</f>
        <v>171460000</v>
      </c>
      <c r="K55" s="1525"/>
      <c r="L55" s="1533">
        <f>SUM(L7:L54)</f>
        <v>101905150</v>
      </c>
      <c r="M55" s="1527"/>
      <c r="N55" s="1513">
        <f>SUM(N7:N54)</f>
        <v>0</v>
      </c>
      <c r="O55" s="1513"/>
      <c r="P55" s="1513">
        <f>SUM(P7:P54)</f>
        <v>0</v>
      </c>
      <c r="Q55" s="1513"/>
      <c r="R55" s="1931">
        <f>SUM(R7:R54)</f>
        <v>101905150</v>
      </c>
      <c r="S55" s="1529"/>
    </row>
    <row r="56" spans="1:19" s="1530" customFormat="1">
      <c r="A56" s="1717" t="s">
        <v>1804</v>
      </c>
      <c r="B56" s="1718"/>
      <c r="C56" s="1718"/>
      <c r="D56" s="1718"/>
      <c r="E56" s="1718"/>
      <c r="F56" s="1718"/>
      <c r="G56" s="1718"/>
      <c r="H56" s="1532">
        <f>H55</f>
        <v>377</v>
      </c>
      <c r="I56" s="1511"/>
      <c r="J56" s="1528"/>
      <c r="K56" s="1511"/>
      <c r="L56" s="1533">
        <f>L55</f>
        <v>101905150</v>
      </c>
      <c r="M56" s="1527"/>
      <c r="N56" s="1511"/>
      <c r="O56" s="1511"/>
      <c r="P56" s="1511"/>
      <c r="Q56" s="1511"/>
      <c r="R56" s="1511"/>
      <c r="S56" s="1529"/>
    </row>
    <row r="57" spans="1:19" s="1530" customFormat="1">
      <c r="A57" s="1717" t="s">
        <v>509</v>
      </c>
      <c r="B57" s="1718"/>
      <c r="C57" s="1718"/>
      <c r="D57" s="1718"/>
      <c r="E57" s="1718"/>
      <c r="F57" s="1718"/>
      <c r="G57" s="1718"/>
      <c r="H57" s="1511"/>
      <c r="I57" s="1511"/>
      <c r="J57" s="1513"/>
      <c r="K57" s="1511"/>
      <c r="L57" s="1528">
        <f>N55</f>
        <v>0</v>
      </c>
      <c r="M57" s="1527"/>
      <c r="N57" s="1511"/>
      <c r="O57" s="1511"/>
      <c r="P57" s="1511"/>
      <c r="Q57" s="1511"/>
      <c r="R57" s="1511"/>
      <c r="S57" s="1529"/>
    </row>
    <row r="58" spans="1:19" s="1530" customFormat="1">
      <c r="A58" s="1717" t="s">
        <v>510</v>
      </c>
      <c r="B58" s="1718"/>
      <c r="C58" s="1718"/>
      <c r="D58" s="1718"/>
      <c r="E58" s="1718"/>
      <c r="F58" s="1718"/>
      <c r="G58" s="1718"/>
      <c r="H58" s="1511"/>
      <c r="I58" s="1511"/>
      <c r="J58" s="1513"/>
      <c r="K58" s="1511"/>
      <c r="L58" s="1528">
        <f>-P55</f>
        <v>0</v>
      </c>
      <c r="M58" s="1527"/>
      <c r="N58" s="1511"/>
      <c r="O58" s="1511"/>
      <c r="P58" s="1511"/>
      <c r="Q58" s="1511"/>
      <c r="R58" s="1511"/>
      <c r="S58" s="1529"/>
    </row>
    <row r="59" spans="1:19" s="1530" customFormat="1">
      <c r="A59" s="1717" t="s">
        <v>1681</v>
      </c>
      <c r="B59" s="1718"/>
      <c r="C59" s="1718"/>
      <c r="D59" s="1718"/>
      <c r="E59" s="1718"/>
      <c r="F59" s="1718"/>
      <c r="G59" s="1718"/>
      <c r="H59" s="1511"/>
      <c r="I59" s="1511"/>
      <c r="J59" s="1513"/>
      <c r="K59" s="1511"/>
      <c r="L59" s="1533">
        <f>R55</f>
        <v>101905150</v>
      </c>
      <c r="M59" s="1527"/>
      <c r="N59" s="1527"/>
      <c r="O59" s="1527"/>
      <c r="P59" s="1527"/>
      <c r="Q59" s="1527"/>
      <c r="R59" s="1527"/>
      <c r="S59" s="1529"/>
    </row>
    <row r="61" spans="1:19">
      <c r="A61" s="1371"/>
      <c r="B61" s="1725" t="s">
        <v>114</v>
      </c>
      <c r="C61" s="1725"/>
      <c r="D61" s="1725"/>
      <c r="E61" s="1398"/>
      <c r="F61" s="1373"/>
      <c r="G61" s="1371"/>
      <c r="H61" s="1373"/>
      <c r="I61" s="1373"/>
      <c r="J61" s="1398" t="s">
        <v>115</v>
      </c>
      <c r="K61" s="1373"/>
      <c r="L61" s="1373"/>
      <c r="M61" s="1373"/>
      <c r="N61" s="1373"/>
      <c r="O61" s="1373"/>
      <c r="P61" s="1371"/>
      <c r="Q61" s="1373" t="s">
        <v>214</v>
      </c>
      <c r="R61" s="1371"/>
      <c r="S61" s="1371"/>
    </row>
  </sheetData>
  <mergeCells count="16">
    <mergeCell ref="B61:D61"/>
    <mergeCell ref="A3:S3"/>
    <mergeCell ref="A4:S4"/>
    <mergeCell ref="A5:A6"/>
    <mergeCell ref="B5:B6"/>
    <mergeCell ref="C5:C6"/>
    <mergeCell ref="D5:F5"/>
    <mergeCell ref="G5:K5"/>
    <mergeCell ref="L5:L6"/>
    <mergeCell ref="M5:R5"/>
    <mergeCell ref="S5:S6"/>
    <mergeCell ref="A55:G55"/>
    <mergeCell ref="A56:G56"/>
    <mergeCell ref="A57:G57"/>
    <mergeCell ref="A58:G58"/>
    <mergeCell ref="A59:G59"/>
  </mergeCells>
  <pageMargins left="0.7" right="0.7" top="0.75" bottom="0.75" header="0.3" footer="0.3"/>
  <pageSetup paperSize="9" scale="8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DTBHT7</vt:lpstr>
      <vt:lpstr>DTBHT8</vt:lpstr>
      <vt:lpstr>DTBHT9</vt:lpstr>
      <vt:lpstr>DTBHT10</vt:lpstr>
      <vt:lpstr>DTBHT11</vt:lpstr>
      <vt:lpstr>DTBHT12</vt:lpstr>
      <vt:lpstr>DTBHT1</vt:lpstr>
      <vt:lpstr>DTBHT2</vt:lpstr>
      <vt:lpstr>DTBHT3</vt:lpstr>
      <vt:lpstr>THDTBH</vt:lpstr>
      <vt:lpstr>Tổng hợp công nợ còn phải thu</vt:lpstr>
      <vt:lpstr>TH Thu - Chi T5 đến 31.01.2020</vt:lpstr>
      <vt:lpstr>TH Thu - Chi T1 và T3.2020</vt:lpstr>
      <vt:lpstr>BC Kết quả kinh doanh</vt:lpstr>
      <vt:lpstr>TH tình hình góp vốn cổ đông</vt:lpstr>
      <vt:lpstr>Góp vốn cổ phần giai đoạn 1</vt:lpstr>
      <vt:lpstr>Góp vốn cổ phần gđ2</vt:lpstr>
      <vt:lpstr> Số lượng nhập hàng và tiền nập</vt:lpstr>
      <vt:lpstr>TH Nhập-Xuất-Tồn</vt:lpstr>
      <vt:lpstr>Khách hàng trả lại hàng</vt:lpstr>
      <vt:lpstr>Sheet16</vt:lpstr>
      <vt:lpstr>Sheet17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2020-03-20T20:45:11Z</cp:lastPrinted>
  <dcterms:created xsi:type="dcterms:W3CDTF">2020-02-20T13:13:38Z</dcterms:created>
  <dcterms:modified xsi:type="dcterms:W3CDTF">2020-03-20T20:48:16Z</dcterms:modified>
</cp:coreProperties>
</file>