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80" yWindow="0" windowWidth="15552" windowHeight="11520" activeTab="4"/>
  </bookViews>
  <sheets>
    <sheet name="DSCBNV" sheetId="67" r:id="rId1"/>
    <sheet name="Số TK" sheetId="91" r:id="rId2"/>
    <sheet name="NCC" sheetId="60" r:id="rId3"/>
    <sheet name="Mã SP" sheetId="25" r:id="rId4"/>
    <sheet name="Vốn L1-20.11" sheetId="17" r:id="rId5"/>
    <sheet name="DS ĐLý" sheetId="134" r:id="rId6"/>
    <sheet name="DTT7" sheetId="23" r:id="rId7"/>
    <sheet name="DTT8" sheetId="37" r:id="rId8"/>
    <sheet name="DTT9" sheetId="86" r:id="rId9"/>
    <sheet name="DTT10" sheetId="102" r:id="rId10"/>
    <sheet name="DTT11" sheetId="121" r:id="rId11"/>
    <sheet name="DTT12" sheetId="146" r:id="rId12"/>
    <sheet name="Tổng hợp DTBH" sheetId="47" r:id="rId13"/>
    <sheet name="Công nợ 31.1.2020" sheetId="144" r:id="rId14"/>
    <sheet name="Giá vốn" sheetId="106" r:id="rId15"/>
    <sheet name="Thu khác" sheetId="107" r:id="rId16"/>
    <sheet name="CP nhập hàng" sheetId="130" r:id="rId17"/>
    <sheet name="CP lương" sheetId="125" r:id="rId18"/>
    <sheet name="Chi phí khác " sheetId="61" r:id="rId19"/>
    <sheet name="Các khoản Thu chi T12" sheetId="149" r:id="rId20"/>
    <sheet name="TH Kết quả Kinh doanh 31.01.20" sheetId="151" r:id="rId21"/>
    <sheet name="Thu chi thực te từ T5-&gt; 31.0120" sheetId="143" r:id="rId22"/>
    <sheet name="Tổng thu chi T5-&gt; 29.11" sheetId="137" r:id="rId23"/>
    <sheet name="Tổng thu chi 20.8-&gt;29.11" sheetId="129" r:id="rId24"/>
    <sheet name="Hợp thức hóa CP" sheetId="131" r:id="rId25"/>
    <sheet name="TH nhập hàng" sheetId="46" r:id="rId26"/>
    <sheet name="Nhập" sheetId="104" r:id="rId27"/>
    <sheet name="Xuất" sheetId="105" r:id="rId28"/>
    <sheet name="Tồn" sheetId="110" r:id="rId29"/>
    <sheet name="Hàng trả lại" sheetId="56" r:id="rId30"/>
    <sheet name="Tiền hàng Lan T9,10" sheetId="120" r:id="rId31"/>
    <sheet name="Tiền hàng Tâm T9,10" sheetId="119" r:id="rId32"/>
    <sheet name="Tiền hàng Sơn T9,10" sheetId="118" r:id="rId33"/>
    <sheet name="Tiền hàng A Sơn, Tâm, Long T11" sheetId="140" r:id="rId34"/>
    <sheet name="Tiền hàng Sơn, Tâm T12" sheetId="150" r:id="rId35"/>
    <sheet name="CP n.viên ứng T10" sheetId="116" r:id="rId36"/>
    <sheet name="CP n.viên ứng T9" sheetId="99" r:id="rId37"/>
    <sheet name="Tiền hàng Long chưa TT" sheetId="122" r:id="rId38"/>
    <sheet name="Long đóng CP" sheetId="108" r:id="rId39"/>
    <sheet name="Long chi tạm ứng từ 20.8" sheetId="78" r:id="rId40"/>
    <sheet name="Tiền thực phẩm Tâm T11" sheetId="133" r:id="rId41"/>
    <sheet name="A Lâm Chi tạm ứng từ 20.8 " sheetId="62" r:id="rId42"/>
    <sheet name="Quà 2-9" sheetId="64" r:id="rId43"/>
    <sheet name="Công T8" sheetId="65" r:id="rId44"/>
    <sheet name="Lương T12" sheetId="147" r:id="rId45"/>
    <sheet name="Tất toán lương T9+T10" sheetId="113" r:id="rId46"/>
    <sheet name="Lương T11" sheetId="141" r:id="rId47"/>
    <sheet name="Lương T10" sheetId="126" r:id="rId48"/>
    <sheet name="Lương T9" sheetId="98" r:id="rId49"/>
    <sheet name="Lương t.lĩnh T8" sheetId="68" r:id="rId50"/>
    <sheet name="Lương VVNH T8" sheetId="66" r:id="rId51"/>
    <sheet name="Hùng ứng chi cty T8, T9" sheetId="85" r:id="rId52"/>
    <sheet name="Hùng đóng CP" sheetId="84" r:id="rId53"/>
    <sheet name="T.toán công nợ Nam" sheetId="124" r:id="rId54"/>
    <sheet name="T.toán công nợ Hà" sheetId="142" r:id="rId55"/>
    <sheet name="T.toán Công nợ a Son T8" sheetId="76" r:id="rId56"/>
    <sheet name="Chi phí trang bị cho ĐL" sheetId="77" r:id="rId57"/>
    <sheet name="Cấp phát VPP" sheetId="87" r:id="rId58"/>
    <sheet name="Tạm ứng lương" sheetId="95" r:id="rId59"/>
  </sheets>
  <externalReferences>
    <externalReference r:id="rId60"/>
    <externalReference r:id="rId61"/>
  </externalReferences>
  <definedNames>
    <definedName name="_xlnm._FilterDatabase" localSheetId="19" hidden="1">'Các khoản Thu chi T12'!$A$4:$J$116</definedName>
    <definedName name="_xlnm._FilterDatabase" localSheetId="18" hidden="1">'Chi phí khác '!$A$7:$N$264</definedName>
    <definedName name="_xlnm._FilterDatabase" localSheetId="17" hidden="1">'CP lương'!$A$7:$N$44</definedName>
    <definedName name="_xlnm._FilterDatabase" localSheetId="9" hidden="1">'DTT10'!$A$1:$T$237</definedName>
    <definedName name="_xlnm._FilterDatabase" localSheetId="10" hidden="1">'DTT11'!$A$1:$T$213</definedName>
    <definedName name="_xlnm._FilterDatabase" localSheetId="11" hidden="1">'DTT12'!$A$1:$S$88</definedName>
    <definedName name="_xlnm._FilterDatabase" localSheetId="6" hidden="1">'DTT7'!$A$1:$T$121</definedName>
    <definedName name="_xlnm._FilterDatabase" localSheetId="7" hidden="1">'DTT8'!$A$1:$S$129</definedName>
    <definedName name="_xlnm._FilterDatabase" localSheetId="8" hidden="1">'DTT9'!$A$1:$T$172</definedName>
    <definedName name="_xlnm._FilterDatabase" localSheetId="14" hidden="1">'Giá vốn'!#REF!</definedName>
    <definedName name="_xlnm._FilterDatabase" localSheetId="29" hidden="1">'Hàng trả lại'!$A$1:$N$111</definedName>
    <definedName name="_xlnm._FilterDatabase" localSheetId="26" hidden="1">Nhập!$A$1:$S$68</definedName>
    <definedName name="_xlnm._FilterDatabase" localSheetId="25" hidden="1">'TH nhập hàng'!$A$1:$R$72</definedName>
    <definedName name="_xlnm._FilterDatabase" localSheetId="21" hidden="1">'Thu chi thực te từ T5-&gt; 31.0120'!$A$598:$N$704</definedName>
    <definedName name="_xlnm._FilterDatabase" localSheetId="23" hidden="1">'Tổng thu chi 20.8-&gt;29.11'!$A$6:$O$343</definedName>
    <definedName name="_xlnm._FilterDatabase" localSheetId="22" hidden="1">'Tổng thu chi T5-&gt; 29.11'!$A$6:$P$605</definedName>
    <definedName name="_xlnm.Print_Area" localSheetId="45">'Tất toán lương T9+T10'!$A$1:$T$24</definedName>
    <definedName name="_xlnm.Print_Titles" localSheetId="9">'DTT10'!$5:$6</definedName>
    <definedName name="_xlnm.Print_Titles" localSheetId="10">'DTT11'!$5:$6</definedName>
    <definedName name="_xlnm.Print_Titles" localSheetId="6">'DTT7'!$7:$8</definedName>
    <definedName name="_xlnm.Print_Titles" localSheetId="7">'DTT8'!$8:$9</definedName>
    <definedName name="_xlnm.Print_Titles" localSheetId="8">'DTT9'!$5:$6</definedName>
    <definedName name="_xlnm.Print_Titles" localSheetId="29">'Hàng trả lại'!$6:$7</definedName>
    <definedName name="_xlnm.Print_Titles" localSheetId="26">Nhập!$5:$5</definedName>
    <definedName name="_xlnm.Print_Titles" localSheetId="23">'Tổng thu chi 20.8-&gt;29.11'!$5:$6</definedName>
    <definedName name="_xlnm.Print_Titles" localSheetId="22">'Tổng thu chi T5-&gt; 29.11'!$5:$6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47" l="1"/>
  <c r="F10" i="147"/>
  <c r="F11" i="147"/>
  <c r="I11" i="147" s="1"/>
  <c r="F12" i="147"/>
  <c r="F13" i="147"/>
  <c r="F8" i="147"/>
  <c r="I10" i="147"/>
  <c r="I12" i="147"/>
  <c r="I8" i="147"/>
  <c r="H9" i="147"/>
  <c r="D14" i="147"/>
  <c r="I9" i="147" l="1"/>
  <c r="F14" i="147"/>
  <c r="D14" i="98"/>
  <c r="D16" i="126"/>
  <c r="D16" i="141"/>
  <c r="F16" i="141"/>
  <c r="J8" i="126"/>
  <c r="J10" i="126"/>
  <c r="J11" i="126"/>
  <c r="J13" i="126"/>
  <c r="J14" i="126"/>
  <c r="J15" i="126"/>
  <c r="K17" i="113"/>
  <c r="H17" i="113"/>
  <c r="I17" i="113"/>
  <c r="F17" i="113"/>
  <c r="O11" i="113"/>
  <c r="O12" i="113"/>
  <c r="O13" i="113"/>
  <c r="O14" i="113"/>
  <c r="O15" i="113"/>
  <c r="O16" i="113"/>
  <c r="O10" i="113"/>
  <c r="E17" i="113"/>
  <c r="O17" i="113" l="1"/>
  <c r="C15" i="151"/>
  <c r="C12" i="151"/>
  <c r="C9" i="151"/>
  <c r="G13" i="47"/>
  <c r="G15" i="47" s="1"/>
  <c r="E67" i="46"/>
  <c r="C16" i="151" l="1"/>
  <c r="M55" i="56"/>
  <c r="M54" i="56"/>
  <c r="M53" i="56"/>
  <c r="M52" i="56"/>
  <c r="M51" i="56"/>
  <c r="D21" i="110" l="1"/>
  <c r="D20" i="110"/>
  <c r="D19" i="110"/>
  <c r="D18" i="110"/>
  <c r="D16" i="110"/>
  <c r="D13" i="110"/>
  <c r="D11" i="110"/>
  <c r="D8" i="110"/>
  <c r="D10" i="110"/>
  <c r="D9" i="110"/>
  <c r="O10" i="105"/>
  <c r="O11" i="105"/>
  <c r="O12" i="105"/>
  <c r="O13" i="105"/>
  <c r="O14" i="105"/>
  <c r="O15" i="105"/>
  <c r="O16" i="105"/>
  <c r="O17" i="105"/>
  <c r="O18" i="105"/>
  <c r="O19" i="105"/>
  <c r="O20" i="105"/>
  <c r="O21" i="105"/>
  <c r="O22" i="105"/>
  <c r="O9" i="105"/>
  <c r="N23" i="105"/>
  <c r="H10" i="141"/>
  <c r="H11" i="141"/>
  <c r="H12" i="141"/>
  <c r="H13" i="141"/>
  <c r="H14" i="141"/>
  <c r="H15" i="141"/>
  <c r="H8" i="141"/>
  <c r="E14" i="47"/>
  <c r="G13" i="144" l="1"/>
  <c r="L15" i="150"/>
  <c r="G13" i="147" s="1"/>
  <c r="I13" i="147" s="1"/>
  <c r="H850" i="143"/>
  <c r="I850" i="143"/>
  <c r="K850" i="143"/>
  <c r="L850" i="143"/>
  <c r="M850" i="143"/>
  <c r="N850" i="143"/>
  <c r="G850" i="143"/>
  <c r="D850" i="143"/>
  <c r="E850" i="143"/>
  <c r="F850" i="143"/>
  <c r="C850" i="143"/>
  <c r="J598" i="143"/>
  <c r="H700" i="143"/>
  <c r="I700" i="143"/>
  <c r="K700" i="143"/>
  <c r="M700" i="143"/>
  <c r="N700" i="143"/>
  <c r="G700" i="143"/>
  <c r="D700" i="143"/>
  <c r="E700" i="143"/>
  <c r="F700" i="143"/>
  <c r="C700" i="143"/>
  <c r="J763" i="143"/>
  <c r="J850" i="143" s="1"/>
  <c r="F701" i="143" l="1"/>
  <c r="F610" i="137"/>
  <c r="F63" i="104"/>
  <c r="L23" i="105"/>
  <c r="L77" i="146"/>
  <c r="L78" i="146"/>
  <c r="L79" i="146"/>
  <c r="L80" i="146"/>
  <c r="L81" i="146"/>
  <c r="L82" i="146"/>
  <c r="G119" i="149"/>
  <c r="P63" i="146"/>
  <c r="P83" i="146" s="1"/>
  <c r="L86" i="146" s="1"/>
  <c r="H83" i="146"/>
  <c r="C13" i="144" l="1"/>
  <c r="H84" i="146"/>
  <c r="C13" i="47"/>
  <c r="R77" i="146"/>
  <c r="H13" i="126" l="1"/>
  <c r="H16" i="126" s="1"/>
  <c r="L34" i="146"/>
  <c r="R34" i="146" s="1"/>
  <c r="J34" i="146"/>
  <c r="L10" i="146"/>
  <c r="L11" i="146"/>
  <c r="R11" i="146" s="1"/>
  <c r="L12" i="146"/>
  <c r="L13" i="146"/>
  <c r="R13" i="146" s="1"/>
  <c r="L14" i="146"/>
  <c r="N14" i="146" s="1"/>
  <c r="L15" i="146"/>
  <c r="L16" i="146"/>
  <c r="L17" i="146"/>
  <c r="L18" i="146"/>
  <c r="L19" i="146"/>
  <c r="L20" i="146"/>
  <c r="L21" i="146"/>
  <c r="L22" i="146"/>
  <c r="L23" i="146"/>
  <c r="L24" i="146"/>
  <c r="L25" i="146"/>
  <c r="N25" i="146" s="1"/>
  <c r="L26" i="146"/>
  <c r="L27" i="146"/>
  <c r="L28" i="146"/>
  <c r="L29" i="146"/>
  <c r="L30" i="146"/>
  <c r="L31" i="146"/>
  <c r="L32" i="146"/>
  <c r="L33" i="146"/>
  <c r="L35" i="146"/>
  <c r="R35" i="146" s="1"/>
  <c r="L36" i="146"/>
  <c r="L37" i="146"/>
  <c r="L38" i="146"/>
  <c r="L39" i="146"/>
  <c r="L40" i="146"/>
  <c r="L41" i="146"/>
  <c r="L42" i="146"/>
  <c r="L43" i="146"/>
  <c r="L44" i="146"/>
  <c r="L45" i="146"/>
  <c r="L46" i="146"/>
  <c r="L47" i="146"/>
  <c r="L48" i="146"/>
  <c r="N48" i="146" s="1"/>
  <c r="L49" i="146"/>
  <c r="N49" i="146" s="1"/>
  <c r="L50" i="146"/>
  <c r="L51" i="146"/>
  <c r="L52" i="146"/>
  <c r="L53" i="146"/>
  <c r="L54" i="146"/>
  <c r="L55" i="146"/>
  <c r="L56" i="146"/>
  <c r="L57" i="146"/>
  <c r="L58" i="146"/>
  <c r="N58" i="146" s="1"/>
  <c r="L59" i="146"/>
  <c r="L60" i="146"/>
  <c r="L61" i="146"/>
  <c r="L62" i="146"/>
  <c r="L63" i="146"/>
  <c r="L64" i="146"/>
  <c r="L65" i="146"/>
  <c r="L66" i="146"/>
  <c r="L67" i="146"/>
  <c r="L69" i="146"/>
  <c r="L70" i="146"/>
  <c r="R70" i="146" s="1"/>
  <c r="L71" i="146"/>
  <c r="L72" i="146"/>
  <c r="L73" i="146"/>
  <c r="J67" i="146"/>
  <c r="J66" i="146"/>
  <c r="H62" i="149"/>
  <c r="J35" i="146"/>
  <c r="N66" i="146" l="1"/>
  <c r="R46" i="146"/>
  <c r="R44" i="146"/>
  <c r="R15" i="146"/>
  <c r="R71" i="146"/>
  <c r="R63" i="146"/>
  <c r="N61" i="146"/>
  <c r="N83" i="146" s="1"/>
  <c r="L85" i="146" s="1"/>
  <c r="R59" i="146"/>
  <c r="R55" i="146"/>
  <c r="R37" i="146"/>
  <c r="R32" i="146"/>
  <c r="R26" i="146"/>
  <c r="J82" i="146"/>
  <c r="J81" i="146"/>
  <c r="J80" i="146"/>
  <c r="J79" i="146"/>
  <c r="J78" i="146"/>
  <c r="J77" i="146"/>
  <c r="J73" i="146"/>
  <c r="J72" i="146"/>
  <c r="J71" i="146"/>
  <c r="J43" i="146"/>
  <c r="J42" i="146"/>
  <c r="J41" i="146"/>
  <c r="J40" i="146"/>
  <c r="J39" i="146"/>
  <c r="J38" i="146"/>
  <c r="J37" i="146"/>
  <c r="J36" i="146"/>
  <c r="J54" i="146"/>
  <c r="J53" i="146"/>
  <c r="J52" i="146"/>
  <c r="J51" i="146"/>
  <c r="J50" i="146"/>
  <c r="J57" i="146"/>
  <c r="J56" i="146"/>
  <c r="J55" i="146"/>
  <c r="J101" i="121"/>
  <c r="D13" i="47" l="1"/>
  <c r="D13" i="144"/>
  <c r="H113" i="149"/>
  <c r="H119" i="149" s="1"/>
  <c r="I14" i="147" l="1"/>
  <c r="R7" i="150" l="1"/>
  <c r="R8" i="150"/>
  <c r="R9" i="150"/>
  <c r="R10" i="150"/>
  <c r="R11" i="150"/>
  <c r="R12" i="150"/>
  <c r="R6" i="150"/>
  <c r="I68" i="146"/>
  <c r="L68" i="146" s="1"/>
  <c r="R68" i="146" s="1"/>
  <c r="L76" i="146"/>
  <c r="J76" i="146"/>
  <c r="J75" i="146"/>
  <c r="L75" i="146"/>
  <c r="L74" i="146"/>
  <c r="J74" i="146"/>
  <c r="J65" i="146"/>
  <c r="J64" i="146"/>
  <c r="J63" i="146"/>
  <c r="J70" i="146"/>
  <c r="J69" i="146"/>
  <c r="J62" i="146"/>
  <c r="J61" i="146"/>
  <c r="J60" i="146"/>
  <c r="J59" i="146"/>
  <c r="J58" i="146"/>
  <c r="J49" i="146"/>
  <c r="J48" i="146"/>
  <c r="J47" i="146"/>
  <c r="J46" i="146"/>
  <c r="J33" i="146"/>
  <c r="J32" i="146"/>
  <c r="J31" i="146"/>
  <c r="J30" i="146"/>
  <c r="J29" i="146"/>
  <c r="J28" i="146"/>
  <c r="J27" i="146"/>
  <c r="J26" i="146"/>
  <c r="J25" i="146"/>
  <c r="J24" i="146"/>
  <c r="J23" i="146"/>
  <c r="J22" i="146"/>
  <c r="J21" i="146"/>
  <c r="J20" i="146"/>
  <c r="J19" i="146"/>
  <c r="J18" i="146"/>
  <c r="J17" i="146"/>
  <c r="J16" i="146"/>
  <c r="J15" i="146"/>
  <c r="J14" i="146"/>
  <c r="J11" i="146"/>
  <c r="J12" i="146"/>
  <c r="J10" i="146"/>
  <c r="L9" i="146"/>
  <c r="J9" i="146"/>
  <c r="L8" i="146"/>
  <c r="J8" i="146"/>
  <c r="L7" i="146"/>
  <c r="J7" i="146"/>
  <c r="G8" i="144"/>
  <c r="G15" i="144" s="1"/>
  <c r="J413" i="143"/>
  <c r="J368" i="143"/>
  <c r="L354" i="143"/>
  <c r="L353" i="143"/>
  <c r="L352" i="143"/>
  <c r="L351" i="143"/>
  <c r="L343" i="143"/>
  <c r="J337" i="143"/>
  <c r="J297" i="143"/>
  <c r="N257" i="143"/>
  <c r="M257" i="143"/>
  <c r="I257" i="143"/>
  <c r="H257" i="143"/>
  <c r="F257" i="143"/>
  <c r="E257" i="143"/>
  <c r="D257" i="143"/>
  <c r="C257" i="143"/>
  <c r="L241" i="143"/>
  <c r="L257" i="143" s="1"/>
  <c r="K196" i="143"/>
  <c r="K193" i="143"/>
  <c r="J75" i="143"/>
  <c r="J257" i="143" s="1"/>
  <c r="G48" i="143"/>
  <c r="G257" i="143" s="1"/>
  <c r="R8" i="146" l="1"/>
  <c r="L83" i="146"/>
  <c r="L84" i="146" s="1"/>
  <c r="R13" i="150"/>
  <c r="L700" i="143"/>
  <c r="C258" i="143"/>
  <c r="K257" i="143"/>
  <c r="C259" i="143" s="1"/>
  <c r="R74" i="146"/>
  <c r="R83" i="146" s="1"/>
  <c r="J83" i="146"/>
  <c r="C851" i="143"/>
  <c r="H13" i="47" l="1"/>
  <c r="F13" i="47"/>
  <c r="L87" i="146"/>
  <c r="L88" i="146"/>
  <c r="C260" i="143"/>
  <c r="C852" i="143"/>
  <c r="C853" i="143" s="1"/>
  <c r="F13" i="144"/>
  <c r="L150" i="121" l="1"/>
  <c r="L151" i="121"/>
  <c r="L152" i="121"/>
  <c r="L153" i="121"/>
  <c r="L154" i="121"/>
  <c r="L155" i="121"/>
  <c r="L156" i="121"/>
  <c r="J156" i="121"/>
  <c r="J155" i="121"/>
  <c r="J154" i="121"/>
  <c r="J153" i="121"/>
  <c r="J152" i="121"/>
  <c r="J151" i="121"/>
  <c r="J150" i="121"/>
  <c r="L149" i="121"/>
  <c r="J149" i="121"/>
  <c r="L148" i="121"/>
  <c r="J148" i="121"/>
  <c r="L147" i="121"/>
  <c r="J147" i="121"/>
  <c r="L57" i="121"/>
  <c r="J57" i="121"/>
  <c r="C11" i="142" l="1"/>
  <c r="J112" i="121" l="1"/>
  <c r="L112" i="121"/>
  <c r="J113" i="121"/>
  <c r="L113" i="121"/>
  <c r="J114" i="121"/>
  <c r="L114" i="121"/>
  <c r="J115" i="121"/>
  <c r="L115" i="121"/>
  <c r="J116" i="121"/>
  <c r="L116" i="121"/>
  <c r="J117" i="121"/>
  <c r="L117" i="121"/>
  <c r="J118" i="121"/>
  <c r="L118" i="121"/>
  <c r="J119" i="121"/>
  <c r="L119" i="121"/>
  <c r="L111" i="121"/>
  <c r="J111" i="121"/>
  <c r="L110" i="121"/>
  <c r="J110" i="121"/>
  <c r="L109" i="121"/>
  <c r="J109" i="121"/>
  <c r="L76" i="121"/>
  <c r="L77" i="121"/>
  <c r="L78" i="121"/>
  <c r="L79" i="121"/>
  <c r="L80" i="121"/>
  <c r="L81" i="121"/>
  <c r="J81" i="121"/>
  <c r="J80" i="121"/>
  <c r="J79" i="121"/>
  <c r="J78" i="121"/>
  <c r="J77" i="121"/>
  <c r="J76" i="121"/>
  <c r="L75" i="121"/>
  <c r="J75" i="121"/>
  <c r="L146" i="121"/>
  <c r="J146" i="121"/>
  <c r="R30" i="140"/>
  <c r="R18" i="140"/>
  <c r="R9" i="140"/>
  <c r="L140" i="121"/>
  <c r="N140" i="121" s="1"/>
  <c r="J140" i="121"/>
  <c r="L145" i="121"/>
  <c r="J145" i="121"/>
  <c r="L144" i="121" l="1"/>
  <c r="R144" i="121" s="1"/>
  <c r="J144" i="121"/>
  <c r="L143" i="121"/>
  <c r="J143" i="121"/>
  <c r="L142" i="121"/>
  <c r="J142" i="121"/>
  <c r="L141" i="121"/>
  <c r="J141" i="121"/>
  <c r="L139" i="121"/>
  <c r="J139" i="121"/>
  <c r="L138" i="121"/>
  <c r="J138" i="121"/>
  <c r="L137" i="121"/>
  <c r="J137" i="121"/>
  <c r="N257" i="137" l="1"/>
  <c r="M257" i="137"/>
  <c r="I257" i="137"/>
  <c r="H257" i="137"/>
  <c r="F257" i="137"/>
  <c r="E257" i="137"/>
  <c r="D257" i="137"/>
  <c r="C257" i="137"/>
  <c r="L241" i="137"/>
  <c r="L257" i="137" s="1"/>
  <c r="K193" i="137"/>
  <c r="K196" i="137"/>
  <c r="J75" i="137"/>
  <c r="J257" i="137" s="1"/>
  <c r="G48" i="137"/>
  <c r="G257" i="137" s="1"/>
  <c r="K602" i="137"/>
  <c r="I602" i="137"/>
  <c r="H602" i="137"/>
  <c r="G602" i="137"/>
  <c r="E602" i="137"/>
  <c r="D602" i="137"/>
  <c r="C602" i="137"/>
  <c r="J413" i="137"/>
  <c r="J368" i="137"/>
  <c r="L354" i="137"/>
  <c r="L353" i="137"/>
  <c r="L352" i="137"/>
  <c r="L351" i="137"/>
  <c r="L343" i="137"/>
  <c r="J337" i="137"/>
  <c r="G9" i="141" s="1"/>
  <c r="J297" i="137"/>
  <c r="H9" i="141" l="1"/>
  <c r="H16" i="141" s="1"/>
  <c r="K257" i="137"/>
  <c r="C259" i="137" s="1"/>
  <c r="C258" i="137"/>
  <c r="L602" i="137"/>
  <c r="H340" i="129"/>
  <c r="C340" i="129"/>
  <c r="K40" i="129"/>
  <c r="F340" i="129"/>
  <c r="C260" i="137" l="1"/>
  <c r="K80" i="129" l="1"/>
  <c r="D40" i="125"/>
  <c r="M97" i="129" l="1"/>
  <c r="M96" i="129"/>
  <c r="M95" i="129"/>
  <c r="M94" i="129"/>
  <c r="M86" i="129"/>
  <c r="L340" i="129"/>
  <c r="J340" i="129"/>
  <c r="I340" i="129"/>
  <c r="E340" i="129"/>
  <c r="K156" i="129"/>
  <c r="K111" i="129"/>
  <c r="F41" i="125"/>
  <c r="E41" i="125"/>
  <c r="D41" i="125"/>
  <c r="E20" i="130"/>
  <c r="L130" i="121"/>
  <c r="R130" i="121" s="1"/>
  <c r="J130" i="121"/>
  <c r="L103" i="121"/>
  <c r="R103" i="121" s="1"/>
  <c r="J103" i="121"/>
  <c r="M340" i="129" l="1"/>
  <c r="L6" i="62"/>
  <c r="D80" i="61"/>
  <c r="D17" i="134" l="1"/>
  <c r="H17" i="134" s="1"/>
  <c r="V18" i="134" s="1"/>
  <c r="D18" i="134"/>
  <c r="J18" i="134" s="1"/>
  <c r="L31" i="134"/>
  <c r="Q31" i="134"/>
  <c r="T31" i="134"/>
  <c r="J136" i="121" l="1"/>
  <c r="J135" i="121"/>
  <c r="L136" i="121"/>
  <c r="L135" i="121"/>
  <c r="J134" i="121"/>
  <c r="J133" i="121"/>
  <c r="J132" i="121"/>
  <c r="J131" i="121"/>
  <c r="J99" i="121"/>
  <c r="J98" i="121"/>
  <c r="J97" i="121"/>
  <c r="J96" i="121"/>
  <c r="J95" i="121"/>
  <c r="L94" i="121"/>
  <c r="J94" i="121"/>
  <c r="J93" i="121"/>
  <c r="J92" i="121"/>
  <c r="J91" i="121" l="1"/>
  <c r="J90" i="121"/>
  <c r="J89" i="121"/>
  <c r="L96" i="121"/>
  <c r="L95" i="121"/>
  <c r="L93" i="121"/>
  <c r="L92" i="121"/>
  <c r="L91" i="121"/>
  <c r="L90" i="121"/>
  <c r="L89" i="121"/>
  <c r="L132" i="121"/>
  <c r="L131" i="121"/>
  <c r="L99" i="121"/>
  <c r="L98" i="121"/>
  <c r="L97" i="121"/>
  <c r="L133" i="121"/>
  <c r="L134" i="121"/>
  <c r="L88" i="121"/>
  <c r="L87" i="121"/>
  <c r="F25" i="133"/>
  <c r="G25" i="133" s="1"/>
  <c r="F96" i="62"/>
  <c r="C33" i="99"/>
  <c r="C36" i="99" s="1"/>
  <c r="J129" i="121"/>
  <c r="J128" i="121"/>
  <c r="J127" i="121"/>
  <c r="J126" i="121"/>
  <c r="L128" i="121"/>
  <c r="L127" i="121"/>
  <c r="L126" i="121"/>
  <c r="J125" i="121"/>
  <c r="J124" i="121"/>
  <c r="J123" i="121"/>
  <c r="J122" i="121"/>
  <c r="J121" i="121"/>
  <c r="J120" i="121"/>
  <c r="L107" i="121"/>
  <c r="L106" i="121"/>
  <c r="J108" i="121"/>
  <c r="J107" i="121"/>
  <c r="J106" i="121"/>
  <c r="L123" i="121"/>
  <c r="L122" i="121"/>
  <c r="L121" i="121"/>
  <c r="L120" i="121"/>
  <c r="L108" i="121"/>
  <c r="J105" i="121"/>
  <c r="J104" i="121"/>
  <c r="J102" i="121"/>
  <c r="L100" i="121"/>
  <c r="R100" i="121" s="1"/>
  <c r="J100" i="121"/>
  <c r="M50" i="56"/>
  <c r="M49" i="56"/>
  <c r="M48" i="56"/>
  <c r="M47" i="56"/>
  <c r="M46" i="56"/>
  <c r="M45" i="56"/>
  <c r="M59" i="56"/>
  <c r="M58" i="56"/>
  <c r="M57" i="56"/>
  <c r="M56" i="56"/>
  <c r="L105" i="121"/>
  <c r="L104" i="121"/>
  <c r="L102" i="121"/>
  <c r="L101" i="121"/>
  <c r="J88" i="121"/>
  <c r="J87" i="121"/>
  <c r="J86" i="121"/>
  <c r="J85" i="121"/>
  <c r="J84" i="121"/>
  <c r="J83" i="121"/>
  <c r="J82" i="121"/>
  <c r="L86" i="121"/>
  <c r="L85" i="121"/>
  <c r="L84" i="121"/>
  <c r="L83" i="121"/>
  <c r="L82" i="121"/>
  <c r="N82" i="121" s="1"/>
  <c r="L125" i="121"/>
  <c r="L124" i="121"/>
  <c r="L129" i="121"/>
  <c r="I11" i="98"/>
  <c r="R131" i="121" l="1"/>
  <c r="R92" i="121"/>
  <c r="R94" i="121"/>
  <c r="R83" i="121"/>
  <c r="R106" i="121"/>
  <c r="R87" i="121"/>
  <c r="R122" i="121"/>
  <c r="R101" i="121"/>
  <c r="F19" i="131"/>
  <c r="E19" i="131"/>
  <c r="D19" i="131"/>
  <c r="C19" i="131"/>
  <c r="G48" i="46" l="1"/>
  <c r="D15" i="130"/>
  <c r="D20" i="130" s="1"/>
  <c r="F66" i="62" l="1"/>
  <c r="G66" i="62" s="1"/>
  <c r="F73" i="62"/>
  <c r="F79" i="62" s="1"/>
  <c r="D49" i="87" l="1"/>
  <c r="E49" i="87" s="1"/>
  <c r="D32" i="87"/>
  <c r="E32" i="87" s="1"/>
  <c r="D16" i="87"/>
  <c r="E16" i="87" s="1"/>
  <c r="F46" i="104"/>
  <c r="F47" i="104"/>
  <c r="F48" i="104"/>
  <c r="F49" i="104"/>
  <c r="F50" i="104"/>
  <c r="F51" i="104"/>
  <c r="F52" i="104"/>
  <c r="F53" i="104"/>
  <c r="F54" i="104"/>
  <c r="F55" i="104"/>
  <c r="G60" i="46"/>
  <c r="E59" i="46"/>
  <c r="E58" i="46"/>
  <c r="E57" i="46"/>
  <c r="E56" i="46"/>
  <c r="E55" i="46"/>
  <c r="E51" i="46"/>
  <c r="E52" i="46"/>
  <c r="E53" i="46"/>
  <c r="E54" i="46"/>
  <c r="E50" i="46"/>
  <c r="F56" i="104" l="1"/>
  <c r="E60" i="46"/>
  <c r="O108" i="129"/>
  <c r="C54" i="99" l="1"/>
  <c r="O14" i="17"/>
  <c r="O10" i="17"/>
  <c r="M26" i="17"/>
  <c r="P9" i="17" s="1"/>
  <c r="M31" i="17"/>
  <c r="P11" i="17" s="1"/>
  <c r="Q16" i="17" l="1"/>
  <c r="J74" i="121" l="1"/>
  <c r="L70" i="121"/>
  <c r="L71" i="121"/>
  <c r="J70" i="121"/>
  <c r="J73" i="121"/>
  <c r="J72" i="121"/>
  <c r="J71" i="121"/>
  <c r="J69" i="121"/>
  <c r="J68" i="121"/>
  <c r="J67" i="121"/>
  <c r="L74" i="121"/>
  <c r="R74" i="121" s="1"/>
  <c r="L73" i="121"/>
  <c r="L72" i="121"/>
  <c r="L69" i="121"/>
  <c r="L68" i="121"/>
  <c r="J66" i="121"/>
  <c r="L67" i="121"/>
  <c r="L66" i="121"/>
  <c r="R66" i="121" s="1"/>
  <c r="R67" i="121" l="1"/>
  <c r="P16" i="17"/>
  <c r="I13" i="98"/>
  <c r="I10" i="98"/>
  <c r="I9" i="98"/>
  <c r="D11" i="68"/>
  <c r="J9" i="126"/>
  <c r="I16" i="126"/>
  <c r="G16" i="126"/>
  <c r="F16" i="126"/>
  <c r="E12" i="126"/>
  <c r="J12" i="126" s="1"/>
  <c r="J16" i="126" l="1"/>
  <c r="J65" i="121"/>
  <c r="J64" i="121"/>
  <c r="J63" i="121"/>
  <c r="J62" i="121"/>
  <c r="J61" i="121"/>
  <c r="J55" i="121"/>
  <c r="L63" i="121"/>
  <c r="L62" i="121"/>
  <c r="L61" i="121"/>
  <c r="L55" i="121"/>
  <c r="R55" i="121" s="1"/>
  <c r="J54" i="121"/>
  <c r="L54" i="121"/>
  <c r="J53" i="121"/>
  <c r="J52" i="121"/>
  <c r="J51" i="121"/>
  <c r="J50" i="121"/>
  <c r="J49" i="121"/>
  <c r="J48" i="121"/>
  <c r="J47" i="121"/>
  <c r="L52" i="121"/>
  <c r="N52" i="121" s="1"/>
  <c r="L51" i="121"/>
  <c r="L50" i="121"/>
  <c r="L49" i="121"/>
  <c r="L48" i="121"/>
  <c r="R48" i="121" s="1"/>
  <c r="L47" i="121"/>
  <c r="N47" i="121" s="1"/>
  <c r="L64" i="121"/>
  <c r="L53" i="121"/>
  <c r="R53" i="121" l="1"/>
  <c r="R61" i="121"/>
  <c r="R50" i="121"/>
  <c r="C29" i="124"/>
  <c r="L45" i="121" l="1"/>
  <c r="J45" i="121"/>
  <c r="J60" i="121"/>
  <c r="J59" i="121"/>
  <c r="J58" i="121"/>
  <c r="J56" i="121"/>
  <c r="J44" i="121"/>
  <c r="J43" i="121"/>
  <c r="J42" i="121"/>
  <c r="L36" i="121" l="1"/>
  <c r="J41" i="121"/>
  <c r="J40" i="121"/>
  <c r="J39" i="121"/>
  <c r="J38" i="121"/>
  <c r="L37" i="121"/>
  <c r="L38" i="121"/>
  <c r="L39" i="121"/>
  <c r="L40" i="121"/>
  <c r="L41" i="121"/>
  <c r="L42" i="121"/>
  <c r="R42" i="121" s="1"/>
  <c r="L43" i="121"/>
  <c r="L44" i="121"/>
  <c r="R44" i="121" s="1"/>
  <c r="J37" i="121"/>
  <c r="J36" i="121"/>
  <c r="J46" i="121"/>
  <c r="J35" i="121"/>
  <c r="L34" i="121"/>
  <c r="L35" i="121"/>
  <c r="L46" i="121"/>
  <c r="R45" i="121" s="1"/>
  <c r="L56" i="121"/>
  <c r="L58" i="121"/>
  <c r="L59" i="121"/>
  <c r="R59" i="121" s="1"/>
  <c r="L60" i="121"/>
  <c r="R60" i="121" s="1"/>
  <c r="L65" i="121"/>
  <c r="R64" i="121" s="1"/>
  <c r="J34" i="121"/>
  <c r="L33" i="121"/>
  <c r="R33" i="121" s="1"/>
  <c r="J33" i="121"/>
  <c r="B23" i="105"/>
  <c r="D23" i="105"/>
  <c r="F23" i="105"/>
  <c r="H23" i="105"/>
  <c r="J23" i="105"/>
  <c r="R56" i="121" l="1"/>
  <c r="O23" i="105"/>
  <c r="R36" i="121"/>
  <c r="R34" i="121"/>
  <c r="C12" i="84"/>
  <c r="R21" i="118" l="1"/>
  <c r="J106" i="37" l="1"/>
  <c r="L106" i="37"/>
  <c r="L161" i="102"/>
  <c r="J161" i="102"/>
  <c r="L160" i="102"/>
  <c r="J160" i="102"/>
  <c r="R16" i="122" l="1"/>
  <c r="L20" i="121"/>
  <c r="R20" i="121" s="1"/>
  <c r="J20" i="121"/>
  <c r="L32" i="121"/>
  <c r="N32" i="121" s="1"/>
  <c r="J32" i="121"/>
  <c r="L31" i="121"/>
  <c r="R31" i="121" s="1"/>
  <c r="J31" i="121"/>
  <c r="L28" i="121"/>
  <c r="L29" i="121"/>
  <c r="L30" i="121"/>
  <c r="J30" i="121"/>
  <c r="J29" i="121"/>
  <c r="J28" i="121"/>
  <c r="J27" i="121"/>
  <c r="J26" i="121"/>
  <c r="J25" i="121"/>
  <c r="L24" i="121"/>
  <c r="L25" i="121"/>
  <c r="R25" i="121" s="1"/>
  <c r="L26" i="121"/>
  <c r="R26" i="121" s="1"/>
  <c r="L27" i="121"/>
  <c r="J24" i="121"/>
  <c r="L23" i="121"/>
  <c r="J23" i="121"/>
  <c r="L22" i="121"/>
  <c r="J22" i="121"/>
  <c r="L21" i="121"/>
  <c r="J21" i="121"/>
  <c r="L19" i="121"/>
  <c r="J19" i="121"/>
  <c r="L18" i="121"/>
  <c r="J18" i="121"/>
  <c r="L17" i="121"/>
  <c r="J17" i="121"/>
  <c r="L16" i="121"/>
  <c r="J16" i="121"/>
  <c r="R16" i="121" l="1"/>
  <c r="P21" i="121"/>
  <c r="R23" i="121"/>
  <c r="L15" i="121"/>
  <c r="J15" i="121"/>
  <c r="J14" i="121"/>
  <c r="L8" i="121"/>
  <c r="L9" i="121"/>
  <c r="L10" i="121"/>
  <c r="L11" i="121"/>
  <c r="L12" i="121"/>
  <c r="L13" i="121"/>
  <c r="L14" i="121"/>
  <c r="J8" i="121"/>
  <c r="J9" i="121"/>
  <c r="J10" i="121"/>
  <c r="J11" i="121"/>
  <c r="J12" i="121"/>
  <c r="J13" i="121"/>
  <c r="L7" i="121"/>
  <c r="R7" i="121" s="1"/>
  <c r="R8" i="121" l="1"/>
  <c r="M40" i="56"/>
  <c r="M39" i="56"/>
  <c r="M38" i="56"/>
  <c r="M37" i="56"/>
  <c r="M36" i="56"/>
  <c r="M35" i="56"/>
  <c r="M34" i="56"/>
  <c r="M33" i="56"/>
  <c r="M44" i="56"/>
  <c r="M43" i="56"/>
  <c r="M42" i="56"/>
  <c r="M41" i="56"/>
  <c r="M61" i="56"/>
  <c r="M60" i="56"/>
  <c r="J7" i="121"/>
  <c r="M32" i="56" l="1"/>
  <c r="M31" i="56"/>
  <c r="H157" i="121"/>
  <c r="C12" i="144" s="1"/>
  <c r="P157" i="121"/>
  <c r="E12" i="144" s="1"/>
  <c r="N157" i="121"/>
  <c r="D12" i="144" s="1"/>
  <c r="L157" i="121"/>
  <c r="J157" i="121"/>
  <c r="L158" i="121" l="1"/>
  <c r="E12" i="47"/>
  <c r="L160" i="121"/>
  <c r="L159" i="121"/>
  <c r="D12" i="47"/>
  <c r="H158" i="121"/>
  <c r="C12" i="47"/>
  <c r="R157" i="121"/>
  <c r="F12" i="144" s="1"/>
  <c r="N17" i="113"/>
  <c r="L17" i="113"/>
  <c r="M17" i="113"/>
  <c r="G17" i="113"/>
  <c r="D17" i="113"/>
  <c r="R21" i="120"/>
  <c r="R12" i="120"/>
  <c r="N21" i="120"/>
  <c r="N12" i="120"/>
  <c r="L10" i="120"/>
  <c r="L75" i="86"/>
  <c r="N75" i="86" s="1"/>
  <c r="R44" i="119"/>
  <c r="L162" i="121" l="1"/>
  <c r="L161" i="121"/>
  <c r="F12" i="47"/>
  <c r="R21" i="119"/>
  <c r="R23" i="119" s="1"/>
  <c r="R10" i="118"/>
  <c r="C44" i="116"/>
  <c r="C28" i="95"/>
  <c r="C21" i="95"/>
  <c r="C11" i="95"/>
  <c r="F279" i="137" l="1"/>
  <c r="H12" i="47"/>
  <c r="G25" i="129"/>
  <c r="C11" i="116"/>
  <c r="C17" i="116" s="1"/>
  <c r="C19" i="116" l="1"/>
  <c r="G49" i="46"/>
  <c r="G40" i="46"/>
  <c r="G38" i="46" l="1"/>
  <c r="C26" i="116" l="1"/>
  <c r="C31" i="116" s="1"/>
  <c r="J17" i="113"/>
  <c r="C9" i="108" l="1"/>
  <c r="L180" i="102"/>
  <c r="R180" i="102" s="1"/>
  <c r="J180" i="102"/>
  <c r="E49" i="46"/>
  <c r="F45" i="104"/>
  <c r="E45" i="104"/>
  <c r="L177" i="102"/>
  <c r="L178" i="102"/>
  <c r="L179" i="102"/>
  <c r="L176" i="102"/>
  <c r="J179" i="102"/>
  <c r="J178" i="102"/>
  <c r="J177" i="102"/>
  <c r="J176" i="102"/>
  <c r="L175" i="102"/>
  <c r="J175" i="102"/>
  <c r="L173" i="102"/>
  <c r="J173" i="102"/>
  <c r="L172" i="102"/>
  <c r="J172" i="102"/>
  <c r="L171" i="102"/>
  <c r="J171" i="102"/>
  <c r="L170" i="102"/>
  <c r="J170" i="102"/>
  <c r="L169" i="102"/>
  <c r="J169" i="102"/>
  <c r="P169" i="102" l="1"/>
  <c r="R175" i="102"/>
  <c r="J75" i="86"/>
  <c r="L105" i="102"/>
  <c r="J105" i="102"/>
  <c r="J174" i="102"/>
  <c r="E46" i="46" l="1"/>
  <c r="E45" i="46"/>
  <c r="E44" i="46"/>
  <c r="E43" i="46"/>
  <c r="E42" i="46"/>
  <c r="E41" i="46"/>
  <c r="E40" i="46"/>
  <c r="E39" i="46"/>
  <c r="E43" i="104"/>
  <c r="F42" i="104"/>
  <c r="F41" i="104"/>
  <c r="F40" i="104"/>
  <c r="F39" i="104"/>
  <c r="F38" i="104"/>
  <c r="F37" i="104"/>
  <c r="F36" i="104"/>
  <c r="F35" i="104"/>
  <c r="L61" i="23"/>
  <c r="J61" i="23"/>
  <c r="L60" i="23"/>
  <c r="J60" i="23"/>
  <c r="L59" i="23"/>
  <c r="J59" i="23"/>
  <c r="H62" i="23"/>
  <c r="E47" i="46" l="1"/>
  <c r="F43" i="104"/>
  <c r="R59" i="23"/>
  <c r="J28" i="23"/>
  <c r="L28" i="23"/>
  <c r="J29" i="23"/>
  <c r="L29" i="23"/>
  <c r="J30" i="23"/>
  <c r="L30" i="23"/>
  <c r="N28" i="23" l="1"/>
  <c r="H181" i="102"/>
  <c r="C11" i="47" l="1"/>
  <c r="C11" i="144"/>
  <c r="J8" i="102"/>
  <c r="J9" i="102"/>
  <c r="J10" i="102"/>
  <c r="J11" i="102"/>
  <c r="J12" i="102"/>
  <c r="J13" i="102"/>
  <c r="J14" i="102"/>
  <c r="J15" i="102"/>
  <c r="J16" i="102"/>
  <c r="J17" i="102"/>
  <c r="J18" i="102"/>
  <c r="J19" i="102"/>
  <c r="J20" i="102"/>
  <c r="J21" i="102"/>
  <c r="J22" i="102"/>
  <c r="J23" i="102"/>
  <c r="J26" i="102"/>
  <c r="J27" i="102"/>
  <c r="J28" i="102"/>
  <c r="J29" i="102"/>
  <c r="J30" i="102"/>
  <c r="J31" i="102"/>
  <c r="J32" i="102"/>
  <c r="J33" i="102"/>
  <c r="J34" i="102"/>
  <c r="J35" i="102"/>
  <c r="J36" i="102"/>
  <c r="J37" i="102"/>
  <c r="J38" i="102"/>
  <c r="J39" i="102"/>
  <c r="J40" i="102"/>
  <c r="J41" i="102"/>
  <c r="J42" i="102"/>
  <c r="J43" i="102"/>
  <c r="J44" i="102"/>
  <c r="J45" i="102"/>
  <c r="J46" i="102"/>
  <c r="J47" i="102"/>
  <c r="J48" i="102"/>
  <c r="J49" i="102"/>
  <c r="J50" i="102"/>
  <c r="J51" i="102"/>
  <c r="J52" i="102"/>
  <c r="J53" i="102"/>
  <c r="J54" i="102"/>
  <c r="J56" i="102"/>
  <c r="J57" i="102"/>
  <c r="J58" i="102"/>
  <c r="J59" i="102"/>
  <c r="J60" i="102"/>
  <c r="J61" i="102"/>
  <c r="J62" i="102"/>
  <c r="J63" i="102"/>
  <c r="J64" i="102"/>
  <c r="J65" i="102"/>
  <c r="J66" i="102"/>
  <c r="J67" i="102"/>
  <c r="J68" i="102"/>
  <c r="J69" i="102"/>
  <c r="J70" i="102"/>
  <c r="J71" i="102"/>
  <c r="J72" i="102"/>
  <c r="J73" i="102"/>
  <c r="J74" i="102"/>
  <c r="J75" i="102"/>
  <c r="J76" i="102"/>
  <c r="J77" i="102"/>
  <c r="J78" i="102"/>
  <c r="J79" i="102"/>
  <c r="J80" i="102"/>
  <c r="J81" i="102"/>
  <c r="J82" i="102"/>
  <c r="J83" i="102"/>
  <c r="J84" i="102"/>
  <c r="J85" i="102"/>
  <c r="J86" i="102"/>
  <c r="J87" i="102"/>
  <c r="J88" i="102"/>
  <c r="J89" i="102"/>
  <c r="J90" i="102"/>
  <c r="J91" i="102"/>
  <c r="J92" i="102"/>
  <c r="J93" i="102"/>
  <c r="J94" i="102"/>
  <c r="J95" i="102"/>
  <c r="J96" i="102"/>
  <c r="J97" i="102"/>
  <c r="J98" i="102"/>
  <c r="J99" i="102"/>
  <c r="J100" i="102"/>
  <c r="J101" i="102"/>
  <c r="J102" i="102"/>
  <c r="J103" i="102"/>
  <c r="J104" i="102"/>
  <c r="J106" i="102"/>
  <c r="J107" i="102"/>
  <c r="J108" i="102"/>
  <c r="J109" i="102"/>
  <c r="J110" i="102"/>
  <c r="J111" i="102"/>
  <c r="J112" i="102"/>
  <c r="J113" i="102"/>
  <c r="J114" i="102"/>
  <c r="J115" i="102"/>
  <c r="J116" i="102"/>
  <c r="J117" i="102"/>
  <c r="J118" i="102"/>
  <c r="J119" i="102"/>
  <c r="J120" i="102"/>
  <c r="J121" i="102"/>
  <c r="J122" i="102"/>
  <c r="J123" i="102"/>
  <c r="J124" i="102"/>
  <c r="J125" i="102"/>
  <c r="J126" i="102"/>
  <c r="J127" i="102"/>
  <c r="J128" i="102"/>
  <c r="J129" i="102"/>
  <c r="J130" i="102"/>
  <c r="J131" i="102"/>
  <c r="J132" i="102"/>
  <c r="J133" i="102"/>
  <c r="J134" i="102"/>
  <c r="J135" i="102"/>
  <c r="J136" i="102"/>
  <c r="J137" i="102"/>
  <c r="J138" i="102"/>
  <c r="J139" i="102"/>
  <c r="J140" i="102"/>
  <c r="J141" i="102"/>
  <c r="J142" i="102"/>
  <c r="J143" i="102"/>
  <c r="J144" i="102"/>
  <c r="J145" i="102"/>
  <c r="J146" i="102"/>
  <c r="J147" i="102"/>
  <c r="J148" i="102"/>
  <c r="J149" i="102"/>
  <c r="J150" i="102"/>
  <c r="J151" i="102"/>
  <c r="J152" i="102"/>
  <c r="J153" i="102"/>
  <c r="J154" i="102"/>
  <c r="J155" i="102"/>
  <c r="J156" i="102"/>
  <c r="J157" i="102"/>
  <c r="J158" i="102"/>
  <c r="J24" i="102"/>
  <c r="J25" i="102"/>
  <c r="J55" i="102"/>
  <c r="J159" i="102"/>
  <c r="J162" i="102"/>
  <c r="J163" i="102"/>
  <c r="J164" i="102"/>
  <c r="J165" i="102"/>
  <c r="J166" i="102"/>
  <c r="J167" i="102"/>
  <c r="J168" i="102"/>
  <c r="J7" i="102"/>
  <c r="J8" i="86"/>
  <c r="J9" i="86"/>
  <c r="J10" i="86"/>
  <c r="J11" i="86"/>
  <c r="J12" i="86"/>
  <c r="J13" i="86"/>
  <c r="J14" i="86"/>
  <c r="J15" i="86"/>
  <c r="J16" i="86"/>
  <c r="J17" i="86"/>
  <c r="J18" i="86"/>
  <c r="J19" i="86"/>
  <c r="J20" i="86"/>
  <c r="J21" i="86"/>
  <c r="J22" i="86"/>
  <c r="J23" i="86"/>
  <c r="J24" i="86"/>
  <c r="J25" i="86"/>
  <c r="J26" i="86"/>
  <c r="J27" i="86"/>
  <c r="J28" i="86"/>
  <c r="J29" i="86"/>
  <c r="J30" i="86"/>
  <c r="J31" i="86"/>
  <c r="J32" i="86"/>
  <c r="J33" i="86"/>
  <c r="J34" i="86"/>
  <c r="J35" i="86"/>
  <c r="J36" i="86"/>
  <c r="J37" i="86"/>
  <c r="J38" i="86"/>
  <c r="J39" i="86"/>
  <c r="J40" i="86"/>
  <c r="J41" i="86"/>
  <c r="J42" i="86"/>
  <c r="J43" i="86"/>
  <c r="J44" i="86"/>
  <c r="J45" i="86"/>
  <c r="J46" i="86"/>
  <c r="J47" i="86"/>
  <c r="J48" i="86"/>
  <c r="J49" i="86"/>
  <c r="J50" i="86"/>
  <c r="J51" i="86"/>
  <c r="J52" i="86"/>
  <c r="J53" i="86"/>
  <c r="J54" i="86"/>
  <c r="J55" i="86"/>
  <c r="J56" i="86"/>
  <c r="J57" i="86"/>
  <c r="J58" i="86"/>
  <c r="J59" i="86"/>
  <c r="J60" i="86"/>
  <c r="J61" i="86"/>
  <c r="J62" i="86"/>
  <c r="J63" i="86"/>
  <c r="J64" i="86"/>
  <c r="J65" i="86"/>
  <c r="J66" i="86"/>
  <c r="J67" i="86"/>
  <c r="J68" i="86"/>
  <c r="J69" i="86"/>
  <c r="J70" i="86"/>
  <c r="J71" i="86"/>
  <c r="J72" i="86"/>
  <c r="J73" i="86"/>
  <c r="J74" i="86"/>
  <c r="J76" i="86"/>
  <c r="J77" i="86"/>
  <c r="J78" i="86"/>
  <c r="J79" i="86"/>
  <c r="J80" i="86"/>
  <c r="J81" i="86"/>
  <c r="J82" i="86"/>
  <c r="J83" i="86"/>
  <c r="J84" i="86"/>
  <c r="J85" i="86"/>
  <c r="J86" i="86"/>
  <c r="J87" i="86"/>
  <c r="J88" i="86"/>
  <c r="J89" i="86"/>
  <c r="J90" i="86"/>
  <c r="J91" i="86"/>
  <c r="J92" i="86"/>
  <c r="J93" i="86"/>
  <c r="J94" i="86"/>
  <c r="J95" i="86"/>
  <c r="J96" i="86"/>
  <c r="J97" i="86"/>
  <c r="J98" i="86"/>
  <c r="J99" i="86"/>
  <c r="J100" i="86"/>
  <c r="J101" i="86"/>
  <c r="J102" i="86"/>
  <c r="J103" i="86"/>
  <c r="J104" i="86"/>
  <c r="J105" i="86"/>
  <c r="J106" i="86"/>
  <c r="J107" i="86"/>
  <c r="J108" i="86"/>
  <c r="J109" i="86"/>
  <c r="J110" i="86"/>
  <c r="J111" i="86"/>
  <c r="J112" i="86"/>
  <c r="J113" i="86"/>
  <c r="J114" i="86"/>
  <c r="J115" i="86"/>
  <c r="J7" i="86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J36" i="37"/>
  <c r="J37" i="37"/>
  <c r="J38" i="37"/>
  <c r="J39" i="37"/>
  <c r="J40" i="37"/>
  <c r="J41" i="37"/>
  <c r="J42" i="37"/>
  <c r="J43" i="37"/>
  <c r="J44" i="37"/>
  <c r="J45" i="37"/>
  <c r="J46" i="37"/>
  <c r="J47" i="37"/>
  <c r="J48" i="37"/>
  <c r="J49" i="37"/>
  <c r="J50" i="37"/>
  <c r="J51" i="37"/>
  <c r="J52" i="37"/>
  <c r="J53" i="37"/>
  <c r="J54" i="37"/>
  <c r="J55" i="37"/>
  <c r="J56" i="37"/>
  <c r="J57" i="37"/>
  <c r="J58" i="37"/>
  <c r="J59" i="37"/>
  <c r="J60" i="37"/>
  <c r="J61" i="37"/>
  <c r="J62" i="37"/>
  <c r="J63" i="37"/>
  <c r="J64" i="37"/>
  <c r="J65" i="37"/>
  <c r="J66" i="37"/>
  <c r="J67" i="37"/>
  <c r="J68" i="37"/>
  <c r="J69" i="37"/>
  <c r="J70" i="37"/>
  <c r="J71" i="37"/>
  <c r="J72" i="37"/>
  <c r="J73" i="37"/>
  <c r="J74" i="37"/>
  <c r="J75" i="37"/>
  <c r="J76" i="37"/>
  <c r="J77" i="37"/>
  <c r="J78" i="37"/>
  <c r="J79" i="37"/>
  <c r="J80" i="37"/>
  <c r="J81" i="37"/>
  <c r="J82" i="37"/>
  <c r="J83" i="37"/>
  <c r="J84" i="37"/>
  <c r="J85" i="37"/>
  <c r="J86" i="37"/>
  <c r="J87" i="37"/>
  <c r="J88" i="37"/>
  <c r="J89" i="37"/>
  <c r="J90" i="37"/>
  <c r="J91" i="37"/>
  <c r="J92" i="37"/>
  <c r="J93" i="37"/>
  <c r="J94" i="37"/>
  <c r="J95" i="37"/>
  <c r="J96" i="37"/>
  <c r="J97" i="37"/>
  <c r="J98" i="37"/>
  <c r="J99" i="37"/>
  <c r="J100" i="37"/>
  <c r="J101" i="37"/>
  <c r="J102" i="37"/>
  <c r="J103" i="37"/>
  <c r="J104" i="37"/>
  <c r="J105" i="37"/>
  <c r="J107" i="37"/>
  <c r="J108" i="37"/>
  <c r="J109" i="37"/>
  <c r="J110" i="37"/>
  <c r="J111" i="37"/>
  <c r="J112" i="37"/>
  <c r="J113" i="37"/>
  <c r="J114" i="37"/>
  <c r="J115" i="37"/>
  <c r="J116" i="37"/>
  <c r="J117" i="37"/>
  <c r="J118" i="37"/>
  <c r="J10" i="37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7" i="23"/>
  <c r="J48" i="23"/>
  <c r="J45" i="23"/>
  <c r="J46" i="23"/>
  <c r="J51" i="23"/>
  <c r="J52" i="23"/>
  <c r="J53" i="23"/>
  <c r="J49" i="23"/>
  <c r="J55" i="23"/>
  <c r="J50" i="23"/>
  <c r="J54" i="23"/>
  <c r="J5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57" i="23"/>
  <c r="J56" i="23"/>
  <c r="J119" i="37" l="1"/>
  <c r="J181" i="102"/>
  <c r="J116" i="86"/>
  <c r="J62" i="23"/>
  <c r="H22" i="110"/>
  <c r="G22" i="110"/>
  <c r="L167" i="102" l="1"/>
  <c r="L168" i="102" l="1"/>
  <c r="L166" i="102"/>
  <c r="L162" i="102"/>
  <c r="P160" i="102" s="1"/>
  <c r="L163" i="102"/>
  <c r="R163" i="102" s="1"/>
  <c r="L164" i="102"/>
  <c r="R164" i="102" s="1"/>
  <c r="L165" i="102"/>
  <c r="P165" i="102" s="1"/>
  <c r="L174" i="102"/>
  <c r="L159" i="102"/>
  <c r="P159" i="102" s="1"/>
  <c r="L111" i="86"/>
  <c r="L112" i="86"/>
  <c r="L113" i="86"/>
  <c r="L114" i="86"/>
  <c r="L115" i="86"/>
  <c r="L110" i="86"/>
  <c r="H116" i="86"/>
  <c r="L109" i="86"/>
  <c r="P109" i="86" s="1"/>
  <c r="L144" i="102"/>
  <c r="F11" i="104" l="1"/>
  <c r="D17" i="110" s="1"/>
  <c r="F12" i="104"/>
  <c r="E13" i="46"/>
  <c r="E9" i="110"/>
  <c r="E12" i="110"/>
  <c r="E13" i="110"/>
  <c r="E14" i="110"/>
  <c r="E15" i="110"/>
  <c r="E16" i="110"/>
  <c r="E17" i="110"/>
  <c r="E18" i="110"/>
  <c r="E19" i="110"/>
  <c r="E20" i="110"/>
  <c r="E21" i="110"/>
  <c r="E10" i="110"/>
  <c r="E11" i="110"/>
  <c r="E8" i="110"/>
  <c r="L108" i="86"/>
  <c r="L24" i="102"/>
  <c r="L11" i="86"/>
  <c r="F17" i="110" l="1"/>
  <c r="J17" i="110" s="1"/>
  <c r="E22" i="110"/>
  <c r="L150" i="102"/>
  <c r="L149" i="102"/>
  <c r="L143" i="102"/>
  <c r="L145" i="102"/>
  <c r="L146" i="102"/>
  <c r="L147" i="102"/>
  <c r="L148" i="102"/>
  <c r="L142" i="102"/>
  <c r="L141" i="102"/>
  <c r="M29" i="56"/>
  <c r="L138" i="102"/>
  <c r="L139" i="102"/>
  <c r="L140" i="102"/>
  <c r="L137" i="102"/>
  <c r="L125" i="102"/>
  <c r="L126" i="102"/>
  <c r="L127" i="102"/>
  <c r="L128" i="102"/>
  <c r="L129" i="102"/>
  <c r="L130" i="102"/>
  <c r="L131" i="102"/>
  <c r="L124" i="102"/>
  <c r="L132" i="102"/>
  <c r="L133" i="102"/>
  <c r="L134" i="102"/>
  <c r="L135" i="102"/>
  <c r="L121" i="102"/>
  <c r="L107" i="102"/>
  <c r="P107" i="102" s="1"/>
  <c r="L85" i="102"/>
  <c r="R85" i="102" s="1"/>
  <c r="R137" i="102" l="1"/>
  <c r="R124" i="102"/>
  <c r="R132" i="102"/>
  <c r="L38" i="102"/>
  <c r="R38" i="102" s="1"/>
  <c r="L19" i="102"/>
  <c r="P19" i="102" s="1"/>
  <c r="L108" i="102"/>
  <c r="G264" i="61"/>
  <c r="M28" i="56"/>
  <c r="M27" i="56"/>
  <c r="E13" i="107"/>
  <c r="D13" i="107"/>
  <c r="C13" i="107"/>
  <c r="F13" i="107"/>
  <c r="E16" i="106"/>
  <c r="D16" i="106"/>
  <c r="C16" i="106"/>
  <c r="F16" i="106" l="1"/>
  <c r="F264" i="61"/>
  <c r="L154" i="102" l="1"/>
  <c r="L153" i="102"/>
  <c r="L152" i="102"/>
  <c r="L151" i="102"/>
  <c r="L136" i="102"/>
  <c r="P136" i="102" s="1"/>
  <c r="L122" i="102"/>
  <c r="R122" i="102" s="1"/>
  <c r="L157" i="102"/>
  <c r="N157" i="102" s="1"/>
  <c r="L156" i="102"/>
  <c r="L155" i="102"/>
  <c r="L104" i="102"/>
  <c r="L96" i="102"/>
  <c r="N96" i="102" s="1"/>
  <c r="L97" i="102"/>
  <c r="L98" i="102"/>
  <c r="L99" i="102"/>
  <c r="L100" i="102"/>
  <c r="L101" i="102"/>
  <c r="L102" i="102"/>
  <c r="L103" i="102"/>
  <c r="L106" i="102"/>
  <c r="L109" i="102"/>
  <c r="L110" i="102"/>
  <c r="L111" i="102"/>
  <c r="L158" i="102"/>
  <c r="R158" i="102" s="1"/>
  <c r="L25" i="102"/>
  <c r="L55" i="102"/>
  <c r="P55" i="102" s="1"/>
  <c r="R123" i="102"/>
  <c r="M22" i="56"/>
  <c r="M23" i="56"/>
  <c r="M24" i="56"/>
  <c r="M21" i="56"/>
  <c r="L84" i="102"/>
  <c r="L83" i="102"/>
  <c r="L82" i="102"/>
  <c r="L81" i="102"/>
  <c r="L80" i="102"/>
  <c r="L79" i="102"/>
  <c r="L78" i="102"/>
  <c r="L77" i="102"/>
  <c r="L76" i="102"/>
  <c r="L75" i="102"/>
  <c r="L74" i="102"/>
  <c r="L56" i="102"/>
  <c r="R56" i="102" s="1"/>
  <c r="L90" i="102"/>
  <c r="L89" i="102"/>
  <c r="L88" i="102"/>
  <c r="L123" i="102"/>
  <c r="L87" i="102"/>
  <c r="L86" i="102"/>
  <c r="L119" i="102"/>
  <c r="L118" i="102"/>
  <c r="L117" i="102"/>
  <c r="L116" i="102"/>
  <c r="L115" i="102"/>
  <c r="L114" i="102"/>
  <c r="L113" i="102"/>
  <c r="L112" i="102"/>
  <c r="L93" i="102"/>
  <c r="L92" i="102"/>
  <c r="L91" i="102"/>
  <c r="L120" i="102"/>
  <c r="L95" i="102"/>
  <c r="L94" i="102"/>
  <c r="P86" i="102" l="1"/>
  <c r="R152" i="102"/>
  <c r="R88" i="102"/>
  <c r="R83" i="102"/>
  <c r="R112" i="102"/>
  <c r="R74" i="102"/>
  <c r="F32" i="104"/>
  <c r="E31" i="104"/>
  <c r="F30" i="104"/>
  <c r="F29" i="104"/>
  <c r="F28" i="104"/>
  <c r="F15" i="110" s="1"/>
  <c r="J15" i="110" s="1"/>
  <c r="F27" i="104"/>
  <c r="F26" i="104"/>
  <c r="F25" i="104"/>
  <c r="F24" i="104"/>
  <c r="F9" i="110" s="1"/>
  <c r="J9" i="110" s="1"/>
  <c r="F23" i="104"/>
  <c r="F22" i="104"/>
  <c r="F8" i="110" s="1"/>
  <c r="J8" i="110" s="1"/>
  <c r="E21" i="104"/>
  <c r="F20" i="104"/>
  <c r="F19" i="104"/>
  <c r="F18" i="104"/>
  <c r="F17" i="104"/>
  <c r="F15" i="104"/>
  <c r="F14" i="104"/>
  <c r="F13" i="104"/>
  <c r="D14" i="110" s="1"/>
  <c r="F10" i="104"/>
  <c r="F9" i="104"/>
  <c r="D12" i="110" s="1"/>
  <c r="D22" i="110" s="1"/>
  <c r="F8" i="104"/>
  <c r="F7" i="104"/>
  <c r="F6" i="104"/>
  <c r="E16" i="46"/>
  <c r="E15" i="46"/>
  <c r="E14" i="46"/>
  <c r="E12" i="46"/>
  <c r="E11" i="46"/>
  <c r="E10" i="46"/>
  <c r="E9" i="46"/>
  <c r="E8" i="46"/>
  <c r="D23" i="46"/>
  <c r="E22" i="46"/>
  <c r="E21" i="46"/>
  <c r="E20" i="46"/>
  <c r="E19" i="46"/>
  <c r="E35" i="46"/>
  <c r="E32" i="46"/>
  <c r="E31" i="46"/>
  <c r="E30" i="46"/>
  <c r="E27" i="46"/>
  <c r="E28" i="46"/>
  <c r="E29" i="46"/>
  <c r="E26" i="46"/>
  <c r="E25" i="46"/>
  <c r="E24" i="46"/>
  <c r="E7" i="46"/>
  <c r="F21" i="110" l="1"/>
  <c r="J21" i="110" s="1"/>
  <c r="E18" i="46"/>
  <c r="E34" i="46"/>
  <c r="F20" i="110"/>
  <c r="J20" i="110" s="1"/>
  <c r="F11" i="110"/>
  <c r="J11" i="110" s="1"/>
  <c r="F13" i="110"/>
  <c r="J13" i="110" s="1"/>
  <c r="F18" i="110"/>
  <c r="J18" i="110" s="1"/>
  <c r="F19" i="110"/>
  <c r="J19" i="110" s="1"/>
  <c r="F34" i="104"/>
  <c r="F16" i="110"/>
  <c r="J16" i="110" s="1"/>
  <c r="F12" i="110"/>
  <c r="J12" i="110" s="1"/>
  <c r="F14" i="110"/>
  <c r="J14" i="110" s="1"/>
  <c r="E38" i="46"/>
  <c r="E23" i="46"/>
  <c r="F16" i="104"/>
  <c r="F21" i="104"/>
  <c r="F31" i="104"/>
  <c r="M62" i="56"/>
  <c r="M30" i="56"/>
  <c r="M26" i="56"/>
  <c r="M25" i="56"/>
  <c r="M20" i="56"/>
  <c r="M19" i="56"/>
  <c r="L7" i="102"/>
  <c r="L8" i="102"/>
  <c r="L9" i="102"/>
  <c r="L10" i="102"/>
  <c r="L11" i="102"/>
  <c r="L12" i="102"/>
  <c r="L13" i="102"/>
  <c r="L14" i="102"/>
  <c r="L15" i="102"/>
  <c r="L16" i="102"/>
  <c r="L17" i="102"/>
  <c r="L18" i="102"/>
  <c r="L20" i="102"/>
  <c r="L21" i="102"/>
  <c r="L22" i="102"/>
  <c r="L23" i="102"/>
  <c r="L26" i="102"/>
  <c r="L27" i="102"/>
  <c r="L28" i="102"/>
  <c r="L29" i="102"/>
  <c r="L30" i="102"/>
  <c r="L31" i="102"/>
  <c r="L32" i="102"/>
  <c r="L33" i="102"/>
  <c r="L34" i="102"/>
  <c r="L35" i="102"/>
  <c r="L36" i="102"/>
  <c r="L37" i="102"/>
  <c r="L39" i="102"/>
  <c r="L40" i="102"/>
  <c r="L41" i="102"/>
  <c r="L42" i="102"/>
  <c r="L43" i="102"/>
  <c r="L44" i="102"/>
  <c r="L45" i="102"/>
  <c r="R45" i="102" s="1"/>
  <c r="L46" i="102"/>
  <c r="N46" i="102" s="1"/>
  <c r="N181" i="102" s="1"/>
  <c r="L47" i="102"/>
  <c r="P47" i="102" s="1"/>
  <c r="L48" i="102"/>
  <c r="L49" i="102"/>
  <c r="L50" i="102"/>
  <c r="L51" i="102"/>
  <c r="L52" i="102"/>
  <c r="L53" i="102"/>
  <c r="L54" i="102"/>
  <c r="L57" i="102"/>
  <c r="P57" i="102" s="1"/>
  <c r="L58" i="102"/>
  <c r="L59" i="102"/>
  <c r="L60" i="102"/>
  <c r="L61" i="102"/>
  <c r="L62" i="102"/>
  <c r="L63" i="102"/>
  <c r="L64" i="102"/>
  <c r="L65" i="102"/>
  <c r="L66" i="102"/>
  <c r="L67" i="102"/>
  <c r="L68" i="102"/>
  <c r="L69" i="102"/>
  <c r="L70" i="102"/>
  <c r="R70" i="102" s="1"/>
  <c r="L71" i="102"/>
  <c r="R71" i="102" s="1"/>
  <c r="L72" i="102"/>
  <c r="L73" i="102"/>
  <c r="E68" i="46" l="1"/>
  <c r="L181" i="102"/>
  <c r="F64" i="104"/>
  <c r="D11" i="47"/>
  <c r="D11" i="144"/>
  <c r="P72" i="102"/>
  <c r="F10" i="110"/>
  <c r="J10" i="110" s="1"/>
  <c r="G47" i="46"/>
  <c r="R58" i="102"/>
  <c r="P53" i="102"/>
  <c r="R48" i="102"/>
  <c r="R7" i="102"/>
  <c r="R26" i="102"/>
  <c r="R20" i="102"/>
  <c r="R40" i="102"/>
  <c r="M18" i="56"/>
  <c r="M17" i="56"/>
  <c r="M16" i="56"/>
  <c r="M12" i="56"/>
  <c r="M13" i="56"/>
  <c r="M14" i="56"/>
  <c r="M15" i="56"/>
  <c r="M63" i="56"/>
  <c r="P181" i="102" l="1"/>
  <c r="E11" i="47" s="1"/>
  <c r="F22" i="110"/>
  <c r="J22" i="110"/>
  <c r="R181" i="102"/>
  <c r="F11" i="144" s="1"/>
  <c r="H182" i="102"/>
  <c r="L105" i="86"/>
  <c r="L104" i="86"/>
  <c r="L103" i="86"/>
  <c r="L102" i="86"/>
  <c r="L107" i="86"/>
  <c r="L106" i="86"/>
  <c r="L184" i="102" l="1"/>
  <c r="E11" i="144"/>
  <c r="F11" i="47"/>
  <c r="L183" i="102"/>
  <c r="L182" i="102"/>
  <c r="R102" i="86"/>
  <c r="R106" i="86"/>
  <c r="F278" i="137" l="1"/>
  <c r="H11" i="47"/>
  <c r="G24" i="129"/>
  <c r="C47" i="99"/>
  <c r="L101" i="86"/>
  <c r="L100" i="86"/>
  <c r="L99" i="86"/>
  <c r="I8" i="98"/>
  <c r="I14" i="98" s="1"/>
  <c r="G14" i="98"/>
  <c r="F14" i="98"/>
  <c r="L96" i="86" l="1"/>
  <c r="L90" i="86"/>
  <c r="L91" i="86"/>
  <c r="L92" i="86"/>
  <c r="L93" i="86"/>
  <c r="L94" i="86"/>
  <c r="L95" i="86"/>
  <c r="L97" i="86"/>
  <c r="L98" i="86"/>
  <c r="L89" i="86"/>
  <c r="L88" i="86"/>
  <c r="R88" i="86" s="1"/>
  <c r="L87" i="86"/>
  <c r="N87" i="86" s="1"/>
  <c r="L86" i="86"/>
  <c r="R86" i="86" s="1"/>
  <c r="L85" i="86"/>
  <c r="L84" i="86"/>
  <c r="F30" i="77"/>
  <c r="F31" i="77"/>
  <c r="F32" i="77"/>
  <c r="F33" i="77" l="1"/>
  <c r="R89" i="86"/>
  <c r="L73" i="86" l="1"/>
  <c r="L74" i="86"/>
  <c r="N74" i="86" s="1"/>
  <c r="L76" i="86"/>
  <c r="L72" i="86"/>
  <c r="L71" i="86"/>
  <c r="L70" i="86"/>
  <c r="L69" i="86"/>
  <c r="L68" i="86"/>
  <c r="L53" i="86"/>
  <c r="L61" i="86"/>
  <c r="L62" i="86"/>
  <c r="N62" i="86" s="1"/>
  <c r="L63" i="86"/>
  <c r="R63" i="86" s="1"/>
  <c r="L64" i="86"/>
  <c r="L65" i="86"/>
  <c r="L66" i="86"/>
  <c r="L67" i="86"/>
  <c r="L77" i="86"/>
  <c r="L78" i="86"/>
  <c r="L79" i="86"/>
  <c r="L80" i="86"/>
  <c r="L81" i="86"/>
  <c r="L82" i="86"/>
  <c r="L83" i="86"/>
  <c r="L60" i="86"/>
  <c r="L48" i="86"/>
  <c r="L49" i="86"/>
  <c r="R49" i="86" s="1"/>
  <c r="L50" i="86"/>
  <c r="P50" i="86" s="1"/>
  <c r="L51" i="86"/>
  <c r="L52" i="86"/>
  <c r="L54" i="86"/>
  <c r="L55" i="86"/>
  <c r="L56" i="86"/>
  <c r="L57" i="86"/>
  <c r="L58" i="86"/>
  <c r="L59" i="86"/>
  <c r="L47" i="86"/>
  <c r="R51" i="86" l="1"/>
  <c r="R78" i="86"/>
  <c r="N47" i="86"/>
  <c r="R60" i="86"/>
  <c r="R64" i="86"/>
  <c r="H264" i="61"/>
  <c r="G104" i="62"/>
  <c r="H117" i="86" l="1"/>
  <c r="L46" i="86"/>
  <c r="L45" i="86"/>
  <c r="L44" i="86"/>
  <c r="L43" i="86"/>
  <c r="L42" i="86"/>
  <c r="L41" i="86"/>
  <c r="L40" i="86"/>
  <c r="L39" i="86"/>
  <c r="L38" i="86"/>
  <c r="L37" i="86"/>
  <c r="L36" i="86"/>
  <c r="L35" i="86"/>
  <c r="L34" i="86"/>
  <c r="L33" i="86"/>
  <c r="L32" i="86"/>
  <c r="L31" i="86"/>
  <c r="L30" i="86"/>
  <c r="L29" i="86"/>
  <c r="L28" i="86"/>
  <c r="L27" i="86"/>
  <c r="L26" i="86"/>
  <c r="L25" i="86"/>
  <c r="L24" i="86"/>
  <c r="L23" i="86"/>
  <c r="L22" i="86"/>
  <c r="L21" i="86"/>
  <c r="L20" i="86"/>
  <c r="L19" i="86"/>
  <c r="L18" i="86"/>
  <c r="L17" i="86"/>
  <c r="L16" i="86"/>
  <c r="L15" i="86"/>
  <c r="L14" i="86"/>
  <c r="L13" i="86"/>
  <c r="L12" i="86"/>
  <c r="N12" i="86" s="1"/>
  <c r="N116" i="86" s="1"/>
  <c r="L10" i="86"/>
  <c r="L9" i="86"/>
  <c r="L8" i="86"/>
  <c r="L7" i="86"/>
  <c r="C10" i="47" l="1"/>
  <c r="C10" i="144"/>
  <c r="L118" i="86"/>
  <c r="P10" i="86"/>
  <c r="L116" i="86"/>
  <c r="L117" i="86" s="1"/>
  <c r="R27" i="86"/>
  <c r="P30" i="86"/>
  <c r="R13" i="86"/>
  <c r="P38" i="86"/>
  <c r="P40" i="86"/>
  <c r="R44" i="86"/>
  <c r="C13" i="85"/>
  <c r="C12" i="85"/>
  <c r="C11" i="85"/>
  <c r="C10" i="85"/>
  <c r="C6" i="85"/>
  <c r="D10" i="47" l="1"/>
  <c r="D10" i="144"/>
  <c r="C39" i="85"/>
  <c r="R116" i="86"/>
  <c r="L120" i="86" s="1"/>
  <c r="F10" i="144" s="1"/>
  <c r="P116" i="86"/>
  <c r="L119" i="86" s="1"/>
  <c r="E10" i="47" l="1"/>
  <c r="E10" i="144"/>
  <c r="F10" i="47"/>
  <c r="F277" i="137" s="1"/>
  <c r="G23" i="129" l="1"/>
  <c r="D340" i="129"/>
  <c r="H10" i="47"/>
  <c r="M9" i="56"/>
  <c r="M10" i="56"/>
  <c r="M11" i="56"/>
  <c r="F28" i="62" l="1"/>
  <c r="G28" i="62" s="1"/>
  <c r="F36" i="62"/>
  <c r="F32" i="62"/>
  <c r="F18" i="62"/>
  <c r="G18" i="62" s="1"/>
  <c r="F38" i="62" l="1"/>
  <c r="G38" i="62" l="1"/>
  <c r="I38" i="62"/>
  <c r="F13" i="77"/>
  <c r="G34" i="46" l="1"/>
  <c r="G23" i="46"/>
  <c r="G18" i="46"/>
  <c r="D34" i="46"/>
  <c r="F11" i="78"/>
  <c r="G68" i="46" l="1"/>
  <c r="F15" i="77"/>
  <c r="H63" i="23" l="1"/>
  <c r="C8" i="144" s="1"/>
  <c r="L27" i="23"/>
  <c r="N27" i="23" s="1"/>
  <c r="L26" i="23"/>
  <c r="L25" i="23"/>
  <c r="L24" i="23"/>
  <c r="N24" i="23" s="1"/>
  <c r="L23" i="23"/>
  <c r="N23" i="23" s="1"/>
  <c r="L22" i="23"/>
  <c r="L21" i="23"/>
  <c r="L20" i="23"/>
  <c r="N20" i="23" s="1"/>
  <c r="L19" i="23"/>
  <c r="L18" i="23"/>
  <c r="L17" i="23"/>
  <c r="N17" i="23" s="1"/>
  <c r="L16" i="23"/>
  <c r="N16" i="23" s="1"/>
  <c r="L15" i="23"/>
  <c r="L14" i="23"/>
  <c r="L13" i="23"/>
  <c r="L12" i="23"/>
  <c r="L11" i="23"/>
  <c r="L10" i="23"/>
  <c r="L9" i="23"/>
  <c r="L58" i="23"/>
  <c r="L54" i="23"/>
  <c r="N54" i="23" s="1"/>
  <c r="L50" i="23"/>
  <c r="N50" i="23" s="1"/>
  <c r="L55" i="23"/>
  <c r="L49" i="23"/>
  <c r="R49" i="23" s="1"/>
  <c r="L53" i="23"/>
  <c r="L52" i="23"/>
  <c r="L51" i="23"/>
  <c r="L46" i="23"/>
  <c r="L45" i="23"/>
  <c r="L48" i="23"/>
  <c r="L47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57" i="23"/>
  <c r="L56" i="23"/>
  <c r="C8" i="47" l="1"/>
  <c r="P33" i="23"/>
  <c r="P62" i="23" s="1"/>
  <c r="L65" i="23" s="1"/>
  <c r="L62" i="23"/>
  <c r="L63" i="23" s="1"/>
  <c r="N47" i="23"/>
  <c r="N21" i="23"/>
  <c r="N25" i="23"/>
  <c r="N18" i="23"/>
  <c r="N9" i="23"/>
  <c r="N56" i="23"/>
  <c r="N45" i="23"/>
  <c r="E8" i="47" l="1"/>
  <c r="E8" i="144"/>
  <c r="N62" i="23"/>
  <c r="L64" i="23" s="1"/>
  <c r="D8" i="144" s="1"/>
  <c r="R62" i="23"/>
  <c r="L66" i="23" s="1"/>
  <c r="H119" i="37"/>
  <c r="L118" i="37"/>
  <c r="L117" i="37"/>
  <c r="L116" i="37"/>
  <c r="L115" i="37"/>
  <c r="L114" i="37"/>
  <c r="L113" i="37"/>
  <c r="L112" i="37"/>
  <c r="L111" i="37"/>
  <c r="L110" i="37"/>
  <c r="L109" i="37"/>
  <c r="L108" i="37"/>
  <c r="L107" i="37"/>
  <c r="L105" i="37"/>
  <c r="L104" i="37"/>
  <c r="L103" i="37"/>
  <c r="L102" i="37"/>
  <c r="L101" i="37"/>
  <c r="L100" i="37"/>
  <c r="L99" i="37"/>
  <c r="L98" i="37"/>
  <c r="L97" i="37"/>
  <c r="L96" i="37"/>
  <c r="L95" i="37"/>
  <c r="L94" i="37"/>
  <c r="L93" i="37"/>
  <c r="L92" i="37"/>
  <c r="L91" i="37"/>
  <c r="L90" i="37"/>
  <c r="L89" i="37"/>
  <c r="L88" i="37"/>
  <c r="L87" i="37"/>
  <c r="L86" i="37"/>
  <c r="L85" i="37"/>
  <c r="P85" i="37" s="1"/>
  <c r="L84" i="37"/>
  <c r="R84" i="37" s="1"/>
  <c r="L83" i="37"/>
  <c r="P83" i="37" s="1"/>
  <c r="L82" i="37"/>
  <c r="P82" i="37" s="1"/>
  <c r="L81" i="37"/>
  <c r="L80" i="37"/>
  <c r="R80" i="37" s="1"/>
  <c r="L79" i="37"/>
  <c r="R79" i="37" s="1"/>
  <c r="L78" i="37"/>
  <c r="L77" i="37"/>
  <c r="L76" i="37"/>
  <c r="L75" i="37"/>
  <c r="L74" i="37"/>
  <c r="L73" i="37"/>
  <c r="L72" i="37"/>
  <c r="L71" i="37"/>
  <c r="L70" i="37"/>
  <c r="L69" i="37"/>
  <c r="L68" i="37"/>
  <c r="L67" i="37"/>
  <c r="L66" i="37"/>
  <c r="L65" i="37"/>
  <c r="L64" i="37"/>
  <c r="L63" i="37"/>
  <c r="L62" i="37"/>
  <c r="L61" i="37"/>
  <c r="L60" i="37"/>
  <c r="L59" i="37"/>
  <c r="L58" i="37"/>
  <c r="L57" i="37"/>
  <c r="L56" i="37"/>
  <c r="L55" i="37"/>
  <c r="N55" i="37" s="1"/>
  <c r="L54" i="37"/>
  <c r="N54" i="37" s="1"/>
  <c r="L53" i="37"/>
  <c r="L52" i="37"/>
  <c r="L51" i="37"/>
  <c r="L50" i="37"/>
  <c r="L49" i="37"/>
  <c r="L48" i="37"/>
  <c r="L47" i="37"/>
  <c r="L46" i="37"/>
  <c r="L45" i="37"/>
  <c r="L44" i="37"/>
  <c r="L43" i="37"/>
  <c r="N43" i="37" s="1"/>
  <c r="L42" i="37"/>
  <c r="N42" i="37" s="1"/>
  <c r="L41" i="37"/>
  <c r="L40" i="37"/>
  <c r="L39" i="37"/>
  <c r="L38" i="37"/>
  <c r="L37" i="37"/>
  <c r="L36" i="37"/>
  <c r="L35" i="37"/>
  <c r="L34" i="37"/>
  <c r="L33" i="37"/>
  <c r="L32" i="37"/>
  <c r="L31" i="37"/>
  <c r="L30" i="37"/>
  <c r="L29" i="37"/>
  <c r="L28" i="37"/>
  <c r="L27" i="37"/>
  <c r="L26" i="37"/>
  <c r="L25" i="37"/>
  <c r="L24" i="37"/>
  <c r="L23" i="37"/>
  <c r="L22" i="37"/>
  <c r="L21" i="37"/>
  <c r="L20" i="37"/>
  <c r="L19" i="37"/>
  <c r="L18" i="37"/>
  <c r="L17" i="37"/>
  <c r="L16" i="37"/>
  <c r="L15" i="37"/>
  <c r="L14" i="37"/>
  <c r="L13" i="37"/>
  <c r="L12" i="37"/>
  <c r="L11" i="37"/>
  <c r="L10" i="37"/>
  <c r="F8" i="47" l="1"/>
  <c r="F8" i="144"/>
  <c r="H120" i="37"/>
  <c r="C9" i="144"/>
  <c r="N40" i="37"/>
  <c r="D8" i="47"/>
  <c r="R86" i="37"/>
  <c r="N24" i="37"/>
  <c r="N51" i="37"/>
  <c r="R110" i="37"/>
  <c r="R11" i="37"/>
  <c r="N63" i="37"/>
  <c r="N92" i="37"/>
  <c r="N94" i="37"/>
  <c r="R18" i="37"/>
  <c r="N58" i="37"/>
  <c r="N66" i="37"/>
  <c r="R100" i="37"/>
  <c r="P119" i="37"/>
  <c r="L119" i="37"/>
  <c r="L120" i="37" s="1"/>
  <c r="F275" i="137" l="1"/>
  <c r="G21" i="129"/>
  <c r="L122" i="37"/>
  <c r="E9" i="144"/>
  <c r="N119" i="37"/>
  <c r="R119" i="37"/>
  <c r="F9" i="144" s="1"/>
  <c r="L121" i="37" l="1"/>
  <c r="D9" i="144"/>
  <c r="L123" i="37"/>
  <c r="F14" i="77"/>
  <c r="F16" i="77"/>
  <c r="F17" i="77"/>
  <c r="F18" i="77"/>
  <c r="F12" i="77"/>
  <c r="C18" i="76"/>
  <c r="F18" i="76" s="1"/>
  <c r="F19" i="77" l="1"/>
  <c r="AI16" i="65"/>
  <c r="AK16" i="65" s="1"/>
  <c r="E9" i="68" s="1"/>
  <c r="H9" i="68" s="1"/>
  <c r="D37" i="61"/>
  <c r="D264" i="61" s="1"/>
  <c r="J12" i="61" l="1"/>
  <c r="G13" i="68" l="1"/>
  <c r="F13" i="68"/>
  <c r="J23" i="61"/>
  <c r="J22" i="61"/>
  <c r="J21" i="61"/>
  <c r="J20" i="61"/>
  <c r="J264" i="61" l="1"/>
  <c r="K264" i="61" l="1"/>
  <c r="I264" i="61"/>
  <c r="E18" i="66"/>
  <c r="L14" i="66"/>
  <c r="L15" i="66"/>
  <c r="L16" i="66"/>
  <c r="L17" i="66"/>
  <c r="L13" i="66"/>
  <c r="I13" i="66"/>
  <c r="I17" i="66"/>
  <c r="I16" i="66"/>
  <c r="I15" i="66"/>
  <c r="I14" i="66"/>
  <c r="G18" i="66"/>
  <c r="N18" i="66"/>
  <c r="D13" i="68"/>
  <c r="M14" i="66" l="1"/>
  <c r="O14" i="66" s="1"/>
  <c r="M16" i="66"/>
  <c r="O16" i="66" s="1"/>
  <c r="M17" i="66"/>
  <c r="O17" i="66" s="1"/>
  <c r="M15" i="66"/>
  <c r="O15" i="66" s="1"/>
  <c r="M13" i="66"/>
  <c r="O13" i="66" s="1"/>
  <c r="J18" i="66"/>
  <c r="D18" i="66"/>
  <c r="H18" i="66"/>
  <c r="F18" i="66"/>
  <c r="AH21" i="65"/>
  <c r="AG21" i="65"/>
  <c r="AF21" i="65"/>
  <c r="AE21" i="65"/>
  <c r="AD21" i="65"/>
  <c r="AC21" i="65"/>
  <c r="AB21" i="65"/>
  <c r="AA21" i="65"/>
  <c r="Z21" i="65"/>
  <c r="Y21" i="65"/>
  <c r="X21" i="65"/>
  <c r="W21" i="65"/>
  <c r="V21" i="65"/>
  <c r="U21" i="65"/>
  <c r="T21" i="65"/>
  <c r="S21" i="65"/>
  <c r="R21" i="65"/>
  <c r="Q21" i="65"/>
  <c r="P21" i="65"/>
  <c r="O21" i="65"/>
  <c r="N21" i="65"/>
  <c r="M21" i="65"/>
  <c r="L21" i="65"/>
  <c r="K21" i="65"/>
  <c r="J21" i="65"/>
  <c r="I21" i="65"/>
  <c r="H21" i="65"/>
  <c r="G21" i="65"/>
  <c r="F21" i="65"/>
  <c r="E21" i="65"/>
  <c r="D21" i="65"/>
  <c r="AI20" i="65"/>
  <c r="AK20" i="65" s="1"/>
  <c r="E12" i="68" s="1"/>
  <c r="H12" i="68" s="1"/>
  <c r="AI19" i="65"/>
  <c r="AK19" i="65" s="1"/>
  <c r="E11" i="68" s="1"/>
  <c r="H11" i="68" s="1"/>
  <c r="AI18" i="65"/>
  <c r="AI17" i="65"/>
  <c r="AK17" i="65" s="1"/>
  <c r="E10" i="68" s="1"/>
  <c r="H10" i="68" s="1"/>
  <c r="AI15" i="65"/>
  <c r="AI14" i="65"/>
  <c r="AI13" i="65"/>
  <c r="AI12" i="65"/>
  <c r="AK12" i="65" s="1"/>
  <c r="E8" i="68" s="1"/>
  <c r="H8" i="68" s="1"/>
  <c r="J306" i="143" l="1"/>
  <c r="J700" i="143" s="1"/>
  <c r="F702" i="143" s="1"/>
  <c r="F703" i="143" s="1"/>
  <c r="F704" i="143" s="1"/>
  <c r="C854" i="143" s="1"/>
  <c r="K49" i="129"/>
  <c r="K340" i="129" s="1"/>
  <c r="C342" i="129" s="1"/>
  <c r="J306" i="137"/>
  <c r="J602" i="137" s="1"/>
  <c r="C604" i="137" s="1"/>
  <c r="AJ14" i="65"/>
  <c r="AK14" i="65" s="1"/>
  <c r="AJ13" i="65"/>
  <c r="AJ15" i="65"/>
  <c r="AK15" i="65" s="1"/>
  <c r="AJ18" i="65"/>
  <c r="AK18" i="65" s="1"/>
  <c r="H13" i="68"/>
  <c r="AI21" i="65"/>
  <c r="C264" i="61" l="1"/>
  <c r="E264" i="61"/>
  <c r="AJ21" i="65"/>
  <c r="AK13" i="65"/>
  <c r="I18" i="66"/>
  <c r="AK21" i="65" l="1"/>
  <c r="O18" i="66"/>
  <c r="M18" i="66"/>
  <c r="J64" i="56" l="1"/>
  <c r="M8" i="56"/>
  <c r="M64" i="56" s="1"/>
  <c r="L16" i="17" l="1"/>
  <c r="F12" i="17"/>
  <c r="F15" i="17"/>
  <c r="R15" i="17" s="1"/>
  <c r="K9" i="17"/>
  <c r="R9" i="17" s="1"/>
  <c r="K14" i="17"/>
  <c r="R14" i="17" s="1"/>
  <c r="K10" i="17"/>
  <c r="D10" i="17"/>
  <c r="D11" i="17"/>
  <c r="D12" i="17"/>
  <c r="R12" i="17" s="1"/>
  <c r="D13" i="17"/>
  <c r="R13" i="17" s="1"/>
  <c r="D14" i="17"/>
  <c r="D15" i="17"/>
  <c r="D9" i="17"/>
  <c r="H9" i="17" l="1"/>
  <c r="N9" i="17"/>
  <c r="H12" i="17"/>
  <c r="N10" i="17"/>
  <c r="H10" i="17"/>
  <c r="N14" i="17"/>
  <c r="H14" i="17"/>
  <c r="M14" i="17" s="1"/>
  <c r="H15" i="17"/>
  <c r="M15" i="17" s="1"/>
  <c r="H13" i="17"/>
  <c r="N13" i="17"/>
  <c r="O13" i="17" s="1"/>
  <c r="H11" i="17"/>
  <c r="N11" i="17"/>
  <c r="F16" i="17"/>
  <c r="K16" i="17"/>
  <c r="R10" i="17"/>
  <c r="R11" i="17"/>
  <c r="M12" i="17" l="1"/>
  <c r="M11" i="17"/>
  <c r="M13" i="17"/>
  <c r="M10" i="17"/>
  <c r="M9" i="17"/>
  <c r="H16" i="17"/>
  <c r="M16" i="17" l="1"/>
  <c r="C19" i="108" l="1"/>
  <c r="C24" i="108" s="1"/>
  <c r="C9" i="47"/>
  <c r="E9" i="47" l="1"/>
  <c r="E15" i="47" s="1"/>
  <c r="D9" i="47" l="1"/>
  <c r="F9" i="47"/>
  <c r="G22" i="129" l="1"/>
  <c r="G340" i="129" s="1"/>
  <c r="C341" i="129" s="1"/>
  <c r="C343" i="129" s="1"/>
  <c r="F276" i="137"/>
  <c r="F602" i="137" s="1"/>
  <c r="C603" i="137" s="1"/>
  <c r="C605" i="137" s="1"/>
  <c r="C606" i="137" s="1"/>
  <c r="H9" i="47"/>
  <c r="D16" i="17" l="1"/>
  <c r="C16" i="17"/>
  <c r="H8" i="47" l="1"/>
  <c r="J16" i="17" l="1"/>
  <c r="I16" i="17"/>
  <c r="L185" i="102" l="1"/>
  <c r="E14" i="144" l="1"/>
  <c r="E15" i="144" s="1"/>
  <c r="C14" i="144" l="1"/>
  <c r="C15" i="144" s="1"/>
  <c r="D14" i="47" l="1"/>
  <c r="D15" i="47" s="1"/>
  <c r="D14" i="144"/>
  <c r="D15" i="144" s="1"/>
  <c r="F14" i="47" l="1"/>
  <c r="F15" i="47" s="1"/>
  <c r="F14" i="144"/>
  <c r="F15" i="144" s="1"/>
  <c r="H8" i="144" s="1"/>
  <c r="H15" i="144" s="1"/>
  <c r="C14" i="47" l="1"/>
  <c r="C15" i="47" s="1"/>
  <c r="H14" i="47" l="1"/>
  <c r="H15" i="47" s="1"/>
</calcChain>
</file>

<file path=xl/comments1.xml><?xml version="1.0" encoding="utf-8"?>
<comments xmlns="http://schemas.openxmlformats.org/spreadsheetml/2006/main">
  <authors>
    <author>Author</author>
  </authors>
  <commentList>
    <comment ref="J18" author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Năm 2019 tính thưởng 5%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G264" authorId="0">
      <text>
        <r>
          <rPr>
            <sz val="9"/>
            <color indexed="81"/>
            <rFont val="Tahoma"/>
            <family val="2"/>
            <charset val="163"/>
          </rPr>
          <t xml:space="preserve">Chốt đến ngày 16/9 cty đã thanh toán hết các khoản a Sơn ứng ra cho cty vay cũng như các khoản a Sơn chi Tiền cá nhân để chi cho cty.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B61" authorId="0">
      <text>
        <r>
          <rPr>
            <b/>
            <sz val="9"/>
            <color indexed="81"/>
            <rFont val="Tahoma"/>
            <family val="2"/>
            <charset val="163"/>
          </rPr>
          <t>Admin: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B13" authorId="0">
      <text>
        <r>
          <rPr>
            <b/>
            <sz val="9"/>
            <color indexed="81"/>
            <rFont val="Tahoma"/>
            <family val="2"/>
            <charset val="163"/>
          </rPr>
          <t>Admin: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K6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Sang bảng thanh toán mới là ký nhận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6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Sang bảng thanh toán mới là ký nhận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J6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Sang bảng thanh toán mới là ký nhận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P11" authorId="0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Sang bảng thanh toán mới là ký nhận</t>
        </r>
      </text>
    </comment>
  </commentList>
</comments>
</file>

<file path=xl/sharedStrings.xml><?xml version="1.0" encoding="utf-8"?>
<sst xmlns="http://schemas.openxmlformats.org/spreadsheetml/2006/main" count="10369" uniqueCount="2379">
  <si>
    <t>STT</t>
  </si>
  <si>
    <t>Ghi chú</t>
  </si>
  <si>
    <t>Tổng cộng</t>
  </si>
  <si>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</si>
  <si>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</si>
  <si>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</si>
  <si>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</si>
  <si>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VPĐD: ( 024) 22.16.76.76  Tòa Golden An Khánh , HN</t>
  </si>
  <si>
    <t xml:space="preserve">Hotline: 0987.62.82.62 - Website: suanano.vn   </t>
  </si>
  <si>
    <t>TK: 21710004668889 BIDV Chi nhánh Từ Liêm</t>
  </si>
  <si>
    <t>Tên cổ đông</t>
  </si>
  <si>
    <t>Số cổ phần</t>
  </si>
  <si>
    <t>Anh Lâm</t>
  </si>
  <si>
    <t>Anh Long</t>
  </si>
  <si>
    <t>Anh Thịnh</t>
  </si>
  <si>
    <t>Anh Nam</t>
  </si>
  <si>
    <t>Anh Hùng</t>
  </si>
  <si>
    <t>Anh Sơn</t>
  </si>
  <si>
    <t>Anh Hà</t>
  </si>
  <si>
    <t>GIÁM ĐỐC</t>
  </si>
  <si>
    <t>Sản phẩm</t>
  </si>
  <si>
    <t>Khối lượng</t>
  </si>
  <si>
    <t>Chiết khấu</t>
  </si>
  <si>
    <t>Tên khách hàng</t>
  </si>
  <si>
    <t>Em Thảo</t>
  </si>
  <si>
    <t>Địa chỉ</t>
  </si>
  <si>
    <t>Tuệ Tĩnh Hà Nội</t>
  </si>
  <si>
    <t>Số điện thoại</t>
  </si>
  <si>
    <t>Nano Milk</t>
  </si>
  <si>
    <t>Mã sản phẩm</t>
  </si>
  <si>
    <t>450gr</t>
  </si>
  <si>
    <t>1CX45</t>
  </si>
  <si>
    <t>900gr</t>
  </si>
  <si>
    <t>1CX90</t>
  </si>
  <si>
    <t>2CX45</t>
  </si>
  <si>
    <t>2CX90</t>
  </si>
  <si>
    <t>3CX45</t>
  </si>
  <si>
    <t>3CX90</t>
  </si>
  <si>
    <t>BCX45</t>
  </si>
  <si>
    <t>GCX45</t>
  </si>
  <si>
    <t>GCX90</t>
  </si>
  <si>
    <t>SN45</t>
  </si>
  <si>
    <t>TD90</t>
  </si>
  <si>
    <t>Giảm cân</t>
  </si>
  <si>
    <t>GC90</t>
  </si>
  <si>
    <t>Hộp 60 viên</t>
  </si>
  <si>
    <t>SOY</t>
  </si>
  <si>
    <t>BẢNG MÃ SẢN PHẨM</t>
  </si>
  <si>
    <t>TT</t>
  </si>
  <si>
    <t>Đơn giá (VNĐ)</t>
  </si>
  <si>
    <t>Người già</t>
  </si>
  <si>
    <t>Bà Bầu</t>
  </si>
  <si>
    <t>Sữa kháng thể</t>
  </si>
  <si>
    <t>Viên Soy</t>
  </si>
  <si>
    <t>Số 1. Trẻ dưới 3 tuổi</t>
  </si>
  <si>
    <t>Số 2. Từ 3- 12 tuổi</t>
  </si>
  <si>
    <t>Số 3. Trên 13 tuổi</t>
  </si>
  <si>
    <t>Sữa non Nano Milk</t>
  </si>
  <si>
    <t>Collagen Nội tiết tố</t>
  </si>
  <si>
    <t>Tiểu đường Tim mạch</t>
  </si>
  <si>
    <t>BCX90</t>
  </si>
  <si>
    <t>Em Tâm</t>
  </si>
  <si>
    <t>0947813786</t>
  </si>
  <si>
    <t>Anh Hùng ( Biếu hỗ trợ họp báo)</t>
  </si>
  <si>
    <t>0912065819</t>
  </si>
  <si>
    <t>Nhà phân phối</t>
  </si>
  <si>
    <t>Chị Hiền</t>
  </si>
  <si>
    <t>Cty XNK Tuấn Tú Kao</t>
  </si>
  <si>
    <t>Nhà báo</t>
  </si>
  <si>
    <t>0943945657- 0865152079</t>
  </si>
  <si>
    <t>Số 32 N7B ngõ 7 Hoàng Minh Giám</t>
  </si>
  <si>
    <t>Chị khách hàng</t>
  </si>
  <si>
    <t>0904251919</t>
  </si>
  <si>
    <t>TP Vĩnh Yên</t>
  </si>
  <si>
    <t>0988269968</t>
  </si>
  <si>
    <t>TP Điện Biên</t>
  </si>
  <si>
    <t>TP Tuyên Quang</t>
  </si>
  <si>
    <t>Phòng kinh doanh</t>
  </si>
  <si>
    <t>Em Dung</t>
  </si>
  <si>
    <t>Liên Hương</t>
  </si>
  <si>
    <t>Công ty</t>
  </si>
  <si>
    <t>Em Chung</t>
  </si>
  <si>
    <t>0913328266</t>
  </si>
  <si>
    <t>0969229828</t>
  </si>
  <si>
    <t>KẾ TOÁN</t>
  </si>
  <si>
    <t>THỦ QUỸ</t>
  </si>
  <si>
    <t>Em Ngọc ( Giáo viên)</t>
  </si>
  <si>
    <t>Số lượng (hộp)</t>
  </si>
  <si>
    <t>1 hộp/6 chiếc</t>
  </si>
  <si>
    <t>Hàng tặng</t>
  </si>
  <si>
    <t>Cốc uống nước</t>
  </si>
  <si>
    <t>Diễn giải</t>
  </si>
  <si>
    <t>Các khoản chi</t>
  </si>
  <si>
    <t>28/7</t>
  </si>
  <si>
    <t>Thực phẩm bữa trưa tại văn phòng</t>
  </si>
  <si>
    <t>Áo phông</t>
  </si>
  <si>
    <t>Túi bóng</t>
  </si>
  <si>
    <t>Tờ rơi</t>
  </si>
  <si>
    <t>TK:333336368888 ACB Phòng GD Tây Hồ HN</t>
  </si>
  <si>
    <t>Bùi Ngọc Long</t>
  </si>
  <si>
    <t>01234811616</t>
  </si>
  <si>
    <t>Tiền mặt (111)</t>
  </si>
  <si>
    <t>Tiền gửi ngân hàng (112)</t>
  </si>
  <si>
    <t>Ngày, tháng</t>
  </si>
  <si>
    <t>Sale</t>
  </si>
  <si>
    <t>Thông tin khách hàng</t>
  </si>
  <si>
    <t>Hình thức hợp tác</t>
  </si>
  <si>
    <t>Thông tin sản phẩm</t>
  </si>
  <si>
    <t>Đại lý</t>
  </si>
  <si>
    <t>Nguyễn Thị Thi</t>
  </si>
  <si>
    <t>0982038758</t>
  </si>
  <si>
    <t>Phạm Thuỳ Duyên</t>
  </si>
  <si>
    <t>0904622744</t>
  </si>
  <si>
    <t>Anh Phong</t>
  </si>
  <si>
    <t>Mỹ Đình</t>
  </si>
  <si>
    <t>0989330686</t>
  </si>
  <si>
    <t>Hà Đông</t>
  </si>
  <si>
    <t>Thanh Xuân</t>
  </si>
  <si>
    <t>032607418</t>
  </si>
  <si>
    <t>Phạm Kim Chung</t>
  </si>
  <si>
    <t>0349205273</t>
  </si>
  <si>
    <t>Chị Vân</t>
  </si>
  <si>
    <t>Định Công Thượng, Hoàng Mai</t>
  </si>
  <si>
    <t>0964371923</t>
  </si>
  <si>
    <t>Nguyễn Thị Hiên</t>
  </si>
  <si>
    <t>COC</t>
  </si>
  <si>
    <t>Tặng 01 cốc</t>
  </si>
  <si>
    <t>Khách lẻ</t>
  </si>
  <si>
    <t>KH trừ 200.000đ tiền phí vận chuyển</t>
  </si>
  <si>
    <t>Phí chuyển khoản</t>
  </si>
  <si>
    <t>Thông tin về sản phẩm</t>
  </si>
  <si>
    <t>Tiền mặt ( 111)</t>
  </si>
  <si>
    <t>Chuyển khoản (112)</t>
  </si>
  <si>
    <t>Chưa thanh toán (131)</t>
  </si>
  <si>
    <t>Anh Xuân</t>
  </si>
  <si>
    <t>Phúc Yên</t>
  </si>
  <si>
    <t>Em Lan</t>
  </si>
  <si>
    <t>Sài Gòn</t>
  </si>
  <si>
    <t>182 Trần Khát Chân- HN</t>
  </si>
  <si>
    <t>Chị Bình</t>
  </si>
  <si>
    <t>Nguyễn Văn Huyên, Xuân Đỉnh, HN</t>
  </si>
  <si>
    <t>Khánh Tân, Khánh Phú, Yên Khánh, Ninh Bình</t>
  </si>
  <si>
    <t>0988046399</t>
  </si>
  <si>
    <t>Tặng KH</t>
  </si>
  <si>
    <t>Xuân Hòa Lập Thạch</t>
  </si>
  <si>
    <t>Anh Phi</t>
  </si>
  <si>
    <t>Vĩnh Phúc</t>
  </si>
  <si>
    <t>Nguyễn Văn Huyên</t>
  </si>
  <si>
    <t>182 Trần Khát Chân</t>
  </si>
  <si>
    <t>Số tiền</t>
  </si>
  <si>
    <t>14/8</t>
  </si>
  <si>
    <t>Thành tiền trên hoá đơn bán hàng(VNĐ)</t>
  </si>
  <si>
    <t>Cty thiếu 5 hộp sữa non chuyển sau</t>
  </si>
  <si>
    <t>Ngày</t>
  </si>
  <si>
    <t>Thành tiền</t>
  </si>
  <si>
    <t xml:space="preserve">Doanh thu bán hàng tháng 7 </t>
  </si>
  <si>
    <t>Thu về tiền mặt</t>
  </si>
  <si>
    <t>Thu về TGNH</t>
  </si>
  <si>
    <t>Công nợ phải thu KH</t>
  </si>
  <si>
    <t>Doanh thu bán hàng tháng 8</t>
  </si>
  <si>
    <t>19/8</t>
  </si>
  <si>
    <t>Quay phim</t>
  </si>
  <si>
    <t>Chụp ảnh</t>
  </si>
  <si>
    <t>Standee (7 chiếc)</t>
  </si>
  <si>
    <t>Chân Standee ( 7 chiếc)</t>
  </si>
  <si>
    <t>Background sân khấu (1 chiếc)</t>
  </si>
  <si>
    <t>Tờ gấp A4 (300 tờ)</t>
  </si>
  <si>
    <t>Bốc thăm (18 tờ+ bế)</t>
  </si>
  <si>
    <t>Bút next slide (1 chiếc)</t>
  </si>
  <si>
    <t>Băng dính (1 cuộn)</t>
  </si>
  <si>
    <t>Giấy gói quà (3 tờ)</t>
  </si>
  <si>
    <t>Dây băng ( 1 cuộn)</t>
  </si>
  <si>
    <t>Dập ghim ( 1 chiếc)</t>
  </si>
  <si>
    <t>Bút bi ( 1 hộp)</t>
  </si>
  <si>
    <t>17/8</t>
  </si>
  <si>
    <t xml:space="preserve">Cafe họp </t>
  </si>
  <si>
    <t>20/7</t>
  </si>
  <si>
    <t>Số lượng</t>
  </si>
  <si>
    <t>ĐVT</t>
  </si>
  <si>
    <t>Phòng kho vận</t>
  </si>
  <si>
    <t>Chị Hà</t>
  </si>
  <si>
    <t>Ngõ 7 Hoàng Minh Giám</t>
  </si>
  <si>
    <t>Tiền bán hàng thực tế thu về</t>
  </si>
  <si>
    <t>Người nhận tạm ứng</t>
  </si>
  <si>
    <t>Chi tiết các khoản chi</t>
  </si>
  <si>
    <t>Số tiền cá nhân tự bỏ</t>
  </si>
  <si>
    <t>Lan</t>
  </si>
  <si>
    <t>Tâm</t>
  </si>
  <si>
    <t>18/8</t>
  </si>
  <si>
    <t>24 hộp/ thùng bé; 12 hộp/thùng to</t>
  </si>
  <si>
    <t xml:space="preserve">Tổng doanh số bán hàng toàn công ty tháng 7/2019 </t>
  </si>
  <si>
    <t>Thực tế tiền mặt thu về tháng 7/2019</t>
  </si>
  <si>
    <t>Thực tế công nợ KH phải thanh toán tháng 7/2019</t>
  </si>
  <si>
    <t>Doanh số anh Lâm tháng 7/2019</t>
  </si>
  <si>
    <t xml:space="preserve">Tổng doanh số bán hàng toàn công ty tháng 8/2019 </t>
  </si>
  <si>
    <t>Thực tế tiền mặt thu về tháng 8/2019</t>
  </si>
  <si>
    <t>Thực tế công nợ KH phải thanh toán tháng 8/2019</t>
  </si>
  <si>
    <t>Doanh số anh Lâm tháng 8/2019</t>
  </si>
  <si>
    <t>Doanh số anh Sơn tháng 8/2019</t>
  </si>
  <si>
    <t>Doanh số em Lan tháng 8/2019</t>
  </si>
  <si>
    <t>Doanh số em Tâm tháng 8/2019</t>
  </si>
  <si>
    <t>Doanh số em Long tháng 8/2019</t>
  </si>
  <si>
    <t>Doanh số em Long tháng 7/2019</t>
  </si>
  <si>
    <t>Tiến độ thanh toán</t>
  </si>
  <si>
    <t>Cty nhập hàng đợt 2</t>
  </si>
  <si>
    <t>Số tiền thanh toán cho nhà cung cấp</t>
  </si>
  <si>
    <t>Lần 1</t>
  </si>
  <si>
    <t>Lần 2</t>
  </si>
  <si>
    <t>Thanh toán 100%</t>
  </si>
  <si>
    <t>Thành tiền (VNĐ)</t>
  </si>
  <si>
    <t>Số tiền các cổ đông đã đóng lần 1 ( ngày 28/6)</t>
  </si>
  <si>
    <t>Cổ phần ưu đãi</t>
  </si>
  <si>
    <t>Quyền lợi</t>
  </si>
  <si>
    <t>Tiền cty vay cá nhân để trang trải chi phí hoạt động thời gian đầu</t>
  </si>
  <si>
    <t>Không hưởng lương trong 2 năm</t>
  </si>
  <si>
    <t xml:space="preserve">Số tiền dự kiến thu của giai đoạn 1 (nộp 50%) </t>
  </si>
  <si>
    <t>Thu tiền cổ đông giai đoạn 1 (50%)</t>
  </si>
  <si>
    <t>Thu tiền cổ đông giai đoạn 2 (50%)</t>
  </si>
  <si>
    <t>Tiền lương cty phải thanh toán 3 tháng 5,6,7/2019</t>
  </si>
  <si>
    <t>Số tiền các cổ đông còn phải đóng lần 2 (tháng 8)</t>
  </si>
  <si>
    <t>24/07</t>
  </si>
  <si>
    <t>28/07</t>
  </si>
  <si>
    <t>26/07</t>
  </si>
  <si>
    <t>25/07</t>
  </si>
  <si>
    <t>27/07</t>
  </si>
  <si>
    <t>31/07</t>
  </si>
  <si>
    <t>Số lượng (thùng)</t>
  </si>
  <si>
    <t>Đã báo cáo ban quản trị doanh số chốt đến 19/8</t>
  </si>
  <si>
    <t>01/08</t>
  </si>
  <si>
    <t>02/08</t>
  </si>
  <si>
    <t>03/08</t>
  </si>
  <si>
    <t>04/08</t>
  </si>
  <si>
    <t>05/08</t>
  </si>
  <si>
    <t>07/08</t>
  </si>
  <si>
    <t>10/08</t>
  </si>
  <si>
    <t>16/8</t>
  </si>
  <si>
    <t>Bệnh viện nội tiết</t>
  </si>
  <si>
    <t>21/8</t>
  </si>
  <si>
    <t>22/8</t>
  </si>
  <si>
    <t>23/8</t>
  </si>
  <si>
    <t>BẢNG KÊ CHI TIẾT HÀNG BÁN BỊ TRẢ LẠI</t>
  </si>
  <si>
    <t>24/8</t>
  </si>
  <si>
    <t>Cty</t>
  </si>
  <si>
    <t>(Ký, họ tên)</t>
  </si>
  <si>
    <t>DANH MỤC NHÀ CUNG CẤP</t>
  </si>
  <si>
    <t>Tên nhà cung cấp</t>
  </si>
  <si>
    <t>Điện thoại</t>
  </si>
  <si>
    <t>Email</t>
  </si>
  <si>
    <t>Số tài khoản</t>
  </si>
  <si>
    <t>Cty điện lực Hoài Đức</t>
  </si>
  <si>
    <t>Ban quản lý tòa nhà</t>
  </si>
  <si>
    <t>C.Mai Kế toán: 0932233345</t>
  </si>
  <si>
    <t>( Đã gồm VAT)</t>
  </si>
  <si>
    <t>395km, đơn giá 2.000đ/km</t>
  </si>
  <si>
    <t xml:space="preserve">  NANO MILK CANXI</t>
  </si>
  <si>
    <t>Mua két sắt Hòa Phát</t>
  </si>
  <si>
    <t>0983978775</t>
  </si>
  <si>
    <t>29/8</t>
  </si>
  <si>
    <t>Sông Lô Vĩnh Phúc</t>
  </si>
  <si>
    <t>097482887</t>
  </si>
  <si>
    <t>28/8</t>
  </si>
  <si>
    <t>TP Hà Giang</t>
  </si>
  <si>
    <t>0981379123</t>
  </si>
  <si>
    <t>25/8</t>
  </si>
  <si>
    <t>35 Tràng Thi, Hoàn Kiếm, HN</t>
  </si>
  <si>
    <t>0983516987</t>
  </si>
  <si>
    <t>30/8</t>
  </si>
  <si>
    <t>số 37, ngõ 38, An Đà Trạch Tray, Hải Phòng</t>
  </si>
  <si>
    <t>Chị Thùy Trinh</t>
  </si>
  <si>
    <t>Demo marketing SP Soy</t>
  </si>
  <si>
    <t>DANH NHẬN QUÀ 2-9</t>
  </si>
  <si>
    <t>Mỗi nhân viên 02 hộp sữa 450gr NanoMilk Canxi</t>
  </si>
  <si>
    <t>Đi làm cả ngày</t>
  </si>
  <si>
    <t>x</t>
  </si>
  <si>
    <t>Đi làm nửa ngày</t>
  </si>
  <si>
    <t>x/2</t>
  </si>
  <si>
    <t>Nghỉ</t>
  </si>
  <si>
    <t>N</t>
  </si>
  <si>
    <t>Đi công tác</t>
  </si>
  <si>
    <t>CT</t>
  </si>
  <si>
    <t>BẢNG CHẤM CÔNG THÁNG 08 NĂM 2019</t>
  </si>
  <si>
    <t>Họ và tên</t>
  </si>
  <si>
    <t>Chức vụ/Bộ phận</t>
  </si>
  <si>
    <t>Ngày trong tháng</t>
  </si>
  <si>
    <t>T5</t>
  </si>
  <si>
    <t>T6</t>
  </si>
  <si>
    <t>T7</t>
  </si>
  <si>
    <t>CN</t>
  </si>
  <si>
    <t>T2</t>
  </si>
  <si>
    <t>T3</t>
  </si>
  <si>
    <t>T4</t>
  </si>
  <si>
    <t>Nguyễn Tiến Lâm</t>
  </si>
  <si>
    <t>Lê Đăng Long</t>
  </si>
  <si>
    <t>Giám đốc</t>
  </si>
  <si>
    <t>Nguyễn Văn Hà</t>
  </si>
  <si>
    <t>Nguyễn Đình Hùng</t>
  </si>
  <si>
    <t>Nguyễn Văn Sơn</t>
  </si>
  <si>
    <t>Trần Hương Lan</t>
  </si>
  <si>
    <t>Ngô Huy Thịnh</t>
  </si>
  <si>
    <t>Nguyễn Đình Nam</t>
  </si>
  <si>
    <t>Tổng số</t>
  </si>
  <si>
    <t>Hà nội, ngày    tháng    năm 2019</t>
  </si>
  <si>
    <t xml:space="preserve">Kế toán </t>
  </si>
  <si>
    <t>Người lập biểu</t>
  </si>
  <si>
    <t>Lò Thị Tâm</t>
  </si>
  <si>
    <t>Ký nhận</t>
  </si>
  <si>
    <t xml:space="preserve">       Giám đốc</t>
  </si>
  <si>
    <t xml:space="preserve">     (Ký, họ tên)</t>
  </si>
  <si>
    <t xml:space="preserve">  (Ký, họ tên)</t>
  </si>
  <si>
    <t xml:space="preserve">                Hà Nội, ngày....tháng... năm 2019</t>
  </si>
  <si>
    <t>Chức 
vụ</t>
  </si>
  <si>
    <t>Lương
Chính</t>
  </si>
  <si>
    <t>Phụ cấp</t>
  </si>
  <si>
    <t>Tổng
Thu Nhập</t>
  </si>
  <si>
    <t>Ngày
công
thực
tế</t>
  </si>
  <si>
    <t>Lương làm thêm giờ</t>
  </si>
  <si>
    <t>Tổng Lương
Thực Tế</t>
  </si>
  <si>
    <t>Tạm 
Ứng</t>
  </si>
  <si>
    <t>Thực 
lĩnh</t>
  </si>
  <si>
    <t>Ghi Chú</t>
  </si>
  <si>
    <t>Trách nhiệm</t>
  </si>
  <si>
    <t>Ăn trưa</t>
  </si>
  <si>
    <t>Xăng xe</t>
  </si>
  <si>
    <t>Số giờ</t>
  </si>
  <si>
    <t>TK: Công ty 21710004668889 BIDV Chi nhánh Từ Liêm</t>
  </si>
  <si>
    <t>TK: Công ty 333336368888 ACB Phòng GD Tây Hồ HN</t>
  </si>
  <si>
    <t>Mail: suanano.vn@gmail.com</t>
  </si>
  <si>
    <t>Web: suanano.vn</t>
  </si>
  <si>
    <t>DANH SÁCH CÁN BỘ NHÂN VIÊN</t>
  </si>
  <si>
    <t>Tên</t>
  </si>
  <si>
    <t>Chức vụ</t>
  </si>
  <si>
    <t>Ngân hàng</t>
  </si>
  <si>
    <t>Chi nhánh</t>
  </si>
  <si>
    <t>Chủ tịch HĐQT kiêm Giám đốc</t>
  </si>
  <si>
    <t>0987628262</t>
  </si>
  <si>
    <t>lamsuanano@gmail.com</t>
  </si>
  <si>
    <t>Vietcombank</t>
  </si>
  <si>
    <t>GĐ chiến lược và Kiểm soát tài chính</t>
  </si>
  <si>
    <t>0913219547</t>
  </si>
  <si>
    <t>thinh.nanomilk@gmail.com</t>
  </si>
  <si>
    <t>Giám đốc phụ trách pháp chế</t>
  </si>
  <si>
    <t>0918243004</t>
  </si>
  <si>
    <t>hananomilk@gmail.com</t>
  </si>
  <si>
    <t>100005798815</t>
  </si>
  <si>
    <t>Viettinbank</t>
  </si>
  <si>
    <t>Ba Đình</t>
  </si>
  <si>
    <t>Giám đốc Phòng Online và Marketing</t>
  </si>
  <si>
    <t>0869115337</t>
  </si>
  <si>
    <t>namnanomilk@gmail.com</t>
  </si>
  <si>
    <t>Trưởng phòng Kinh doanh</t>
  </si>
  <si>
    <t>0985117916</t>
  </si>
  <si>
    <t>hungnanomilk@gmail.com</t>
  </si>
  <si>
    <t>12010000224433</t>
  </si>
  <si>
    <t>BIDV</t>
  </si>
  <si>
    <t>Sở giao dịch Hà Nội</t>
  </si>
  <si>
    <t>Phòng Kinh doanh</t>
  </si>
  <si>
    <t>0979439289</t>
  </si>
  <si>
    <t>sonnanomilk@gmail.com</t>
  </si>
  <si>
    <t>0011004187427</t>
  </si>
  <si>
    <t>Nguyễn Chí Thanh Hà Nội</t>
  </si>
  <si>
    <t>Phòng Kinh doanh và thủ quỹ</t>
  </si>
  <si>
    <t>0975050368</t>
  </si>
  <si>
    <t>longnanomilk@gmail.com</t>
  </si>
  <si>
    <t>Techcombank</t>
  </si>
  <si>
    <t>Sở giao dịch Vincom Bà Triệu</t>
  </si>
  <si>
    <t>Lò Thị Minh Tâm</t>
  </si>
  <si>
    <t>Phòng Kho vận và Hành chính</t>
  </si>
  <si>
    <t>tamnanomilk@gmail.com</t>
  </si>
  <si>
    <t>104001319904</t>
  </si>
  <si>
    <t>Tỉnh Điện Biên</t>
  </si>
  <si>
    <t>Trần Thị Hương Lan</t>
  </si>
  <si>
    <t>Phòng Kế toán và Hành chính</t>
  </si>
  <si>
    <t>0918770486</t>
  </si>
  <si>
    <t>lannanomilk@gmail.com</t>
  </si>
  <si>
    <t>22010002322271</t>
  </si>
  <si>
    <t>Thăng Long</t>
  </si>
  <si>
    <t>Hỗ trợ cty trong 2 năm ko nhận lương</t>
  </si>
  <si>
    <t>Tổng cộng</t>
  </si>
  <si>
    <t xml:space="preserve">          Giám đốc</t>
  </si>
  <si>
    <t>BẢNG LƯƠNG THÁNG 08 NĂM 2019</t>
  </si>
  <si>
    <t>Các khoản trừ lương</t>
  </si>
  <si>
    <t>Thực lĩnh</t>
  </si>
  <si>
    <t>Tiền mua hàng chưa thanh toán</t>
  </si>
  <si>
    <t>3 tháng ko hưởng lương, sau này tính lương theo ngày thực tế làm</t>
  </si>
  <si>
    <t>Nguyễn Thị Hương</t>
  </si>
  <si>
    <t xml:space="preserve">   Giám đốc</t>
  </si>
  <si>
    <t>Hà Nội, ngày... tháng...năm 2019</t>
  </si>
  <si>
    <t>31/8</t>
  </si>
  <si>
    <t>1/9</t>
  </si>
  <si>
    <t>HĐ số 0397731</t>
  </si>
  <si>
    <t xml:space="preserve">Thuế GTGT </t>
  </si>
  <si>
    <t>Quán Cơm</t>
  </si>
  <si>
    <t>Thái Nguyên</t>
  </si>
  <si>
    <t>0982069636</t>
  </si>
  <si>
    <t>Thực tế hoá đơn bán hàng ghi 5.544.000đ( thu thừa of KH 400.000đ), nhắc Tâm sửa lại trên HĐơn</t>
  </si>
  <si>
    <t>Bách Thành</t>
  </si>
  <si>
    <t>0919829762</t>
  </si>
  <si>
    <t>Chị Nga</t>
  </si>
  <si>
    <t>Sản phẩm Demo</t>
  </si>
  <si>
    <t>Doanh số phòng kinh doanh tháng 8/2019</t>
  </si>
  <si>
    <t>Demo KH</t>
  </si>
  <si>
    <t>BẢNG THANH TOÁN LƯƠNG  VÀ CÁC KHOẢN PHỤ CẤP THÁNG 08 NĂM 2019</t>
  </si>
  <si>
    <t>Lan mua máy tính cho phòng kho vận</t>
  </si>
  <si>
    <t>3/9</t>
  </si>
  <si>
    <t>NH BIDV</t>
  </si>
  <si>
    <t>Người nộp</t>
  </si>
  <si>
    <t>Sơn Dương Tuyên Quang</t>
  </si>
  <si>
    <t>0365395728/0385917265</t>
  </si>
  <si>
    <t>Chi phí mua bàn hỗ trợ đại lý</t>
  </si>
  <si>
    <t>26/8</t>
  </si>
  <si>
    <t>Chi phí tiếp khách</t>
  </si>
  <si>
    <t>Tạm ứng lương</t>
  </si>
  <si>
    <t>Lương tính theo thực tế số ngày đi làm</t>
  </si>
  <si>
    <t>HĐ số 0000108</t>
  </si>
  <si>
    <t>Anh Thịnh đóng tiền cổ phần</t>
  </si>
  <si>
    <t>Anh Lâm đóng tiền cổ phần</t>
  </si>
  <si>
    <t>Thanh toán taxi đi lễ Bia Bà</t>
  </si>
  <si>
    <t>HĐ số 4429630</t>
  </si>
  <si>
    <t>HĐ số 4743127</t>
  </si>
  <si>
    <t>5/9</t>
  </si>
  <si>
    <t>Chi phí phòng kinh doanh đi công tác Tuyên Quang ngày 29/8,  tiền mua xăng</t>
  </si>
  <si>
    <t>Chi phí anh Hùng phòng kinh doanh đi Vĩnh Yên-Phúc Yên-Lập Thạch, tiền vé cầu đường</t>
  </si>
  <si>
    <t>Chi phí anh Hùng phòng kinh doanh đi công tác Vĩnh Yên-Phúc Yên-Lập Thạch tiền tiếp khách ăn uống cafe</t>
  </si>
  <si>
    <t>Chi phí anh Hùng phòng kinh doanh đi Vĩnh Yên-Phúc Yên-Lập Thạch tiền mua xăng</t>
  </si>
  <si>
    <t>Chi phí A Hùng phòng kinh doanh đi công tác tuyến HN-Sông Công-Thái Nguyên-Vĩnh Phúc từ 28-&gt; 29/8,  vé cầu đường</t>
  </si>
  <si>
    <t>Chi phí A Hùng phòng kinh doanh đi công tác tuyến HN-Sông Công-Thái Nguyên-Vĩnh Phúc từ 28-&gt; 29/8,  phụ cấp công tác</t>
  </si>
  <si>
    <t xml:space="preserve">Chi phí A Hùng phòng kinh doanh đi công tác tuyến HN-Sông Công-Thái Nguyên-Vĩnh Phúc từ 28-&gt; 29/8,  mua xăng </t>
  </si>
  <si>
    <t>Chi phí A Hùng phòng kinh doanh đi công tác Tuyên Quang ngày 29/8,  vé cầu đường</t>
  </si>
  <si>
    <t>Nhân viên kinh doanh</t>
  </si>
  <si>
    <t>Thủ kho</t>
  </si>
  <si>
    <t>Kế toán</t>
  </si>
  <si>
    <t>0011004243704</t>
  </si>
  <si>
    <t>6/9</t>
  </si>
  <si>
    <t>Anh Lâm thanh toán tiền thuê kho từ 13/7-&gt; 13/8 ( âm lịch)</t>
  </si>
  <si>
    <t>4/9</t>
  </si>
  <si>
    <t>Chi phí tiếp khách công tác Tuyên Quang ( trưa và tối)</t>
  </si>
  <si>
    <t>Đi công tác Vĩnh Phúc chi phí thuê xe ngày 1,2,3/9/2019</t>
  </si>
  <si>
    <t>Đi công tác Vĩnh Phúc chi phí tiếp khách</t>
  </si>
  <si>
    <t>Đi công tác Vĩnh Phúc chi phí xăng xe</t>
  </si>
  <si>
    <t>Thanh toán tiền thuê gian hàng ngày 8/9 hội chợ tòa nhà An Khánh</t>
  </si>
  <si>
    <t>Thanh toán tiền lương tháng 8 cho Tâm</t>
  </si>
  <si>
    <t>Tâm bắt đầu làm từ 15/8</t>
  </si>
  <si>
    <t>Ứng trước 50% lương tháng 9 cho Tâm</t>
  </si>
  <si>
    <t>Ứng lương tháng 8 cho a Sơn</t>
  </si>
  <si>
    <t>Tổng cộng ngày làm việc tại cty</t>
  </si>
  <si>
    <t>Tổng cộng số ngày đi công tác</t>
  </si>
  <si>
    <t>Tổng số ngày công tính lương</t>
  </si>
  <si>
    <t>Ngày công thực tế</t>
  </si>
  <si>
    <t>BẢNG TỔNG HỢP CÁC KHOẢN THANH TOÁN VỚI ANH SƠN</t>
  </si>
  <si>
    <t>Hà Nội, ngày 06 tháng 09 năm 2019</t>
  </si>
  <si>
    <t>Số tiền công ty phải thanh toán cho a Sơn chốt trong buổi họp cổ đông ngày 21.8</t>
  </si>
  <si>
    <t>Chi phí a Sơn đã ứng để chi cho cty</t>
  </si>
  <si>
    <t>Lương tháng 8 của a Sơn</t>
  </si>
  <si>
    <t>Tiền ứng trước lương tháng 8</t>
  </si>
  <si>
    <t>Tiền a Sơn mua hàng của cty chưa thanh toán</t>
  </si>
  <si>
    <t>Tổng cộng số tiền công ty phải trả anh Sơn</t>
  </si>
  <si>
    <t>Tiền cổ đông anh Sơn đóng tháng 9</t>
  </si>
  <si>
    <t xml:space="preserve">Tiền cổ đông anh Sơn đóng tháng 10 </t>
  </si>
  <si>
    <t xml:space="preserve">Anh Lâm thanh toán tiền in decal </t>
  </si>
  <si>
    <t>Công ty đã thanh toán</t>
  </si>
  <si>
    <t xml:space="preserve">Ngày 6/9 Long chuyển khoản </t>
  </si>
  <si>
    <t>Cty còn phải thanh toán</t>
  </si>
  <si>
    <t>Tháng 8 nghỉ thứ 2 và thứ 5 lương 6tr</t>
  </si>
  <si>
    <t>Bắt đầu làm từ 15/8</t>
  </si>
  <si>
    <t xml:space="preserve">         (Ký, họ tên)</t>
  </si>
  <si>
    <t>Người nhận tiền</t>
  </si>
  <si>
    <t xml:space="preserve">                         Giám đốc</t>
  </si>
  <si>
    <t>CHI PHÍ TRANG THIẾT BỊ CHO ĐẠI LÝ THỦY VI TUYÊN QUANG</t>
  </si>
  <si>
    <t>Bàn máy tính</t>
  </si>
  <si>
    <t>Sâm banh</t>
  </si>
  <si>
    <t>Máy in hóa đơn Sapo SP02</t>
  </si>
  <si>
    <t>Máy quét mã vạch Sapo SS1</t>
  </si>
  <si>
    <t>Giấy in hóa đơn</t>
  </si>
  <si>
    <t>Chiếc</t>
  </si>
  <si>
    <t>Chai</t>
  </si>
  <si>
    <t>Cuộn</t>
  </si>
  <si>
    <t>Bộ máy tính</t>
  </si>
  <si>
    <t xml:space="preserve">Tổng cộng </t>
  </si>
  <si>
    <t>Bên nhận bàn giao</t>
  </si>
  <si>
    <t xml:space="preserve">                      Bên bàn giao</t>
  </si>
  <si>
    <t xml:space="preserve">          (Ký, họ tên)</t>
  </si>
  <si>
    <t xml:space="preserve">       TỪ 1/9 ĐẾN 30/9/2019</t>
  </si>
  <si>
    <t>Hàng nhập lại kho do bị vỡ, kho đã xuất hộp khác cho KH</t>
  </si>
  <si>
    <t>Hàng đổi vỡ</t>
  </si>
  <si>
    <t>Demo</t>
  </si>
  <si>
    <t>Chị Hảo</t>
  </si>
  <si>
    <t>Linh Đàm</t>
  </si>
  <si>
    <t>0961437868</t>
  </si>
  <si>
    <t xml:space="preserve">Tổng doanh số bán hàng toàn công ty tháng 9/2019 </t>
  </si>
  <si>
    <t>Thực tế tiền mặt thu về tháng 9/2019</t>
  </si>
  <si>
    <t>Thực tế tiền gửi ngân hàng( KH thanh toán bằng chuyển khoản) thu về tháng 9/2019</t>
  </si>
  <si>
    <t>Thực tế công nợ KH phải thanh toán tháng  9/2019</t>
  </si>
  <si>
    <t>Cắm wifi USB</t>
  </si>
  <si>
    <t>Hà Nội, ngày 07 tháng 09 năm 2019</t>
  </si>
  <si>
    <t>9/9</t>
  </si>
  <si>
    <t>8/9</t>
  </si>
  <si>
    <t>Mua sổ văn phòng 02 quyển</t>
  </si>
  <si>
    <t>Số tiền tạm ứng</t>
  </si>
  <si>
    <t>Mua giấy lau tay 04 gói</t>
  </si>
  <si>
    <t>Mua 02 cuộn băng dính, 01 hộp kẹp bướm, 01 ghim cài giấy, 01 note, 02 hộp bút bảng</t>
  </si>
  <si>
    <t>10/9</t>
  </si>
  <si>
    <t>Cty nhập hàng đợt 3</t>
  </si>
  <si>
    <t>Nội dung</t>
  </si>
  <si>
    <t>Chủng loại</t>
  </si>
  <si>
    <t>NanoMilk 1 loại 450g</t>
  </si>
  <si>
    <t>NanoMilk 2 loại 450g</t>
  </si>
  <si>
    <t>NanoMilk 1 loại 900g</t>
  </si>
  <si>
    <t>NanoMilk 2 loại 900g</t>
  </si>
  <si>
    <t>NanoMilk 3 loại 900g</t>
  </si>
  <si>
    <t>Người già 900g</t>
  </si>
  <si>
    <t>Bầu 900g</t>
  </si>
  <si>
    <t>Sữa non 450g</t>
  </si>
  <si>
    <t>Tiểu đường 900g</t>
  </si>
  <si>
    <t>Cty đặt hoa tặng khai trương đại lý Thủy Vi Tuyên Quang</t>
  </si>
  <si>
    <t>Chi phí thuê MC khai trương ĐL Thủy Vi</t>
  </si>
  <si>
    <t>Thuế VAT 20tr tiền hàng</t>
  </si>
  <si>
    <t>Tổng thanh toán tiền hàng lần 3</t>
  </si>
  <si>
    <t xml:space="preserve">Đặt cọc </t>
  </si>
  <si>
    <t xml:space="preserve">Thanh toán lần 1 </t>
  </si>
  <si>
    <t>Thanh toán lần 2</t>
  </si>
  <si>
    <t>Tổng thanh toán tiền hàng nhập đợt 2</t>
  </si>
  <si>
    <t>Tổng thanh toán tiền hàng nhập đợt 1</t>
  </si>
  <si>
    <t>Soy</t>
  </si>
  <si>
    <t>Cty nhập hàng đợt 1</t>
  </si>
  <si>
    <t>Anh Sơn ứng tiền của cty</t>
  </si>
  <si>
    <t>Mua thịt lợn và rau</t>
  </si>
  <si>
    <t>Mua trứng vịt, thịt, đường, cà rốt</t>
  </si>
  <si>
    <t>20/8</t>
  </si>
  <si>
    <t>Đùi gà CN+ rau đậu+ gia vị</t>
  </si>
  <si>
    <t>Cá kho + rau</t>
  </si>
  <si>
    <t>Dầu ăn+ gia vị</t>
  </si>
  <si>
    <t>Ăn liên hoan họp cổ đông</t>
  </si>
  <si>
    <t>Thanh toán phí ship giấy tờ cho a Lâm</t>
  </si>
  <si>
    <t>Trứng gà 10 quả</t>
  </si>
  <si>
    <t>Hương hoa thắp hương</t>
  </si>
  <si>
    <t>Mua thịt và rau</t>
  </si>
  <si>
    <t>Tâm chi trước tiền cafe tiếp khách cty tại Mộc quán</t>
  </si>
  <si>
    <t>Hoa quả thắp hương</t>
  </si>
  <si>
    <t>Hương thắp</t>
  </si>
  <si>
    <t>Mua thực phẩm về nấu tiếp khách tại cty</t>
  </si>
  <si>
    <t>Thực phẩm nấu bữa trưa</t>
  </si>
  <si>
    <t>7/9</t>
  </si>
  <si>
    <t>Kim chi</t>
  </si>
  <si>
    <t>Thịt heo+ cá+ đậu+ rau</t>
  </si>
  <si>
    <t>Túi bảo quản thực phẩm trên ngăn đá</t>
  </si>
  <si>
    <t>Mua phật thủ thắp hương bia bà</t>
  </si>
  <si>
    <t>Lan mua thực phẩm nấu bữa trưa. Sau đó sếp báo có khách tới Tâm đi chợ mua thêm thực phẩm</t>
  </si>
  <si>
    <t>Anh Lâm đã thanh toán cho Tâm ngày 13/9</t>
  </si>
  <si>
    <t>CÁC KHOẢN ANH LÂM TẠM ỨNG ĐỂ MỌI NGƯỜI CHI PHÍ TRONG CÔNG TY TỪ 20/8 ĐẾN 10/9</t>
  </si>
  <si>
    <t xml:space="preserve">               Hà Nội, ngày 13 tháng 09 năm 2019</t>
  </si>
  <si>
    <t xml:space="preserve">Lan mua thực phẩm bữa trưa </t>
  </si>
  <si>
    <t>Lan thanh toán tiền điện thoại  Viettel tháng 7 của cty</t>
  </si>
  <si>
    <t>Lan thanh toán tiền điện thoại Viettel tháng 8 của cty</t>
  </si>
  <si>
    <t>14/9</t>
  </si>
  <si>
    <t>15/9</t>
  </si>
  <si>
    <t>Cty tổ chức sinh nhật cho Nam phòng truyền thông</t>
  </si>
  <si>
    <t>Mua bia tiếp đoàn anh Hải buổi trưa</t>
  </si>
  <si>
    <t>Chi phí tiếp khách tại Vĩnh Phúc nhà sàn Khương Duy</t>
  </si>
  <si>
    <t>Cafe tiếp khách hàng</t>
  </si>
  <si>
    <t>Mua kệ trưng bày sữa trang bị cho đại lý Thủy Vy</t>
  </si>
  <si>
    <t>Chi phí công tác Tuyên Quang ngày 9/9 tiền phòng nghỉ</t>
  </si>
  <si>
    <t>Chi phí công tác Tuyên Quang ngày 9/9 tiền mua nước uống</t>
  </si>
  <si>
    <t>Chi phí công tác Tuyên Quang ngày 9/9 tiền cầu đường</t>
  </si>
  <si>
    <t>Chi phí công tác Tuyên Quang ngày 9/9 tiền mua xăng</t>
  </si>
  <si>
    <t>Chi phí công tác Tuyên Quang khai trương đại lý Thủy Vi ngày 10/9 tiền cầu đường</t>
  </si>
  <si>
    <t>12/9</t>
  </si>
  <si>
    <t>Chi phí công tác TP Hải Dương- Bắc Ninh tiền ăn sáng, cafe, tiếp khách</t>
  </si>
  <si>
    <t>Chi phí công tác TP Hải Dương- Bắc Ninh tiền xăng dầu</t>
  </si>
  <si>
    <t>Chi phí công tác Vĩnh Phúc Tuyên Quang tiền lệ phí cầu đường</t>
  </si>
  <si>
    <t>Chi phí công tác Vĩnh Phúc Tuyên Quang tiền mua xăng dầu</t>
  </si>
  <si>
    <t>11/9</t>
  </si>
  <si>
    <t>Chi phí công tác Hải Phòng tiền cầu đường</t>
  </si>
  <si>
    <t>Chi phí công tác Hải Phòng tiền xăng dầu</t>
  </si>
  <si>
    <t>Chi phí công tác Hải Phòng tiền tiếp khách</t>
  </si>
  <si>
    <t>Tiếp khách bữa tối khi đi khai trương đại lý Thủy Vi Tuyên Quang</t>
  </si>
  <si>
    <t>Mua thịt lợn sạch để tủ lạnh cty nấu bữa trưa 10kg</t>
  </si>
  <si>
    <t>13/9</t>
  </si>
  <si>
    <t>Thu tiền trang bị máy móc cho ĐL Thủy Vi</t>
  </si>
  <si>
    <t>Cty thanh toán tiền cho a Sơn</t>
  </si>
  <si>
    <t>16/9</t>
  </si>
  <si>
    <t>Số dư đầu kỳ</t>
  </si>
  <si>
    <t>123 Nguyễn Trãi Tuyên Quang</t>
  </si>
  <si>
    <t>Đi công tác Đà Nẵng</t>
  </si>
  <si>
    <t>Bán tại hội chợ An Khánh</t>
  </si>
  <si>
    <t>Điện Biên</t>
  </si>
  <si>
    <t>HĐBH ghi số tiền 16.318.000đ chênh lệch 213.800d so với thực tế.</t>
  </si>
  <si>
    <t xml:space="preserve">Cô Sáu </t>
  </si>
  <si>
    <t>Trần Khát Chân</t>
  </si>
  <si>
    <t>Đại lý Cô Sáu Trần Khát Chân</t>
  </si>
  <si>
    <t>Công tác Hải Phòng</t>
  </si>
  <si>
    <t>Anh Tùng</t>
  </si>
  <si>
    <t>0869675523</t>
  </si>
  <si>
    <t>TT Phật Chỉ, xã ĐÌnh Lộc, huyện Đình Lộc, TP Lạng Sơn</t>
  </si>
  <si>
    <t>Chị Hương Lan nhà đất 24h</t>
  </si>
  <si>
    <t>ĐL Sữa Bống Bang_ Điện Biên</t>
  </si>
  <si>
    <t>ĐL Chị Nguyệt TP Lạng Sơn</t>
  </si>
  <si>
    <t>ĐL Em Lan Sài Gòn</t>
  </si>
  <si>
    <t>ĐL Chị Sáu Trần Khát Chân HN</t>
  </si>
  <si>
    <t>ĐL Siêu thị Bình An_ Ninh Bình</t>
  </si>
  <si>
    <t>NPP Chị Hiền _ Gia Lai</t>
  </si>
  <si>
    <t>NPP Em Huệ_ TP Điện Biên</t>
  </si>
  <si>
    <t>NPP Chị Phương Tuyên Quang</t>
  </si>
  <si>
    <t>18/9</t>
  </si>
  <si>
    <t>Ko có sâm banh, thu thừa of KH 280.000đ</t>
  </si>
  <si>
    <t>Chi phí công tác Vĩnh Yên- Lập Thạch ngày 14/9 tiền phí cầu đường</t>
  </si>
  <si>
    <t>Chi phí công tác Vĩnh Yên- Lập Thạch ngày 14/9 tiền xăng</t>
  </si>
  <si>
    <t>Chi phí công tác Lập Thạch - Tuyên Quang ngày 13/9 lệ phí cầu đường</t>
  </si>
  <si>
    <t>Chi phí công tác Lập Thạch - Tuyên Quang ngày 13/9 nước uống+ ăn</t>
  </si>
  <si>
    <t>Chi phí công tác Lập Thạch - Tuyên Quang ngày 13/9 xăng</t>
  </si>
  <si>
    <t>Các khoản thu</t>
  </si>
  <si>
    <t>Thu thừa of KH 280.000đ tiền sâm banh</t>
  </si>
  <si>
    <t>Thanh toán tiền biển sữa ĐL Thủy Vi Tuyên Quang</t>
  </si>
  <si>
    <t>Mua máy tính trang bị cho đại lý Tuyết Nhung</t>
  </si>
  <si>
    <t>Người bán</t>
  </si>
  <si>
    <t xml:space="preserve">Tiền lương tháng 8 </t>
  </si>
  <si>
    <t xml:space="preserve">SỔ THEO DÕI ĐƠN HÀNG </t>
  </si>
  <si>
    <t>ĐL Siêu thị Bảo An</t>
  </si>
  <si>
    <t>ĐL Chị Hường</t>
  </si>
  <si>
    <t>ĐL Chị Thủy</t>
  </si>
  <si>
    <t>ĐL Cty TNHH Grup</t>
  </si>
  <si>
    <t>ĐL Hiệu thuốc</t>
  </si>
  <si>
    <t>ĐLý Thủy Vi</t>
  </si>
  <si>
    <t xml:space="preserve">       TỪ 1/8 ĐẾN 31/8/2019</t>
  </si>
  <si>
    <t>19/9</t>
  </si>
  <si>
    <t xml:space="preserve">In 10 hộp card </t>
  </si>
  <si>
    <t>Thanh toán tiền biển siêu thị Bảo An</t>
  </si>
  <si>
    <t>BẢNG THEO DÕI CẤP PHÁT QUYỂN HÓA ĐƠN BÁN HÀNG</t>
  </si>
  <si>
    <t>ĐVT: Quyển</t>
  </si>
  <si>
    <t>Cty mua 50 quyển HĐBH</t>
  </si>
  <si>
    <t>Cấp sử dụng</t>
  </si>
  <si>
    <t>Anh Lâm sử dụng</t>
  </si>
  <si>
    <t>Tâm kho vận sử dụng</t>
  </si>
  <si>
    <t>Thanh toán tiền còn lại của áo vest</t>
  </si>
  <si>
    <t>20/9</t>
  </si>
  <si>
    <t>23/9</t>
  </si>
  <si>
    <t>Cty nhập hàng đợt 4</t>
  </si>
  <si>
    <t>Tổng thanh toán tiền hàng lần 4</t>
  </si>
  <si>
    <t>50 lọ/thùng; 6.750.000đ/thùng</t>
  </si>
  <si>
    <t>Hà Nội, ngày 25 tháng 09 năm 2019</t>
  </si>
  <si>
    <t>CHI PHÍ TRANG THIẾT BỊ CHO ĐẠI LÝ TUYẾT NHUNG VĨNH PHÚC</t>
  </si>
  <si>
    <t>HĐ số 0000083</t>
  </si>
  <si>
    <t>Chứng từ ngày 8/7</t>
  </si>
  <si>
    <t>25/9</t>
  </si>
  <si>
    <t>Chi phí công tác Vĩnh Phúc ngày 21/9 tiền phòng nghỉ qua đêm</t>
  </si>
  <si>
    <t>Chi phí công tác Vĩnh Phúc ngày 21/9 tiền lệ phí cầu đường</t>
  </si>
  <si>
    <t>Chi phí công tác Vĩnh Phúc ngày 21/9 tiền thuê xe ô tô</t>
  </si>
  <si>
    <t>Chi phí công tác Vĩnh Phúc ngày 21/9 tiền xăng</t>
  </si>
  <si>
    <t>Tiếp khách đoàn Lạng Sơn + Hưng Yên</t>
  </si>
  <si>
    <t>Đặt cọc tiền mua ô tô</t>
  </si>
  <si>
    <t>26/9</t>
  </si>
  <si>
    <t>Mua tài liệu đào tạo</t>
  </si>
  <si>
    <t>24/9</t>
  </si>
  <si>
    <t>Cafe tiếp khách</t>
  </si>
  <si>
    <t>Lập Thạch Vĩnh Phúc</t>
  </si>
  <si>
    <t>0983098186</t>
  </si>
  <si>
    <t>21/9</t>
  </si>
  <si>
    <t xml:space="preserve">Chị Thắm </t>
  </si>
  <si>
    <t>Yên Bái</t>
  </si>
  <si>
    <t>22/9</t>
  </si>
  <si>
    <t>Siêu thị Bảo An</t>
  </si>
  <si>
    <t>Anh Việt</t>
  </si>
  <si>
    <t>Ô tô Mishubishi</t>
  </si>
  <si>
    <t>Nghệ An</t>
  </si>
  <si>
    <t>0971558537</t>
  </si>
  <si>
    <t>ĐL Tuyết Nhung</t>
  </si>
  <si>
    <t>Ngô Quyền, Vĩnh Yên, Vĩnh Phúc</t>
  </si>
  <si>
    <t>Quà 2/9</t>
  </si>
  <si>
    <t>Anh Tùng AW</t>
  </si>
  <si>
    <t>Trung ương HGDCSSK GĐ VN</t>
  </si>
  <si>
    <t>Số 1, Tôn Thất Thuyết, Dịch Vọng Hậu, Cầu Giấy, HN</t>
  </si>
  <si>
    <t>Chứng từ đi kèm</t>
  </si>
  <si>
    <t>Bạn a Thịnh</t>
  </si>
  <si>
    <t>MST: 0108806878  WEBSITE: SUANANO.VN   MAIL: SUANANO.VN@GMAIL.COM</t>
  </si>
  <si>
    <t>TK  BIDV : 21710004668889 CHI NHÁNH TỪ LIÊM, HÀ NỘI</t>
  </si>
  <si>
    <t xml:space="preserve">TK  ACB : 333336368888 CHI NHÁNH TÂY HỒ, HÀ NỘI </t>
  </si>
  <si>
    <t>ĐỊA CHỈ : SỐ 10 NGÁCH 53/165 ĐƯỜNG CẦU GIẤY, TỔ 28, P DỊCH VỌNG. Q CẦU GIẤY. TP HÀ NỘI</t>
  </si>
  <si>
    <t>THÔNG TIN CÔNG TY</t>
  </si>
  <si>
    <t>THÔNG TIN GIÁM ĐỐC- NGUYỄN TIẾN LÂM</t>
  </si>
  <si>
    <t>CÔNG TY CP ĐẦU TƯ VÀ PHÁT TRIỂN NANOMILK  ĐT:(024).22.16.76.76</t>
  </si>
  <si>
    <r>
      <rPr>
        <sz val="11"/>
        <rFont val="Calibri Light"/>
        <family val="1"/>
        <charset val="163"/>
        <scheme val="major"/>
      </rPr>
      <t>VPĐD: TÒA 18T1 THE GOLDEN NAM AN KHÁNH, TP HÀ NỘI</t>
    </r>
    <r>
      <rPr>
        <b/>
        <sz val="10"/>
        <rFont val="Calibri Light"/>
        <family val="1"/>
        <charset val="163"/>
        <scheme val="major"/>
      </rPr>
      <t xml:space="preserve"> </t>
    </r>
  </si>
  <si>
    <t>28/9</t>
  </si>
  <si>
    <t>Thanh toán tiền mua xe đẩy sữa</t>
  </si>
  <si>
    <t>Chi phí tiếp khách NPP Vĩnh Phúc</t>
  </si>
  <si>
    <t>TK cty BIDV</t>
  </si>
  <si>
    <t xml:space="preserve">TK cá nhân Long </t>
  </si>
  <si>
    <t>TK cty ACB</t>
  </si>
  <si>
    <t>TK cá nhân A Lâm</t>
  </si>
  <si>
    <t>TK cá nhân Long</t>
  </si>
  <si>
    <t xml:space="preserve">A Sơn ứng tiền cá nhân </t>
  </si>
  <si>
    <t>A Thịnh ứng tiền cá nhân</t>
  </si>
  <si>
    <t>Nam ứng tiền cá nhân</t>
  </si>
  <si>
    <t>Hùng ứng tiền cá nhân</t>
  </si>
  <si>
    <t>Hà ứng tiền cá nhân</t>
  </si>
  <si>
    <t xml:space="preserve">Ngày </t>
  </si>
  <si>
    <t xml:space="preserve">Mua túi clear best </t>
  </si>
  <si>
    <t>Già A4 đóng sổ kho</t>
  </si>
  <si>
    <t>Giấy vệ sinh</t>
  </si>
  <si>
    <t>Thuốc tẩy vệ sinh</t>
  </si>
  <si>
    <t>Ngày tạm ứng</t>
  </si>
  <si>
    <t>Anh Lâm đã thanh toán cho Lan</t>
  </si>
  <si>
    <t>30/9</t>
  </si>
  <si>
    <t>Thanh toán tiền chuyển fat hợp đồng mua chữ ký số Newca</t>
  </si>
  <si>
    <t>Mua giấy gói quà, kéo, băng dính làm hộp bốc thăm trúng thưởng và phiếu bốc thăm trúng thưởng ĐL Tuyết Nhung Vĩnh Yên</t>
  </si>
  <si>
    <t>Thanh toán chi phí đi công tác ngày 28 và 29/9 khai trương ĐL Tuyết Nhung Vĩnh Yên tiền phòng nghỉ</t>
  </si>
  <si>
    <t>Thanh toán chi phí đi công tác ngày 28 và 29/9 khai trương ĐL Tuyết Nhung Vĩnh Yên tiền vé cầu đường</t>
  </si>
  <si>
    <t>Thanh toán chi phí đi công tác ngày 28 và 29/9 khai trương ĐL Tuyết Nhung Vĩnh Yên tiền thuê xe ô tô</t>
  </si>
  <si>
    <t>Thanh toán chi phí đi công tác ngày 28 và 29/9 khai trương ĐL Tuyết Nhung Vĩnh Yên tiền ăn tối ( A Lâm, Lan, Tâm)</t>
  </si>
  <si>
    <t xml:space="preserve">Thanh toán chi phí đi công tác ngày 28 và 29/9 khai trương ĐL Tuyết Nhung Vĩnh Yên tiền mua xăng </t>
  </si>
  <si>
    <t>Thanh toán chi phí đi công tác ngày 28 và 29/9 khai trương ĐL Tuyết Nhung Vĩnh Yên tiền mua hoa tặng khai trương ĐL Tuyết Nhung</t>
  </si>
  <si>
    <t>Thanh toán chi phí đi công tác ngày 28 và 29/9 khai trương ĐL Tuyết Nhung Vĩnh Yên tiền ăn tối ( A Sơn, Long)</t>
  </si>
  <si>
    <t>Thanh toán chi phí đi công tác ngày 28 và 29/9 khai trương ĐL Tuyết Nhung Vĩnh Yên tiền ăn sáng ( Lan, Tâm, A Sơn)</t>
  </si>
  <si>
    <t>TK VIETINBANK : 103000710734 CHI NHÁNH THĂNG LONG, HÀ NỘI</t>
  </si>
  <si>
    <t xml:space="preserve">TK VIETCOMBANK: 0011004023184 CHI NHÁNH HOÀN KIẾM, HÀ NỘI </t>
  </si>
  <si>
    <t>HOTLINE: 0987.62.82.82 MAIL: LAMSUANANO@GMAIL.COM</t>
  </si>
  <si>
    <t>ĐL Trần Thị Phương</t>
  </si>
  <si>
    <t>27/09</t>
  </si>
  <si>
    <t>Đlý Hà Tuyên</t>
  </si>
  <si>
    <t>367, Phan Đình Phùng, Thái Nguyên</t>
  </si>
  <si>
    <t>27/9</t>
  </si>
  <si>
    <t>114 Ngô Quyền Vĩnh Yên Vĩnh Phúc</t>
  </si>
  <si>
    <t>Tổng tiền a Sơn đã ứng thanh toán các khoản cho cty</t>
  </si>
  <si>
    <t xml:space="preserve">Nội dung </t>
  </si>
  <si>
    <t>Anh Thiều Hải Dương</t>
  </si>
  <si>
    <t xml:space="preserve">Phòng KD </t>
  </si>
  <si>
    <t>Đinh Trọng Đức</t>
  </si>
  <si>
    <t>Nhân viên thiết kế</t>
  </si>
  <si>
    <t>0011004023184</t>
  </si>
  <si>
    <t>Lương
 Chính</t>
  </si>
  <si>
    <t>Tổng tiền Lan đã ứng thanh toán các khoản cho cty</t>
  </si>
  <si>
    <t>ĐL Thủy Vi</t>
  </si>
  <si>
    <t>0968063455/0385917265</t>
  </si>
  <si>
    <t>Trừ lương</t>
  </si>
  <si>
    <t>Doanh số a Sơn</t>
  </si>
  <si>
    <t>Doanh số Lan</t>
  </si>
  <si>
    <t>Doanh số Long</t>
  </si>
  <si>
    <t>Doanh số phòng kinh doanh</t>
  </si>
  <si>
    <t>Doanh số Tâm</t>
  </si>
  <si>
    <t>Các khoản cá nhân ứng để chi cho cty</t>
  </si>
  <si>
    <t>CÁC KHOẢN ANH SƠN ĐÃ ỨNG CHI PHÍ CÔNG TY THÁNG 9</t>
  </si>
  <si>
    <t>CÁC KHOẢN LAN ĐÃ ỨNG CHI PHÍ CÔNG TY THÁNG 9</t>
  </si>
  <si>
    <t>Tổng đơn là 46 hộp, KH bán được 8 hộp còn trả lại cty</t>
  </si>
  <si>
    <t>Quà tặng và sữa uống thử khai trương ĐL Tuyết Nhung</t>
  </si>
  <si>
    <t>6/10</t>
  </si>
  <si>
    <t xml:space="preserve">ĐL Tuyết Nhung </t>
  </si>
  <si>
    <t>Vĩnh Yên, Vĩnh Phúc</t>
  </si>
  <si>
    <t xml:space="preserve">                                                                                                                                                                                        </t>
  </si>
  <si>
    <t>Cty THN group</t>
  </si>
  <si>
    <t>Hải Phòng</t>
  </si>
  <si>
    <t>Đã giảm số lượng trên đơn hàng xuất cho KH tháng 8</t>
  </si>
  <si>
    <t>KH đổi từ sữa bầu sang loại dành cho người già, đã giảm số lượng trên đơn hàng xuất cho KH tháng 8</t>
  </si>
  <si>
    <t>E. Long</t>
  </si>
  <si>
    <t>Chi phí vận chuyển cty thanh toán cho KH</t>
  </si>
  <si>
    <t>Doanh số em Tâm tháng 7/2019</t>
  </si>
  <si>
    <t>Em  Long</t>
  </si>
  <si>
    <t>Phòng KD</t>
  </si>
  <si>
    <t xml:space="preserve">Cty tặng khách hàng </t>
  </si>
  <si>
    <t>Em Long</t>
  </si>
  <si>
    <t>TỪ THÁNG 5 NĂM 2019</t>
  </si>
  <si>
    <t>HĐ GTGT số 0001914</t>
  </si>
  <si>
    <t>A Sơn ứng tiền và a Lâm đã thanh toán</t>
  </si>
  <si>
    <t>Doanh thu bán hàng tháng 9</t>
  </si>
  <si>
    <t>7/10</t>
  </si>
  <si>
    <t>Chi tiền mua 01 thùng giấy A4</t>
  </si>
  <si>
    <t>Chi phí thuê MC khai trương ĐL Tuyết Nhung Vĩnh Yên Vĩnh Phúc</t>
  </si>
  <si>
    <t>3/10</t>
  </si>
  <si>
    <t>10/10</t>
  </si>
  <si>
    <t>Nội thất nhựa Đài Loan cao cấp Hương Giang</t>
  </si>
  <si>
    <t>Ngõ 3 Viên Châu, Hưng Kiều, An Tường, TP Tuyên Quang</t>
  </si>
  <si>
    <t>0849415586; 0977632741</t>
  </si>
  <si>
    <t>Tổng tt là 19.600.000đ</t>
  </si>
  <si>
    <t>cty mua kệ tủ trang bị ĐL Tuyết Nhung</t>
  </si>
  <si>
    <t>Quảng cáo Huy VP 88</t>
  </si>
  <si>
    <t>02123550678- 0977115635</t>
  </si>
  <si>
    <t>Đường Nguyễn Văn Linh, TP Sơn La</t>
  </si>
  <si>
    <t>Cty làm biển, bạt, decan...cho ĐL Thủy ở Sơn La</t>
  </si>
  <si>
    <t>Thanh toán lần 1 tiền biển ĐL Tuyết Nhung</t>
  </si>
  <si>
    <t>Thanh toán tiền standy poster và chân X</t>
  </si>
  <si>
    <t>Đơn hàng sữa Lạng Sơn thanh toán tiền hàng</t>
  </si>
  <si>
    <t>Tìm hóa đơn bán hàng</t>
  </si>
  <si>
    <t>Thu phí mua séc số lượng 50 tờ</t>
  </si>
  <si>
    <t>Thu phí dưới số dư</t>
  </si>
  <si>
    <t>KH của Ms Lan ở Hải Dương thanh toán tiền mua 02 hộp sữa giảm cân</t>
  </si>
  <si>
    <t>Thanh toán tiền mua phần mềm Misa</t>
  </si>
  <si>
    <t>1/10</t>
  </si>
  <si>
    <t>NPP Điện Biên</t>
  </si>
  <si>
    <t>Anh Thiều</t>
  </si>
  <si>
    <t>Hải Dương</t>
  </si>
  <si>
    <t>Đổi hộp vận chuyển bị vỡ</t>
  </si>
  <si>
    <t xml:space="preserve">Chị Hà </t>
  </si>
  <si>
    <t>Chị Trường</t>
  </si>
  <si>
    <t>Bạn anh Lâm</t>
  </si>
  <si>
    <t>Lập Thạch Xuân Hòa</t>
  </si>
  <si>
    <t>8/10</t>
  </si>
  <si>
    <t>HH1a. Linh Đàm, HN</t>
  </si>
  <si>
    <t>Cty Biển Đỏ Hải Phòng</t>
  </si>
  <si>
    <t>9/10</t>
  </si>
  <si>
    <t>43 TT Yên Chân Sơn La</t>
  </si>
  <si>
    <t>Chị Thủy</t>
  </si>
  <si>
    <t>Trung Văn Quận Thanh Xuân</t>
  </si>
  <si>
    <t>Khách lẻ Vĩnh Phúc ( Chị Thanh)</t>
  </si>
  <si>
    <t>HĐBH ghi tổng tiền là 15.560.000đ. Tính thừa of KH 2.250.000đ</t>
  </si>
  <si>
    <t>Cty nhập hàng đợt 5</t>
  </si>
  <si>
    <t>Sữa giảm cân 900g</t>
  </si>
  <si>
    <t>Số lượng (Hộp)</t>
  </si>
  <si>
    <t>Cty thanh toán theo số lượng nhập 35 thùng</t>
  </si>
  <si>
    <t>NanoMilk 3 loại 450g</t>
  </si>
  <si>
    <t>Bầu 450g</t>
  </si>
  <si>
    <t>5 thùng+ 8 hộp</t>
  </si>
  <si>
    <t>11 thùng+ 6 hộp</t>
  </si>
  <si>
    <t>19 thùng+ 3 hộp</t>
  </si>
  <si>
    <t xml:space="preserve">50 lọ/thùng; </t>
  </si>
  <si>
    <t>Tổng số lượng hàng nhập đợt 1</t>
  </si>
  <si>
    <t>Tổng số lượng hàng nhập đợt 2</t>
  </si>
  <si>
    <t>Tổng số lượng tiền hàng lần 3</t>
  </si>
  <si>
    <t>Tổng số lượng tiền hàng lần 4</t>
  </si>
  <si>
    <t>Tổng số lượng tiền hàng lần 5</t>
  </si>
  <si>
    <t>Số lượng nhập (Hộp)</t>
  </si>
  <si>
    <t>ĐL Hòa Thanh</t>
  </si>
  <si>
    <t>Tử Du Lập Thạch, Vĩnh Phúc</t>
  </si>
  <si>
    <t xml:space="preserve">Lập Thạch </t>
  </si>
  <si>
    <t>Số seri</t>
  </si>
  <si>
    <t>Từ 0000051 đến 0000100</t>
  </si>
  <si>
    <t>T 0000001 đến 0000050</t>
  </si>
  <si>
    <t>21/10</t>
  </si>
  <si>
    <t>Anh Sơn CTV Vĩnh Phúc</t>
  </si>
  <si>
    <t>Chị Dung Vĩnh Phúc</t>
  </si>
  <si>
    <t>Ko có xuất bán mà lại có nhập về</t>
  </si>
  <si>
    <t>Tam Đảo Vĩnh Phúc</t>
  </si>
  <si>
    <t>11/10</t>
  </si>
  <si>
    <t>Cụm 3, TT Phúc Thọ, HN</t>
  </si>
  <si>
    <t>Ký gửi</t>
  </si>
  <si>
    <t xml:space="preserve">Quầy thuốc Vĩnh Quy </t>
  </si>
  <si>
    <t>Chị Hưng</t>
  </si>
  <si>
    <t>Mộc Châu</t>
  </si>
  <si>
    <t>Chị Hợi</t>
  </si>
  <si>
    <t>Tuần Giáo Điện Biên</t>
  </si>
  <si>
    <t>TP Điện Biên Phủ</t>
  </si>
  <si>
    <t>15/10</t>
  </si>
  <si>
    <t>ĐL Hà Tuyên</t>
  </si>
  <si>
    <t>19/10</t>
  </si>
  <si>
    <t>Em Huệ</t>
  </si>
  <si>
    <t>Chú Ba</t>
  </si>
  <si>
    <t>393A Nguyễn Khoái, Thanh Trì, Hoàng Mai, HN</t>
  </si>
  <si>
    <t>13/10</t>
  </si>
  <si>
    <t>14/10</t>
  </si>
  <si>
    <t>Hà Tùng</t>
  </si>
  <si>
    <t>12/10</t>
  </si>
  <si>
    <t>17/10</t>
  </si>
  <si>
    <t>Hỏi xem đã gửi hóa đơn GTGT</t>
  </si>
  <si>
    <t>Thanh toán tiền điện tháng 9</t>
  </si>
  <si>
    <t>Thanh toán tiền mua 15 cờ + 3 cờ giải + 1 backroup lưu niệm 20/10</t>
  </si>
  <si>
    <t xml:space="preserve">Cty thanh toán tiền mua xăng đi công tác Vĩnh Phúc- Tuyên Quang- Phú Thọ </t>
  </si>
  <si>
    <t>4/10</t>
  </si>
  <si>
    <t>Xuất cho Tâm kho</t>
  </si>
  <si>
    <t>0000101 đến 0000150</t>
  </si>
  <si>
    <t>Chi phí công tác Vĩnh Phúc Thái Nguyên từ 1/10 đến 4/10- phí cầu đường</t>
  </si>
  <si>
    <t>Chi phí công tác Vĩnh Phúc Thái Nguyên từ 1/10 đến 4/10- tiền thuê xe</t>
  </si>
  <si>
    <t>Chi phí công tác Vĩnh Phúc Thái Nguyên từ 1/10 đến 4/10- tiền tiếp khách Xuân Hòa</t>
  </si>
  <si>
    <t>Chi phí công tác Vĩnh Phúc Thái Nguyên từ 1/10 đến 4/10- tiền xăng</t>
  </si>
  <si>
    <t xml:space="preserve">Chi phí công tác Vĩnh Phúc Thái Nguyên từ 1/10 đến 4/10- tiền xăng </t>
  </si>
  <si>
    <t>Chi phí công tác Vĩnh Phúc ngày 8/10- phí cầu đường</t>
  </si>
  <si>
    <t>Chi phí công tác Vĩnh Phúc ngày 8/10- tiếp khách cafe Xuân Hòa</t>
  </si>
  <si>
    <t>Chi phí công tác Vĩnh Phúc ngày 8/10- tiền xăng dầu</t>
  </si>
  <si>
    <t>Thanh toán tiền thuê xe ô tô 1 tháng từ 10/10 đến 10/11</t>
  </si>
  <si>
    <t>18/10</t>
  </si>
  <si>
    <t>Chi phí công tác Lập Thạch Vĩnh Phúc từ 16/10 đến 18/10 khai trương ĐL Hòa Thanh- tiền mua chai</t>
  </si>
  <si>
    <t>Chi phí công tác Lập Thạch Vĩnh Phúc từ 16/10 đến 18/10 khai trương ĐL Hòa Thanh- lẩu ngựa Xuân Hòa</t>
  </si>
  <si>
    <t>Chi phí công tác Lập Thạch Vĩnh Phúc từ 16/10 đến 18/10 khai trương ĐL Hòa Thanh-ăn sáng ngày 18/10</t>
  </si>
  <si>
    <t>Chi phí công tác Lập Thạch Vĩnh Phúc từ 16/10 đến 18/10 khai trương ĐL Hòa Thanh- tiền ăn trưa ngày 17/10</t>
  </si>
  <si>
    <t>Chi phí công tác Lập Thạch Vĩnh Phúc từ 16/10 đến 18/10 khai trương ĐL Hòa Thanh-vé xe</t>
  </si>
  <si>
    <t>Chi phí công tác Lập Thạch Vĩnh Phúc từ 16/10 đến 18/10 khai trương ĐL Hòa Thanh-hoa tặng đại lý</t>
  </si>
  <si>
    <t>Chi phí công tác Lập Thạch Vĩnh Phúc từ 16/10 đến 18/10 khai trương ĐL Hòa Thanh- ăn lẩu tối cùng đại lý</t>
  </si>
  <si>
    <t>Chi phí công tác Lập Thạch Vĩnh Phúc từ 16/10 đến 18/10 khai trương ĐL Hòa Thanh- quà tặng 20/10 nhân viên cty</t>
  </si>
  <si>
    <t>Chi phí công tác Lập Thạch Vĩnh Phúc từ 16/10 đến 18/10 khai trương ĐL Hòa Thanh- mua 2 khăn mặt và 5 bàn chải</t>
  </si>
  <si>
    <t xml:space="preserve">Chi phí công tác Lập Thạch Vĩnh Phúc từ 16/10 đến 18/10 khai trương ĐL Hòa Thanh- lễ thiền viện </t>
  </si>
  <si>
    <t>20/10</t>
  </si>
  <si>
    <t>Chi phí công tác Vĩnh Phúc Tuyên Quang ngày 20/10- tiền vé xe cầu đường</t>
  </si>
  <si>
    <t>Chi phí công tác Vĩnh Phúc Tuyên Quang ngày 20/10- tài trợ giải bóng+ tiền ăn</t>
  </si>
  <si>
    <t>Chi phí công tác Vĩnh Phúc Tuyên Quang ngày 20/10- xăng xe ô tô</t>
  </si>
  <si>
    <t>Chi phí công tác Vĩnh Phúc Tuyên Quang ngày 20/10- ăn tối</t>
  </si>
  <si>
    <t>Chi phí công tác Thái Nguyên Tuyên Quang ngày 21/10 - vé cầu đường</t>
  </si>
  <si>
    <t>Chi phí công tác Thái Nguyên Tuyên Quang ngày 21/10 -xăng xe</t>
  </si>
  <si>
    <t>Chi phí công tác Thái Nguyên Tuyên Quang ngày 21/10 - tiếp khách</t>
  </si>
  <si>
    <t>BẢNG TỔNG HỢP CÁC KHOẢN THU TỪ TIỀN ĐÓNG CỔ PHẦN</t>
  </si>
  <si>
    <t>BẢNG TỔNG HỢP CÁC KHOẢN THU KHÁC</t>
  </si>
  <si>
    <t>Nguyễn Văn Long</t>
  </si>
  <si>
    <t>0356116508</t>
  </si>
  <si>
    <t>BẢNG TỔNG HỢP CÁC KHOẢN CHI PHÍ</t>
  </si>
  <si>
    <t>Chi phí công tác Lập Thạch Vĩnh Phúc từ 16/10 đến 18/10 khai trương ĐL Hòa Thanh- xăng xe ô tô mua chiều ngày 17/10</t>
  </si>
  <si>
    <t>Chi phí công tác Lập Thạch Vĩnh Phúc từ 16/10 đến 18/10 khai trương ĐL Hòa Thanh- tiền mua xăng sáng ngày 16/10</t>
  </si>
  <si>
    <t>Sơn CTV</t>
  </si>
  <si>
    <t>22/10</t>
  </si>
  <si>
    <t>Em Dung Vĩnh Phúc</t>
  </si>
  <si>
    <t>Các khoản Long đã ứng để mua văn phòng phẩm</t>
  </si>
  <si>
    <t>Tiền lương tháng 9</t>
  </si>
  <si>
    <t>1</t>
  </si>
  <si>
    <t>Lương giả định cty chuyển Long</t>
  </si>
  <si>
    <t>2</t>
  </si>
  <si>
    <t>Long chuyển vào TK cá nhân của a Sơn</t>
  </si>
  <si>
    <t>3</t>
  </si>
  <si>
    <t>Long trả lương Tháng 8 cho chị Lan</t>
  </si>
  <si>
    <t>Long trả lại tiền lương giả định còn dư</t>
  </si>
  <si>
    <t>23/10</t>
  </si>
  <si>
    <t>Thanh toán tiền mua xăng</t>
  </si>
  <si>
    <t xml:space="preserve">    Giám đốc</t>
  </si>
  <si>
    <t>KH trả lại sữa để đổi sang sữa người già</t>
  </si>
  <si>
    <t>KH trả lại để đổi sang sữa người già</t>
  </si>
  <si>
    <t>0346089709</t>
  </si>
  <si>
    <t>Em Hảo</t>
  </si>
  <si>
    <t>Linh Đàm , HN</t>
  </si>
  <si>
    <t>Tặng chồng Ms Lan ốm nằm viện</t>
  </si>
  <si>
    <t>Lập Thạch, Vĩnh Phúc</t>
  </si>
  <si>
    <t xml:space="preserve"> Lập Thạch Vĩnh Phúc</t>
  </si>
  <si>
    <t>Thu thừa of KH 34ngd</t>
  </si>
  <si>
    <t>Thu thiếu of KH 24ngd</t>
  </si>
  <si>
    <t>Công tác Điện Biên cty tặng bố Tâm</t>
  </si>
  <si>
    <t xml:space="preserve">Em Huệ </t>
  </si>
  <si>
    <t>Anh Lâm- Anh Sơn</t>
  </si>
  <si>
    <t>A Sơn CTV</t>
  </si>
  <si>
    <t>Chị Phương</t>
  </si>
  <si>
    <t>Tài trợ giải bóng chuyền</t>
  </si>
  <si>
    <t>Từ 20/10 a Sơn CTV Vĩnh Phúc được CK 41%</t>
  </si>
  <si>
    <t xml:space="preserve">ĐL em Dung </t>
  </si>
  <si>
    <t>Vĩnh Phúc- Vĩnh Yên</t>
  </si>
  <si>
    <t>ĐL em Dung</t>
  </si>
  <si>
    <t xml:space="preserve"> Vĩnh Phúc- Vĩnh Yên</t>
  </si>
  <si>
    <t>Hội chợ An Khánh</t>
  </si>
  <si>
    <t>Kho nhập về 1 số 2 nhỏ và 1 số 3 nhỏ-&gt; đã trừ trên đơn</t>
  </si>
  <si>
    <t>VTV3</t>
  </si>
  <si>
    <t>Xuất cho CT Hãy chọn giá đúng</t>
  </si>
  <si>
    <t>Chị Thanh</t>
  </si>
  <si>
    <t>Vinhome</t>
  </si>
  <si>
    <t>Tổng xuất T8</t>
  </si>
  <si>
    <t>Tổng xuất T7</t>
  </si>
  <si>
    <t>Tổng xuất T10</t>
  </si>
  <si>
    <t>Tổng xuất T9</t>
  </si>
  <si>
    <t>Mã</t>
  </si>
  <si>
    <t>Tên hàng hóa</t>
  </si>
  <si>
    <t>Mã hàng hóa</t>
  </si>
  <si>
    <t>Người già 450g</t>
  </si>
  <si>
    <t>Chuyển tiền mua xe ô tô</t>
  </si>
  <si>
    <t>TK cá nhân a Lâm</t>
  </si>
  <si>
    <t>2/9</t>
  </si>
  <si>
    <t xml:space="preserve">Quà 2/9 </t>
  </si>
  <si>
    <t>Hùng</t>
  </si>
  <si>
    <t>Sơn</t>
  </si>
  <si>
    <t>Thịnh</t>
  </si>
  <si>
    <t>Ninh</t>
  </si>
  <si>
    <t>Từ Liêm, HN</t>
  </si>
  <si>
    <t>Chị Thắm</t>
  </si>
  <si>
    <t>0987695733</t>
  </si>
  <si>
    <t>Hà Giang</t>
  </si>
  <si>
    <t>25/10</t>
  </si>
  <si>
    <t>Chị Xuyến</t>
  </si>
  <si>
    <t>Thuận Thành, Bắc Ninh</t>
  </si>
  <si>
    <t>Sản phẩm demo</t>
  </si>
  <si>
    <t xml:space="preserve">         TỪ 21/7 ĐẾN 31/7/ 2019</t>
  </si>
  <si>
    <t>Tổng số hàng tồn trên sổ sách</t>
  </si>
  <si>
    <t>Thực tế kiểm kê kho kín</t>
  </si>
  <si>
    <t>Thực tế kiểm kê kho mở</t>
  </si>
  <si>
    <t>Nhập hàng đợt 1</t>
  </si>
  <si>
    <t>Nhập hàng đợt 2</t>
  </si>
  <si>
    <t>Nhập hàng đợt 3</t>
  </si>
  <si>
    <t>Nhập hàng đợt 4</t>
  </si>
  <si>
    <t>24/10</t>
  </si>
  <si>
    <t>Tính tiền KH 05 bộ cốc 300.000đ</t>
  </si>
  <si>
    <t>Thành tiền sau CK(VNĐ)</t>
  </si>
  <si>
    <t>Thành tiền sau CK (VNĐ)</t>
  </si>
  <si>
    <t>Chênh lệch sổ sách so với thực tế</t>
  </si>
  <si>
    <t>21/07</t>
  </si>
  <si>
    <t>'21/07</t>
  </si>
  <si>
    <t>Có 2 hộp Bầu nhỏ bên chị Dung Vĩnh Phúc ko có xuất cho khách mà có nhập về</t>
  </si>
  <si>
    <t>Cty nhập hàng đợt 6</t>
  </si>
  <si>
    <t>Tổng số lượng tiền hàng lần 6</t>
  </si>
  <si>
    <t>ĐL Thuỷ Vi</t>
  </si>
  <si>
    <t xml:space="preserve">ĐL Thuỷ Vi </t>
  </si>
  <si>
    <t>Xuất bù số hàng mở cho khách xem rồi để sử dụng tại cty</t>
  </si>
  <si>
    <t>Sản phẩm Hùng và Long tặng KH khi đi thị trường</t>
  </si>
  <si>
    <t>Lúc đầu lấy 13 hộp, sau trả lại 5 hộp</t>
  </si>
  <si>
    <t>Trừ lương, xuất nhầm thành 1 GC90 và 1 GCX90</t>
  </si>
  <si>
    <t>29/10</t>
  </si>
  <si>
    <t>26/10</t>
  </si>
  <si>
    <t>Linh Đàm, HN</t>
  </si>
  <si>
    <t>28/10</t>
  </si>
  <si>
    <t>30/10</t>
  </si>
  <si>
    <t>Anh Quang</t>
  </si>
  <si>
    <t>Miền Nam</t>
  </si>
  <si>
    <t>Cty nhập hàng đợt 7</t>
  </si>
  <si>
    <t>Tổng số lượng tiền hàng lần 7</t>
  </si>
  <si>
    <t>Số tiền cty trả lại Long sau khi trừ tiền đóng cổ phần 6%</t>
  </si>
  <si>
    <t>Người nộp tiền</t>
  </si>
  <si>
    <t>Số tiền lương giả định còn lại</t>
  </si>
  <si>
    <t xml:space="preserve">Anh Quang </t>
  </si>
  <si>
    <t xml:space="preserve">Tổng doanh số bán hàng toàn công ty tháng 10/2019 </t>
  </si>
  <si>
    <t>Doanh số a Lâm</t>
  </si>
  <si>
    <t>Thực tế tiền mặt thu về tháng 10/2019</t>
  </si>
  <si>
    <t>Thực tế tiền gửi ngân hàng( KH thanh toán bằng chuyển khoản) thu về tháng 10/2019</t>
  </si>
  <si>
    <t>Thực tế công nợ KH phải thanh toán tháng  10/2019</t>
  </si>
  <si>
    <t>Doanh số a Sơn CTV</t>
  </si>
  <si>
    <t>Doanh số a Lâm và a Sơn</t>
  </si>
  <si>
    <t>Anh Sơn ứng lương T9</t>
  </si>
  <si>
    <t>3/11</t>
  </si>
  <si>
    <t>Thanh toán tiền mua ô tô</t>
  </si>
  <si>
    <t>Cước gửi hàng a Quang Sgon</t>
  </si>
  <si>
    <t>Đã hoàn ứng</t>
  </si>
  <si>
    <t>Lương tháng 9 cty chưa thanh toán</t>
  </si>
  <si>
    <t>27/10</t>
  </si>
  <si>
    <t>Chi phí công tác Vĩnh Phúc ngày 27/10 tiền vé cao tốc</t>
  </si>
  <si>
    <t>Chi phí công tác Vĩnh Phúc ngày 27/10 tiền xăng xe ô tô</t>
  </si>
  <si>
    <t>Chi phí công tác Hà Tây, Hòa Bình, Sơn La, Điện Biên từ 11/10 đến 14/10- tiền a Sơn đưa a Lâm đổ xăng</t>
  </si>
  <si>
    <t>CÁC KHOẢN ANH SƠN ĐÃ ỨNG CHI PHÍ CÔNG TY THÁNG 10</t>
  </si>
  <si>
    <t>CÁC KHOẢN LAN ĐÃ ỨNG CHI PHÍ CÔNG TY THÁNG 10</t>
  </si>
  <si>
    <t>Rau và thức ăn</t>
  </si>
  <si>
    <t xml:space="preserve">Rau và thức ăn </t>
  </si>
  <si>
    <t>Phí chuyển khoản giúp a Lâm tại NH quân đội</t>
  </si>
  <si>
    <t>5/10</t>
  </si>
  <si>
    <t>Rau</t>
  </si>
  <si>
    <t>16/10</t>
  </si>
  <si>
    <t>4/11</t>
  </si>
  <si>
    <t>Thanh toán kinh phí tham gia CT Thương hiệu, nhãn hiệu, dịch vụ</t>
  </si>
  <si>
    <t xml:space="preserve">       TỪ 1/10 ĐẾN 31/10/2019</t>
  </si>
  <si>
    <t xml:space="preserve"> Tháng 7</t>
  </si>
  <si>
    <t>Tháng 8</t>
  </si>
  <si>
    <t>Tháng 9</t>
  </si>
  <si>
    <t xml:space="preserve"> Tháng 10</t>
  </si>
  <si>
    <t>Hương báo đã chuyển lại cho a Lâm</t>
  </si>
  <si>
    <t xml:space="preserve"> A Sơn thanh toán 7tr tiền mua hàng ( cty cần 42tr, a Thịnh chuyển 35tr, a Sơn bù 7tr; 8tr còn lại a Sơn trừ vào tiền cty nợ)</t>
  </si>
  <si>
    <t>Doanh thu bán hàng tháng 10</t>
  </si>
  <si>
    <t>Tổng doanh thu trên hoá đơn sau CK</t>
  </si>
  <si>
    <t>Lúc đầu lấy 24 hộp sau đó đổi từ 12 hộp bầu sang lấy 12 hộp già nhỏ</t>
  </si>
  <si>
    <t>5/11</t>
  </si>
  <si>
    <t>Thanh toán phí đăng ký giao dịch đảm bảo, phí quản lý tài sản, phí chuyển tiền liên ngân hàng để giải ngân khoản tiền vay mua xe ô tô và phí công chứng khi lấy đăng ký xe gốc về</t>
  </si>
  <si>
    <t>10/11</t>
  </si>
  <si>
    <t>7/11</t>
  </si>
  <si>
    <t>Thanh toán phí giấy phép đăng ký kinh doanh sửa đổi lần 1 bao gồm VAT</t>
  </si>
  <si>
    <t>29/9</t>
  </si>
  <si>
    <t>Lương tháng 10</t>
  </si>
  <si>
    <t>CÁC KHOẢN TÂM ĐÃ ỨNG CHI PHÍ CÔNG TY THÁNG 10</t>
  </si>
  <si>
    <t>Rau, đậu , tôm</t>
  </si>
  <si>
    <t>Mua thực phẩm nấu bữa trưa</t>
  </si>
  <si>
    <t>Mua hoa quả thắp hương và rau thịt nấu bữa trưa</t>
  </si>
  <si>
    <t>Mua thực phẩm nấu bữa trưa Tmart</t>
  </si>
  <si>
    <t>Đồ ăn trưa rau thịt</t>
  </si>
  <si>
    <t>Mua ở Vinmart đường, rau</t>
  </si>
  <si>
    <t>Hoa quả thắp hương và đồ ăn mua ở Tmart</t>
  </si>
  <si>
    <t>17/9</t>
  </si>
  <si>
    <t>Thực phẩm Tmart</t>
  </si>
  <si>
    <t xml:space="preserve">Rau, thịt gà </t>
  </si>
  <si>
    <t>Băng dính, rau củ, thịt xay, quả thắp hương</t>
  </si>
  <si>
    <t>Rau củ quả</t>
  </si>
  <si>
    <t>Trà, gia vị mua Tmart</t>
  </si>
  <si>
    <t>Mua cốc giấy 500 chiếc</t>
  </si>
  <si>
    <t>Mua 5 tập đĩa nhựa</t>
  </si>
  <si>
    <t>Mua giấy tài liệu đỏ</t>
  </si>
  <si>
    <t>Khai trương ĐL Tuyết Nhung ăn tối</t>
  </si>
  <si>
    <t xml:space="preserve">Hoa , chuối </t>
  </si>
  <si>
    <t>Tiền taxi đi chương trình Lễ tôn vinh thầy thuốc ưu tú</t>
  </si>
  <si>
    <t>Tiền xăng đi công tác Vĩnh Phúc cho đại lý siêu thị Bảo An</t>
  </si>
  <si>
    <t>Tiền điện+ dịch vụ phòng</t>
  </si>
  <si>
    <t>Tổng Tâm chi</t>
  </si>
  <si>
    <t>Anh Lâm ứng</t>
  </si>
  <si>
    <t>CÁC KHOẢN TÂM ĐÃ ỨNG CHI PHÍ CÔNG TY TỪ 11-&gt; 30/9</t>
  </si>
  <si>
    <t>Cty còn phải thanh toán cho Tâm từ 11 đến 30/9</t>
  </si>
  <si>
    <t>Thực phẩm nấu bữa trưa mua Vinmart</t>
  </si>
  <si>
    <t>Hoa, ổi thắp hương</t>
  </si>
  <si>
    <t>Rau, thịt</t>
  </si>
  <si>
    <t>Tiền xe đi CT Hãy chọn giá đúng nhà thi đấu quận Tây Hồ</t>
  </si>
  <si>
    <t>Mua thịt, rau củ quả, đồ thắp hương</t>
  </si>
  <si>
    <t>Đồ ăn, rau củ</t>
  </si>
  <si>
    <t>Cty còn phải thanh toán cho Tâm tháng 10</t>
  </si>
  <si>
    <t>Mua thịt, rau, củ , hoa quả thắp hương,gia vị</t>
  </si>
  <si>
    <t>Mua dầu ăn, rau thơm</t>
  </si>
  <si>
    <t>Xương ( nhiều nên nấu cháo 1 nửa còn cất ngăn đá nấu canh) và móng giò ( nấu cháo)</t>
  </si>
  <si>
    <t>Mua rau sống, rau thơm và giả cầy</t>
  </si>
  <si>
    <t>Gửi hàng đi Yên Bái</t>
  </si>
  <si>
    <t xml:space="preserve">Chi phí công tác Tam Đảo Vĩnh Phúc- vé cao tốc Nội Bài </t>
  </si>
  <si>
    <t>Chi phí công tác Tam Đảo Vĩnh Phúc- ăn trưa tiếp khách</t>
  </si>
  <si>
    <t>Chi phí công tác Tam Đảo Vĩnh Phúc- xăng xe ô tô</t>
  </si>
  <si>
    <t>Lúc đầu nhập 4 sau trả lại 1 hộp</t>
  </si>
  <si>
    <t>30/07</t>
  </si>
  <si>
    <t>Phổ Yên, Thái Nguyên</t>
  </si>
  <si>
    <t>Tiền mua hàng chưa thanh toán tháng 10</t>
  </si>
  <si>
    <t>Tiền mua hàng chưa thanh toán tháng 9</t>
  </si>
  <si>
    <t>Tạm ứng lương tháng 9 và tháng 10</t>
  </si>
  <si>
    <t>Các khoản cá nhân ứng để chi cho cty tháng 9</t>
  </si>
  <si>
    <t>Các khoản cá nhân ứng để chi cho cty tháng 10</t>
  </si>
  <si>
    <t>BẢNG TẠM ỨNG LƯƠNG NHÂN VIÊN THÁNG 9 VÀ THÁNG 10</t>
  </si>
  <si>
    <t>Tổng cộng cty đã ứng lương cho Tâm</t>
  </si>
  <si>
    <t>Tổng cộng cty đã ứng lương cho anh Sơn</t>
  </si>
  <si>
    <t>Tổng cộng cty đã ứng lương cho Lan</t>
  </si>
  <si>
    <t xml:space="preserve"> (Ký, họ tên)</t>
  </si>
  <si>
    <t xml:space="preserve">  Giám đốc</t>
  </si>
  <si>
    <t xml:space="preserve">TIỀN MUA HÀNG ANH SƠN CHƯA THANH TOÁN THÁNG 9 </t>
  </si>
  <si>
    <t>TIỀN MUA HÀNG ANH SƠN CHƯA THANH TOÁN THÁNG 10</t>
  </si>
  <si>
    <t>Tâm đã thanh toán</t>
  </si>
  <si>
    <t>Còn phải trả cty</t>
  </si>
  <si>
    <t xml:space="preserve">TIỀN MUA HÀNG TÂM CHƯA THANH TOÁN THÁNG 9 </t>
  </si>
  <si>
    <t>TIỀN MUA HÀNG TÂM CHƯA THANH TOÁN THÁNG 10</t>
  </si>
  <si>
    <t xml:space="preserve">TIỀN MUA HÀNG LAN CHƯA THANH TOÁN THÁNG 9 </t>
  </si>
  <si>
    <t>TIỀN MUA HÀNG LAN CHƯA THANH TOÁN THÁNG 10</t>
  </si>
  <si>
    <t>Tiền cty tạm ứng chi tiêu còn dư</t>
  </si>
  <si>
    <t xml:space="preserve">               (Ký, họ tên)</t>
  </si>
  <si>
    <t xml:space="preserve">A Sơn CTV </t>
  </si>
  <si>
    <t>Đã trừ trên Đơn bán cho Hòa Thanh ngày 17/10</t>
  </si>
  <si>
    <t>Đã trừ trên Đơn bán cho a Sơn CTV ngày 22/10</t>
  </si>
  <si>
    <t>1/11</t>
  </si>
  <si>
    <t>Tiền mua hàng Long chưa thanh toán</t>
  </si>
  <si>
    <t>8/11</t>
  </si>
  <si>
    <t>Tuyên Quang</t>
  </si>
  <si>
    <t>Chị Phương ĐBiên</t>
  </si>
  <si>
    <t>KH trả lại 5 hộp</t>
  </si>
  <si>
    <t>KH trả lại 6 hộp</t>
  </si>
  <si>
    <t>KH trả lại 16 hộp</t>
  </si>
  <si>
    <t>KH trả lại 4 hộp</t>
  </si>
  <si>
    <t>KH trả lại 11 hộp</t>
  </si>
  <si>
    <t>ĐL chị Phương HN</t>
  </si>
  <si>
    <t>87 Châu Long, Hoàn Kiếm, HN</t>
  </si>
  <si>
    <t>KH trả lại 12 hộp</t>
  </si>
  <si>
    <t>KH trả lại 12 hộp có trong hóa đơn và 8 hộp ngoài</t>
  </si>
  <si>
    <t xml:space="preserve">ĐL Trường Hiền </t>
  </si>
  <si>
    <t>Chị Huệ Điện Biên</t>
  </si>
  <si>
    <t>0368972468</t>
  </si>
  <si>
    <t>KH Hòa Bình</t>
  </si>
  <si>
    <t>Lạch Tray, Hải Phòng</t>
  </si>
  <si>
    <t>Em Long kho</t>
  </si>
  <si>
    <t xml:space="preserve">Chị Nho </t>
  </si>
  <si>
    <t>6/11</t>
  </si>
  <si>
    <t>Chị Xuân</t>
  </si>
  <si>
    <t>Hà Nội</t>
  </si>
  <si>
    <t>Demo Bii Mall</t>
  </si>
  <si>
    <t xml:space="preserve">Em Tâm </t>
  </si>
  <si>
    <t>Bắc Ninh</t>
  </si>
  <si>
    <t>0964036000</t>
  </si>
  <si>
    <t>18T1 An Khánh</t>
  </si>
  <si>
    <t>Chị Thu</t>
  </si>
  <si>
    <t>Chị Dung</t>
  </si>
  <si>
    <t>B5,25 Vinhomes Botanica, Hàm Nghi, Mỹ Đình</t>
  </si>
  <si>
    <t>12 hộp xuất ngày 19/10-&gt; KH trả lại 12 hộp</t>
  </si>
  <si>
    <t>12 xuất ngày 26/7, 12 hộp ngày 19/10, 6 hộp ngày 4/9-&gt; tổng xuất là 30 hộp-&gt; KH trả lại 18 hộp và bán được 12 hộp</t>
  </si>
  <si>
    <t>12 hộp xuất ngày 19/10-&gt; KH trả lại 20 hộp, 8 hộp ko có bán mà có nhập về</t>
  </si>
  <si>
    <t>6 hộp xuất 4/9-&gt; KH trả lại 5 và bán được 1 hộp</t>
  </si>
  <si>
    <t>6 hộp ngày 4/9 và 12 hộp ngày 19/10-&gt; tổng xuất 18 hộp-&gt; KH bán được 1 hộp</t>
  </si>
  <si>
    <t>24 hộp xuất 4/9-&gt; Kh bán được 8 hộp trả lại 16 hộp</t>
  </si>
  <si>
    <t>6 hộp xuất 4/9-&gt; KH bán được 2 hộp trả lại 4 hộp</t>
  </si>
  <si>
    <t>Có 1 hộp số 3 to bên chị Dung Vĩnh Phúc ko có xuất cho khách mà có nhập về, ĐL Chị Phương Tuyên Quang xuất 12 hộp số 3 to mà trả về 20 hộp chênh lệch 8 hộp số 3 to ko xuất mà lại có trả về.</t>
  </si>
  <si>
    <t>Số tiền Long thanh toán với công ty</t>
  </si>
  <si>
    <t>Hàng không xuất mà có nhập kho</t>
  </si>
  <si>
    <t>Kho thiếu</t>
  </si>
  <si>
    <t>Kho thừa</t>
  </si>
  <si>
    <t>Có 3 hộp Sữa non bên chị Dung Vĩnh Phúc ko có xuất cho khách mà có nhập về,</t>
  </si>
  <si>
    <t>Nhập 5-&gt; KH trả lại 01 hộp tiểu đường để đổi sang người già</t>
  </si>
  <si>
    <t>Big buy</t>
  </si>
  <si>
    <t>A Sơn marketing</t>
  </si>
  <si>
    <t>Ngân hàng quân đội</t>
  </si>
  <si>
    <t>Tú làm thẻ</t>
  </si>
  <si>
    <t>0348904061</t>
  </si>
  <si>
    <t>0981569119</t>
  </si>
  <si>
    <t>KH đã thanh toán tiền nhưng Tâm chưa xuất hàng.</t>
  </si>
  <si>
    <t>Kho thừa, chị Nguyệt lên đơn nhưng chưa xuất 1 hộp</t>
  </si>
  <si>
    <t>long13nanomilk@gmail.com</t>
  </si>
  <si>
    <t>Triệu Anh Sơn</t>
  </si>
  <si>
    <t>CTV Vĩnh Phúc</t>
  </si>
  <si>
    <t>9/11</t>
  </si>
  <si>
    <t>Thanh toán tiền thuê kho từ 13/9-&gt; 13/10 và 13/10- 13/11</t>
  </si>
  <si>
    <t>14/11</t>
  </si>
  <si>
    <t>Hóa đơn có lấy VAT</t>
  </si>
  <si>
    <t>11/11</t>
  </si>
  <si>
    <t>Chi phí công tác TP Tuyên Quang ( A Lâm, a Sơn) tiền xăng xe</t>
  </si>
  <si>
    <t>Chi phí công tác TP Tuyên Quang ( A Lâm, a Sơn) tiền tiếp khách</t>
  </si>
  <si>
    <t xml:space="preserve">Chi phí công tác TP Tuyên Quang ( A Lâm, a Sơn) tiền cầu đường </t>
  </si>
  <si>
    <t>Chi phí công tác Vĩnh Yên, Lập Thạch, Tuyên Quang, Thái Nguyên , tiền cầu đường</t>
  </si>
  <si>
    <t>Chi phí công tác Vĩnh Yên, Lập Thạch, Tuyên Quang, Thái Nguyên , tiền ăn trưa uống nước</t>
  </si>
  <si>
    <t>Chi phí công tác Vĩnh Yên, Lập Thạch, Tuyên Quang, Thái Nguyên , tiền xăng dầu</t>
  </si>
  <si>
    <t>Chi phí đưa đón MC đi khai trương đại lý Tuyết Nhung lệ phí cầu đường</t>
  </si>
  <si>
    <t xml:space="preserve">Chi phí đưa đón MC đi khai trương đại lý Tuyết Nhung tiền ăn sáng </t>
  </si>
  <si>
    <t>Chi phí đưa đón MC đi khai trương đại lý Tuyết Nhung tiền xăng dầu</t>
  </si>
  <si>
    <t>Chi phí tiếp khách công tác Vĩnh Yên- Lập Thạch- Tuyên Quang tiền cầu đường</t>
  </si>
  <si>
    <t>Chi phí tiếp khách công tác Vĩnh Yên- Lập Thạch- Tuyên Quang tiền ăn trưa uống nước</t>
  </si>
  <si>
    <t>Chi phí tiếp khách công tác Vĩnh Yên- Lập Thạch- Tuyên Quang tiền xăng</t>
  </si>
  <si>
    <t>Chi phí công tác Thái Nguyên, Phổ Yên tiền xăng dầu</t>
  </si>
  <si>
    <t>Chi phí công tác Vĩnh Phúc Tuyên Quang tiền ăn trưa uống nước</t>
  </si>
  <si>
    <t>Chi phí công tác Vĩnh Phúc Tuyên Quang tiền cầu đường</t>
  </si>
  <si>
    <t>Chi phí công tác Vĩnh Phúc Tuyên Quang tiền xăng dầu</t>
  </si>
  <si>
    <t>Chi phí công tác Hòa Bình- HN- Ninh Bình tiền cầu đường</t>
  </si>
  <si>
    <t>Chi phí công tác Hòa Bình- HN- Ninh Bình tiền ăn trưa</t>
  </si>
  <si>
    <t>Chi phí công tác Hòa Bình- HN- Ninh Bình tiền xăng dầu</t>
  </si>
  <si>
    <t>Chi phí công tác HN- Vĩnh Phúc- Tuyên Quang tiền vé cầu đường</t>
  </si>
  <si>
    <t>Chi phí công tác HN- Vĩnh Phúc- Tuyên Quang tiền xăng xe ô tô</t>
  </si>
  <si>
    <t>13/11</t>
  </si>
  <si>
    <t>Anh Sơn ứng lương tháng 10</t>
  </si>
  <si>
    <t>Long kho vận ứng lương tháng 10</t>
  </si>
  <si>
    <t>Thanh toán tiền thuê ô tô fat sinh 3 ngày 10,11,12/11 do việc nhận ô tô mới mua bị chậm vì khi nộp thuế môn bài ghi sai đ/c văn phòng cty</t>
  </si>
  <si>
    <t>Thay đổi gương xe + công</t>
  </si>
  <si>
    <t>Lan ứng lương tháng 9 và 10</t>
  </si>
  <si>
    <t>Tâm ứng lương tháng 9 và 10</t>
  </si>
  <si>
    <t>Số tiền CP Hùng phải đóng tháng 9 và tháng 10</t>
  </si>
  <si>
    <t>15/11</t>
  </si>
  <si>
    <t xml:space="preserve">Cafe tiếp khách </t>
  </si>
  <si>
    <t>Cafe tiếp khách Vĩnh Phúc</t>
  </si>
  <si>
    <t>Cô Hà</t>
  </si>
  <si>
    <t xml:space="preserve">Anh Sơn </t>
  </si>
  <si>
    <t xml:space="preserve">Chị Nguyệt </t>
  </si>
  <si>
    <t>16/11</t>
  </si>
  <si>
    <t>Chị Phương Tuyên Quang</t>
  </si>
  <si>
    <t>Chị Phương dược sỹ Sơn La</t>
  </si>
  <si>
    <t>18/11</t>
  </si>
  <si>
    <t>Lúc đầu lấy 12 hộp GC sau đó trả lại 4 hộp, ngày 18/11 trả tiếp 7 hộp</t>
  </si>
  <si>
    <t>Thanh toán kệ đại lý Hòa Thanh Tử Du Lập Thạch Vĩnh Phúc</t>
  </si>
  <si>
    <t xml:space="preserve">Anh Sơn ứng lương T9+T10 </t>
  </si>
  <si>
    <t>Thanh toán tiền mua phần mềm Sapo trang bị cho ĐL Tuyết Nhung</t>
  </si>
  <si>
    <t xml:space="preserve">Anh Sơn ứng lương tháng 9 </t>
  </si>
  <si>
    <t>Thanh toán lần 2 tiền in 50 cuốn hóa đơn</t>
  </si>
  <si>
    <t>Bổ sung chứng từ CK</t>
  </si>
  <si>
    <t>Tổng là 1,7tr</t>
  </si>
  <si>
    <t>Thanh toán tiền máy tính Bách Khoa Thủy Vi</t>
  </si>
  <si>
    <t>Lưu ý các khoản này ĐL sẽ trả lại cty tiền</t>
  </si>
  <si>
    <t>Anh Lâm ứng tiền cho Nam</t>
  </si>
  <si>
    <t>Nam chi phí các khoản</t>
  </si>
  <si>
    <t>Anh Lâm vay Nam tiền nhập hàng</t>
  </si>
  <si>
    <t>Nam ứng tiền chi phí in thiệp mời</t>
  </si>
  <si>
    <t>Anh Lâm chuyển khoản Nam tiền ứng chi phí</t>
  </si>
  <si>
    <t>Số tiền Nam phải thanh toán cho cty</t>
  </si>
  <si>
    <t>Thanh toán tiền lương tháng 10 cho Đức thiết kế</t>
  </si>
  <si>
    <t>Anh Sơn ứng lương tháng 9 và 10</t>
  </si>
  <si>
    <t>Đưa con đi khám</t>
  </si>
  <si>
    <t>Em Tâm ứng lương tháng 10</t>
  </si>
  <si>
    <t>19/11</t>
  </si>
  <si>
    <t>Phí xe ô tô quá hạn do bên bán ô tô ghi sai địa chỉ văn phòng cty khi đi làm đăng ký xe</t>
  </si>
  <si>
    <t>Thanh toán 50% tiền mua áo đồng phục Nanomilk</t>
  </si>
  <si>
    <t>HĐ 200 áo đồng phục Nanomilk, thanh toán 50% có lấy VAT</t>
  </si>
  <si>
    <t>Anh Mạnh</t>
  </si>
  <si>
    <t>Chị Trường Hải Phòng</t>
  </si>
  <si>
    <t>Thanh toán tiền MC khai trương đại lý Thanh Hòa Lập Thạch Vĩnh Phúc</t>
  </si>
  <si>
    <t>Chi phí tiếp khách bữa sáng đi khai trương ĐL Thủy Vi</t>
  </si>
  <si>
    <t>Chi phí cầu đường đi Tuyên Quang khai trương ĐL Thủy Vi</t>
  </si>
  <si>
    <t>Chi phí công tác TP Thái Nguyên ngày 5/9 tiền thuê xe</t>
  </si>
  <si>
    <t>Chi phí công tác TP Thái Nguyên ngày 5/9 tiền tiếp khách ăn sáng</t>
  </si>
  <si>
    <t>Có bảng kê chi tiết đính kèm</t>
  </si>
  <si>
    <t>Tiền taxi anh Sơn và Long đi ngân hàng rút tiền</t>
  </si>
  <si>
    <t>Thanh toán tiền VAT của hóa đơn nhập hàng số 0000132 ngày 9/9/2019</t>
  </si>
  <si>
    <t>Thanh toán tiền VAT của hóa đơn nhập hàng số 0000133 ngày 10/9/2019</t>
  </si>
  <si>
    <t>Cafe tiếp đoàn anh Hải đối tác</t>
  </si>
  <si>
    <t>Thanh toán cho Tâm tiền mua VPP</t>
  </si>
  <si>
    <t>20/11</t>
  </si>
  <si>
    <t>Người nhận lương ký</t>
  </si>
  <si>
    <t>BẢNG TÍNH LƯƠNG THÁNG 09 NĂM 2019</t>
  </si>
  <si>
    <t>BẢNG TÍNH LƯƠNG THÁNG 10 NĂM 2019</t>
  </si>
  <si>
    <t xml:space="preserve">Các khoản cá nhân ứng để chi cho cty </t>
  </si>
  <si>
    <t>Người nhận tiền ký</t>
  </si>
  <si>
    <t>Bắt đầu làm từ tháng 9 nhưng việc ít nên tháng 10 mới thanh toán lương</t>
  </si>
  <si>
    <t xml:space="preserve">TIỀN MUA HÀNG LONG CHƯA THANH TOÁN </t>
  </si>
  <si>
    <t xml:space="preserve">         TỪ THÁNG 7 ĐẾN THÁNG 9 NĂM 2019</t>
  </si>
  <si>
    <t>21/11</t>
  </si>
  <si>
    <t>TK BIDV</t>
  </si>
  <si>
    <t>Thanh toán lần 2 phí dịch vụ sở hữu trí tuệ 2 nhãn</t>
  </si>
  <si>
    <t>0020000118609- CN Hà Nội</t>
  </si>
  <si>
    <t>Thanh toán tiền mua 25 áo đồng phục bóng đá NanoMilk</t>
  </si>
  <si>
    <t>Thanh toán tiền phí dịch vụ tòa nhà tháng 10 và tiền nước tháng 8</t>
  </si>
  <si>
    <t>Thanh toán tiền điện tháng 10</t>
  </si>
  <si>
    <t>Thanh toán tiền Nam ứng chi phí cho văn phòng</t>
  </si>
  <si>
    <t>Cty thanh toán tiền lương tháng 8 cho Lan kế toán</t>
  </si>
  <si>
    <t>Ứng chi tiền mua thực phẩm tại văn phòng</t>
  </si>
  <si>
    <t>Tặng cháu 455.000đ giảm giá 30% còn 319.000đ, ngày 16/11 trả lại 19 hộp</t>
  </si>
  <si>
    <t>Chị  Minh</t>
  </si>
  <si>
    <t>SN 22, ngõ 175, Nam Từ Liêm, HN</t>
  </si>
  <si>
    <t>0988520592</t>
  </si>
  <si>
    <t>Chị Nguyệt Lạng Sơn</t>
  </si>
  <si>
    <t>Chị Loan</t>
  </si>
  <si>
    <t>ĐL Xuân Hòa</t>
  </si>
  <si>
    <t>A Lâm- A Sơn</t>
  </si>
  <si>
    <t xml:space="preserve">                             Giám đốc</t>
  </si>
  <si>
    <t xml:space="preserve">                           (Ký, họ tên)</t>
  </si>
  <si>
    <t xml:space="preserve">    (Ký, họ tên)</t>
  </si>
  <si>
    <t>Long nhận lại tiền đặt cọc của bên bán ô tô</t>
  </si>
  <si>
    <t>Lương tháng 8,9,10</t>
  </si>
  <si>
    <t>Thực tế thu</t>
  </si>
  <si>
    <t>Chuyển khoản</t>
  </si>
  <si>
    <t>TIỀN CỔ PHẦN MỌI NGƯỜI ĐÃ CHUYỂN KHOẢN ĐẾN 20/11</t>
  </si>
  <si>
    <t>Tổng số CP đã đóng</t>
  </si>
  <si>
    <t>Cty đã thanh toán hết công nợ</t>
  </si>
  <si>
    <t>CÁC KHOẢN LONG TẠM ỨNG ĐỂ CHI CÔNG TY TỪ 20/8 ĐẾN 20/11</t>
  </si>
  <si>
    <t>BẢNG KÊ CÁC KHOẢN CHI PHÍ HÙNG ĐÃ ỨNG TIỀN CÁ NHÂN ĐỂ THANH TOÁN TỪ 20/8 ĐẾN 20/11/2019</t>
  </si>
  <si>
    <t>Các khoản Hùng đã ứng để chi phí đi công tác từ 23/8 đến 20/11/2019</t>
  </si>
  <si>
    <t>Số tiền cty phải thanh toán cho Hùng từ 20/8 đến 20/11</t>
  </si>
  <si>
    <t>BẢNG TỔNG HỢP CÁC KHOẢN THANH TOÁN VỚI ANH HÙNG TỪ 20/8 ĐẾN 20/11</t>
  </si>
  <si>
    <t>BẢNG TỔNG HỢP CÁC KHOẢN THANH TOÁN VỚI LONG TỪ 20/8 ĐẾN 20/11</t>
  </si>
  <si>
    <t>CÁC KHOẢN LONG ĐÃ CHI TỪ LƯƠNG GIẢ ĐỊNH THÁNG 8</t>
  </si>
  <si>
    <t>Dự kiến thu tiền CP giai đoạn 2</t>
  </si>
  <si>
    <t>TIẾN ĐỘ GÓP VỐN CỔ ĐÔNG LẦN 1 SỐ VỐN 1.200.000VNĐ</t>
  </si>
  <si>
    <t>Khấu trừ vào tiền đã ứng ra chi phí cho công ty từ 20/8 đến 20/11</t>
  </si>
  <si>
    <t>Tiền các cá nhân khác đã ứng để chi phí cho cty chốt đến 19/8</t>
  </si>
  <si>
    <t>Cty đã gửi hồ sơ thanh toán</t>
  </si>
  <si>
    <t>Cty chưa thanh toán</t>
  </si>
  <si>
    <t>BẢNG TỔNG HỢP CÁC KHOẢN THANH TOÁN VỚI NAM</t>
  </si>
  <si>
    <t>NH ACB</t>
  </si>
  <si>
    <t>Tổng số lượng tiền hàng lần 8</t>
  </si>
  <si>
    <t xml:space="preserve">TK BIDV </t>
  </si>
  <si>
    <t>Tháng 11</t>
  </si>
  <si>
    <t>Tồn</t>
  </si>
  <si>
    <t>BẢNG THEO DÕI CẤP PHÁT ÁO ĐỒNG PHỤC NANOMILK</t>
  </si>
  <si>
    <t>BẢNG THEO DÕI CẤP PHÁT ÁO BÓNG ĐÁ SỐ NANOMILK</t>
  </si>
  <si>
    <t>23/11</t>
  </si>
  <si>
    <t>Cty mua 200 áo</t>
  </si>
  <si>
    <t>Hỏi a Lâm xem có lấy áo về ko</t>
  </si>
  <si>
    <t xml:space="preserve">Anh Lâm giao Lan </t>
  </si>
  <si>
    <t>14c trong thùng và 3 chiếc treo móc</t>
  </si>
  <si>
    <t>BẢNG TỔNG HỢP CÁC KHOẢN THU CHI TỪ 20.8 ĐẾN 20.11.2019</t>
  </si>
  <si>
    <t>TK cty Long chi</t>
  </si>
  <si>
    <t>Đã quyết toán trong cuộc họp ngày 20.8</t>
  </si>
  <si>
    <t>BẢNG TỔNG HỢP CHI PHÍ NHẬP HÀNG</t>
  </si>
  <si>
    <t>Long chưa chuyển</t>
  </si>
  <si>
    <t>Long chi lương giả định cho A Sơn</t>
  </si>
  <si>
    <t xml:space="preserve">Long chi lương giả định cho Hương </t>
  </si>
  <si>
    <t>Long chi lương giả định cho Long</t>
  </si>
  <si>
    <t xml:space="preserve">Phí dịch vụ nhắn tin tự động tháng 7 </t>
  </si>
  <si>
    <t>BẢNG TỔNG HỢP CÁC KHOẢN CHI LƯƠNG</t>
  </si>
  <si>
    <t>TỪ THÁNG 9 NĂM 2019</t>
  </si>
  <si>
    <t>BẢNG TỔNG HỢP CÁC KHOẢN CHI PHÍ NHẬP HÀNG</t>
  </si>
  <si>
    <t>Chuyển tiền đặt hàng đợt 3</t>
  </si>
  <si>
    <t>Thanh toán tiền phí dịch vụ và tiền nước tháng 8</t>
  </si>
  <si>
    <t>Thanh toán tiền nhập hàng đợt 3</t>
  </si>
  <si>
    <t>Đặt cọc tiền nhập hàng đợt 4</t>
  </si>
  <si>
    <t>Thanh toán lần 1 tiền nhập hàng đợt 5</t>
  </si>
  <si>
    <t>Thanh toán tiền nhập hàng đợt 6 ( 49 hộp Soy)</t>
  </si>
  <si>
    <t>Đặt cọc tiền nhập hàng đợt 7</t>
  </si>
  <si>
    <t>Thu ngân: 0818009000/ Anh Thụ kỹ thuật: 0913324679/ Tra soát tiền đã đóng: 02422456831</t>
  </si>
  <si>
    <t>TỪ 20.8 ĐẾN 20.11 NĂM 2019</t>
  </si>
  <si>
    <t>Chi phí fat sinh thuê xe 2,5 ngày do xe mua đang làm thủ tục bị chạm tiến độ</t>
  </si>
  <si>
    <t>Thanh toán lần 2 tiền biển ĐL Tuyết Nhung- em Trường</t>
  </si>
  <si>
    <t>Thuê xe tháng trước từ 9/10-&gt; 9/11</t>
  </si>
  <si>
    <t xml:space="preserve">Cty mua két sắt lưu trữ để tại phòng kế toán </t>
  </si>
  <si>
    <t>BẢNG TỔNG HỢP CÁC KHOẢN HỢP THỨC HÓA TIỀN ĐÓNG CỔ PHẦN VÀO TÀI KHOẢN NGÂN HÀNG</t>
  </si>
  <si>
    <t>A Lâm nộp tiền CP cty NanoMilk</t>
  </si>
  <si>
    <t>Phí chuyển khoản của 100tr tiền hợp thức hóa CP A Lâm ngày 21/9 theo quy định của luật</t>
  </si>
  <si>
    <t>Phí chuyển khoản của 30tr tiền hợp thức hóa CP A Thịnh ngày 21/9 theo quy định của luật</t>
  </si>
  <si>
    <t>Phí chuyển khoản của 60tr tiền hợp thức hóa CP A Sơn ngày 21/9 theo quy định của luật</t>
  </si>
  <si>
    <t>A Thịnh nộp tiền CP cty NanoMilk</t>
  </si>
  <si>
    <t>A Sơn nộp tiền CP cty NanoMilk</t>
  </si>
  <si>
    <t>Thanh toán lần 1 tiền in hóa đơn bán hàng</t>
  </si>
  <si>
    <t>Thanh toán tiền điện tháng 8</t>
  </si>
  <si>
    <t>0947.813.786</t>
  </si>
  <si>
    <t>TỪ THÁNG 9 ĐẾN 20.11</t>
  </si>
  <si>
    <t>Tổng phí là 8.200.000đ, thanh toán trước 6tr</t>
  </si>
  <si>
    <t xml:space="preserve">Thanh toán cho nội thất Hương Giang  tiền kệ ĐL Tuyết Nhung </t>
  </si>
  <si>
    <t>Thanh toán lần 2 cho Nguyễn Mạnh Trường tiền biển ĐL Tuyết Nhung</t>
  </si>
  <si>
    <t>25/8 a Lâm ứng Tâm 500.000d</t>
  </si>
  <si>
    <t>Chi phí taxi đi lễ tôn vinh thầy thuốc vì cộng đồng</t>
  </si>
  <si>
    <t>Khóa học USB công ty</t>
  </si>
  <si>
    <t>Thu tiền hoàn ứng lương giả định để vay vốn NH của Hương</t>
  </si>
  <si>
    <t>Chị Hương báo đã chuyển tiền trả a Lâm</t>
  </si>
  <si>
    <t>Vũ Hoài Thanh</t>
  </si>
  <si>
    <t>Thanh toán lương tháng 9 cho chị Thanh kế toán thuế</t>
  </si>
  <si>
    <t xml:space="preserve">Bắt đầu làm kế toán thuế từ tháng 9 </t>
  </si>
  <si>
    <t>Xuất 150 hộp, ngày 20/11 cty nhập lại 50 hộp</t>
  </si>
  <si>
    <t>A Sơn V.Phúc</t>
  </si>
  <si>
    <t>ĐL Dung Phi</t>
  </si>
  <si>
    <t>34 Hàng Thùng</t>
  </si>
  <si>
    <t>22/11</t>
  </si>
  <si>
    <t>ĐL chị Huệ Điện Biên</t>
  </si>
  <si>
    <t>A Sơn V. Phúc</t>
  </si>
  <si>
    <t>Xuân Hòa Lập Thạch Vĩnh Phúc</t>
  </si>
  <si>
    <t xml:space="preserve">                             CỘNG HÒA XÃ HỘI CHỦ NGHĨA VIỆT NAM</t>
  </si>
  <si>
    <t>Đã trừ trên HĐBH ngày 31/8</t>
  </si>
  <si>
    <t>24/11</t>
  </si>
  <si>
    <t>Hiệu thuốc Vinh Quang</t>
  </si>
  <si>
    <t>Phúc Thị Thạch Thất</t>
  </si>
  <si>
    <t xml:space="preserve">Anh Minh </t>
  </si>
  <si>
    <t>Gia Lâm</t>
  </si>
  <si>
    <t>26/11</t>
  </si>
  <si>
    <t>Bác Vinh nhà báo</t>
  </si>
  <si>
    <t>27/11</t>
  </si>
  <si>
    <t xml:space="preserve">ĐL Anh Minh </t>
  </si>
  <si>
    <t>25/11</t>
  </si>
  <si>
    <t>Hàng mẫu đi công tác</t>
  </si>
  <si>
    <t xml:space="preserve">Mua sâm panh+ phí ship </t>
  </si>
  <si>
    <t>Đã tất toán trong bảng lương T9,10</t>
  </si>
  <si>
    <t>Mua thực phẩm T-Mart</t>
  </si>
  <si>
    <t>Mua hoa thắp hương</t>
  </si>
  <si>
    <t>Thịt lợn, rau</t>
  </si>
  <si>
    <t>12/11</t>
  </si>
  <si>
    <t>Sinh nhật Lan mua sườn, thịt</t>
  </si>
  <si>
    <t>Hoa cúc, bưởi, khoai tây, bắp cải</t>
  </si>
  <si>
    <t>17/11</t>
  </si>
  <si>
    <t>Hoa quả lễ</t>
  </si>
  <si>
    <t>Tổng cộng chi phí thực phẩm nấu bữa trưa tại cty tháng 11/2019</t>
  </si>
  <si>
    <t>Tổng các khoản Tâm chi tại công ty tháng 10</t>
  </si>
  <si>
    <t>Tổng các khoản Tâm chi tại công ty tháng 9</t>
  </si>
  <si>
    <t>Tổng cộng chi phí Tâm ứng mua thực phẩm nấu bữa trưa tại cty tháng 11/2019</t>
  </si>
  <si>
    <t xml:space="preserve">  Hà Nội, ngày 27 tháng 11 năm 2019</t>
  </si>
  <si>
    <t>BẢNG KÊ CÁC KHOẢN TÂM ỨNG MUA THỰC PHẨM THÁNG 11/2019</t>
  </si>
  <si>
    <t xml:space="preserve">Mua vòi nước </t>
  </si>
  <si>
    <t>Phí ship thiệp mời ký kết Big buy</t>
  </si>
  <si>
    <t xml:space="preserve"> </t>
  </si>
  <si>
    <t>Chi phí chuyển hàng cho chị Huệ Điện Biên</t>
  </si>
  <si>
    <t>Chi phí mua hoa quả bánh kẹo lễ ký kết với sàn TMĐT BigBuy ngày 30/11</t>
  </si>
  <si>
    <t>Chi phí chuyển fat Standy NanoMilk cho ĐL Chị Huệ Điện Biên</t>
  </si>
  <si>
    <t xml:space="preserve">Chi phí tiếp khách đi công tác Gia Lâm chuẩn bị khai trương ĐLý </t>
  </si>
  <si>
    <t>Chi phí bữa tối đi khai trương ĐL Dung Phi lập Thạch Vĩnh Phúc</t>
  </si>
  <si>
    <t>Thanh toán cước viễn thông Viettel cố định cty tháng 9, 10</t>
  </si>
  <si>
    <t>Chi phí xăng ô tô công ty</t>
  </si>
  <si>
    <t>Chi phí xăng ô tô cty</t>
  </si>
  <si>
    <t>Mua phí bảo hiểm ô tô</t>
  </si>
  <si>
    <t>Phí sử dụng đường bộ cty CP đăng kiểm Nam HN</t>
  </si>
  <si>
    <t>Tổng tiền là 2.750.000d cty hỗ trợ ĐL số còn lại</t>
  </si>
  <si>
    <t>ĐL Thủy Vi thanh toán tiền cờ giải bóng chuyền chào mừng 20/11 ở Vĩnh Phúc</t>
  </si>
  <si>
    <t>150tr</t>
  </si>
  <si>
    <t>ĐL Dung Phi Xuân Hòa Lập Thạch Vĩnh Phúc</t>
  </si>
  <si>
    <t>4</t>
  </si>
  <si>
    <t>Đơn hàng từ 50tr hỗ trợ v/c bán kính 300km</t>
  </si>
  <si>
    <t>Mồng 5</t>
  </si>
  <si>
    <t>Được đổi 50% đơn hàng ĐL cuối cùng</t>
  </si>
  <si>
    <t>Được nợ gối 30% sau khi trở thành ĐL chính thức</t>
  </si>
  <si>
    <t>10tr</t>
  </si>
  <si>
    <t>10 phần quà</t>
  </si>
  <si>
    <t>Đơn hàng 50tr thưởng 3%</t>
  </si>
  <si>
    <t>ĐL Thanh Hòa</t>
  </si>
  <si>
    <t>Doanh số hàng ĐL Hòa Thanh do a Sơn kết nối</t>
  </si>
  <si>
    <t>Doanh số hàng a Sơn bán lẻ</t>
  </si>
  <si>
    <t>Tổng thu nhập từ 30tr trở xuống, cty trả bằng sản phẩm hoặc tiền mặt</t>
  </si>
  <si>
    <t>3% năm 2020</t>
  </si>
  <si>
    <t>Từ 20/10 CK 41%</t>
  </si>
  <si>
    <t>Tổng thu nhập bằng hoặc trên 50tr cty trả 50% bằng sản phẩm và 50% bằng tiền mặt</t>
  </si>
  <si>
    <t>5% năm 2019</t>
  </si>
  <si>
    <t>Từ 1/10 đến 20/10 CK 35%</t>
  </si>
  <si>
    <t>Thanh toán ngay sau khi ký HĐ</t>
  </si>
  <si>
    <t>15/11/2019</t>
  </si>
  <si>
    <t>Khi ĐH từ 100tr hỗ trợ 100% chi phí v/c bán kính trong 300km từ Hà Nội</t>
  </si>
  <si>
    <t>NPP chuyển Nanomilk 232tr gồm 210tr tiền ĐH, 5tr tiền biển bảng, 10tr tiền kệ, 7tr máy tính+ phần mềm bán hàng Sapo</t>
  </si>
  <si>
    <t>Khi ĐH từ 50tr hỗ trợ 50% chi phí v/c bán kính trên 300km</t>
  </si>
  <si>
    <t>Được trả 30% ĐH cuối cùng tương ứng doanh số 90tr</t>
  </si>
  <si>
    <t>Được đổi 30% đơn hàng ĐL cuối cùng</t>
  </si>
  <si>
    <t>Không áp dụng</t>
  </si>
  <si>
    <t>Hàng thực nhập từ 6 tỷ thưởng đơn hàng trị giá 500tr</t>
  </si>
  <si>
    <t>15tr</t>
  </si>
  <si>
    <t>10 phần quà, 3 áo, 5 bộ cốc</t>
  </si>
  <si>
    <t>Đơn hàng 100tr thưởng 3%</t>
  </si>
  <si>
    <t>50% trong đó 3% độc quyền thị trường</t>
  </si>
  <si>
    <t>29/9/2019</t>
  </si>
  <si>
    <t>Nợ lại 30% tương ứng 90tr trong 3 tháng từ khi ký HĐ</t>
  </si>
  <si>
    <t>ĐL Tuyết Nhung ( độc quyền thị trường tỉnh Vĩnh Phúc)</t>
  </si>
  <si>
    <t>1/9/2019</t>
  </si>
  <si>
    <t>Sau khi ký HĐ chuyển 200tr,  và chuyển nốt 100tr sau 3 tháng.</t>
  </si>
  <si>
    <t>300tr</t>
  </si>
  <si>
    <t>01/09/2019</t>
  </si>
  <si>
    <t>Hỗ trợ vận chuyển</t>
  </si>
  <si>
    <t>Tiền thưởng chuyển trả hàng tháng</t>
  </si>
  <si>
    <t>Trả đơn hàng ĐL cuối cùng</t>
  </si>
  <si>
    <t>Đổi đơn hàng ĐL cuối cùng</t>
  </si>
  <si>
    <t>Nợ gối sau khi trở thành ĐL chính thức</t>
  </si>
  <si>
    <t>Thưởng doanh số năm cá nhân bán được hàng cho khách lẻ</t>
  </si>
  <si>
    <t>Thưởng doanh số tháng cho cá nhân ( nhân viên cty or CTV) có doanh số từ 100tr</t>
  </si>
  <si>
    <t>Thưởng doanh số năm ĐLý, NPP</t>
  </si>
  <si>
    <t>Hỗ trợ  chi phí kệ, biển</t>
  </si>
  <si>
    <t>Hỗ trợ quà khai trương</t>
  </si>
  <si>
    <t xml:space="preserve">Thưởng giới thiệu ĐL </t>
  </si>
  <si>
    <t>Thưởng doanh số tháng cho Đlý ( sau khi kết thúc đơn hàng theo HĐ đã ký)</t>
  </si>
  <si>
    <t>Ngày thanh toán lần 2</t>
  </si>
  <si>
    <t>Ngày thanh toán lần 1</t>
  </si>
  <si>
    <t>Cơ chế thanh toán</t>
  </si>
  <si>
    <t>Đơn hàng</t>
  </si>
  <si>
    <t>Tổng hoa hồng</t>
  </si>
  <si>
    <t>Cơ chế ngoài HĐ</t>
  </si>
  <si>
    <t>Cơ chế trong HĐồng</t>
  </si>
  <si>
    <t>Ngày ký HĐ</t>
  </si>
  <si>
    <t>BẢNG THEO DÕI TIẾN ĐỘ CÁC ĐẠI LÝ NĂM 2019</t>
  </si>
  <si>
    <t>Lương 8tr/ tháng cty trả bằng hàng, a Sơn bắt đầu làm từ T10</t>
  </si>
  <si>
    <t>Cty ứng trước tiền in decan, stady cho ĐLý chị Huệ Điện Biên</t>
  </si>
  <si>
    <t>Chi phí mua 03 cây xanh cho văn phòng và 01 cây tặng chú Lưu Vinh TBT báo Pháp luật</t>
  </si>
  <si>
    <t>Thanh toán tiền phí dịch vụ tháng 11 và nước tháng 9</t>
  </si>
  <si>
    <t>Số đúng là 332.000d, tòa nhà đã xác nhận cty thanh toán thừa 58.000d trừ vào tháng sau.</t>
  </si>
  <si>
    <t>Thanh toán tiền mua phần mềm và thiết bị bán hàng Sapo cho ĐL Thủy Vi</t>
  </si>
  <si>
    <t>Chị Hương vợ a Lâm ứng và a Lâm thanh toán</t>
  </si>
  <si>
    <t>Ô tô thuê bị trộm lấy gương</t>
  </si>
  <si>
    <t>Long thanh toán tiền mặt cho cty, đã gửi chứng từ cho Long. Cty chưa nhận được tiền.</t>
  </si>
  <si>
    <t xml:space="preserve">Thực tế tiền mặt thu về </t>
  </si>
  <si>
    <t xml:space="preserve">Thực tế công nợ KH phải thanh toán </t>
  </si>
  <si>
    <t>Doanh số Long kho</t>
  </si>
  <si>
    <t>lúc đầu xuất cho KH 24 hộp sau đó 27/9 cty nhập về 12 hôp để xuất cho Tuyết Nhung</t>
  </si>
  <si>
    <t>28/11</t>
  </si>
  <si>
    <t>Xuất về kho văn phòng</t>
  </si>
  <si>
    <t>Tâm  xuất ĐL Dung Phi</t>
  </si>
  <si>
    <t>Xuất Văn phòng ( Tâm, a Sơn Vĩnh Phúc)</t>
  </si>
  <si>
    <t>Thanh toán tiền điện tháng 11</t>
  </si>
  <si>
    <t>Tổng HĐ có VAT là 30tr</t>
  </si>
  <si>
    <t>Ứng trước tiền in 5000 túi giấy trong Sài Gòn</t>
  </si>
  <si>
    <t>Cty TNHH TM và DV in Như Bảo</t>
  </si>
  <si>
    <t>0862949337</t>
  </si>
  <si>
    <t>Q.Bình Thạnh, HCM</t>
  </si>
  <si>
    <t>Chi phí tiếp khách tại ẩm thực nhà sàn km8, Thăng Long, HN</t>
  </si>
  <si>
    <t>Chi phí tiếp khách đoàn chị Hà bên tiền Patincoi</t>
  </si>
  <si>
    <t>Thanh toán chi phí tiếp khách đi công tác Vĩnh Phúc</t>
  </si>
  <si>
    <t>HĐ số 0013268</t>
  </si>
  <si>
    <t>HĐ số 0024195</t>
  </si>
  <si>
    <t>HĐ số 0000578</t>
  </si>
  <si>
    <t>HĐ số 0355715, 0348777, 0005302</t>
  </si>
  <si>
    <t>Thanh toán lần 1 phí dịch vụ hồ sơ đăng ký sở hữu trí tuệ 2 nhãn</t>
  </si>
  <si>
    <t>Nợ hóa đơn</t>
  </si>
  <si>
    <t>HĐ số 0002532</t>
  </si>
  <si>
    <t>Chi phí công tác Vĩnh Phúc ngày 8/10- thuê xe ô tô</t>
  </si>
  <si>
    <t>Chi phí công tác Hà Tây- Hòa Bình- Sơn La- Điện Biên từ ngày 11-&gt; 13/10 tiền ăn trưa</t>
  </si>
  <si>
    <t>Chi phí công tác Hà Tây, Hòa Bình, Sơn La, Điện Biên từ 11/10 đến 13/10- tiền a Sơn đưa a Lâm đổ xăng</t>
  </si>
  <si>
    <t>Chi phí công tác Hà Tây- Hòa Bình- Sơn La- Điện Biên từ ngày 11-&gt; 13/10 vé thăm quan</t>
  </si>
  <si>
    <t>Chi phí công tác Hà Tây- Hòa Bình- Sơn La- Điện Biên từ ngày 11-&gt; 13/10 vé cầu đường</t>
  </si>
  <si>
    <t>Chi phí công tác Hà Tây- Hòa Bình- Sơn La- Điện Biên từ ngày 11-&gt; 13/10 xăng xe</t>
  </si>
  <si>
    <t>HĐ số 0045680</t>
  </si>
  <si>
    <t>Chi phí công tác Hà Tây- Hòa Bình- Sơn La- Điện Biên từ ngày 11-&gt; 13/10 nhà nghỉ</t>
  </si>
  <si>
    <t>Chi phí công tác Hà Tây- Hòa Bình- Sơn La- Điện Biên từ ngày 11-&gt; 13/10 tiếp khách</t>
  </si>
  <si>
    <t>Chi phí công tác Hà Tây- Hòa Bình- Sơn La- Điện Biên từ ngày 11-&gt; 13/10 ăn tối Hòa Bình</t>
  </si>
  <si>
    <t>Chi phí công tác Hà Tây, Hòa Bình, Sơn La, Điện Biên từ 11/10 đến 13/10- xăng đổ lúc về</t>
  </si>
  <si>
    <t>HĐ số 0095506, 0002083</t>
  </si>
  <si>
    <t>Chi phí công tác Hà Tây, Hòa Bình, Sơn La, Điện Biên từ 11/10 đến 13/10- ăn uống tại Sơn La</t>
  </si>
  <si>
    <t>Chi phí công tác Lập Thạch Vĩnh Phúc từ 16/10 đến 18/10 khai trương ĐL Hòa Thanh- bữa sáng cùng Sơn CTV</t>
  </si>
  <si>
    <t>HĐ số 0003583</t>
  </si>
  <si>
    <t>HĐ số 0338255</t>
  </si>
  <si>
    <t>HĐ số 0009875</t>
  </si>
  <si>
    <t>HĐ số 0351018</t>
  </si>
  <si>
    <t>Thanh toán chi phí đi công tác ngày 28 và 29/9 khai trương ĐL Tuyết Nhung Vĩnh Yên tiền ăn sáng tối</t>
  </si>
  <si>
    <t>Chi phí tiếp khách ẩm thực gà ngon KH tỉnh</t>
  </si>
  <si>
    <t>Chi phí công tác Vĩnh Phúc ngày 17,18/9 tiền cầu đường</t>
  </si>
  <si>
    <t>Chi phí công tác Vĩnh Phúc ngày 17,18/9 tiền thuê xe 1,5 ngày</t>
  </si>
  <si>
    <t>Chi phí công tác Vĩnh Phúc ngày 17,18/9 tiền tiếp khách cafe</t>
  </si>
  <si>
    <t>Chi phí công tác Vĩnh Phúc ngày 17,18/9 tiền xăng xe</t>
  </si>
  <si>
    <t>HĐ số 0234860</t>
  </si>
  <si>
    <t>Thanh toán cho Tâm và Lan tiền ứng mua thực phẩm nấu bữa trưa, văn phòng phẩm từ 20/8 đến 10/9 và tiền điện thoại cố định cty tháng 7,8</t>
  </si>
  <si>
    <t>Thanh toán cho Tâm phần còn lại của lương T9,10 và các khoản Tâm ứng để mua thực phẩm, văn phòng phẩm đã chi cho cty từ 11/ 9 đến 27/11</t>
  </si>
  <si>
    <t xml:space="preserve">Anh Lâm ứng cho Tâm tiền mua thực phẩm </t>
  </si>
  <si>
    <t>Anh Lâm ứng Lan để chi dùng cho văn phòng</t>
  </si>
  <si>
    <t>Anh Lâm ứng Tâm chi phí văn phòng</t>
  </si>
  <si>
    <t>C. Hương 0943140212</t>
  </si>
  <si>
    <t>Cty giấy Phú Bình- Đặt giấy in A4</t>
  </si>
  <si>
    <t>Bà Hồng Minh</t>
  </si>
  <si>
    <t>29/11</t>
  </si>
  <si>
    <t>Thanh toán tiền mua giấy A4 sử dụng trong văn phòng</t>
  </si>
  <si>
    <t>Cước đường bộ</t>
  </si>
  <si>
    <t xml:space="preserve">Chi phí công tác Đà Nẵng ngày 7 -&gt; 9/9 tiền vé máy bay </t>
  </si>
  <si>
    <t>Chi phí công tác Đà Nẵng ngày 7 -&gt; 9/9  tiền thuê phòng nghỉ</t>
  </si>
  <si>
    <t>Chi phí công tác Đà Nẵng ngày 7 -&gt; 9/9  tiền ăn</t>
  </si>
  <si>
    <t>HĐ số 0000315 và 0000800</t>
  </si>
  <si>
    <t>Chi phí tiếp khách Tam Đảo Vĩnh Phúc</t>
  </si>
  <si>
    <t>Chi phí mua xăng</t>
  </si>
  <si>
    <t>HĐ số 0266405</t>
  </si>
  <si>
    <t>HĐ số 0007936</t>
  </si>
  <si>
    <t>Chi phí A Hùng phòng kinh doanh đi công tác tuyến HN-Sông Công-Thái Nguyên-Vĩnh Phúc từ 27-&gt; 28/8,  phụ cấp công tác</t>
  </si>
  <si>
    <t xml:space="preserve">Chi phí A Hùng phòng kinh doanh đi công tác tuyến HN-Sông Công-Thái Nguyên-Vĩnh Phúc từ 27-&gt; 28/8,  mua xăng </t>
  </si>
  <si>
    <t>Chi phí A Hùng phòng kinh doanh đi công tác tuyến HN-Sông Công-Thái Nguyên-Vĩnh Phúc từ 27-&gt; 28/8,  vé cầu đường</t>
  </si>
  <si>
    <t>HĐ số 0340973</t>
  </si>
  <si>
    <t>Thanh toán số còn lại của HĐ mua 200 áo đồng phục</t>
  </si>
  <si>
    <t xml:space="preserve">Thanh toán tiền biển sữa em Huy Sơn La </t>
  </si>
  <si>
    <t>ĐL Gia Lâm</t>
  </si>
  <si>
    <t>5</t>
  </si>
  <si>
    <t>6</t>
  </si>
  <si>
    <t>TIỀN CỔ PHẦN</t>
  </si>
  <si>
    <t>CÁC KHOẢN THU KHÁC</t>
  </si>
  <si>
    <t>CHI PHÍ NHẬP HÀNG</t>
  </si>
  <si>
    <t>Nhập hàng đợt 5</t>
  </si>
  <si>
    <t>Nhập hàng đợt 6</t>
  </si>
  <si>
    <t>Nhập hàng đợt 7</t>
  </si>
  <si>
    <t>Phí chuyển khoản 20tr tiền đặt hàng lần 3</t>
  </si>
  <si>
    <t>Thanh toán chi phí tham gia2 số CT Hãy chọn giá đúng V3</t>
  </si>
  <si>
    <t>DOANH THU BÁN HÀNG</t>
  </si>
  <si>
    <t>Tháng 10</t>
  </si>
  <si>
    <t>CHI PHÍ KHÁC</t>
  </si>
  <si>
    <t>Thanh toán phí đăng ký giao dịch đảm bảo, phí quản lý TS, phí chuyển tiền liên NH và phí công chứng khi lấy xe về</t>
  </si>
  <si>
    <t>Tổng thu</t>
  </si>
  <si>
    <t>Tổng chi</t>
  </si>
  <si>
    <t>Lợi nhuận</t>
  </si>
  <si>
    <t>TK cá nhân a Lâm ( Tiền mặt)</t>
  </si>
  <si>
    <t>Thanh toán cho a Sơn lương tháng 9+10</t>
  </si>
  <si>
    <t>A Sơn ứng lương tháng 11</t>
  </si>
  <si>
    <t>27/6</t>
  </si>
  <si>
    <t>LONG đóng cổ đông</t>
  </si>
  <si>
    <t>HÙNG đóng cổ đông</t>
  </si>
  <si>
    <t>NAM đóng cổ đông</t>
  </si>
  <si>
    <t>THỊNH đóng cổ đông</t>
  </si>
  <si>
    <t>Doanh thu bán hàng tháng 7- Đly Gia lai C. Hiền ngày 24/7</t>
  </si>
  <si>
    <t>A Sơn ứng cho công ty vay</t>
  </si>
  <si>
    <t>A Hà ứng cho công ty vay</t>
  </si>
  <si>
    <t>In nhãn- Cty ứng trước một phần tiền -Chuyển nhà máy (nguyễn thanh Long)</t>
  </si>
  <si>
    <t>In nhãn- Cty ứng trước một phần Chi phí in nhãn mác-Chuyển nhà máy</t>
  </si>
  <si>
    <t>Công ty chuyển tiền đặt cọc cho Hợp đồng nhập hàng đợt 1- Chuyển nhà máy</t>
  </si>
  <si>
    <t>Công ty thanh toán 1 phần chi phí nhập hàng đợt 1- Chuyển nhà máy</t>
  </si>
  <si>
    <t>Đặt áo vest</t>
  </si>
  <si>
    <t>Đặt cọc nhà hang Vạn Hoa</t>
  </si>
  <si>
    <t>Thuê văn phòng từ 1/7</t>
  </si>
  <si>
    <t>29/6</t>
  </si>
  <si>
    <t>TSCĐ- Bàn ghế sofa, GĐ</t>
  </si>
  <si>
    <t>Mua cốc thủy tinh và bóng bay (2.400 cốc thủy tinh+ 2.000 bóng bay)</t>
  </si>
  <si>
    <t>2/7</t>
  </si>
  <si>
    <t>TSCĐ- Rèm cửa</t>
  </si>
  <si>
    <t>Túi nilon</t>
  </si>
  <si>
    <t>Áo đồng phục Nano Milk</t>
  </si>
  <si>
    <t>Biển bảng GĐ</t>
  </si>
  <si>
    <t>Lắp Internet</t>
  </si>
  <si>
    <t>6/7</t>
  </si>
  <si>
    <t>Điều hòa (lắp, ống đồng, ..)</t>
  </si>
  <si>
    <t>Tủ lạnh</t>
  </si>
  <si>
    <t>Kệ để giầy</t>
  </si>
  <si>
    <t>Bàn kế toán. Ghế bàn họp</t>
  </si>
  <si>
    <t xml:space="preserve">Thần tài </t>
  </si>
  <si>
    <t>Cây + chậu</t>
  </si>
  <si>
    <t xml:space="preserve">Khóa </t>
  </si>
  <si>
    <t>chìa</t>
  </si>
  <si>
    <t>Về nhà bà A. Hà (vhoa, lễ 750k, nước uống 40k)</t>
  </si>
  <si>
    <t>Nồi cơm điện</t>
  </si>
  <si>
    <t xml:space="preserve">Bóng đèn </t>
  </si>
  <si>
    <t>Bóng nháy</t>
  </si>
  <si>
    <t>Lông công,..(a Hà mua giúp)</t>
  </si>
  <si>
    <t>Hoa họp báo 6 bó, 1 lãng</t>
  </si>
  <si>
    <t>Photo, ghim, văn bản, HĐ 2 lần</t>
  </si>
  <si>
    <t>2 thùng nước Lavi</t>
  </si>
  <si>
    <t>Đổi bình nước lọc tầng  1</t>
  </si>
  <si>
    <t>19/7</t>
  </si>
  <si>
    <t>Ghim siêu thị T1</t>
  </si>
  <si>
    <t>Bia Thu Hằng trc hôm họp báo</t>
  </si>
  <si>
    <t>7/7</t>
  </si>
  <si>
    <t>2 Cây phát lộc</t>
  </si>
  <si>
    <t>Biển phòng kế toán</t>
  </si>
  <si>
    <t>2 gói chè siêu thị</t>
  </si>
  <si>
    <t>Chổi lau, chổi quét, nước vsinh, nước rửa bát, .. dọn vp mới</t>
  </si>
  <si>
    <t>10/7</t>
  </si>
  <si>
    <t>Đi siêu thị T1 cùng a Sơn, mua một số đồ gia dụng</t>
  </si>
  <si>
    <t>16/7</t>
  </si>
  <si>
    <t>Ăn quán gà sau khi chụp ảnh đồng phục tại Vp</t>
  </si>
  <si>
    <t xml:space="preserve">Sửa tủ lạnh </t>
  </si>
  <si>
    <t>Mua lễ, đồ, trc hôm nhập trạch</t>
  </si>
  <si>
    <t>Bia Tam Hùng (A Sơn, A Lâm, A Hà, Long, A Hùng)</t>
  </si>
  <si>
    <t>Bảng kính viết</t>
  </si>
  <si>
    <t>CP ăn uống- Ăn cuối tháng, đi chợ + bia</t>
  </si>
  <si>
    <t>CP ăn uống- Ăn mới dọn vp mới + bia</t>
  </si>
  <si>
    <t>VPP- Rắc cắm, 2 ổ dài</t>
  </si>
  <si>
    <t>CP ăn uống-Café MAX họp cổ đông (hôm trúng đề)- HĐ cafe New window</t>
  </si>
  <si>
    <t>8/7</t>
  </si>
  <si>
    <t>Công chứng GPKD</t>
  </si>
  <si>
    <t>CP xăng xe- Đổ xăng trc khi đi mua tủ lạnh đường Nguyễn Trãi</t>
  </si>
  <si>
    <t>Dấu xuất kho, …</t>
  </si>
  <si>
    <t>Chi phí thuê xe từ 19/7 đến 19/8</t>
  </si>
  <si>
    <t>A Lâm vay cá nhân từ tiền công ty để chi cho công ty (7tr + 5tr +1.5tr +1tr + 100k)</t>
  </si>
  <si>
    <t>Chuyển trước A Lâm (11tr+ 5tr)- A Lâm vay cá nhân từ tiền công ty để chi cho công ty</t>
  </si>
  <si>
    <t>Gửi lễ Thầy</t>
  </si>
  <si>
    <t>Hoa quả, bánh</t>
  </si>
  <si>
    <t>Ca sĩ, Mc</t>
  </si>
  <si>
    <t>Bếp hồng ngoại</t>
  </si>
  <si>
    <t>15/7</t>
  </si>
  <si>
    <t>Đồ gia dụng BigC</t>
  </si>
  <si>
    <t>Thuế VAT 10%</t>
  </si>
  <si>
    <t>Thuế VAT 5%</t>
  </si>
  <si>
    <t>Thanh toán lần 2 chi phí in nhãn</t>
  </si>
  <si>
    <t>Cty nhập hàng đợt 1- Soy 10 Thùng</t>
  </si>
  <si>
    <t>Cty nhập hàng đợt 1- Sữa 67 thùng</t>
  </si>
  <si>
    <t>25/6</t>
  </si>
  <si>
    <t>Thông tấn xã</t>
  </si>
  <si>
    <t>Báo chí, VTC</t>
  </si>
  <si>
    <t xml:space="preserve">Xăng </t>
  </si>
  <si>
    <t>Lễ hôm nhập trạch</t>
  </si>
  <si>
    <t>Gạo, hoa quả</t>
  </si>
  <si>
    <t>Bữa ăn hôm tập duyệt</t>
  </si>
  <si>
    <t xml:space="preserve">Xăng xe đi lại </t>
  </si>
  <si>
    <t>Đặt cọc tiền thuê xe ô tô</t>
  </si>
  <si>
    <t>19/6</t>
  </si>
  <si>
    <t>Thanh toán chi phí thuê xe từ 19/06 -19/07</t>
  </si>
  <si>
    <t>Tiền nhãn (Đăng ký VSATTP)</t>
  </si>
  <si>
    <t>20/6</t>
  </si>
  <si>
    <t>A Lâm đưa Long nộp quỹ công ty ( A Lâm đóng CP)</t>
  </si>
  <si>
    <t>A Sơn đưa ( Long mượn cá nhân)</t>
  </si>
  <si>
    <t>A Lâm đưa</t>
  </si>
  <si>
    <t>Bán sữa Canxi Nano bên Nông nghiệp Long thu</t>
  </si>
  <si>
    <t>Chuyển 2 hộp sữa Canxi Nano Cô Khách ngõ 7 Trung Hòa Nhân Chính</t>
  </si>
  <si>
    <t>17/5</t>
  </si>
  <si>
    <t>Ăn tối với C Phương, C Hạnh, A Hùng</t>
  </si>
  <si>
    <t>22/5</t>
  </si>
  <si>
    <t>Gửi hàng tuyên Quang</t>
  </si>
  <si>
    <t>Ẩm thực gà ngon</t>
  </si>
  <si>
    <t>Xuống Hưng Yên đổ xăng</t>
  </si>
  <si>
    <t>31/5</t>
  </si>
  <si>
    <t>Café gặp Nam</t>
  </si>
  <si>
    <t>29/5</t>
  </si>
  <si>
    <t>Café Highland Trần Hưng Đạo</t>
  </si>
  <si>
    <t>Mua xăng lúc xe hỏng trên Đại Lộ</t>
  </si>
  <si>
    <t>Mua xăng tại Long Hải</t>
  </si>
  <si>
    <t>4/6</t>
  </si>
  <si>
    <t>Sáng café 18T1 (3 ae)</t>
  </si>
  <si>
    <t>3/6</t>
  </si>
  <si>
    <t>Gửi hàng A lợi Đà Nẵng</t>
  </si>
  <si>
    <t>Nhận hàng Sơn La</t>
  </si>
  <si>
    <t>Café Minalo gặp Nam</t>
  </si>
  <si>
    <t>Mua cây bên Nông nghiệp</t>
  </si>
  <si>
    <t>Đổ xăng lúc về</t>
  </si>
  <si>
    <t>Đóng tiền nhà kho</t>
  </si>
  <si>
    <t>Xuống nhà máy đưa a Lâm trên đường xuống</t>
  </si>
  <si>
    <t>Đưa a Sơn</t>
  </si>
  <si>
    <t>Hôm đi Vĩnh Phúc về tối</t>
  </si>
  <si>
    <t>Đổ xăng xuống Hải Phòng</t>
  </si>
  <si>
    <t>Uống café với 2 chị Ngọc Hà, Ba ĐÌnh</t>
  </si>
  <si>
    <t>Ăn trưa Hoàng Đạo Thúy</t>
  </si>
  <si>
    <t>Lên Lào cai nghỉ nhà nghỉ đêm</t>
  </si>
  <si>
    <t>Nghỉ trưa hôm sau (hôm đi ăn cùng chị Hải)</t>
  </si>
  <si>
    <t>Ăn tối Yên Bái dọc đường về</t>
  </si>
  <si>
    <t>Mua kem nước</t>
  </si>
  <si>
    <t>Phí đường về</t>
  </si>
  <si>
    <t>Caphe Myway Hoàng Đạo Thúy</t>
  </si>
  <si>
    <t>Đổ xăng đường Láng</t>
  </si>
  <si>
    <t>Sau đó đi Vĩnh Phúc</t>
  </si>
  <si>
    <t>Tối lên Tuyên Quang</t>
  </si>
  <si>
    <t>Ăn sáng hôm sau</t>
  </si>
  <si>
    <t>In 2 cuốn thu chi</t>
  </si>
  <si>
    <t>Hôm đi từ nhà máy về</t>
  </si>
  <si>
    <t>Ăn vịt trưa</t>
  </si>
  <si>
    <t>Đổ xăng Hoàng Quốc Việt</t>
  </si>
  <si>
    <t>Trưa café 18T1</t>
  </si>
  <si>
    <t>Họp cổ đông Max caffe ( Hoá đơn New window)</t>
  </si>
  <si>
    <t>Sáng café 18T1, chiều cafe Max</t>
  </si>
  <si>
    <t>Đi gửi hàng lên tp Tuyên Quang về đổ xăng</t>
  </si>
  <si>
    <t>Họp kinh doanh Café max ( HĐ New window)</t>
  </si>
  <si>
    <t>Họp báo</t>
  </si>
  <si>
    <t>Sửa ô tô Long Hải</t>
  </si>
  <si>
    <t>Thuế VAT</t>
  </si>
  <si>
    <t>3/5</t>
  </si>
  <si>
    <t>Ăn trưa quán nhà sàn gần Long Hải</t>
  </si>
  <si>
    <t>Khai trương đại lý tuyên quang</t>
  </si>
  <si>
    <t>18/5</t>
  </si>
  <si>
    <t>Ngủ khách sạn Mường Thanh</t>
  </si>
  <si>
    <t>23/5</t>
  </si>
  <si>
    <t>Cafe Hoàng Quốc Việt</t>
  </si>
  <si>
    <t>Ăn trưa Vĩnh Phúc</t>
  </si>
  <si>
    <t>26/7</t>
  </si>
  <si>
    <t>Thuê kho bắt đầu từ 14/6</t>
  </si>
  <si>
    <t>A Lâm Chuyển vào tài khoản của Long để nộp thuế môn bài ( A Lâm đóng CP)</t>
  </si>
  <si>
    <t>A Lâm đưa Long tiền mặt nộp thuế ( A Lâm đóng CP)</t>
  </si>
  <si>
    <t>24/7</t>
  </si>
  <si>
    <t>Đi lên Vĩnh Phúc tối đổ xăng, sau đó rút tiền TP</t>
  </si>
  <si>
    <t xml:space="preserve">Thuế VAT </t>
  </si>
  <si>
    <t>Trạm thu phí</t>
  </si>
  <si>
    <t>23/6</t>
  </si>
  <si>
    <t>Café mộc gặp Kế toán xin việc</t>
  </si>
  <si>
    <t>Ăn trưa trung hòa Nhân chính</t>
  </si>
  <si>
    <t>Mua phát wifi máy tính, đi chợ</t>
  </si>
  <si>
    <t>5/6</t>
  </si>
  <si>
    <t>Sửa chữa ô tô</t>
  </si>
  <si>
    <t>Cafe Milano</t>
  </si>
  <si>
    <t>15/6</t>
  </si>
  <si>
    <t xml:space="preserve">Cafe Myway </t>
  </si>
  <si>
    <t>5/7</t>
  </si>
  <si>
    <t>Mua đồ dùng sử dụng cho văn phòng cty</t>
  </si>
  <si>
    <t>26/6</t>
  </si>
  <si>
    <t>Cafe tiếp khách New window</t>
  </si>
  <si>
    <t>22/7</t>
  </si>
  <si>
    <t>Thanh toán lần 2 chi phí tiệc họp báo ra mắt sp nhà hàng Vạn Hoa</t>
  </si>
  <si>
    <t>05/07</t>
  </si>
  <si>
    <t>Mua nước rửa chén</t>
  </si>
  <si>
    <t>14/6</t>
  </si>
  <si>
    <t>Cước đường bộ cao tốc HN- HP</t>
  </si>
  <si>
    <t>Mua 2 cây phát lộc</t>
  </si>
  <si>
    <t>Mua cây Kim Tiền</t>
  </si>
  <si>
    <t>Chi phí chuyển phát sữa lên Yên Bái</t>
  </si>
  <si>
    <t>9/7</t>
  </si>
  <si>
    <t>Xăng E5 ron 92-II</t>
  </si>
  <si>
    <t>Xăng Ron 95</t>
  </si>
  <si>
    <t>Chi phí ăn uống nhà hàng Bình Minh Vĩnh Phúc</t>
  </si>
  <si>
    <t>Long đặt cọc tiền mua tủ đựng tài liệu phòng kế toán</t>
  </si>
  <si>
    <t>31/7</t>
  </si>
  <si>
    <t>A Lâm thanh toán tiền mua tủ đựng tài liệu phòng kế toán</t>
  </si>
  <si>
    <t>Cước vận chuyển tủ tài liệu</t>
  </si>
  <si>
    <t>Cafe Mộc Quán</t>
  </si>
  <si>
    <t>Tiếp khách Quý Đức- ĐLý HN-Lẩu nướng Hàn Quốc</t>
  </si>
  <si>
    <t>Doanh thu bán hàng tháng 7 đã trừ công nợ KH và khoản của Đại lý chị Hiền Gia Lai.</t>
  </si>
  <si>
    <t>Cafe Times Coffee Vĩnh Phúc</t>
  </si>
  <si>
    <t>29/7</t>
  </si>
  <si>
    <t>Chi phí tiếp khách Thông tấn xã- VTC</t>
  </si>
  <si>
    <t>Chi phí tiếp khách nhà hàng Thanh Xuân Ninh Bình</t>
  </si>
  <si>
    <t>Mua xăng Ron 95 tại Vĩnh Phúc</t>
  </si>
  <si>
    <t>Thuế GTGT</t>
  </si>
  <si>
    <t>Cước đường bộ trạm thu phí Bắc Thăng Long- Nội Bài</t>
  </si>
  <si>
    <t>Cước đường bộ đoạn Bài Vĩnh Yên (Quốc lộ 2)</t>
  </si>
  <si>
    <t>Cước đường bộ Cao tốc Nội Bài- Lào Cai</t>
  </si>
  <si>
    <t>Cước đường bộ quốc lộ 17B</t>
  </si>
  <si>
    <t>Cước đường cao tốc Nội Bài- Lào Cai</t>
  </si>
  <si>
    <t>Cước đường bộ Pháp Vân - Cầu Giẽ</t>
  </si>
  <si>
    <t>Vé sử dụng đường bộ Thăng Long- Nội Bài</t>
  </si>
  <si>
    <t>Vé thu phí dịch vụ sử dụng đường bộ Quảng Ninh</t>
  </si>
  <si>
    <t>Cước đường bộ cao tốc Hà Nội- Hải Phòng</t>
  </si>
  <si>
    <t>Vé trông giữ ô tô chợ Đồng Xuân</t>
  </si>
  <si>
    <t>Mua phần mềm học bán hàng online Unimall</t>
  </si>
  <si>
    <t>Mua máy in + mực phòng kế toán</t>
  </si>
  <si>
    <t>2/8</t>
  </si>
  <si>
    <t>Mua thực phẩm bữa trưa tại cty</t>
  </si>
  <si>
    <t>Mua lễ thắp hương ngày mùng một tại đền Bia Bà</t>
  </si>
  <si>
    <t>3/8</t>
  </si>
  <si>
    <t>4/8</t>
  </si>
  <si>
    <t>Mua xăng công tác Vĩnh Yên</t>
  </si>
  <si>
    <t>Cafe gặp khách hàng</t>
  </si>
  <si>
    <t>5/8</t>
  </si>
  <si>
    <t>Tiếp khách bữa trưa tại Vĩnh Yên</t>
  </si>
  <si>
    <t>6/8</t>
  </si>
  <si>
    <t>Mua quạt, móc áo, sổ, ổ điện dùng trong văn phòng cty</t>
  </si>
  <si>
    <t xml:space="preserve">Lệ phí cầu đường </t>
  </si>
  <si>
    <t>Phụ cấp công tác ( Tiền cafe)</t>
  </si>
  <si>
    <t>Mua xăng dầu</t>
  </si>
  <si>
    <t>10/8</t>
  </si>
  <si>
    <t>Cty mua bảng ghim treo tường</t>
  </si>
  <si>
    <t>Thanh toán tiền dọn dẹp vệ sinh tháng 7</t>
  </si>
  <si>
    <t>12/8</t>
  </si>
  <si>
    <t>Mua dây ống nước</t>
  </si>
  <si>
    <t>8/8</t>
  </si>
  <si>
    <t>Thanh toán lần 1 tiền làm biển đại lý chị Sáu đê Trần Khát Chân</t>
  </si>
  <si>
    <t>Thanh toán lần 1 tiền nhập hàng đợt 2 cho Nguyễn Thanh Long</t>
  </si>
  <si>
    <t>9/8</t>
  </si>
  <si>
    <t>Thanh toán tiền thiết kế website cho anh Hà</t>
  </si>
  <si>
    <t>11/8</t>
  </si>
  <si>
    <t>In ấn Brochure và Phiếu bán hàng</t>
  </si>
  <si>
    <t xml:space="preserve">Thanh toán chi phí tiếp khách bữa trưa </t>
  </si>
  <si>
    <t>Vé dịch vụ dừng đỗ ô tô</t>
  </si>
  <si>
    <t>Đăng ký nhạc chờ</t>
  </si>
  <si>
    <t>7/8</t>
  </si>
  <si>
    <t>A Lâm ứng tiền cho Lan đi chợ</t>
  </si>
  <si>
    <t>Thanh toán lần 2 tiền làm biển đại lý chị Sáu đê Trần Khát Chân</t>
  </si>
  <si>
    <t>KH thanh toán tiền mua hàng qua TK BIDV của Long( a Lâm bán sữa Canxi Nano)</t>
  </si>
  <si>
    <t>Cty nhập hàng lần 2- anh Lâm thanh toán số còn lại</t>
  </si>
  <si>
    <t>Thanh toán tiền làm giấy phép hoạt động cty</t>
  </si>
  <si>
    <t>Chi phí chuyển phát nhanh</t>
  </si>
  <si>
    <t>Nam tự ứng tiền cá nhân thanh toán các khoản chi cho cty ( Chi tiết trong sheet Chi phí khác)</t>
  </si>
  <si>
    <t>Hoa tặng anh Hùng sinh nhật</t>
  </si>
  <si>
    <t>Mua gạo nấu bữa trưa (30kg)</t>
  </si>
  <si>
    <t>A Lâm ứng tiền cho Tâm đi chợ</t>
  </si>
  <si>
    <t>Cốc giấy sử dụng họp báo ra mắt SP</t>
  </si>
  <si>
    <t>Tiền vé vào cửa, tiền gửi 02 xe ô tô, tiền mua lễ, tiền nước uống</t>
  </si>
  <si>
    <t>Thanh toán tiền điện kỳ 1 tháng 8</t>
  </si>
  <si>
    <t>Thanh toán tiền phí dịch vụ, tiền nước văn phòng tháng 7</t>
  </si>
  <si>
    <t>Mua nước uống tại cty</t>
  </si>
  <si>
    <t>30/7</t>
  </si>
  <si>
    <t>Mua xăng</t>
  </si>
  <si>
    <t>Thuê phòng nghỉ qua đêm ( 2 đêm x 300.000đ/đêm)</t>
  </si>
  <si>
    <t>Phụ cấp công tác ( Tiền ăn-3 ngày x  240.000đ/ngày )</t>
  </si>
  <si>
    <t>Mua xăng (715 km x2.000đ/km)</t>
  </si>
  <si>
    <t xml:space="preserve">Thuê phòng nghỉ qua đêm </t>
  </si>
  <si>
    <t>Phụ cấp công tác ( Tiền ăn-1 ngày x  240.000đ/ngày )</t>
  </si>
  <si>
    <t>Thu lại tiền đặt cọc do cty dừng không thuê xe ô tô</t>
  </si>
  <si>
    <t>Thu lại tiền đặt cọc khi nhập hàng 67 thùng sữa</t>
  </si>
  <si>
    <t>Mr Long</t>
  </si>
  <si>
    <t xml:space="preserve">A Hùng ứng tiền cá nhân </t>
  </si>
  <si>
    <t xml:space="preserve">A Nam ứng tiền cá nhân </t>
  </si>
  <si>
    <t xml:space="preserve">A Hà ứng tiền cá nhân </t>
  </si>
  <si>
    <t>Tổng cộng các khoản thu chi từ T5 đến 19.8</t>
  </si>
  <si>
    <t>Hà Nội, ngày 29 tháng 11 năm 2019</t>
  </si>
  <si>
    <t>Doanh thu bán hàng tháng 8 đã trừ công nợ KH ( chốt đến 31/8)</t>
  </si>
  <si>
    <t>Tổng cộng các khoản thu chi từ 20.8 đến 29.11</t>
  </si>
  <si>
    <t>Tổng thu từ 20.8 đến 29.11</t>
  </si>
  <si>
    <t>Tổng chi từ 20.8 đến 29.11</t>
  </si>
  <si>
    <t>Tổng thu từ T5 đến 19.8</t>
  </si>
  <si>
    <t>Tổng chi từ T5 đến 19.8</t>
  </si>
  <si>
    <t xml:space="preserve">                     Giám đốc</t>
  </si>
  <si>
    <t xml:space="preserve">                    (Ký, họ tên)</t>
  </si>
  <si>
    <t xml:space="preserve">                              Kế toán</t>
  </si>
  <si>
    <t xml:space="preserve">                               ( Ký, họ tên)</t>
  </si>
  <si>
    <t xml:space="preserve"> KH thanh toán bằng chuyển khoản thu về tháng 7/2019</t>
  </si>
  <si>
    <t xml:space="preserve"> KH thanh toán bằng chuyển khoản thu về tháng 8/2019</t>
  </si>
  <si>
    <t>Doanh số Anh Sơn CTV Vĩnh Phúc</t>
  </si>
  <si>
    <t>CÔNG NỢ CỦA KHÁCH HÀNG</t>
  </si>
  <si>
    <t>Tháng 7</t>
  </si>
  <si>
    <t>Công nợ khách hàng</t>
  </si>
  <si>
    <t>Doanh thu T7 và T8 có sự thay đổi nên đưa sang bảng tổng hợp thu chi họp 20.8</t>
  </si>
  <si>
    <t>( Doanh thu bao gồm cả tiền mặt, chuyển khoản và công nợ của khách hàng)</t>
  </si>
  <si>
    <t>CHI PHÍ LƯƠNG ĐÃ THANH TOÁN</t>
  </si>
  <si>
    <t>Cty thanh toán tiền lương tháng 8 cho a Sơn</t>
  </si>
  <si>
    <t>Công ty thanh toán công nợ với anh Sơn</t>
  </si>
  <si>
    <t>Long ứng tiênf mua VPP</t>
  </si>
  <si>
    <t>Số liệu thay đổi do KH trả lại hàng</t>
  </si>
  <si>
    <t>BẢNG TỔNG HỢP CÁC KHOẢN THU CHI TỪ THÁNG 5 ĐẾN 29.11.2019</t>
  </si>
  <si>
    <t>Thay đổi tỉ lệ cổ phần của Long, Hùng, A Thịnh và A Lâm</t>
  </si>
  <si>
    <t>Lợi nhuận từ T5 đến 19.8</t>
  </si>
  <si>
    <t>Lợi nhuận từ 20.8 đến 29.11</t>
  </si>
  <si>
    <t>Tổng lợi nhuận từ T5 đến 29.11</t>
  </si>
  <si>
    <t>CÔNG NỢ  KHÁCH HÀNG</t>
  </si>
  <si>
    <t>( Doanh thu gồm cả tiền mặt, chuyển khoản và công nợ)</t>
  </si>
  <si>
    <t>TỪ 20.8 ĐẾN 29.11.2019</t>
  </si>
  <si>
    <t>TỪ 20.8 ĐẾN 29.11</t>
  </si>
  <si>
    <t xml:space="preserve">Chi phí tiếp khách chay Thiên An </t>
  </si>
  <si>
    <t>HĐ số 2852036</t>
  </si>
  <si>
    <t>30/11</t>
  </si>
  <si>
    <t>Big Buy</t>
  </si>
  <si>
    <t>E Long Kdoanh</t>
  </si>
  <si>
    <t>KH mua hai hộp sữa non chỉ tính 800.000đ còn lại cty tặng</t>
  </si>
  <si>
    <t>Doanh số Long kinh doanh</t>
  </si>
  <si>
    <t xml:space="preserve"> KH thanh toán bằng chuyển khoản</t>
  </si>
  <si>
    <t>Lễ ký kết Big buy</t>
  </si>
  <si>
    <t xml:space="preserve">Pha cho khách trải nghiệm </t>
  </si>
  <si>
    <t xml:space="preserve"> Tháng 11</t>
  </si>
  <si>
    <t>A Lâm</t>
  </si>
  <si>
    <t>Chị Ngân</t>
  </si>
  <si>
    <t>Đan Phượng</t>
  </si>
  <si>
    <t>2/11</t>
  </si>
  <si>
    <t>Hàng mẫu</t>
  </si>
  <si>
    <t>Hỏi lại A Sơn xem hàng mẫu đã trả lại cty chưa</t>
  </si>
  <si>
    <t>TIỀN MUA HÀNG ANH SƠN CHƯA THANH TOÁN THÁNG 11</t>
  </si>
  <si>
    <t xml:space="preserve">TIỀN MUA HÀNG EM LONG CHƯA THANH TOÁN THÁNG 11 </t>
  </si>
  <si>
    <t>TIỀN MUA HÀNG EM TÂM CHƯA THANH TOÁN THÁNG 11</t>
  </si>
  <si>
    <t>BẢNG TÍNH LƯƠNG THÁNG 11 NĂM 2019</t>
  </si>
  <si>
    <t>Tiền mua hàng chưa thanh toán tháng 11</t>
  </si>
  <si>
    <t xml:space="preserve">              Giám đốc</t>
  </si>
  <si>
    <t>Tổng doanh số bán hàng toàn công ty tháng 11/2019</t>
  </si>
  <si>
    <t>Hàng tặng khách khi giao lưu</t>
  </si>
  <si>
    <t>Hỏi a Sơn xem hàng mẫu đã trả cty chưa</t>
  </si>
  <si>
    <t>E Nam thiết kế</t>
  </si>
  <si>
    <t>Hàng mẫu đi chụp ảnh</t>
  </si>
  <si>
    <t>3/12</t>
  </si>
  <si>
    <t>Xuất đi miền nam</t>
  </si>
  <si>
    <t>BẢNG TỔNG HỢP CÁC KHOẢN THANH TOÁN VỚI HÀ</t>
  </si>
  <si>
    <t>Số tiền công ty phải thanh toán cho Hà chốt trong buổi họp cổ đông ngày 21.8</t>
  </si>
  <si>
    <t>Tiền Hà ứng cho cty vay</t>
  </si>
  <si>
    <t>Đã chốt kho với Tâm</t>
  </si>
  <si>
    <t>Xuất ngày 31/8 là 24 hộp, ngày 20/11 nhập lại 12 hộp</t>
  </si>
  <si>
    <t>Hỏi Tâm xem hàng mẫu đã trả lại chưa</t>
  </si>
  <si>
    <t>Chênh lệch</t>
  </si>
  <si>
    <t>Tặng khách hàng</t>
  </si>
  <si>
    <t>CÔNG NỢ THU HỒI ĐƯỢC</t>
  </si>
  <si>
    <t>Đại lý Thủy Vi</t>
  </si>
  <si>
    <t>Đại lý Thanh Hòa</t>
  </si>
  <si>
    <t>Đại lý Dung Phi</t>
  </si>
  <si>
    <t>Đại lý anh Minh Gia Lâm</t>
  </si>
  <si>
    <t>Đại lý Trường Hiền</t>
  </si>
  <si>
    <t>Đại lý Tuyết Nhung</t>
  </si>
  <si>
    <t>Anh Sơn nhân viên Vĩnh Phúc</t>
  </si>
  <si>
    <t>Đại lý chị Huệ Điện Biên</t>
  </si>
  <si>
    <t>Công nợ thu hồi được</t>
  </si>
  <si>
    <t>Công nợ còn phải thu</t>
  </si>
  <si>
    <t xml:space="preserve">       TỪ 1/12 ĐẾN 31/12/2019</t>
  </si>
  <si>
    <t>công ty</t>
  </si>
  <si>
    <t>Chị Huệ</t>
  </si>
  <si>
    <t>chú Minh</t>
  </si>
  <si>
    <t>Nha khoa Khánh An</t>
  </si>
  <si>
    <t>em Tâm</t>
  </si>
  <si>
    <t>Anh Minh</t>
  </si>
  <si>
    <t>em Thanh</t>
  </si>
  <si>
    <t>Điên Biên</t>
  </si>
  <si>
    <t>chị Hà</t>
  </si>
  <si>
    <t>Hàng Trưng Bày</t>
  </si>
  <si>
    <t>chị Xuân</t>
  </si>
  <si>
    <t>36, Dịch vọng, Cầu Giấy</t>
  </si>
  <si>
    <t>chú Ba</t>
  </si>
  <si>
    <t>Hoàng Mai</t>
  </si>
  <si>
    <t>13/12</t>
  </si>
  <si>
    <t>Yên Châu</t>
  </si>
  <si>
    <t>chị Bích</t>
  </si>
  <si>
    <t>16/12</t>
  </si>
  <si>
    <t>chị Trâm</t>
  </si>
  <si>
    <t>Hoàng Diện, Đà Nẵng</t>
  </si>
  <si>
    <t>17/12</t>
  </si>
  <si>
    <t>18/12</t>
  </si>
  <si>
    <t>chị Quý</t>
  </si>
  <si>
    <t>Mầm non Tà Té</t>
  </si>
  <si>
    <t>24/12</t>
  </si>
  <si>
    <t>25/12</t>
  </si>
  <si>
    <t xml:space="preserve">Tặng </t>
  </si>
  <si>
    <t>Đly anh Minh và Chị Huệ</t>
  </si>
  <si>
    <t xml:space="preserve"> 72, Nguyễn Tuân</t>
  </si>
  <si>
    <t>Chùa Láng, Đống Đa</t>
  </si>
  <si>
    <t>23/12</t>
  </si>
  <si>
    <t>29/12</t>
  </si>
  <si>
    <t>Tiền vc 180.000</t>
  </si>
  <si>
    <t>Tài khoản:</t>
  </si>
  <si>
    <t>Loại quỹ:</t>
  </si>
  <si>
    <t>Năm 2019</t>
  </si>
  <si>
    <t>Ngày tháng ghi sổ</t>
  </si>
  <si>
    <t>ngày tháng chứng từ</t>
  </si>
  <si>
    <t>Số hiệu chứng từ</t>
  </si>
  <si>
    <t>Thu</t>
  </si>
  <si>
    <t>Chi</t>
  </si>
  <si>
    <t>TK đối ứng</t>
  </si>
  <si>
    <t>Số phát sinh</t>
  </si>
  <si>
    <t>Nợ</t>
  </si>
  <si>
    <t>Có</t>
  </si>
  <si>
    <t>Số tồn</t>
  </si>
  <si>
    <t>Chi làm biển đại lý Văn Minh Gia Lâm</t>
  </si>
  <si>
    <t>Chi tiền gửi xe T11,12</t>
  </si>
  <si>
    <t>13-12</t>
  </si>
  <si>
    <t>Vé máy bay công tác Sài gòn</t>
  </si>
  <si>
    <t>14-12</t>
  </si>
  <si>
    <t>Cước dịch vụ Viettel</t>
  </si>
  <si>
    <t>16-12</t>
  </si>
  <si>
    <t>Cước DVC T12</t>
  </si>
  <si>
    <t>Tiền thuê kho 2 tháng</t>
  </si>
  <si>
    <t>24-12</t>
  </si>
  <si>
    <t>Chi phí vận chuyển túi sữa nanomilk SG - HN</t>
  </si>
  <si>
    <t>30-12</t>
  </si>
  <si>
    <t>Chuyển trước tiền đặt hàng</t>
  </si>
  <si>
    <t>Trả tiền xe oto</t>
  </si>
  <si>
    <t>Chi tiền kệ đại lý Văn Minh kiên thành gia lâm - HN</t>
  </si>
  <si>
    <t>Dư đầu kỳ</t>
  </si>
  <si>
    <t xml:space="preserve">Chi tiền kệ đại </t>
  </si>
  <si>
    <t>28-11</t>
  </si>
  <si>
    <t>Thanh toán tiền bìa A4</t>
  </si>
  <si>
    <t>Cà fe Lê Văn Lương</t>
  </si>
  <si>
    <t>Tiền ăn</t>
  </si>
  <si>
    <t>18-12</t>
  </si>
  <si>
    <t>Chi tiền ăn tại Nhà hàng Quang Huệ Việt trì</t>
  </si>
  <si>
    <t>Chi tiền ăn tại Liên bảo Vĩnh Yên</t>
  </si>
  <si>
    <t>Tiền xăng xe</t>
  </si>
  <si>
    <t>Lẩu trâu ngon</t>
  </si>
  <si>
    <t>Rửa xe</t>
  </si>
  <si>
    <t>28/12</t>
  </si>
  <si>
    <t>Vé cầu đường</t>
  </si>
  <si>
    <t>Chuyển phát nhanh</t>
  </si>
  <si>
    <t>BẢNG TÍNH LƯƠNG THÁNG 12 NĂM 2019</t>
  </si>
  <si>
    <t>TIỀN MUA HÀNG EM TÂM CHƯA THANH TOÁN THÁNG 12</t>
  </si>
  <si>
    <t>A</t>
  </si>
  <si>
    <t>Bộ phận quản lý</t>
  </si>
  <si>
    <t>B</t>
  </si>
  <si>
    <t>Bộ phận bán hàng</t>
  </si>
  <si>
    <t xml:space="preserve">Nguyễn Tiến Lâm </t>
  </si>
  <si>
    <t>Thu tiền hàng Lan Sài gòn</t>
  </si>
  <si>
    <t>17-12</t>
  </si>
  <si>
    <t>Thu tiền hàng Vũ Thị Thu Hà</t>
  </si>
  <si>
    <t>Vũ T. Thu Hà</t>
  </si>
  <si>
    <t>Lan - Sài Gòn</t>
  </si>
  <si>
    <t>23-12</t>
  </si>
  <si>
    <t>Hảo - Linh Đàm</t>
  </si>
  <si>
    <t>Thu tiền hàng</t>
  </si>
  <si>
    <t>19-12</t>
  </si>
  <si>
    <t>Huệ - Điện Biên</t>
  </si>
  <si>
    <t>Thanh Hòa - Lập Thạch</t>
  </si>
  <si>
    <t>31-12</t>
  </si>
  <si>
    <t>Thu trước tiền hàng</t>
  </si>
  <si>
    <t>Ứng lương Nguyễn Văn Sơn T12</t>
  </si>
  <si>
    <t>Chi tiền Nguyễn Văn Sơn khai trương Đly Văn Minh</t>
  </si>
  <si>
    <t>Chi Phi Nguyễn Văn Sơn Vĩnh Phúc - HN</t>
  </si>
  <si>
    <t>Tiền dịch vụ T11</t>
  </si>
  <si>
    <t>Tiền mua văn phòng phẩm công ty</t>
  </si>
  <si>
    <t>Chi văn phòng phẩm</t>
  </si>
  <si>
    <t>Trả tiền xăng xe</t>
  </si>
  <si>
    <t>Chi tiền điện văn phòng</t>
  </si>
  <si>
    <t>Nguyễn Văn Sơn ứng lương T12</t>
  </si>
  <si>
    <t>26-12</t>
  </si>
  <si>
    <t>Vũ Hoài Thanh ứng lương T12</t>
  </si>
  <si>
    <t>Tich trả điểm BBI</t>
  </si>
  <si>
    <t>Phí phạt</t>
  </si>
  <si>
    <t>20-12</t>
  </si>
  <si>
    <t>Ship sữa chị Hà- Hoàng Đạo Thúy</t>
  </si>
  <si>
    <t>29-11</t>
  </si>
  <si>
    <t>Thanh toán tiền lãi Nhất Bình</t>
  </si>
  <si>
    <t>Phí dịch vụ VP T12</t>
  </si>
  <si>
    <t>Đá phong thủy công ty</t>
  </si>
  <si>
    <t>Chi tiền Công tác Đại lý Cường Oanh - Phú Thọ</t>
  </si>
  <si>
    <t>Thuê phòng nghỉ khách sạn Nhật Minh</t>
  </si>
  <si>
    <t>Ăn tối</t>
  </si>
  <si>
    <t>Ca phê trưa</t>
  </si>
  <si>
    <t>Xăng xe Sài Gòn - An Giang</t>
  </si>
  <si>
    <t>có VAT</t>
  </si>
  <si>
    <t>HĐ</t>
  </si>
  <si>
    <t>Thuê phong nghỉ khách sạn Nhật Minh</t>
  </si>
  <si>
    <t>Ăn tối tiếp khách Sài Gòn</t>
  </si>
  <si>
    <t>Ăn Sáng tiếp khách Sài Gòn</t>
  </si>
  <si>
    <t>Ca phê chiều</t>
  </si>
  <si>
    <t>Đổ xăng xe đi Đan Phượng - Hà Nội</t>
  </si>
  <si>
    <t>Chi tiền ăn trưa</t>
  </si>
  <si>
    <t>Đổ xăng xe đi Vĩnh Phúc</t>
  </si>
  <si>
    <t>Ca phê sáng</t>
  </si>
  <si>
    <t>Tiếp anh Minh , Hùng BBI</t>
  </si>
  <si>
    <t>Ca phê</t>
  </si>
  <si>
    <t>Gửi xe oto</t>
  </si>
  <si>
    <t>Phí cầu đường</t>
  </si>
  <si>
    <t>15/12</t>
  </si>
  <si>
    <t>Cà phê</t>
  </si>
  <si>
    <t>31/12</t>
  </si>
  <si>
    <t>Thuê phòng nghỉ khách sạn Cần Thơ</t>
  </si>
  <si>
    <t>Có VAT</t>
  </si>
  <si>
    <t xml:space="preserve"> Thanh toán tiền Xăng xe</t>
  </si>
  <si>
    <t>Thanh toán tiền Xăng xe</t>
  </si>
  <si>
    <t>Thanh toán tiền ăn Nhà hàng xanh</t>
  </si>
  <si>
    <t>Cước vận chuyển hàng Huệ - Điện Biên</t>
  </si>
  <si>
    <t xml:space="preserve">Lẩu ngựa khai trương đại lý </t>
  </si>
  <si>
    <t>Thanh toán tiền ăn</t>
  </si>
  <si>
    <t>Thanh toán tiền Càphê</t>
  </si>
  <si>
    <t>Trà chanh</t>
  </si>
  <si>
    <t>Thanh toán tiền cà phê</t>
  </si>
  <si>
    <t>Thanh toán tiền mua đồ sinh hoạt</t>
  </si>
  <si>
    <t>Thanh toán tiền đồ dùng sinh hoạt</t>
  </si>
  <si>
    <t>Trả lương  E. Tâm T11</t>
  </si>
  <si>
    <t>14/12</t>
  </si>
  <si>
    <t>Thanh toán tiền MC Đại lý Văn Minh Gian Lâm</t>
  </si>
  <si>
    <t>Trả lại tiền hàng do thu thứa Đại lý Văn Minh Gia Lâm</t>
  </si>
  <si>
    <t>25-12</t>
  </si>
  <si>
    <t xml:space="preserve"> Ph kinh doanh</t>
  </si>
  <si>
    <t>Kế toán tổng hợp</t>
  </si>
  <si>
    <t>SỔ KẾ TOÁN CHI TIẾT QUỸ TIỀN MẶT</t>
  </si>
  <si>
    <t>SƠN</t>
  </si>
  <si>
    <t xml:space="preserve">Sơn CTV </t>
  </si>
  <si>
    <t>BBI Hải Dương</t>
  </si>
  <si>
    <t xml:space="preserve"> quàKT đại lý</t>
  </si>
  <si>
    <t>Lập Thạch - VP</t>
  </si>
  <si>
    <t>ĐL Cường Oanh</t>
  </si>
  <si>
    <t>Hạ Hòa - Phú Thọ</t>
  </si>
  <si>
    <t>30/12</t>
  </si>
  <si>
    <t>chị Hảo</t>
  </si>
  <si>
    <t>HH1A Linh Đàm</t>
  </si>
  <si>
    <t>27/12</t>
  </si>
  <si>
    <t>ăn trưa</t>
  </si>
  <si>
    <t>Chưa có chứng từ</t>
  </si>
  <si>
    <t>Anh Sơn đổ xăng Nguyễn Trãi</t>
  </si>
  <si>
    <t>Không có chứng từ</t>
  </si>
  <si>
    <t>Chuyển tiền nhập hàng Công ty Cổ phần dược phẩm THL</t>
  </si>
  <si>
    <t>22/12</t>
  </si>
  <si>
    <t>Có HD</t>
  </si>
  <si>
    <t>20 Xuất quà tết</t>
  </si>
  <si>
    <t>Chi tiền hoa khai trương đại lý Văn Minh Gia Lâm</t>
  </si>
  <si>
    <t>Không có CT</t>
  </si>
  <si>
    <t>Chị Na - Biên Hòa - Đồng Nai</t>
  </si>
  <si>
    <t>Doanh thu tháng 12</t>
  </si>
  <si>
    <t>Tổng xuất T11</t>
  </si>
  <si>
    <t>Tháng 12</t>
  </si>
  <si>
    <t>Tổng xuất T12</t>
  </si>
  <si>
    <t>Cty nhập hàng đợt 8</t>
  </si>
  <si>
    <t>Tổng số hàng nhập ( Tháng 7,8,9,10 và11,12,1/2020)</t>
  </si>
  <si>
    <t>Tổng số hàng đã xuất bán(Tháng 7,8,9,10 và11,12,1/2020)</t>
  </si>
  <si>
    <t>Doanh thu Tháng 1/2020</t>
  </si>
  <si>
    <t>BẢNG TỔNG HỢP DOANH THU BÁN HÀNG ĐẾN 31/1/2020</t>
  </si>
  <si>
    <t>Hà Nội, ngày 31 tháng 1 năm 2020</t>
  </si>
  <si>
    <t>Người lập biều</t>
  </si>
  <si>
    <t>Tổng cộng doanh thu tháng 7, 8 , 9, 10 ,11,12-&gt; 31/01/2020</t>
  </si>
  <si>
    <t>Hà Nội, ngày 31 tháng 01 năm 2020</t>
  </si>
  <si>
    <t>Doanh thu tháng 1/2020</t>
  </si>
  <si>
    <t>Chuyến công tác và từ thiện điện biên</t>
  </si>
  <si>
    <t>Tiếp khách</t>
  </si>
  <si>
    <t>Vé vào Him</t>
  </si>
  <si>
    <t>Vé Tắm</t>
  </si>
  <si>
    <t>Mua thực phẩm nấu ăn cho văn phòng</t>
  </si>
  <si>
    <t>13/1</t>
  </si>
  <si>
    <t>15/1</t>
  </si>
  <si>
    <t>20/1</t>
  </si>
  <si>
    <t>Phí DVC và tiền nước</t>
  </si>
  <si>
    <t>Tiếp khách Anh Sơn + Anh Vĩnh Lập Thạch</t>
  </si>
  <si>
    <t>Chi mua đồ gia vị nấu ăn</t>
  </si>
  <si>
    <t>Tiền cước chở hàng từ bến xe về</t>
  </si>
  <si>
    <t>Chi tiền cước gửi hàng vào SG</t>
  </si>
  <si>
    <t>Cafê tiếp khách</t>
  </si>
  <si>
    <t>19/1</t>
  </si>
  <si>
    <t>Thanh toán tiền điện</t>
  </si>
  <si>
    <t>18/1</t>
  </si>
  <si>
    <t>Tiếp khách MN đi chợ</t>
  </si>
  <si>
    <t>16/1</t>
  </si>
  <si>
    <t xml:space="preserve"> Chi phí Vé cầu đường từ 16/1-24/1</t>
  </si>
  <si>
    <t>Chi phí Xăng xe</t>
  </si>
  <si>
    <t>21/1</t>
  </si>
  <si>
    <t>22/1</t>
  </si>
  <si>
    <t>Công tác sài gòn giặt là</t>
  </si>
  <si>
    <t>Càphê</t>
  </si>
  <si>
    <t>Đồ dùng sinh hoạt</t>
  </si>
  <si>
    <t>Tiếp khách cùng ae SG</t>
  </si>
  <si>
    <t>Ăn tối tiếp khách</t>
  </si>
  <si>
    <t>Giặt là</t>
  </si>
  <si>
    <t>Cà phê tiếp khách</t>
  </si>
  <si>
    <t>Tiếp khách Chị tuyết và đội SG</t>
  </si>
  <si>
    <t>Chuyển 13 thùng hàng từ điện biên về</t>
  </si>
  <si>
    <t>Ăn sáng cùng đội SG</t>
  </si>
  <si>
    <t>Tiền nhà nghỉ</t>
  </si>
  <si>
    <t>Cà phê sáng</t>
  </si>
  <si>
    <t>Ăn cơm</t>
  </si>
  <si>
    <t>Mua cốc</t>
  </si>
  <si>
    <t>Đi tácxi</t>
  </si>
  <si>
    <t>Tiền nhà nghỉ Đồng Nai</t>
  </si>
  <si>
    <t>Xe ôm đi đồng nai</t>
  </si>
  <si>
    <t>Cafê cùng chị Tuyết</t>
  </si>
  <si>
    <t>Ăn cơm chưa Đồng Nai</t>
  </si>
  <si>
    <t>Cà phê cùng đội SG</t>
  </si>
  <si>
    <t>Ăn sáng ở Sân bay</t>
  </si>
  <si>
    <t>Cà phê sân bay</t>
  </si>
  <si>
    <t>Tiền ăn ra Sân bay</t>
  </si>
  <si>
    <t>Chi phí xăng dầu</t>
  </si>
  <si>
    <t>Chi phí xăng dầu ĐB</t>
  </si>
  <si>
    <t>Thanh toán tiền nhà nghỉ ĐB</t>
  </si>
  <si>
    <t>Chi phí xăng xe tại Sơn La</t>
  </si>
  <si>
    <t>Chi phí giới thiệu đơn vị trên báo</t>
  </si>
  <si>
    <t>Chi phí xăng xe đi Phú Thọ</t>
  </si>
  <si>
    <t>Chi phí bọc xe lắp màn hình xeotô</t>
  </si>
  <si>
    <t>Chi phí xăng xe đi Nam Định</t>
  </si>
  <si>
    <t xml:space="preserve">Hoa chúc mừng đại lý Cường Oanh </t>
  </si>
  <si>
    <t>Chi phí xăng xe</t>
  </si>
  <si>
    <t>Ăn tối nhà hàng Trung Hoa ĐN</t>
  </si>
  <si>
    <t xml:space="preserve">Tiếp khách nhà hàng Gà tươi </t>
  </si>
  <si>
    <t>Vé máy bay CT Sài Gòn</t>
  </si>
  <si>
    <t>Chi tiền nước</t>
  </si>
  <si>
    <t>Chi mua bàn dập ghim tại Lập Thạch</t>
  </si>
  <si>
    <t>Chi tiền ăn tại DB</t>
  </si>
  <si>
    <t>Chi tiền ăn tại Mai Châu - Hòa Binh</t>
  </si>
  <si>
    <t xml:space="preserve">Chi phí vận chuyển hàng 30Thùng </t>
  </si>
  <si>
    <t>Mua ấm siêu tốc</t>
  </si>
  <si>
    <t>Chi tiếp khách Nhà hàng Cường</t>
  </si>
  <si>
    <t>Chi phí vận chuyển hàng 9 T</t>
  </si>
  <si>
    <t>Thanh toán lương T12 anh Sơn</t>
  </si>
  <si>
    <t>Chi sắm lễ Đền Mẫu</t>
  </si>
  <si>
    <t>Chi tiền thưởng anh em Sài Gòn</t>
  </si>
  <si>
    <t>14/1</t>
  </si>
  <si>
    <t>Chi mua phích 2S1 chị Mận HD</t>
  </si>
  <si>
    <t>17/1</t>
  </si>
  <si>
    <t>Chi tất niên công ty</t>
  </si>
  <si>
    <t>24/1</t>
  </si>
  <si>
    <t>Chi Tạm ứng lương T1 Nguyễn Văn Sơn</t>
  </si>
  <si>
    <t>Chi Tạm ứng biển bảng chi nhánh MN</t>
  </si>
  <si>
    <t>Chi Trả Tâm tiền đã ứng chi cho văn phòng công ty</t>
  </si>
  <si>
    <t>Thanh toán tiền Kệ đại lý Tuyết Nhung</t>
  </si>
  <si>
    <t>Thanh toán tiền lương T12 cho Vũ Hoài Thanh</t>
  </si>
  <si>
    <t>Chi phí vận chuyển hàng vào SG</t>
  </si>
  <si>
    <t>Chi 20 xuất quà tết Rượu Nho</t>
  </si>
  <si>
    <t>23/1</t>
  </si>
  <si>
    <t>Tạm ứng  lương t2 Lò Thị Minh Tâm</t>
  </si>
  <si>
    <t>Chi thanh toán lương Nguyễn Văn Long</t>
  </si>
  <si>
    <t>31/1</t>
  </si>
  <si>
    <t>Chi thanh toán lương Triệu anh Sơn T10,11,12,01/2020 và thưởng tế</t>
  </si>
  <si>
    <t>Ứng anh Quang MN</t>
  </si>
  <si>
    <t>Thanh toán tiền hưởng hoa hồng từ các đại lý của Triệu Anh Sơn đến hết 31/12/2019.</t>
  </si>
  <si>
    <t>Chi mua giỏ quà tết đại lý Thanh Hòa</t>
  </si>
  <si>
    <t>Chi tiền vé máy bay Sài Gòn</t>
  </si>
  <si>
    <t>Thanh toán tiền lãi xe ôtô</t>
  </si>
  <si>
    <t>Thu tiền hàng( đại lý Hiến SG)</t>
  </si>
  <si>
    <t>Thu tiền em Huân 36 Dịch Vọng</t>
  </si>
  <si>
    <t>Thu tiền Chu Lệ Na đặt cọc tiền hàng</t>
  </si>
  <si>
    <t>Thu tiền chị Thủy Gia Lâm (415 Tâm)</t>
  </si>
  <si>
    <t>Thu tiền vay Tâm</t>
  </si>
  <si>
    <t>Thu tiền Đại lý Cường Oanh PT</t>
  </si>
  <si>
    <t>Thu tiền hàng Hằng BBI</t>
  </si>
  <si>
    <t>Thu tiền Hiệu thuốc Vinh Quy</t>
  </si>
  <si>
    <t>Thu tiền Nguyễn Văn Thắng SG</t>
  </si>
  <si>
    <t>Thu tiền hàng đại lý Dung Phi</t>
  </si>
  <si>
    <t>Thu tiền hàng đại lý Thanh Hòa</t>
  </si>
  <si>
    <t>Thu tiền hàng anh Tùng QN</t>
  </si>
  <si>
    <t>Thu tiền hàng đại lý Cường Oanh</t>
  </si>
  <si>
    <t>Chi tiền mua bìa A4</t>
  </si>
  <si>
    <t>Chi tiền tiếp khách Lẩu ngựa</t>
  </si>
  <si>
    <t>Chi tiền ăn</t>
  </si>
  <si>
    <t>Chi tiếp khách</t>
  </si>
  <si>
    <t>Chi ăn sáng</t>
  </si>
  <si>
    <t>Chi ăn trưa</t>
  </si>
  <si>
    <t>Chi tiếp khách ăn tối</t>
  </si>
  <si>
    <t>Chi tiếp khách nhà hàng QUEN</t>
  </si>
  <si>
    <t xml:space="preserve">Chi tiếp khách ăn tối </t>
  </si>
  <si>
    <t>Cước vận chuyển</t>
  </si>
  <si>
    <t>Chi tiếp khách nhà hàng Huy Béo</t>
  </si>
  <si>
    <t>Vé gửi xe sân bay</t>
  </si>
  <si>
    <t>Mua chổi lau nhà</t>
  </si>
  <si>
    <t>Chi mua gia vị</t>
  </si>
  <si>
    <t>Chi mua thức ăn văn phòng</t>
  </si>
  <si>
    <t>Trà quất</t>
  </si>
  <si>
    <t>Chi tiếp khách nhà hàng Mai Châu</t>
  </si>
  <si>
    <t>Chà chanh</t>
  </si>
  <si>
    <t>Chi cà phê</t>
  </si>
  <si>
    <t>Chi tiền nước Ice</t>
  </si>
  <si>
    <t>Chi phí khac</t>
  </si>
  <si>
    <t>Chi phí khác</t>
  </si>
  <si>
    <t>Chi mua rau</t>
  </si>
  <si>
    <t>Chi đồ dùng văn phòng</t>
  </si>
  <si>
    <t>Chi tiếp khách Việt Trì</t>
  </si>
  <si>
    <t>19/12</t>
  </si>
  <si>
    <t>Chi tiền ăn Vịt nướng Vân Đình VY</t>
  </si>
  <si>
    <t>Chi tiền điện + phí phạt</t>
  </si>
  <si>
    <t>Chi cà phê tiếp khách</t>
  </si>
  <si>
    <t>26/12</t>
  </si>
  <si>
    <t>Chi mua thức ăn vp</t>
  </si>
  <si>
    <t>Gia vị</t>
  </si>
  <si>
    <t>Chi tiền vận chuyển Huệ ĐB</t>
  </si>
  <si>
    <t>Chi tiền vận chuyển 4 T hàng</t>
  </si>
  <si>
    <t>Thanh toán tiền Nhập hàng</t>
  </si>
  <si>
    <t>Chi tiền mua Kệ</t>
  </si>
  <si>
    <t>Thanh toán lương Lò Thị Minh Tâm T11</t>
  </si>
  <si>
    <t>Chi tiền MC đại lý Văn Minh</t>
  </si>
  <si>
    <t>Chi tiền Biển bảng đại lý Văn Minh Gia Lâm</t>
  </si>
  <si>
    <t>Chi phí đồ dùng văn phòng</t>
  </si>
  <si>
    <t>Mua phiếu thu chi ghim</t>
  </si>
  <si>
    <t>Trả lại tiền thu thừa đại lý Văn Minh Gia Lâm( đã thu 12.170.000đ)</t>
  </si>
  <si>
    <t>Ứng lương Vũ Hoài Thanh T12</t>
  </si>
  <si>
    <t>Chi tiền vận chuyển Túi sữa SG-HN</t>
  </si>
  <si>
    <t>Tích trả điểm Hùng Kim Kaka 30%</t>
  </si>
  <si>
    <t>20/12</t>
  </si>
  <si>
    <t>Shíp sữa chị Hà Hoàng Đạo Thúy</t>
  </si>
  <si>
    <t>Thanh toán tiền lãi vay cty từ Nhất</t>
  </si>
  <si>
    <t>Phí dịch vụ T12</t>
  </si>
  <si>
    <t>Đặt cọc tiền hàng</t>
  </si>
  <si>
    <t xml:space="preserve">Chi tiền đá phong thủy Cty </t>
  </si>
  <si>
    <t>Tiếp khách đào tạo Em Công anh Vinh</t>
  </si>
  <si>
    <t>Tổng cộng các khoản thu chi từ 20.8 đến 31.12</t>
  </si>
  <si>
    <t>Tổng thu từ 20.8 đến 31.12</t>
  </si>
  <si>
    <t>Tổng chi từ 20.8 đến 31.12</t>
  </si>
  <si>
    <t>Lợi nhuận từ 20.8 đến 31.12</t>
  </si>
  <si>
    <t>Tổng lợi nhuận từ T5 đến 31.12</t>
  </si>
  <si>
    <t>Thu tiền hàng Lan SG</t>
  </si>
  <si>
    <t>Thu tiền em Hảo Ctv Linh Đàm</t>
  </si>
  <si>
    <t>Thu tiền hàng Vũ Thị Thu Hà( gói 10tr)</t>
  </si>
  <si>
    <t>Thu tiền hàng Đlý Huệ ĐB</t>
  </si>
  <si>
    <t>Thu tiền hàng Đlý Thanh Hòa LT</t>
  </si>
  <si>
    <t>1/12-31/12</t>
  </si>
  <si>
    <t>VAT</t>
  </si>
  <si>
    <t>Thuê phòng nghỉ KS Nhật Minh</t>
  </si>
  <si>
    <t>Chi phí xăng dầu Đồng Tháp</t>
  </si>
  <si>
    <t>Thuê phòng nghỉ KS Cần Thơ</t>
  </si>
  <si>
    <t>Thuê phòng nghỉ KS Nhật Minh Anh</t>
  </si>
  <si>
    <t>vat</t>
  </si>
  <si>
    <t>Mua máy say sinh tố</t>
  </si>
  <si>
    <t>Tiếp khách tại nhà hàng Trâu Ngon Quán</t>
  </si>
  <si>
    <t>Mua hoa khai trương đại lý A Minh</t>
  </si>
  <si>
    <t>Thanh toán tiền thuê kho 2 tháng</t>
  </si>
  <si>
    <t>Chi tiền kệ Đại lý Văn Minh GLâm</t>
  </si>
  <si>
    <t xml:space="preserve">Tổng thu từ 01.01 đến 31.01 </t>
  </si>
  <si>
    <t>Tổng cộng các khoản thu chi từ 01.01đến 31.01</t>
  </si>
  <si>
    <t>Tổng chi từ 01.01 đến 31.01</t>
  </si>
  <si>
    <t>Lợi nhuận từ 01.01 đến 31.01</t>
  </si>
  <si>
    <t>Tổng lợi nhuận từ T5/2019 đến 31/01/2020</t>
  </si>
  <si>
    <t>Vay bạn Nhất để Nhập hàng</t>
  </si>
  <si>
    <t>Trả gốc tiền vay bạn Nhât</t>
  </si>
  <si>
    <t>Thanh toán tiền lãi vay Cty bạn Nhất T12</t>
  </si>
  <si>
    <t>BẢNG TỔNG HỢP CÁC KHOẢN THU CHI TỪ THÁNG 5 ĐẾN 31.01.2020</t>
  </si>
  <si>
    <t>Vé máy bay CT Sài Gòn: Sếp Lâm và Triệu Anh Sơn</t>
  </si>
  <si>
    <t>Kế toán trưởng</t>
  </si>
  <si>
    <t>Tổng doanh số bán hàng toàn công ty tháng 12/2019</t>
  </si>
  <si>
    <t>TK Lâm</t>
  </si>
  <si>
    <t>Tổng giám đốc</t>
  </si>
  <si>
    <t>SỐ LIỆU XUẤT KHO TỪ THÁNG 7 ĐẾN THÁNG 01 NĂM 2020</t>
  </si>
  <si>
    <t>Tổng xuất T1/2020</t>
  </si>
  <si>
    <t>Tháng 1/2020</t>
  </si>
  <si>
    <t>SỐ LIỆU KHO TRÊN SỔ SÁCH KẾ TOÁN CHỐT ĐẾN NGÀY 31/01/2020</t>
  </si>
  <si>
    <t>SỐ LIỆU NHẬP KHO TỪ THÁNG 7 ĐẾN THÁNG 12 NĂM 2019</t>
  </si>
  <si>
    <t>TỪ THÁNG 7 ĐẾN THÁNG 12 NĂM 2019</t>
  </si>
  <si>
    <t>Tổng hàng đã xuất T7,8,9,10,11,12,01.2020</t>
  </si>
  <si>
    <t>Đã trừ đơn hàng nhập về ngày 12/1</t>
  </si>
  <si>
    <t>Đã trừ đơn hàng nhập về ngày 18/1(356) và đơn hàng nhập về ngày 31/1(1001)</t>
  </si>
  <si>
    <t xml:space="preserve">       TỪ 1/11 ĐẾN30/11/2019</t>
  </si>
  <si>
    <t>Doanh thu bán hàng từ 1/11 đến 30/11</t>
  </si>
  <si>
    <t xml:space="preserve">       TỪ 1/8 ĐẾN 31/01/2020</t>
  </si>
  <si>
    <t>ĐL Trường Hiền</t>
  </si>
  <si>
    <t>ĐL Văn Minh</t>
  </si>
  <si>
    <t>BCX</t>
  </si>
  <si>
    <t>172 Nguyễn Tuân</t>
  </si>
  <si>
    <t xml:space="preserve">Huệ </t>
  </si>
  <si>
    <t>Đã trừ vao đơn hàng nhập về ngày 7/2/2020(1010)</t>
  </si>
  <si>
    <t>Nhập hàng đợt 8</t>
  </si>
  <si>
    <t>Công nợ đã thu hồi được</t>
  </si>
  <si>
    <t>(Ký tên, đóng dấu)</t>
  </si>
  <si>
    <t>Ký, ghi rõ họ tên)</t>
  </si>
  <si>
    <t>BẢNG TỔNG HỢP CÔNG NỢ KHÁCH HÀNG 7,8,9,10,11,12,01/2020</t>
  </si>
  <si>
    <t>Tổng thu từ T5 đến 19/8</t>
  </si>
  <si>
    <t>Tổng chi từ T5 đến 19/8</t>
  </si>
  <si>
    <t>Lợi nhuận từ T5 đến 19/8</t>
  </si>
  <si>
    <t>Tổng thu từ 20/8 đến 31/12</t>
  </si>
  <si>
    <t>Tổng chi từ 20/8 đến 31/12</t>
  </si>
  <si>
    <t>Lợi nhuận từ 20/8 đến 31/12</t>
  </si>
  <si>
    <t>Tổng thu từ 1/1/2020 đến 31/1/2020</t>
  </si>
  <si>
    <t>Tổng chi từ 1/1/2020 đến 31/1/2020</t>
  </si>
  <si>
    <t>Lợi nhuận từ 1/1/2020 đến 31/1/2020</t>
  </si>
  <si>
    <t>Tổng Lợi nhuận từ T5 đến 31/1/2020</t>
  </si>
  <si>
    <t>Từ T5/2019 đến ngày 31/01/2020</t>
  </si>
  <si>
    <t>Thu từ tiền bán hàng: 154.904.000đ</t>
  </si>
  <si>
    <t>Chi tiền nhập hàng: 724.815.000đ. Chi phí khác: 952.162.720đ</t>
  </si>
  <si>
    <t>Chi phí khác: 200.582.663đ</t>
  </si>
  <si>
    <t>Thu từ tiền CP: 348.000.000đ. Thu từ tiền bán hàng và tiền vay ngoài : 1.265.880.000đ</t>
  </si>
  <si>
    <t>BÁO CÁO  KẾT QUẢ HOẠT ĐỘNG KINH DOANH</t>
  </si>
  <si>
    <t>Đã trừ vào đơn hàng nhập về ngày 28/12: SOY</t>
  </si>
  <si>
    <t>Đã trừ vào đơn hàng nhập về ngày 28/12 SOY</t>
  </si>
  <si>
    <t>Đã trừ trên HĐBH ngày 10/10 và ngày  12/10</t>
  </si>
  <si>
    <t>BẢNG QUYẾT TOÁN LƯƠNG THÁNG 9,10 VÀ THÁNG 11 NĂM 2019</t>
  </si>
  <si>
    <t>Lương tháng 11</t>
  </si>
  <si>
    <t>Tạm ứng lương T11</t>
  </si>
  <si>
    <t>Tiền mua hàng chưa thanh toán T11</t>
  </si>
  <si>
    <t>Đã TT</t>
  </si>
  <si>
    <t>Tổng tiền cty phải thanh toán chốt đến 30.11</t>
  </si>
  <si>
    <t>Hà Nội, ngày 31 tháng 12 năm 2019</t>
  </si>
  <si>
    <t>Chưa TT</t>
  </si>
  <si>
    <t>Chưa thanh toán</t>
  </si>
  <si>
    <t>Đã thanh toán</t>
  </si>
  <si>
    <t>Đối trừ vào tiền góp vốn cổ phần</t>
  </si>
  <si>
    <t>Đã TT xong</t>
  </si>
  <si>
    <t>Tiền mua hàng chưa thanh toán tháng 12</t>
  </si>
  <si>
    <t>Công ty còn nợ Sơn</t>
  </si>
  <si>
    <t xml:space="preserve"> Thanh Lấy thừa tiền của công ty</t>
  </si>
  <si>
    <t xml:space="preserve"> Tâm Lấy thừa tiền của công ty</t>
  </si>
  <si>
    <t>Tổng tiền lương thực tế tính theo ngày công</t>
  </si>
  <si>
    <t>C</t>
  </si>
  <si>
    <t>A-B-C</t>
  </si>
  <si>
    <t>Đã trừ trên HĐBX xuất ngày 23/11</t>
  </si>
  <si>
    <t>Đã trừ triên HĐBH ngày 1/11</t>
  </si>
  <si>
    <t>Đã trừ triên HĐBH xuẩt ngày 27/11</t>
  </si>
  <si>
    <t>Đã trừ trên HĐBH xuẩt ngày 27/11</t>
  </si>
  <si>
    <t>Đã trừ trên HĐBH xuẩt ngày 02/1/2020</t>
  </si>
  <si>
    <t>Đã trừ trên HĐBH xuẩt ngày 22/9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</si>
</sst>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-* #,##0\ _₫_-;\-* #,##0\ _₫_-;_-* &quot;-&quot;\ _₫_-;_-@_-"/>
    <numFmt numFmtId="165" formatCode="_(* #,##0_);_(* \(#,##0\);_(* &quot;-&quot;??_);_(@_)"/>
    <numFmt numFmtId="166" formatCode="_-* #,##0\ _₫_-;\-* #,##0\ _₫_-;_-* &quot;-&quot;??\ _₫_-;_-@_-"/>
    <numFmt numFmtId="167" formatCode="#,##0.0"/>
    <numFmt numFmtId="168" formatCode="00"/>
    <numFmt numFmtId="169" formatCode="m/d;@"/>
  </numFmts>
  <fonts count="1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63"/>
    </font>
    <font>
      <b/>
      <sz val="14"/>
      <color theme="1"/>
      <name val="Times New Roman"/>
      <family val="1"/>
    </font>
    <font>
      <i/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i/>
      <sz val="11"/>
      <color theme="1"/>
      <name val="Times New Roman"/>
      <family val="1"/>
      <charset val="163"/>
    </font>
    <font>
      <sz val="9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  <charset val="163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8"/>
      <color rgb="FFFF0000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7"/>
      <color rgb="FFFF0000"/>
      <name val="Times New Roman"/>
      <family val="1"/>
    </font>
    <font>
      <b/>
      <sz val="7"/>
      <color rgb="FFFF0000"/>
      <name val="Times New Roman"/>
      <family val="1"/>
    </font>
    <font>
      <b/>
      <sz val="8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b/>
      <sz val="20"/>
      <color theme="1"/>
      <name val="Times New Roman"/>
      <family val="1"/>
      <charset val="163"/>
    </font>
    <font>
      <b/>
      <sz val="14"/>
      <color theme="1"/>
      <name val="Times New Roman"/>
      <family val="1"/>
      <charset val="163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i/>
      <sz val="10"/>
      <color theme="1"/>
      <name val="Times New Roman"/>
      <family val="1"/>
      <charset val="163"/>
    </font>
    <font>
      <sz val="13"/>
      <name val="Times New Roman"/>
      <family val="1"/>
    </font>
    <font>
      <i/>
      <sz val="13"/>
      <name val="Times New Roman"/>
      <family val="1"/>
    </font>
    <font>
      <b/>
      <sz val="13"/>
      <name val="Times New Roman"/>
      <family val="1"/>
    </font>
    <font>
      <i/>
      <u/>
      <sz val="13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2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name val="Calibri"/>
      <family val="2"/>
      <scheme val="minor"/>
    </font>
    <font>
      <sz val="12"/>
      <color indexed="8"/>
      <name val="Times New Roman"/>
      <family val="1"/>
    </font>
    <font>
      <sz val="14"/>
      <color theme="1"/>
      <name val="Times New Roman"/>
      <family val="1"/>
    </font>
    <font>
      <b/>
      <i/>
      <sz val="13"/>
      <name val="Times New Roman"/>
      <family val="1"/>
      <charset val="163"/>
    </font>
    <font>
      <b/>
      <sz val="13"/>
      <name val="Times New Roman"/>
      <family val="1"/>
      <charset val="163"/>
    </font>
    <font>
      <b/>
      <sz val="8"/>
      <name val="Times New Roman"/>
      <family val="1"/>
      <charset val="163"/>
    </font>
    <font>
      <i/>
      <sz val="13"/>
      <name val="Times New Roman"/>
      <family val="1"/>
      <charset val="163"/>
    </font>
    <font>
      <sz val="11"/>
      <name val="Times New Roman"/>
      <family val="1"/>
      <charset val="163"/>
    </font>
    <font>
      <sz val="12"/>
      <color rgb="FFFF0000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  <charset val="163"/>
    </font>
    <font>
      <b/>
      <sz val="14"/>
      <name val="Times New Roman"/>
      <family val="1"/>
      <charset val="163"/>
    </font>
    <font>
      <sz val="10"/>
      <name val="Times New Roman"/>
      <family val="1"/>
      <charset val="163"/>
    </font>
    <font>
      <sz val="8"/>
      <name val="Times New Roman"/>
      <family val="1"/>
      <charset val="163"/>
    </font>
    <font>
      <b/>
      <sz val="10"/>
      <name val="Times New Roman"/>
      <family val="1"/>
    </font>
    <font>
      <sz val="9"/>
      <color indexed="81"/>
      <name val="Tahoma"/>
      <family val="2"/>
      <charset val="163"/>
    </font>
    <font>
      <sz val="11"/>
      <color theme="1"/>
      <name val="Calibri Light"/>
      <family val="1"/>
      <charset val="163"/>
      <scheme val="major"/>
    </font>
    <font>
      <sz val="11"/>
      <name val="Calibri Light"/>
      <family val="1"/>
      <charset val="163"/>
      <scheme val="major"/>
    </font>
    <font>
      <u/>
      <sz val="11"/>
      <name val="Calibri Light"/>
      <family val="1"/>
      <charset val="163"/>
      <scheme val="major"/>
    </font>
    <font>
      <b/>
      <sz val="10"/>
      <name val="Calibri Light"/>
      <family val="1"/>
      <charset val="163"/>
      <scheme val="major"/>
    </font>
    <font>
      <b/>
      <sz val="18"/>
      <name val="Calibri Light"/>
      <family val="1"/>
      <charset val="163"/>
      <scheme val="major"/>
    </font>
    <font>
      <b/>
      <sz val="20"/>
      <name val="Calibri Light"/>
      <family val="1"/>
      <charset val="163"/>
      <scheme val="major"/>
    </font>
    <font>
      <i/>
      <sz val="11"/>
      <name val="Times New Roman"/>
      <family val="1"/>
    </font>
    <font>
      <b/>
      <sz val="11"/>
      <color rgb="FFFF0000"/>
      <name val="Times New Roman"/>
      <family val="1"/>
      <charset val="163"/>
    </font>
    <font>
      <sz val="8"/>
      <color theme="1"/>
      <name val="Calibri Light"/>
      <family val="1"/>
      <charset val="163"/>
      <scheme val="major"/>
    </font>
    <font>
      <i/>
      <sz val="8"/>
      <name val="Times New Roman"/>
      <family val="1"/>
    </font>
    <font>
      <b/>
      <sz val="16"/>
      <name val="Times New Roman"/>
      <family val="1"/>
    </font>
    <font>
      <sz val="8"/>
      <name val="Calibri Light"/>
      <family val="1"/>
      <charset val="163"/>
      <scheme val="major"/>
    </font>
    <font>
      <b/>
      <sz val="8"/>
      <color theme="1"/>
      <name val="Calibri Light"/>
      <family val="1"/>
      <charset val="163"/>
      <scheme val="major"/>
    </font>
    <font>
      <b/>
      <sz val="16"/>
      <color theme="1"/>
      <name val="Calibri Light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9"/>
      <color theme="1"/>
      <name val="Times New Roman"/>
      <family val="1"/>
      <charset val="163"/>
    </font>
    <font>
      <sz val="9"/>
      <name val="Times New Roman"/>
      <family val="1"/>
      <charset val="163"/>
    </font>
    <font>
      <sz val="9"/>
      <name val="Calibri Light"/>
      <family val="1"/>
      <charset val="163"/>
      <scheme val="major"/>
    </font>
    <font>
      <b/>
      <sz val="9"/>
      <name val="Times New Roman"/>
      <family val="1"/>
      <charset val="163"/>
    </font>
    <font>
      <b/>
      <sz val="8"/>
      <name val="Calibri Light"/>
      <family val="1"/>
      <charset val="163"/>
      <scheme val="major"/>
    </font>
    <font>
      <b/>
      <sz val="9"/>
      <color rgb="FFFF0000"/>
      <name val="Times New Roman"/>
      <family val="1"/>
      <charset val="163"/>
    </font>
    <font>
      <b/>
      <sz val="11"/>
      <color theme="1"/>
      <name val="Calibri Light"/>
      <family val="1"/>
      <charset val="163"/>
      <scheme val="major"/>
    </font>
    <font>
      <b/>
      <sz val="7"/>
      <name val="Times New Roman"/>
      <family val="1"/>
      <charset val="163"/>
    </font>
    <font>
      <u/>
      <sz val="11"/>
      <name val="Calibri"/>
      <family val="2"/>
      <scheme val="minor"/>
    </font>
    <font>
      <sz val="7"/>
      <name val="Times New Roman"/>
      <family val="1"/>
      <charset val="163"/>
    </font>
    <font>
      <b/>
      <sz val="7"/>
      <color theme="1"/>
      <name val="Times New Roman"/>
      <family val="1"/>
      <charset val="163"/>
    </font>
    <font>
      <b/>
      <i/>
      <sz val="10"/>
      <name val="Times New Roman"/>
      <family val="1"/>
      <charset val="163"/>
    </font>
    <font>
      <i/>
      <sz val="10"/>
      <name val="Times New Roman"/>
      <family val="1"/>
      <charset val="163"/>
    </font>
    <font>
      <b/>
      <i/>
      <sz val="13"/>
      <name val="Times New Roman"/>
      <family val="1"/>
    </font>
    <font>
      <sz val="10"/>
      <color rgb="FFFF0000"/>
      <name val="Times New Roman"/>
      <family val="1"/>
      <charset val="163"/>
    </font>
    <font>
      <sz val="7"/>
      <color theme="1"/>
      <name val="Times New Roman"/>
      <family val="1"/>
      <charset val="163"/>
    </font>
    <font>
      <u/>
      <sz val="7"/>
      <name val="Times New Roman"/>
      <family val="1"/>
    </font>
    <font>
      <sz val="7"/>
      <color rgb="FFFF0000"/>
      <name val="Times New Roman"/>
      <family val="1"/>
      <charset val="163"/>
    </font>
    <font>
      <b/>
      <sz val="9"/>
      <color indexed="81"/>
      <name val="Tahoma"/>
      <family val="2"/>
      <charset val="163"/>
    </font>
    <font>
      <b/>
      <sz val="10"/>
      <color rgb="FFFF0000"/>
      <name val="Times New Roman"/>
      <family val="1"/>
      <charset val="163"/>
    </font>
    <font>
      <i/>
      <sz val="8"/>
      <color theme="1"/>
      <name val="Times New Roman"/>
      <family val="1"/>
    </font>
    <font>
      <i/>
      <sz val="7"/>
      <color theme="1"/>
      <name val="Times New Roman"/>
      <family val="1"/>
    </font>
    <font>
      <b/>
      <sz val="8"/>
      <color rgb="FFFF0000"/>
      <name val="Times New Roman"/>
      <family val="1"/>
      <charset val="163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rgb="FFFF0000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00B050"/>
      <name val="Calibri"/>
      <family val="2"/>
      <scheme val="minor"/>
    </font>
    <font>
      <sz val="7"/>
      <color rgb="FF00B050"/>
      <name val="Times New Roman"/>
      <family val="1"/>
    </font>
    <font>
      <sz val="16"/>
      <color theme="1"/>
      <name val="Times New Roman"/>
      <family val="1"/>
      <charset val="163"/>
    </font>
    <font>
      <i/>
      <sz val="16"/>
      <color theme="1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b/>
      <sz val="18"/>
      <color theme="1"/>
      <name val="Times New Roman"/>
      <family val="1"/>
      <charset val="163"/>
    </font>
    <font>
      <sz val="18"/>
      <color theme="1"/>
      <name val="Times New Roman"/>
      <family val="1"/>
      <charset val="163"/>
    </font>
    <font>
      <i/>
      <sz val="18"/>
      <color theme="1"/>
      <name val="Times New Roman"/>
      <family val="1"/>
      <charset val="163"/>
    </font>
    <font>
      <sz val="11"/>
      <color rgb="FFFF0000"/>
      <name val="Calibri"/>
      <family val="2"/>
      <scheme val="minor"/>
    </font>
    <font>
      <b/>
      <sz val="16"/>
      <name val="Times New Roman"/>
      <family val="1"/>
      <charset val="163"/>
    </font>
    <font>
      <sz val="16"/>
      <name val="Times New Roman"/>
      <family val="1"/>
    </font>
    <font>
      <i/>
      <sz val="16"/>
      <name val="Times New Roman"/>
      <family val="1"/>
    </font>
    <font>
      <b/>
      <i/>
      <sz val="16"/>
      <name val="Times New Roman"/>
      <family val="1"/>
    </font>
    <font>
      <b/>
      <sz val="18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color theme="1"/>
      <name val="Times New Roman"/>
      <family val="1"/>
    </font>
    <font>
      <sz val="14"/>
      <name val="Times New Roman"/>
      <family val="1"/>
    </font>
    <font>
      <i/>
      <sz val="14"/>
      <name val="Times New Roman"/>
      <family val="1"/>
      <charset val="163"/>
    </font>
    <font>
      <i/>
      <sz val="14"/>
      <name val="Times New Roman"/>
      <family val="1"/>
    </font>
    <font>
      <b/>
      <i/>
      <sz val="14"/>
      <name val="Times New Roman"/>
      <family val="1"/>
    </font>
    <font>
      <b/>
      <i/>
      <sz val="14"/>
      <name val="Times New Roman"/>
      <family val="1"/>
      <charset val="163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9" fontId="1" fillId="0" borderId="0" applyFont="0" applyFill="0" applyBorder="0" applyAlignment="0" applyProtection="0"/>
    <xf numFmtId="0" fontId="8" fillId="0" borderId="0"/>
    <xf numFmtId="41" fontId="1" fillId="0" borderId="0" applyFont="0" applyFill="0" applyBorder="0" applyAlignment="0" applyProtection="0"/>
    <xf numFmtId="0" fontId="60" fillId="0" borderId="0" applyNumberFormat="0" applyFill="0" applyBorder="0" applyAlignment="0" applyProtection="0"/>
  </cellStyleXfs>
  <cellXfs count="2569">
    <xf numFmtId="0" fontId="0" fillId="0" borderId="0" xfId="0"/>
    <xf numFmtId="0" fontId="2" fillId="0" borderId="0" xfId="0" applyFont="1"/>
    <xf numFmtId="0" fontId="6" fillId="0" borderId="0" xfId="0" applyFont="1"/>
    <xf numFmtId="165" fontId="2" fillId="0" borderId="0" xfId="1" applyNumberFormat="1" applyFont="1"/>
    <xf numFmtId="165" fontId="6" fillId="0" borderId="0" xfId="1" applyNumberFormat="1" applyFont="1"/>
    <xf numFmtId="0" fontId="9" fillId="0" borderId="0" xfId="0" applyFont="1" applyAlignment="1">
      <alignment vertical="center"/>
    </xf>
    <xf numFmtId="9" fontId="2" fillId="0" borderId="0" xfId="4" applyNumberFormat="1" applyFont="1"/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165" fontId="2" fillId="0" borderId="0" xfId="1" applyNumberFormat="1" applyFont="1" applyAlignment="1">
      <alignment wrapText="1"/>
    </xf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165" fontId="11" fillId="0" borderId="0" xfId="1" applyNumberFormat="1" applyFont="1"/>
    <xf numFmtId="165" fontId="11" fillId="0" borderId="0" xfId="1" applyNumberFormat="1" applyFont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vertical="center"/>
    </xf>
    <xf numFmtId="0" fontId="18" fillId="0" borderId="0" xfId="0" applyFont="1"/>
    <xf numFmtId="165" fontId="9" fillId="0" borderId="0" xfId="1" applyNumberFormat="1" applyFont="1" applyAlignment="1">
      <alignment horizontal="center" vertical="center" wrapText="1"/>
    </xf>
    <xf numFmtId="165" fontId="6" fillId="0" borderId="0" xfId="1" applyNumberFormat="1" applyFont="1" applyAlignment="1">
      <alignment horizontal="center" vertical="center" wrapText="1"/>
    </xf>
    <xf numFmtId="166" fontId="20" fillId="2" borderId="13" xfId="1" applyNumberFormat="1" applyFont="1" applyFill="1" applyBorder="1" applyAlignment="1">
      <alignment wrapText="1"/>
    </xf>
    <xf numFmtId="0" fontId="20" fillId="2" borderId="12" xfId="0" applyFont="1" applyFill="1" applyBorder="1" applyAlignment="1">
      <alignment wrapText="1"/>
    </xf>
    <xf numFmtId="0" fontId="2" fillId="0" borderId="13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left" vertical="center"/>
    </xf>
    <xf numFmtId="0" fontId="21" fillId="2" borderId="12" xfId="0" applyFont="1" applyFill="1" applyBorder="1" applyAlignment="1">
      <alignment wrapText="1"/>
    </xf>
    <xf numFmtId="0" fontId="3" fillId="0" borderId="0" xfId="0" applyFont="1" applyAlignment="1"/>
    <xf numFmtId="0" fontId="2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41" fontId="2" fillId="0" borderId="12" xfId="6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24" xfId="0" applyFont="1" applyBorder="1" applyAlignment="1">
      <alignment horizontal="center" vertical="center" wrapText="1"/>
    </xf>
    <xf numFmtId="41" fontId="2" fillId="0" borderId="24" xfId="6" applyFont="1" applyBorder="1" applyAlignment="1">
      <alignment horizontal="center" vertical="center" wrapText="1"/>
    </xf>
    <xf numFmtId="0" fontId="2" fillId="0" borderId="25" xfId="0" applyFont="1" applyBorder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/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13" xfId="0" applyFont="1" applyBorder="1"/>
    <xf numFmtId="0" fontId="11" fillId="0" borderId="12" xfId="0" applyFont="1" applyBorder="1"/>
    <xf numFmtId="0" fontId="11" fillId="0" borderId="18" xfId="0" applyFont="1" applyBorder="1"/>
    <xf numFmtId="0" fontId="11" fillId="0" borderId="19" xfId="0" applyFont="1" applyBorder="1"/>
    <xf numFmtId="165" fontId="14" fillId="0" borderId="21" xfId="0" applyNumberFormat="1" applyFont="1" applyBorder="1"/>
    <xf numFmtId="0" fontId="11" fillId="0" borderId="22" xfId="0" applyFont="1" applyBorder="1"/>
    <xf numFmtId="0" fontId="11" fillId="0" borderId="23" xfId="0" applyFont="1" applyBorder="1" applyAlignment="1">
      <alignment wrapText="1"/>
    </xf>
    <xf numFmtId="0" fontId="11" fillId="0" borderId="24" xfId="0" applyFont="1" applyBorder="1" applyAlignment="1">
      <alignment wrapText="1"/>
    </xf>
    <xf numFmtId="0" fontId="11" fillId="0" borderId="25" xfId="0" applyFont="1" applyBorder="1"/>
    <xf numFmtId="0" fontId="14" fillId="0" borderId="26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27" xfId="0" applyFont="1" applyBorder="1" applyAlignment="1">
      <alignment horizontal="center" wrapText="1"/>
    </xf>
    <xf numFmtId="0" fontId="3" fillId="0" borderId="28" xfId="0" applyFont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4" fillId="0" borderId="22" xfId="0" applyFont="1" applyBorder="1"/>
    <xf numFmtId="165" fontId="21" fillId="2" borderId="12" xfId="1" applyNumberFormat="1" applyFont="1" applyFill="1" applyBorder="1"/>
    <xf numFmtId="0" fontId="20" fillId="2" borderId="24" xfId="0" applyFont="1" applyFill="1" applyBorder="1" applyAlignment="1">
      <alignment wrapText="1"/>
    </xf>
    <xf numFmtId="165" fontId="21" fillId="2" borderId="24" xfId="1" applyNumberFormat="1" applyFont="1" applyFill="1" applyBorder="1"/>
    <xf numFmtId="166" fontId="20" fillId="2" borderId="25" xfId="1" applyNumberFormat="1" applyFont="1" applyFill="1" applyBorder="1" applyAlignment="1">
      <alignment wrapText="1"/>
    </xf>
    <xf numFmtId="0" fontId="20" fillId="2" borderId="18" xfId="0" applyFont="1" applyFill="1" applyBorder="1" applyAlignment="1">
      <alignment wrapText="1"/>
    </xf>
    <xf numFmtId="166" fontId="20" fillId="2" borderId="19" xfId="1" applyNumberFormat="1" applyFont="1" applyFill="1" applyBorder="1" applyAlignment="1">
      <alignment wrapText="1"/>
    </xf>
    <xf numFmtId="41" fontId="11" fillId="0" borderId="24" xfId="6" applyFont="1" applyBorder="1" applyAlignment="1">
      <alignment wrapText="1"/>
    </xf>
    <xf numFmtId="41" fontId="11" fillId="0" borderId="12" xfId="6" applyFont="1" applyBorder="1" applyAlignment="1">
      <alignment wrapText="1"/>
    </xf>
    <xf numFmtId="41" fontId="11" fillId="0" borderId="36" xfId="6" applyFont="1" applyBorder="1" applyAlignment="1">
      <alignment wrapText="1"/>
    </xf>
    <xf numFmtId="0" fontId="2" fillId="0" borderId="39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3" fillId="0" borderId="0" xfId="0" applyFont="1"/>
    <xf numFmtId="0" fontId="21" fillId="0" borderId="0" xfId="0" applyFont="1"/>
    <xf numFmtId="166" fontId="21" fillId="2" borderId="13" xfId="1" applyNumberFormat="1" applyFont="1" applyFill="1" applyBorder="1" applyAlignment="1">
      <alignment wrapText="1"/>
    </xf>
    <xf numFmtId="0" fontId="21" fillId="2" borderId="0" xfId="0" applyFont="1" applyFill="1"/>
    <xf numFmtId="0" fontId="21" fillId="0" borderId="24" xfId="0" applyFont="1" applyBorder="1" applyAlignment="1">
      <alignment wrapText="1"/>
    </xf>
    <xf numFmtId="165" fontId="27" fillId="2" borderId="12" xfId="1" applyNumberFormat="1" applyFont="1" applyFill="1" applyBorder="1"/>
    <xf numFmtId="165" fontId="24" fillId="2" borderId="12" xfId="1" applyNumberFormat="1" applyFont="1" applyFill="1" applyBorder="1"/>
    <xf numFmtId="165" fontId="28" fillId="2" borderId="12" xfId="1" applyNumberFormat="1" applyFont="1" applyFill="1" applyBorder="1"/>
    <xf numFmtId="0" fontId="10" fillId="0" borderId="0" xfId="0" applyFont="1" applyAlignment="1">
      <alignment horizontal="center"/>
    </xf>
    <xf numFmtId="0" fontId="11" fillId="0" borderId="0" xfId="0" applyFont="1" applyAlignment="1"/>
    <xf numFmtId="41" fontId="11" fillId="0" borderId="0" xfId="0" applyNumberFormat="1" applyFont="1"/>
    <xf numFmtId="3" fontId="24" fillId="0" borderId="12" xfId="0" applyNumberFormat="1" applyFont="1" applyBorder="1" applyAlignment="1">
      <alignment horizontal="right" wrapText="1"/>
    </xf>
    <xf numFmtId="3" fontId="27" fillId="0" borderId="12" xfId="0" applyNumberFormat="1" applyFont="1" applyBorder="1" applyAlignment="1">
      <alignment horizontal="right" wrapText="1"/>
    </xf>
    <xf numFmtId="16" fontId="21" fillId="0" borderId="12" xfId="0" quotePrefix="1" applyNumberFormat="1" applyFont="1" applyBorder="1"/>
    <xf numFmtId="3" fontId="24" fillId="0" borderId="24" xfId="0" applyNumberFormat="1" applyFont="1" applyBorder="1" applyAlignment="1">
      <alignment horizontal="right" wrapText="1"/>
    </xf>
    <xf numFmtId="0" fontId="3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/>
    <xf numFmtId="0" fontId="11" fillId="0" borderId="17" xfId="0" applyFont="1" applyBorder="1"/>
    <xf numFmtId="0" fontId="26" fillId="0" borderId="0" xfId="0" applyFont="1"/>
    <xf numFmtId="166" fontId="20" fillId="2" borderId="12" xfId="1" applyNumberFormat="1" applyFont="1" applyFill="1" applyBorder="1" applyAlignment="1">
      <alignment wrapText="1"/>
    </xf>
    <xf numFmtId="16" fontId="20" fillId="2" borderId="12" xfId="0" quotePrefix="1" applyNumberFormat="1" applyFont="1" applyFill="1" applyBorder="1" applyAlignment="1">
      <alignment horizontal="left"/>
    </xf>
    <xf numFmtId="0" fontId="21" fillId="0" borderId="12" xfId="0" quotePrefix="1" applyFont="1" applyBorder="1"/>
    <xf numFmtId="0" fontId="3" fillId="0" borderId="43" xfId="0" applyFont="1" applyBorder="1" applyAlignment="1">
      <alignment horizontal="center" wrapText="1"/>
    </xf>
    <xf numFmtId="0" fontId="10" fillId="0" borderId="0" xfId="0" applyFont="1" applyAlignment="1"/>
    <xf numFmtId="9" fontId="10" fillId="0" borderId="0" xfId="4" applyFont="1" applyAlignment="1">
      <alignment horizontal="center"/>
    </xf>
    <xf numFmtId="9" fontId="10" fillId="0" borderId="0" xfId="4" applyFont="1" applyAlignment="1">
      <alignment horizontal="center" vertical="center"/>
    </xf>
    <xf numFmtId="9" fontId="2" fillId="0" borderId="0" xfId="4" applyFont="1"/>
    <xf numFmtId="9" fontId="6" fillId="0" borderId="0" xfId="4" applyFont="1"/>
    <xf numFmtId="41" fontId="2" fillId="0" borderId="0" xfId="6" applyFont="1"/>
    <xf numFmtId="0" fontId="25" fillId="0" borderId="0" xfId="0" applyFont="1"/>
    <xf numFmtId="3" fontId="11" fillId="0" borderId="0" xfId="0" applyNumberFormat="1" applyFont="1"/>
    <xf numFmtId="0" fontId="31" fillId="0" borderId="23" xfId="0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9" fontId="31" fillId="0" borderId="24" xfId="4" applyNumberFormat="1" applyFont="1" applyBorder="1" applyAlignment="1">
      <alignment horizontal="center"/>
    </xf>
    <xf numFmtId="165" fontId="31" fillId="0" borderId="24" xfId="0" applyNumberFormat="1" applyFont="1" applyBorder="1" applyAlignment="1">
      <alignment horizontal="center"/>
    </xf>
    <xf numFmtId="9" fontId="31" fillId="0" borderId="36" xfId="4" applyFont="1" applyBorder="1" applyAlignment="1">
      <alignment horizontal="center"/>
    </xf>
    <xf numFmtId="165" fontId="31" fillId="0" borderId="36" xfId="0" applyNumberFormat="1" applyFont="1" applyBorder="1" applyAlignment="1">
      <alignment horizontal="center"/>
    </xf>
    <xf numFmtId="165" fontId="31" fillId="0" borderId="24" xfId="0" applyNumberFormat="1" applyFont="1" applyBorder="1" applyAlignment="1">
      <alignment horizontal="center" wrapText="1"/>
    </xf>
    <xf numFmtId="0" fontId="31" fillId="0" borderId="11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9" fontId="31" fillId="0" borderId="12" xfId="4" applyNumberFormat="1" applyFont="1" applyBorder="1" applyAlignment="1">
      <alignment horizontal="center"/>
    </xf>
    <xf numFmtId="165" fontId="31" fillId="0" borderId="12" xfId="0" applyNumberFormat="1" applyFont="1" applyBorder="1" applyAlignment="1">
      <alignment horizontal="center"/>
    </xf>
    <xf numFmtId="165" fontId="31" fillId="0" borderId="58" xfId="0" applyNumberFormat="1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18" xfId="0" applyFont="1" applyBorder="1" applyAlignment="1">
      <alignment horizontal="center"/>
    </xf>
    <xf numFmtId="9" fontId="31" fillId="0" borderId="18" xfId="4" applyNumberFormat="1" applyFont="1" applyBorder="1" applyAlignment="1">
      <alignment horizontal="center"/>
    </xf>
    <xf numFmtId="9" fontId="31" fillId="0" borderId="58" xfId="4" applyFont="1" applyBorder="1" applyAlignment="1">
      <alignment horizontal="center"/>
    </xf>
    <xf numFmtId="165" fontId="31" fillId="0" borderId="61" xfId="0" applyNumberFormat="1" applyFont="1" applyBorder="1" applyAlignment="1">
      <alignment horizontal="center"/>
    </xf>
    <xf numFmtId="9" fontId="30" fillId="0" borderId="21" xfId="4" applyNumberFormat="1" applyFont="1" applyBorder="1" applyAlignment="1">
      <alignment horizontal="center"/>
    </xf>
    <xf numFmtId="165" fontId="30" fillId="0" borderId="21" xfId="0" applyNumberFormat="1" applyFont="1" applyBorder="1" applyAlignment="1">
      <alignment horizontal="center"/>
    </xf>
    <xf numFmtId="165" fontId="30" fillId="0" borderId="21" xfId="0" applyNumberFormat="1" applyFont="1" applyBorder="1" applyAlignment="1">
      <alignment horizontal="center" wrapText="1"/>
    </xf>
    <xf numFmtId="0" fontId="31" fillId="0" borderId="24" xfId="0" applyFont="1" applyBorder="1" applyAlignment="1">
      <alignment horizontal="left" wrapText="1"/>
    </xf>
    <xf numFmtId="0" fontId="31" fillId="0" borderId="24" xfId="0" quotePrefix="1" applyFont="1" applyBorder="1" applyAlignment="1">
      <alignment horizontal="center"/>
    </xf>
    <xf numFmtId="41" fontId="31" fillId="0" borderId="24" xfId="6" applyFont="1" applyBorder="1" applyAlignment="1">
      <alignment horizontal="center"/>
    </xf>
    <xf numFmtId="0" fontId="31" fillId="0" borderId="12" xfId="0" applyFont="1" applyBorder="1" applyAlignment="1">
      <alignment horizontal="left" wrapText="1"/>
    </xf>
    <xf numFmtId="0" fontId="31" fillId="0" borderId="12" xfId="0" quotePrefix="1" applyFont="1" applyBorder="1" applyAlignment="1">
      <alignment horizontal="center"/>
    </xf>
    <xf numFmtId="41" fontId="31" fillId="0" borderId="12" xfId="6" applyFont="1" applyBorder="1" applyAlignment="1">
      <alignment horizontal="center"/>
    </xf>
    <xf numFmtId="165" fontId="30" fillId="0" borderId="2" xfId="0" applyNumberFormat="1" applyFont="1" applyBorder="1" applyAlignment="1">
      <alignment horizontal="center" vertical="center"/>
    </xf>
    <xf numFmtId="0" fontId="31" fillId="0" borderId="0" xfId="0" applyFont="1"/>
    <xf numFmtId="0" fontId="30" fillId="0" borderId="1" xfId="0" applyFont="1" applyBorder="1" applyAlignment="1">
      <alignment vertical="center" wrapText="1"/>
    </xf>
    <xf numFmtId="9" fontId="30" fillId="0" borderId="1" xfId="4" applyFont="1" applyBorder="1" applyAlignment="1">
      <alignment horizontal="center" vertical="center" wrapText="1"/>
    </xf>
    <xf numFmtId="0" fontId="31" fillId="0" borderId="25" xfId="0" applyFont="1" applyBorder="1"/>
    <xf numFmtId="0" fontId="31" fillId="0" borderId="13" xfId="0" applyFont="1" applyBorder="1"/>
    <xf numFmtId="14" fontId="31" fillId="0" borderId="12" xfId="0" quotePrefix="1" applyNumberFormat="1" applyFont="1" applyBorder="1" applyAlignment="1">
      <alignment horizontal="center"/>
    </xf>
    <xf numFmtId="0" fontId="30" fillId="0" borderId="9" xfId="0" applyFont="1" applyBorder="1" applyAlignment="1">
      <alignment vertical="center"/>
    </xf>
    <xf numFmtId="0" fontId="30" fillId="0" borderId="0" xfId="0" applyFont="1" applyAlignment="1">
      <alignment vertical="center"/>
    </xf>
    <xf numFmtId="165" fontId="33" fillId="0" borderId="1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9" fontId="30" fillId="0" borderId="30" xfId="4" applyFont="1" applyBorder="1" applyAlignment="1">
      <alignment horizontal="center" vertical="center"/>
    </xf>
    <xf numFmtId="0" fontId="18" fillId="2" borderId="1" xfId="0" applyFont="1" applyFill="1" applyBorder="1" applyAlignment="1">
      <alignment wrapText="1"/>
    </xf>
    <xf numFmtId="0" fontId="34" fillId="0" borderId="27" xfId="0" applyFont="1" applyBorder="1" applyAlignment="1">
      <alignment horizontal="center" vertical="center"/>
    </xf>
    <xf numFmtId="0" fontId="34" fillId="0" borderId="27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0" fontId="36" fillId="0" borderId="24" xfId="0" applyFont="1" applyBorder="1" applyAlignment="1">
      <alignment wrapText="1"/>
    </xf>
    <xf numFmtId="0" fontId="36" fillId="0" borderId="25" xfId="0" applyFont="1" applyBorder="1"/>
    <xf numFmtId="0" fontId="1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0" fillId="0" borderId="2" xfId="0" applyFont="1" applyBorder="1" applyAlignment="1">
      <alignment horizontal="center" vertical="center"/>
    </xf>
    <xf numFmtId="14" fontId="31" fillId="0" borderId="24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2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41" fontId="2" fillId="0" borderId="12" xfId="6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2" fillId="0" borderId="40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52" xfId="0" applyFont="1" applyBorder="1" applyAlignment="1">
      <alignment vertical="center" wrapText="1"/>
    </xf>
    <xf numFmtId="0" fontId="14" fillId="0" borderId="35" xfId="0" applyFont="1" applyBorder="1" applyAlignment="1">
      <alignment vertical="center" wrapText="1"/>
    </xf>
    <xf numFmtId="41" fontId="2" fillId="0" borderId="36" xfId="6" applyFont="1" applyBorder="1" applyAlignment="1">
      <alignment horizontal="center" vertical="center" wrapText="1"/>
    </xf>
    <xf numFmtId="41" fontId="2" fillId="0" borderId="37" xfId="6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166" fontId="21" fillId="2" borderId="25" xfId="1" applyNumberFormat="1" applyFont="1" applyFill="1" applyBorder="1" applyAlignment="1">
      <alignment wrapText="1"/>
    </xf>
    <xf numFmtId="41" fontId="11" fillId="0" borderId="24" xfId="6" quotePrefix="1" applyFont="1" applyBorder="1" applyAlignment="1">
      <alignment wrapText="1"/>
    </xf>
    <xf numFmtId="3" fontId="28" fillId="0" borderId="24" xfId="0" applyNumberFormat="1" applyFont="1" applyBorder="1" applyAlignment="1">
      <alignment horizontal="right" wrapText="1"/>
    </xf>
    <xf numFmtId="3" fontId="28" fillId="0" borderId="12" xfId="0" applyNumberFormat="1" applyFont="1" applyBorder="1" applyAlignment="1">
      <alignment horizontal="right" wrapText="1"/>
    </xf>
    <xf numFmtId="0" fontId="2" fillId="0" borderId="39" xfId="0" applyFont="1" applyBorder="1" applyAlignment="1">
      <alignment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12" xfId="0" quotePrefix="1" applyFont="1" applyBorder="1" applyAlignment="1">
      <alignment horizontal="center" vertical="center" wrapText="1"/>
    </xf>
    <xf numFmtId="0" fontId="42" fillId="0" borderId="0" xfId="0" applyFont="1" applyAlignment="1">
      <alignment vertical="center"/>
    </xf>
    <xf numFmtId="0" fontId="42" fillId="0" borderId="1" xfId="0" applyFont="1" applyBorder="1"/>
    <xf numFmtId="0" fontId="43" fillId="0" borderId="0" xfId="0" applyFont="1"/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14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0" fontId="2" fillId="9" borderId="0" xfId="0" applyFont="1" applyFill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/>
    <xf numFmtId="0" fontId="6" fillId="0" borderId="0" xfId="0" applyFont="1" applyBorder="1"/>
    <xf numFmtId="0" fontId="2" fillId="9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47" fillId="2" borderId="1" xfId="0" applyFont="1" applyFill="1" applyBorder="1" applyAlignment="1">
      <alignment horizontal="center" vertical="center"/>
    </xf>
    <xf numFmtId="0" fontId="4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47" fillId="2" borderId="4" xfId="0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vertical="center"/>
    </xf>
    <xf numFmtId="0" fontId="47" fillId="2" borderId="1" xfId="0" applyFont="1" applyFill="1" applyBorder="1"/>
    <xf numFmtId="49" fontId="47" fillId="2" borderId="1" xfId="0" applyNumberFormat="1" applyFont="1" applyFill="1" applyBorder="1" applyAlignment="1">
      <alignment horizontal="left" vertical="center" wrapText="1"/>
    </xf>
    <xf numFmtId="0" fontId="47" fillId="2" borderId="1" xfId="0" applyFont="1" applyFill="1" applyBorder="1" applyAlignment="1">
      <alignment vertical="center"/>
    </xf>
    <xf numFmtId="0" fontId="47" fillId="3" borderId="1" xfId="0" applyFont="1" applyFill="1" applyBorder="1" applyAlignment="1">
      <alignment vertical="center"/>
    </xf>
    <xf numFmtId="0" fontId="47" fillId="2" borderId="4" xfId="0" applyFont="1" applyFill="1" applyBorder="1" applyAlignment="1">
      <alignment vertical="center"/>
    </xf>
    <xf numFmtId="167" fontId="47" fillId="2" borderId="1" xfId="1" applyNumberFormat="1" applyFont="1" applyFill="1" applyBorder="1" applyAlignment="1">
      <alignment horizontal="center" vertical="center"/>
    </xf>
    <xf numFmtId="49" fontId="47" fillId="2" borderId="1" xfId="0" applyNumberFormat="1" applyFont="1" applyFill="1" applyBorder="1" applyAlignment="1">
      <alignment vertical="center" wrapText="1"/>
    </xf>
    <xf numFmtId="0" fontId="48" fillId="2" borderId="1" xfId="0" applyFont="1" applyFill="1" applyBorder="1" applyAlignment="1">
      <alignment horizontal="left" wrapText="1"/>
    </xf>
    <xf numFmtId="167" fontId="47" fillId="0" borderId="5" xfId="0" applyNumberFormat="1" applyFont="1" applyBorder="1" applyAlignment="1">
      <alignment horizontal="center" vertical="center" wrapText="1" shrinkToFit="1"/>
    </xf>
    <xf numFmtId="167" fontId="47" fillId="0" borderId="1" xfId="1" applyNumberFormat="1" applyFont="1" applyFill="1" applyBorder="1" applyAlignment="1">
      <alignment vertical="center" shrinkToFit="1"/>
    </xf>
    <xf numFmtId="167" fontId="46" fillId="0" borderId="1" xfId="1" applyNumberFormat="1" applyFont="1" applyFill="1" applyBorder="1" applyAlignment="1">
      <alignment horizontal="center" vertical="center" shrinkToFit="1"/>
    </xf>
    <xf numFmtId="3" fontId="44" fillId="9" borderId="0" xfId="0" applyNumberFormat="1" applyFont="1" applyFill="1" applyBorder="1" applyAlignment="1">
      <alignment horizontal="right" vertical="center" wrapText="1"/>
    </xf>
    <xf numFmtId="3" fontId="40" fillId="0" borderId="0" xfId="0" applyNumberFormat="1" applyFont="1" applyBorder="1" applyAlignment="1">
      <alignment vertical="center"/>
    </xf>
    <xf numFmtId="3" fontId="44" fillId="9" borderId="0" xfId="0" applyNumberFormat="1" applyFont="1" applyFill="1" applyBorder="1" applyAlignment="1">
      <alignment horizontal="center" vertical="center" wrapText="1"/>
    </xf>
    <xf numFmtId="165" fontId="44" fillId="0" borderId="0" xfId="1" applyNumberFormat="1" applyFont="1" applyBorder="1" applyAlignment="1">
      <alignment vertical="center"/>
    </xf>
    <xf numFmtId="0" fontId="44" fillId="0" borderId="0" xfId="0" applyFont="1" applyBorder="1" applyAlignment="1">
      <alignment vertical="center" wrapText="1"/>
    </xf>
    <xf numFmtId="0" fontId="44" fillId="0" borderId="0" xfId="0" applyFont="1" applyBorder="1" applyAlignment="1">
      <alignment vertical="center"/>
    </xf>
    <xf numFmtId="0" fontId="40" fillId="9" borderId="0" xfId="0" applyFont="1" applyFill="1" applyBorder="1" applyAlignment="1">
      <alignment vertical="center"/>
    </xf>
    <xf numFmtId="0" fontId="40" fillId="9" borderId="0" xfId="0" applyFont="1" applyFill="1" applyBorder="1" applyAlignment="1">
      <alignment vertical="center" wrapText="1"/>
    </xf>
    <xf numFmtId="0" fontId="40" fillId="9" borderId="0" xfId="0" applyFont="1" applyFill="1" applyAlignment="1">
      <alignment vertical="center"/>
    </xf>
    <xf numFmtId="49" fontId="40" fillId="2" borderId="2" xfId="0" applyNumberFormat="1" applyFont="1" applyFill="1" applyBorder="1" applyAlignment="1">
      <alignment vertical="center"/>
    </xf>
    <xf numFmtId="49" fontId="40" fillId="2" borderId="12" xfId="0" applyNumberFormat="1" applyFont="1" applyFill="1" applyBorder="1" applyAlignment="1">
      <alignment vertical="center" wrapText="1"/>
    </xf>
    <xf numFmtId="0" fontId="2" fillId="2" borderId="12" xfId="0" applyFont="1" applyFill="1" applyBorder="1" applyAlignment="1"/>
    <xf numFmtId="0" fontId="2" fillId="2" borderId="12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49" fillId="0" borderId="0" xfId="0" applyFont="1" applyAlignment="1">
      <alignment vertical="center"/>
    </xf>
    <xf numFmtId="0" fontId="49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/>
    </xf>
    <xf numFmtId="165" fontId="26" fillId="0" borderId="0" xfId="1" applyNumberFormat="1" applyFont="1"/>
    <xf numFmtId="165" fontId="26" fillId="0" borderId="0" xfId="1" applyNumberFormat="1" applyFont="1" applyAlignment="1">
      <alignment wrapText="1"/>
    </xf>
    <xf numFmtId="0" fontId="49" fillId="0" borderId="0" xfId="0" applyFont="1"/>
    <xf numFmtId="0" fontId="49" fillId="0" borderId="0" xfId="0" applyFont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0" fillId="0" borderId="0" xfId="0" applyFont="1" applyAlignment="1">
      <alignment vertical="center"/>
    </xf>
    <xf numFmtId="0" fontId="50" fillId="0" borderId="0" xfId="0" applyFont="1" applyFill="1" applyAlignment="1">
      <alignment vertical="center"/>
    </xf>
    <xf numFmtId="3" fontId="50" fillId="0" borderId="0" xfId="0" applyNumberFormat="1" applyFont="1" applyFill="1" applyAlignment="1">
      <alignment vertical="center"/>
    </xf>
    <xf numFmtId="168" fontId="50" fillId="0" borderId="0" xfId="0" applyNumberFormat="1" applyFont="1" applyFill="1" applyAlignment="1">
      <alignment vertical="center"/>
    </xf>
    <xf numFmtId="168" fontId="50" fillId="0" borderId="0" xfId="3" applyNumberFormat="1" applyFont="1" applyFill="1" applyAlignment="1">
      <alignment vertical="center"/>
    </xf>
    <xf numFmtId="0" fontId="50" fillId="0" borderId="0" xfId="3" applyFont="1" applyFill="1" applyAlignment="1">
      <alignment vertical="center"/>
    </xf>
    <xf numFmtId="3" fontId="50" fillId="0" borderId="0" xfId="3" applyNumberFormat="1" applyFont="1" applyFill="1" applyAlignment="1">
      <alignment horizontal="right" vertical="center"/>
    </xf>
    <xf numFmtId="3" fontId="50" fillId="0" borderId="0" xfId="3" applyNumberFormat="1" applyFont="1" applyFill="1" applyAlignment="1">
      <alignment vertical="center"/>
    </xf>
    <xf numFmtId="0" fontId="52" fillId="0" borderId="0" xfId="3" applyFont="1" applyFill="1" applyAlignment="1">
      <alignment vertical="center"/>
    </xf>
    <xf numFmtId="168" fontId="50" fillId="0" borderId="0" xfId="3" applyNumberFormat="1" applyFont="1" applyFill="1" applyAlignment="1">
      <alignment horizontal="center" vertical="center"/>
    </xf>
    <xf numFmtId="0" fontId="50" fillId="0" borderId="0" xfId="3" applyFont="1" applyFill="1" applyAlignment="1">
      <alignment horizontal="left" vertical="center"/>
    </xf>
    <xf numFmtId="0" fontId="50" fillId="0" borderId="0" xfId="3" applyFont="1" applyFill="1" applyAlignment="1">
      <alignment horizontal="center" vertical="center"/>
    </xf>
    <xf numFmtId="0" fontId="51" fillId="0" borderId="0" xfId="3" applyFont="1" applyFill="1" applyAlignment="1">
      <alignment horizontal="center" vertical="center"/>
    </xf>
    <xf numFmtId="3" fontId="51" fillId="0" borderId="0" xfId="3" applyNumberFormat="1" applyFont="1" applyFill="1" applyAlignment="1">
      <alignment horizontal="center" vertical="center"/>
    </xf>
    <xf numFmtId="0" fontId="57" fillId="0" borderId="1" xfId="0" applyFont="1" applyBorder="1" applyAlignment="1">
      <alignment horizontal="center" vertical="center" wrapText="1"/>
    </xf>
    <xf numFmtId="0" fontId="57" fillId="0" borderId="1" xfId="0" applyFont="1" applyBorder="1" applyAlignment="1">
      <alignment vertical="center" wrapText="1"/>
    </xf>
    <xf numFmtId="0" fontId="58" fillId="0" borderId="1" xfId="0" applyFont="1" applyBorder="1" applyAlignment="1">
      <alignment horizontal="center" vertical="center" wrapText="1"/>
    </xf>
    <xf numFmtId="0" fontId="10" fillId="0" borderId="0" xfId="0" applyFont="1"/>
    <xf numFmtId="0" fontId="59" fillId="2" borderId="1" xfId="0" applyFont="1" applyFill="1" applyBorder="1" applyAlignment="1">
      <alignment horizontal="center"/>
    </xf>
    <xf numFmtId="49" fontId="59" fillId="2" borderId="1" xfId="0" applyNumberFormat="1" applyFont="1" applyFill="1" applyBorder="1" applyAlignment="1">
      <alignment vertical="center"/>
    </xf>
    <xf numFmtId="49" fontId="59" fillId="2" borderId="1" xfId="0" applyNumberFormat="1" applyFont="1" applyFill="1" applyBorder="1" applyAlignment="1">
      <alignment horizontal="left" vertical="center" wrapText="1"/>
    </xf>
    <xf numFmtId="0" fontId="10" fillId="0" borderId="1" xfId="0" quotePrefix="1" applyFont="1" applyBorder="1" applyAlignment="1">
      <alignment horizontal="center" wrapText="1"/>
    </xf>
    <xf numFmtId="0" fontId="61" fillId="0" borderId="1" xfId="7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wrapText="1"/>
    </xf>
    <xf numFmtId="0" fontId="61" fillId="0" borderId="1" xfId="7" quotePrefix="1" applyFont="1" applyBorder="1" applyAlignment="1">
      <alignment horizontal="center"/>
    </xf>
    <xf numFmtId="41" fontId="10" fillId="0" borderId="1" xfId="6" applyFont="1" applyBorder="1" applyAlignment="1">
      <alignment horizontal="center"/>
    </xf>
    <xf numFmtId="0" fontId="10" fillId="2" borderId="1" xfId="0" applyFont="1" applyFill="1" applyBorder="1" applyAlignment="1"/>
    <xf numFmtId="0" fontId="10" fillId="0" borderId="1" xfId="0" quotePrefix="1" applyFont="1" applyBorder="1" applyAlignment="1">
      <alignment horizontal="left" wrapText="1"/>
    </xf>
    <xf numFmtId="0" fontId="10" fillId="0" borderId="1" xfId="0" quotePrefix="1" applyFont="1" applyBorder="1"/>
    <xf numFmtId="49" fontId="59" fillId="2" borderId="1" xfId="0" applyNumberFormat="1" applyFont="1" applyFill="1" applyBorder="1" applyAlignment="1">
      <alignment vertical="center" wrapText="1"/>
    </xf>
    <xf numFmtId="0" fontId="62" fillId="2" borderId="1" xfId="0" applyFont="1" applyFill="1" applyBorder="1" applyAlignment="1">
      <alignment horizontal="left" wrapText="1"/>
    </xf>
    <xf numFmtId="14" fontId="10" fillId="0" borderId="1" xfId="0" quotePrefix="1" applyNumberFormat="1" applyFont="1" applyBorder="1" applyAlignment="1">
      <alignment horizontal="left"/>
    </xf>
    <xf numFmtId="0" fontId="63" fillId="0" borderId="0" xfId="0" applyFont="1"/>
    <xf numFmtId="0" fontId="47" fillId="0" borderId="0" xfId="3" applyFont="1" applyFill="1" applyAlignment="1">
      <alignment vertical="center"/>
    </xf>
    <xf numFmtId="0" fontId="46" fillId="0" borderId="0" xfId="3" applyFont="1" applyFill="1" applyAlignment="1">
      <alignment vertical="center"/>
    </xf>
    <xf numFmtId="3" fontId="53" fillId="0" borderId="0" xfId="0" applyNumberFormat="1" applyFont="1" applyFill="1" applyBorder="1" applyAlignment="1">
      <alignment horizontal="center" vertical="center"/>
    </xf>
    <xf numFmtId="168" fontId="64" fillId="0" borderId="0" xfId="3" applyNumberFormat="1" applyFont="1" applyFill="1" applyAlignment="1">
      <alignment horizontal="center" vertical="center"/>
    </xf>
    <xf numFmtId="0" fontId="64" fillId="0" borderId="0" xfId="3" applyFont="1" applyFill="1" applyAlignment="1">
      <alignment vertical="center"/>
    </xf>
    <xf numFmtId="0" fontId="64" fillId="0" borderId="0" xfId="3" applyFont="1" applyFill="1" applyAlignment="1">
      <alignment horizontal="center" vertical="center"/>
    </xf>
    <xf numFmtId="3" fontId="64" fillId="0" borderId="0" xfId="3" applyNumberFormat="1" applyFont="1" applyFill="1" applyAlignment="1">
      <alignment horizontal="center" vertical="center"/>
    </xf>
    <xf numFmtId="168" fontId="47" fillId="0" borderId="11" xfId="0" applyNumberFormat="1" applyFont="1" applyBorder="1" applyAlignment="1">
      <alignment horizontal="center" vertical="center"/>
    </xf>
    <xf numFmtId="3" fontId="47" fillId="0" borderId="12" xfId="3" applyNumberFormat="1" applyFont="1" applyFill="1" applyBorder="1" applyAlignment="1">
      <alignment horizontal="right" vertical="center"/>
    </xf>
    <xf numFmtId="3" fontId="18" fillId="2" borderId="12" xfId="3" applyNumberFormat="1" applyFont="1" applyFill="1" applyBorder="1" applyAlignment="1">
      <alignment horizontal="right" vertical="center"/>
    </xf>
    <xf numFmtId="3" fontId="47" fillId="0" borderId="12" xfId="0" applyNumberFormat="1" applyFont="1" applyBorder="1" applyAlignment="1">
      <alignment horizontal="center" vertical="center"/>
    </xf>
    <xf numFmtId="0" fontId="18" fillId="2" borderId="12" xfId="0" applyFont="1" applyFill="1" applyBorder="1"/>
    <xf numFmtId="0" fontId="18" fillId="2" borderId="12" xfId="0" applyFont="1" applyFill="1" applyBorder="1" applyAlignment="1">
      <alignment wrapText="1"/>
    </xf>
    <xf numFmtId="49" fontId="47" fillId="2" borderId="12" xfId="0" applyNumberFormat="1" applyFont="1" applyFill="1" applyBorder="1" applyAlignment="1">
      <alignment vertical="center" wrapText="1"/>
    </xf>
    <xf numFmtId="14" fontId="18" fillId="0" borderId="12" xfId="0" quotePrefix="1" applyNumberFormat="1" applyFont="1" applyBorder="1" applyAlignment="1">
      <alignment horizontal="left"/>
    </xf>
    <xf numFmtId="168" fontId="47" fillId="0" borderId="23" xfId="0" applyNumberFormat="1" applyFont="1" applyBorder="1" applyAlignment="1">
      <alignment horizontal="center" vertical="center"/>
    </xf>
    <xf numFmtId="49" fontId="47" fillId="2" borderId="24" xfId="0" applyNumberFormat="1" applyFont="1" applyFill="1" applyBorder="1" applyAlignment="1">
      <alignment vertical="center"/>
    </xf>
    <xf numFmtId="49" fontId="47" fillId="2" borderId="24" xfId="0" applyNumberFormat="1" applyFont="1" applyFill="1" applyBorder="1" applyAlignment="1">
      <alignment horizontal="left" vertical="center" wrapText="1"/>
    </xf>
    <xf numFmtId="3" fontId="47" fillId="0" borderId="24" xfId="3" applyNumberFormat="1" applyFont="1" applyFill="1" applyBorder="1" applyAlignment="1">
      <alignment horizontal="right" vertical="center"/>
    </xf>
    <xf numFmtId="3" fontId="18" fillId="2" borderId="24" xfId="3" applyNumberFormat="1" applyFont="1" applyFill="1" applyBorder="1" applyAlignment="1">
      <alignment horizontal="right" vertical="center"/>
    </xf>
    <xf numFmtId="3" fontId="47" fillId="0" borderId="24" xfId="0" applyNumberFormat="1" applyFont="1" applyBorder="1" applyAlignment="1">
      <alignment horizontal="center" vertical="center"/>
    </xf>
    <xf numFmtId="168" fontId="47" fillId="0" borderId="17" xfId="0" applyNumberFormat="1" applyFont="1" applyBorder="1" applyAlignment="1">
      <alignment horizontal="center" vertical="center"/>
    </xf>
    <xf numFmtId="0" fontId="18" fillId="2" borderId="18" xfId="0" applyFont="1" applyFill="1" applyBorder="1"/>
    <xf numFmtId="0" fontId="18" fillId="2" borderId="18" xfId="0" applyFont="1" applyFill="1" applyBorder="1" applyAlignment="1">
      <alignment wrapText="1"/>
    </xf>
    <xf numFmtId="3" fontId="47" fillId="0" borderId="18" xfId="3" applyNumberFormat="1" applyFont="1" applyFill="1" applyBorder="1" applyAlignment="1">
      <alignment horizontal="right" vertical="center"/>
    </xf>
    <xf numFmtId="3" fontId="18" fillId="2" borderId="18" xfId="3" applyNumberFormat="1" applyFont="1" applyFill="1" applyBorder="1" applyAlignment="1">
      <alignment horizontal="right" vertical="center"/>
    </xf>
    <xf numFmtId="3" fontId="47" fillId="0" borderId="18" xfId="0" applyNumberFormat="1" applyFont="1" applyBorder="1" applyAlignment="1">
      <alignment horizontal="center" vertical="center"/>
    </xf>
    <xf numFmtId="3" fontId="66" fillId="0" borderId="61" xfId="3" applyNumberFormat="1" applyFont="1" applyFill="1" applyBorder="1" applyAlignment="1">
      <alignment horizontal="center" vertical="center" wrapText="1"/>
    </xf>
    <xf numFmtId="0" fontId="16" fillId="0" borderId="0" xfId="0" applyFont="1" applyAlignment="1"/>
    <xf numFmtId="0" fontId="67" fillId="0" borderId="0" xfId="0" applyFont="1" applyAlignment="1">
      <alignment vertical="center"/>
    </xf>
    <xf numFmtId="165" fontId="21" fillId="0" borderId="12" xfId="1" applyNumberFormat="1" applyFont="1" applyBorder="1"/>
    <xf numFmtId="0" fontId="21" fillId="0" borderId="23" xfId="0" quotePrefix="1" applyFont="1" applyBorder="1" applyAlignment="1">
      <alignment horizontal="left"/>
    </xf>
    <xf numFmtId="165" fontId="21" fillId="0" borderId="24" xfId="1" applyNumberFormat="1" applyFont="1" applyBorder="1"/>
    <xf numFmtId="41" fontId="43" fillId="2" borderId="12" xfId="6" applyFont="1" applyFill="1" applyBorder="1" applyAlignment="1">
      <alignment horizontal="center"/>
    </xf>
    <xf numFmtId="3" fontId="46" fillId="0" borderId="12" xfId="1" applyNumberFormat="1" applyFont="1" applyFill="1" applyBorder="1" applyAlignment="1">
      <alignment horizontal="right" vertical="center"/>
    </xf>
    <xf numFmtId="3" fontId="47" fillId="0" borderId="12" xfId="1" applyNumberFormat="1" applyFont="1" applyFill="1" applyBorder="1" applyAlignment="1">
      <alignment horizontal="right" vertical="center"/>
    </xf>
    <xf numFmtId="3" fontId="47" fillId="0" borderId="13" xfId="3" applyNumberFormat="1" applyFont="1" applyFill="1" applyBorder="1" applyAlignment="1">
      <alignment vertical="center"/>
    </xf>
    <xf numFmtId="3" fontId="46" fillId="0" borderId="24" xfId="1" applyNumberFormat="1" applyFont="1" applyFill="1" applyBorder="1" applyAlignment="1">
      <alignment horizontal="right" vertical="center"/>
    </xf>
    <xf numFmtId="3" fontId="47" fillId="0" borderId="24" xfId="1" applyNumberFormat="1" applyFont="1" applyFill="1" applyBorder="1" applyAlignment="1">
      <alignment horizontal="right" vertical="center"/>
    </xf>
    <xf numFmtId="3" fontId="47" fillId="0" borderId="25" xfId="3" applyNumberFormat="1" applyFont="1" applyFill="1" applyBorder="1" applyAlignment="1">
      <alignment vertical="center"/>
    </xf>
    <xf numFmtId="3" fontId="47" fillId="0" borderId="18" xfId="1" applyNumberFormat="1" applyFont="1" applyFill="1" applyBorder="1" applyAlignment="1">
      <alignment horizontal="right" vertical="center"/>
    </xf>
    <xf numFmtId="3" fontId="47" fillId="0" borderId="19" xfId="3" applyNumberFormat="1" applyFont="1" applyFill="1" applyBorder="1" applyAlignment="1">
      <alignment vertical="center"/>
    </xf>
    <xf numFmtId="168" fontId="46" fillId="10" borderId="20" xfId="3" applyNumberFormat="1" applyFont="1" applyFill="1" applyBorder="1" applyAlignment="1">
      <alignment horizontal="center" vertical="center"/>
    </xf>
    <xf numFmtId="3" fontId="46" fillId="10" borderId="21" xfId="3" applyNumberFormat="1" applyFont="1" applyFill="1" applyBorder="1" applyAlignment="1">
      <alignment horizontal="right" vertical="center"/>
    </xf>
    <xf numFmtId="3" fontId="46" fillId="10" borderId="21" xfId="3" applyNumberFormat="1" applyFont="1" applyFill="1" applyBorder="1" applyAlignment="1">
      <alignment horizontal="center" vertical="center"/>
    </xf>
    <xf numFmtId="3" fontId="46" fillId="10" borderId="22" xfId="3" applyNumberFormat="1" applyFont="1" applyFill="1" applyBorder="1" applyAlignment="1">
      <alignment horizontal="center" vertical="center"/>
    </xf>
    <xf numFmtId="0" fontId="26" fillId="2" borderId="12" xfId="0" applyFont="1" applyFill="1" applyBorder="1" applyAlignment="1">
      <alignment wrapText="1"/>
    </xf>
    <xf numFmtId="0" fontId="11" fillId="2" borderId="0" xfId="0" applyFont="1" applyFill="1"/>
    <xf numFmtId="0" fontId="69" fillId="2" borderId="1" xfId="0" applyFont="1" applyFill="1" applyBorder="1" applyAlignment="1"/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47" fillId="2" borderId="1" xfId="0" quotePrefix="1" applyFont="1" applyFill="1" applyBorder="1" applyAlignment="1">
      <alignment vertical="center"/>
    </xf>
    <xf numFmtId="165" fontId="21" fillId="2" borderId="36" xfId="1" applyNumberFormat="1" applyFont="1" applyFill="1" applyBorder="1"/>
    <xf numFmtId="165" fontId="21" fillId="2" borderId="37" xfId="1" applyNumberFormat="1" applyFont="1" applyFill="1" applyBorder="1"/>
    <xf numFmtId="165" fontId="14" fillId="0" borderId="48" xfId="0" applyNumberFormat="1" applyFont="1" applyBorder="1"/>
    <xf numFmtId="0" fontId="3" fillId="0" borderId="35" xfId="0" applyFont="1" applyBorder="1" applyAlignment="1">
      <alignment horizontal="center" vertical="center" wrapText="1"/>
    </xf>
    <xf numFmtId="165" fontId="11" fillId="0" borderId="21" xfId="0" applyNumberFormat="1" applyFont="1" applyBorder="1"/>
    <xf numFmtId="0" fontId="3" fillId="0" borderId="3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3" fontId="71" fillId="0" borderId="3" xfId="3" applyNumberFormat="1" applyFont="1" applyFill="1" applyBorder="1" applyAlignment="1">
      <alignment horizontal="center" vertical="center" wrapText="1"/>
    </xf>
    <xf numFmtId="168" fontId="73" fillId="0" borderId="1" xfId="0" applyNumberFormat="1" applyFont="1" applyBorder="1" applyAlignment="1">
      <alignment horizontal="center" vertical="center"/>
    </xf>
    <xf numFmtId="49" fontId="73" fillId="2" borderId="1" xfId="0" applyNumberFormat="1" applyFont="1" applyFill="1" applyBorder="1" applyAlignment="1">
      <alignment vertical="center"/>
    </xf>
    <xf numFmtId="49" fontId="73" fillId="2" borderId="1" xfId="0" applyNumberFormat="1" applyFont="1" applyFill="1" applyBorder="1" applyAlignment="1">
      <alignment horizontal="left" vertical="center" wrapText="1"/>
    </xf>
    <xf numFmtId="3" fontId="73" fillId="0" borderId="1" xfId="3" applyNumberFormat="1" applyFont="1" applyFill="1" applyBorder="1" applyAlignment="1">
      <alignment horizontal="right" vertical="center"/>
    </xf>
    <xf numFmtId="3" fontId="73" fillId="0" borderId="1" xfId="3" applyNumberFormat="1" applyFont="1" applyFill="1" applyBorder="1" applyAlignment="1">
      <alignment vertical="center"/>
    </xf>
    <xf numFmtId="0" fontId="26" fillId="2" borderId="1" xfId="0" applyFont="1" applyFill="1" applyBorder="1"/>
    <xf numFmtId="0" fontId="26" fillId="2" borderId="1" xfId="0" applyFont="1" applyFill="1" applyBorder="1" applyAlignment="1">
      <alignment wrapText="1"/>
    </xf>
    <xf numFmtId="14" fontId="26" fillId="0" borderId="1" xfId="0" quotePrefix="1" applyNumberFormat="1" applyFont="1" applyBorder="1" applyAlignment="1">
      <alignment horizontal="left"/>
    </xf>
    <xf numFmtId="3" fontId="73" fillId="0" borderId="1" xfId="3" applyNumberFormat="1" applyFont="1" applyFill="1" applyBorder="1" applyAlignment="1">
      <alignment vertical="center" wrapText="1"/>
    </xf>
    <xf numFmtId="168" fontId="71" fillId="2" borderId="1" xfId="3" applyNumberFormat="1" applyFont="1" applyFill="1" applyBorder="1" applyAlignment="1">
      <alignment horizontal="center" vertical="center"/>
    </xf>
    <xf numFmtId="0" fontId="71" fillId="2" borderId="1" xfId="3" applyFont="1" applyFill="1" applyBorder="1" applyAlignment="1">
      <alignment horizontal="left" vertical="center"/>
    </xf>
    <xf numFmtId="0" fontId="71" fillId="2" borderId="1" xfId="3" applyFont="1" applyFill="1" applyBorder="1" applyAlignment="1">
      <alignment horizontal="center" vertical="center"/>
    </xf>
    <xf numFmtId="3" fontId="71" fillId="2" borderId="1" xfId="3" applyNumberFormat="1" applyFont="1" applyFill="1" applyBorder="1" applyAlignment="1">
      <alignment horizontal="right" vertical="center"/>
    </xf>
    <xf numFmtId="3" fontId="73" fillId="2" borderId="1" xfId="3" applyNumberFormat="1" applyFont="1" applyFill="1" applyBorder="1" applyAlignment="1">
      <alignment horizontal="right" vertical="center"/>
    </xf>
    <xf numFmtId="14" fontId="18" fillId="0" borderId="1" xfId="0" quotePrefix="1" applyNumberFormat="1" applyFont="1" applyBorder="1" applyAlignment="1">
      <alignment horizontal="left" wrapText="1"/>
    </xf>
    <xf numFmtId="165" fontId="11" fillId="0" borderId="48" xfId="0" applyNumberFormat="1" applyFont="1" applyBorder="1"/>
    <xf numFmtId="0" fontId="3" fillId="0" borderId="35" xfId="0" applyFont="1" applyBorder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11" fillId="0" borderId="57" xfId="0" applyFont="1" applyBorder="1" applyAlignment="1">
      <alignment wrapText="1"/>
    </xf>
    <xf numFmtId="0" fontId="20" fillId="2" borderId="40" xfId="0" applyFont="1" applyFill="1" applyBorder="1" applyAlignment="1">
      <alignment wrapText="1"/>
    </xf>
    <xf numFmtId="165" fontId="21" fillId="2" borderId="40" xfId="1" applyNumberFormat="1" applyFont="1" applyFill="1" applyBorder="1"/>
    <xf numFmtId="165" fontId="21" fillId="2" borderId="58" xfId="1" applyNumberFormat="1" applyFont="1" applyFill="1" applyBorder="1"/>
    <xf numFmtId="166" fontId="20" fillId="2" borderId="74" xfId="1" applyNumberFormat="1" applyFont="1" applyFill="1" applyBorder="1" applyAlignment="1">
      <alignment wrapText="1"/>
    </xf>
    <xf numFmtId="0" fontId="11" fillId="0" borderId="23" xfId="0" quotePrefix="1" applyFont="1" applyBorder="1" applyAlignment="1">
      <alignment wrapText="1"/>
    </xf>
    <xf numFmtId="0" fontId="35" fillId="0" borderId="0" xfId="0" applyFont="1" applyAlignment="1">
      <alignment vertical="center"/>
    </xf>
    <xf numFmtId="0" fontId="25" fillId="0" borderId="26" xfId="0" applyFont="1" applyBorder="1" applyAlignment="1">
      <alignment horizontal="center" wrapText="1"/>
    </xf>
    <xf numFmtId="0" fontId="25" fillId="0" borderId="27" xfId="0" applyFont="1" applyBorder="1" applyAlignment="1">
      <alignment horizontal="center" wrapText="1"/>
    </xf>
    <xf numFmtId="0" fontId="25" fillId="0" borderId="27" xfId="0" applyFont="1" applyBorder="1" applyAlignment="1">
      <alignment horizontal="center"/>
    </xf>
    <xf numFmtId="0" fontId="25" fillId="0" borderId="28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41" fontId="21" fillId="0" borderId="24" xfId="6" applyFont="1" applyBorder="1" applyAlignment="1">
      <alignment wrapText="1"/>
    </xf>
    <xf numFmtId="41" fontId="21" fillId="0" borderId="24" xfId="6" quotePrefix="1" applyFont="1" applyBorder="1" applyAlignment="1">
      <alignment wrapText="1"/>
    </xf>
    <xf numFmtId="3" fontId="20" fillId="0" borderId="24" xfId="0" applyNumberFormat="1" applyFont="1" applyBorder="1" applyAlignment="1">
      <alignment horizontal="right" wrapText="1"/>
    </xf>
    <xf numFmtId="3" fontId="22" fillId="0" borderId="24" xfId="0" applyNumberFormat="1" applyFont="1" applyBorder="1" applyAlignment="1">
      <alignment horizontal="right" wrapText="1"/>
    </xf>
    <xf numFmtId="0" fontId="21" fillId="0" borderId="25" xfId="0" applyFont="1" applyBorder="1"/>
    <xf numFmtId="0" fontId="21" fillId="0" borderId="11" xfId="0" applyFont="1" applyBorder="1" applyAlignment="1">
      <alignment wrapText="1"/>
    </xf>
    <xf numFmtId="41" fontId="21" fillId="0" borderId="12" xfId="6" applyFont="1" applyBorder="1" applyAlignment="1">
      <alignment wrapText="1"/>
    </xf>
    <xf numFmtId="3" fontId="20" fillId="0" borderId="12" xfId="0" applyNumberFormat="1" applyFont="1" applyBorder="1" applyAlignment="1">
      <alignment horizontal="right" wrapText="1"/>
    </xf>
    <xf numFmtId="3" fontId="22" fillId="0" borderId="12" xfId="0" applyNumberFormat="1" applyFont="1" applyBorder="1" applyAlignment="1">
      <alignment horizontal="right" wrapText="1"/>
    </xf>
    <xf numFmtId="0" fontId="21" fillId="0" borderId="13" xfId="0" applyFont="1" applyBorder="1"/>
    <xf numFmtId="41" fontId="21" fillId="0" borderId="12" xfId="6" quotePrefix="1" applyFont="1" applyBorder="1" applyAlignment="1">
      <alignment wrapText="1"/>
    </xf>
    <xf numFmtId="3" fontId="75" fillId="0" borderId="61" xfId="0" applyNumberFormat="1" applyFont="1" applyBorder="1" applyAlignment="1">
      <alignment horizontal="right" wrapText="1"/>
    </xf>
    <xf numFmtId="3" fontId="22" fillId="0" borderId="61" xfId="0" applyNumberFormat="1" applyFont="1" applyBorder="1" applyAlignment="1">
      <alignment horizontal="right" wrapText="1"/>
    </xf>
    <xf numFmtId="0" fontId="21" fillId="0" borderId="62" xfId="0" applyFont="1" applyBorder="1" applyAlignment="1">
      <alignment wrapText="1"/>
    </xf>
    <xf numFmtId="0" fontId="21" fillId="0" borderId="23" xfId="0" applyFont="1" applyBorder="1" applyAlignment="1">
      <alignment horizontal="center" wrapText="1"/>
    </xf>
    <xf numFmtId="0" fontId="21" fillId="0" borderId="11" xfId="0" applyFont="1" applyBorder="1"/>
    <xf numFmtId="0" fontId="21" fillId="0" borderId="12" xfId="0" applyFont="1" applyBorder="1"/>
    <xf numFmtId="0" fontId="21" fillId="0" borderId="23" xfId="0" applyFont="1" applyBorder="1" applyAlignment="1">
      <alignment horizontal="center"/>
    </xf>
    <xf numFmtId="41" fontId="21" fillId="0" borderId="24" xfId="6" applyFont="1" applyBorder="1"/>
    <xf numFmtId="0" fontId="21" fillId="0" borderId="24" xfId="0" applyFont="1" applyBorder="1"/>
    <xf numFmtId="41" fontId="21" fillId="0" borderId="12" xfId="6" applyFont="1" applyBorder="1"/>
    <xf numFmtId="3" fontId="21" fillId="0" borderId="12" xfId="0" applyNumberFormat="1" applyFont="1" applyBorder="1" applyAlignment="1">
      <alignment horizontal="right" wrapText="1"/>
    </xf>
    <xf numFmtId="3" fontId="75" fillId="0" borderId="15" xfId="0" applyNumberFormat="1" applyFont="1" applyBorder="1" applyAlignment="1">
      <alignment horizontal="right" wrapText="1"/>
    </xf>
    <xf numFmtId="3" fontId="22" fillId="0" borderId="15" xfId="0" applyNumberFormat="1" applyFont="1" applyBorder="1" applyAlignment="1">
      <alignment horizontal="right" wrapText="1"/>
    </xf>
    <xf numFmtId="0" fontId="14" fillId="0" borderId="35" xfId="0" applyFont="1" applyBorder="1" applyAlignment="1">
      <alignment horizontal="center"/>
    </xf>
    <xf numFmtId="0" fontId="20" fillId="2" borderId="36" xfId="0" applyFont="1" applyFill="1" applyBorder="1" applyAlignment="1">
      <alignment wrapText="1"/>
    </xf>
    <xf numFmtId="0" fontId="20" fillId="2" borderId="37" xfId="0" applyFont="1" applyFill="1" applyBorder="1" applyAlignment="1">
      <alignment wrapText="1"/>
    </xf>
    <xf numFmtId="0" fontId="14" fillId="0" borderId="48" xfId="0" applyFont="1" applyBorder="1" applyAlignment="1">
      <alignment horizontal="center"/>
    </xf>
    <xf numFmtId="3" fontId="29" fillId="0" borderId="12" xfId="1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41" fontId="2" fillId="0" borderId="36" xfId="6" quotePrefix="1" applyFont="1" applyBorder="1" applyAlignment="1">
      <alignment horizontal="center" vertical="center" wrapText="1"/>
    </xf>
    <xf numFmtId="0" fontId="31" fillId="0" borderId="60" xfId="0" applyFont="1" applyBorder="1" applyAlignment="1">
      <alignment horizontal="center"/>
    </xf>
    <xf numFmtId="0" fontId="31" fillId="0" borderId="61" xfId="0" applyFont="1" applyBorder="1" applyAlignment="1">
      <alignment horizontal="left" wrapText="1"/>
    </xf>
    <xf numFmtId="0" fontId="31" fillId="0" borderId="61" xfId="0" quotePrefix="1" applyFont="1" applyBorder="1" applyAlignment="1">
      <alignment horizontal="center"/>
    </xf>
    <xf numFmtId="41" fontId="31" fillId="0" borderId="61" xfId="6" applyFont="1" applyBorder="1" applyAlignment="1">
      <alignment horizontal="center"/>
    </xf>
    <xf numFmtId="9" fontId="31" fillId="0" borderId="61" xfId="4" applyNumberFormat="1" applyFont="1" applyBorder="1" applyAlignment="1">
      <alignment horizontal="center"/>
    </xf>
    <xf numFmtId="0" fontId="31" fillId="0" borderId="29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 wrapText="1"/>
    </xf>
    <xf numFmtId="165" fontId="31" fillId="0" borderId="1" xfId="0" applyNumberFormat="1" applyFont="1" applyBorder="1" applyAlignment="1">
      <alignment horizontal="center"/>
    </xf>
    <xf numFmtId="41" fontId="31" fillId="0" borderId="1" xfId="6" applyFont="1" applyBorder="1" applyAlignment="1">
      <alignment horizontal="center"/>
    </xf>
    <xf numFmtId="9" fontId="31" fillId="0" borderId="1" xfId="4" applyNumberFormat="1" applyFont="1" applyBorder="1" applyAlignment="1">
      <alignment horizontal="center"/>
    </xf>
    <xf numFmtId="0" fontId="31" fillId="0" borderId="61" xfId="0" applyFont="1" applyBorder="1" applyAlignment="1">
      <alignment horizontal="center"/>
    </xf>
    <xf numFmtId="0" fontId="31" fillId="0" borderId="1" xfId="0" quotePrefix="1" applyFont="1" applyBorder="1" applyAlignment="1">
      <alignment horizontal="center"/>
    </xf>
    <xf numFmtId="165" fontId="42" fillId="0" borderId="2" xfId="0" applyNumberFormat="1" applyFont="1" applyBorder="1" applyAlignment="1">
      <alignment horizontal="center" vertical="center"/>
    </xf>
    <xf numFmtId="0" fontId="42" fillId="0" borderId="9" xfId="0" applyFont="1" applyBorder="1" applyAlignment="1">
      <alignment vertical="center"/>
    </xf>
    <xf numFmtId="0" fontId="31" fillId="0" borderId="30" xfId="0" applyFont="1" applyBorder="1" applyAlignment="1">
      <alignment wrapText="1"/>
    </xf>
    <xf numFmtId="41" fontId="43" fillId="2" borderId="24" xfId="6" applyFont="1" applyFill="1" applyBorder="1" applyAlignment="1">
      <alignment horizontal="center"/>
    </xf>
    <xf numFmtId="41" fontId="43" fillId="2" borderId="39" xfId="6" applyFont="1" applyFill="1" applyBorder="1" applyAlignment="1">
      <alignment horizontal="center"/>
    </xf>
    <xf numFmtId="41" fontId="43" fillId="2" borderId="61" xfId="6" applyFont="1" applyFill="1" applyBorder="1" applyAlignment="1">
      <alignment horizontal="center"/>
    </xf>
    <xf numFmtId="41" fontId="43" fillId="2" borderId="1" xfId="6" applyFont="1" applyFill="1" applyBorder="1" applyAlignment="1">
      <alignment horizontal="center"/>
    </xf>
    <xf numFmtId="165" fontId="70" fillId="0" borderId="21" xfId="1" applyNumberFormat="1" applyFont="1" applyBorder="1"/>
    <xf numFmtId="0" fontId="20" fillId="0" borderId="22" xfId="0" applyFont="1" applyBorder="1"/>
    <xf numFmtId="0" fontId="20" fillId="0" borderId="0" xfId="0" applyFont="1"/>
    <xf numFmtId="41" fontId="2" fillId="0" borderId="0" xfId="0" applyNumberFormat="1" applyFont="1"/>
    <xf numFmtId="41" fontId="2" fillId="0" borderId="25" xfId="0" applyNumberFormat="1" applyFont="1" applyBorder="1"/>
    <xf numFmtId="0" fontId="2" fillId="2" borderId="0" xfId="0" applyFont="1" applyFill="1"/>
    <xf numFmtId="14" fontId="43" fillId="2" borderId="12" xfId="0" quotePrefix="1" applyNumberFormat="1" applyFont="1" applyFill="1" applyBorder="1" applyAlignment="1">
      <alignment horizontal="center"/>
    </xf>
    <xf numFmtId="0" fontId="77" fillId="0" borderId="0" xfId="0" applyFont="1"/>
    <xf numFmtId="0" fontId="78" fillId="0" borderId="0" xfId="0" applyFont="1" applyAlignment="1">
      <alignment vertical="center"/>
    </xf>
    <xf numFmtId="0" fontId="78" fillId="0" borderId="0" xfId="0" applyFont="1" applyAlignment="1"/>
    <xf numFmtId="0" fontId="78" fillId="0" borderId="0" xfId="0" applyFont="1"/>
    <xf numFmtId="0" fontId="79" fillId="0" borderId="0" xfId="7" applyFont="1" applyAlignment="1">
      <alignment vertical="center"/>
    </xf>
    <xf numFmtId="0" fontId="80" fillId="0" borderId="0" xfId="0" applyFont="1" applyAlignment="1">
      <alignment vertical="center"/>
    </xf>
    <xf numFmtId="0" fontId="21" fillId="0" borderId="71" xfId="0" applyFont="1" applyBorder="1" applyAlignment="1">
      <alignment wrapText="1"/>
    </xf>
    <xf numFmtId="0" fontId="21" fillId="0" borderId="79" xfId="0" applyFont="1" applyBorder="1" applyAlignment="1">
      <alignment horizontal="center"/>
    </xf>
    <xf numFmtId="0" fontId="21" fillId="0" borderId="71" xfId="0" applyFont="1" applyBorder="1"/>
    <xf numFmtId="0" fontId="21" fillId="0" borderId="79" xfId="0" applyFont="1" applyBorder="1" applyAlignment="1">
      <alignment horizontal="center" wrapText="1"/>
    </xf>
    <xf numFmtId="3" fontId="71" fillId="0" borderId="61" xfId="0" applyNumberFormat="1" applyFont="1" applyBorder="1" applyAlignment="1">
      <alignment horizontal="right" wrapText="1"/>
    </xf>
    <xf numFmtId="0" fontId="21" fillId="0" borderId="62" xfId="0" applyFont="1" applyBorder="1"/>
    <xf numFmtId="0" fontId="21" fillId="0" borderId="11" xfId="0" quotePrefix="1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50" fillId="0" borderId="0" xfId="3" applyFont="1" applyFill="1" applyAlignment="1">
      <alignment horizontal="center" vertical="center"/>
    </xf>
    <xf numFmtId="0" fontId="14" fillId="0" borderId="0" xfId="0" applyFont="1"/>
    <xf numFmtId="0" fontId="51" fillId="0" borderId="0" xfId="3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6" fillId="0" borderId="0" xfId="4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9" fontId="16" fillId="0" borderId="0" xfId="4" applyFont="1" applyAlignment="1">
      <alignment horizontal="center" vertical="center"/>
    </xf>
    <xf numFmtId="16" fontId="26" fillId="0" borderId="1" xfId="0" quotePrefix="1" applyNumberFormat="1" applyFont="1" applyBorder="1" applyAlignment="1">
      <alignment horizontal="left"/>
    </xf>
    <xf numFmtId="165" fontId="26" fillId="0" borderId="1" xfId="1" applyNumberFormat="1" applyFont="1" applyBorder="1"/>
    <xf numFmtId="16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3" fontId="71" fillId="0" borderId="1" xfId="3" applyNumberFormat="1" applyFont="1" applyFill="1" applyBorder="1" applyAlignment="1">
      <alignment horizontal="center" vertical="center" wrapText="1"/>
    </xf>
    <xf numFmtId="168" fontId="73" fillId="0" borderId="11" xfId="0" applyNumberFormat="1" applyFont="1" applyBorder="1" applyAlignment="1">
      <alignment horizontal="center" vertical="center"/>
    </xf>
    <xf numFmtId="3" fontId="73" fillId="0" borderId="12" xfId="3" applyNumberFormat="1" applyFont="1" applyFill="1" applyBorder="1" applyAlignment="1">
      <alignment horizontal="right" vertical="center"/>
    </xf>
    <xf numFmtId="3" fontId="73" fillId="0" borderId="13" xfId="3" applyNumberFormat="1" applyFont="1" applyFill="1" applyBorder="1" applyAlignment="1">
      <alignment vertical="center"/>
    </xf>
    <xf numFmtId="0" fontId="26" fillId="2" borderId="12" xfId="0" applyFont="1" applyFill="1" applyBorder="1"/>
    <xf numFmtId="14" fontId="26" fillId="0" borderId="12" xfId="0" quotePrefix="1" applyNumberFormat="1" applyFont="1" applyBorder="1" applyAlignment="1">
      <alignment horizontal="left"/>
    </xf>
    <xf numFmtId="3" fontId="73" fillId="0" borderId="13" xfId="3" applyNumberFormat="1" applyFont="1" applyFill="1" applyBorder="1" applyAlignment="1">
      <alignment vertical="center" wrapText="1"/>
    </xf>
    <xf numFmtId="165" fontId="73" fillId="0" borderId="12" xfId="1" applyNumberFormat="1" applyFont="1" applyFill="1" applyBorder="1" applyAlignment="1">
      <alignment horizontal="right" vertical="center"/>
    </xf>
    <xf numFmtId="16" fontId="21" fillId="0" borderId="1" xfId="0" quotePrefix="1" applyNumberFormat="1" applyFont="1" applyBorder="1" applyAlignment="1">
      <alignment horizontal="left"/>
    </xf>
    <xf numFmtId="0" fontId="21" fillId="2" borderId="1" xfId="0" applyFont="1" applyFill="1" applyBorder="1" applyAlignment="1">
      <alignment wrapText="1"/>
    </xf>
    <xf numFmtId="165" fontId="21" fillId="0" borderId="1" xfId="1" applyNumberFormat="1" applyFont="1" applyBorder="1"/>
    <xf numFmtId="168" fontId="73" fillId="0" borderId="17" xfId="0" applyNumberFormat="1" applyFont="1" applyBorder="1" applyAlignment="1">
      <alignment horizontal="center" vertical="center"/>
    </xf>
    <xf numFmtId="0" fontId="26" fillId="2" borderId="18" xfId="0" applyFont="1" applyFill="1" applyBorder="1" applyAlignment="1">
      <alignment wrapText="1"/>
    </xf>
    <xf numFmtId="3" fontId="73" fillId="0" borderId="18" xfId="3" applyNumberFormat="1" applyFont="1" applyFill="1" applyBorder="1" applyAlignment="1">
      <alignment horizontal="right" vertical="center"/>
    </xf>
    <xf numFmtId="3" fontId="73" fillId="0" borderId="19" xfId="3" applyNumberFormat="1" applyFont="1" applyFill="1" applyBorder="1" applyAlignment="1">
      <alignment vertical="center" wrapText="1"/>
    </xf>
    <xf numFmtId="168" fontId="71" fillId="2" borderId="20" xfId="3" applyNumberFormat="1" applyFont="1" applyFill="1" applyBorder="1" applyAlignment="1">
      <alignment horizontal="center" vertical="center"/>
    </xf>
    <xf numFmtId="0" fontId="71" fillId="2" borderId="21" xfId="3" applyFont="1" applyFill="1" applyBorder="1" applyAlignment="1">
      <alignment horizontal="left" vertical="center"/>
    </xf>
    <xf numFmtId="0" fontId="71" fillId="2" borderId="21" xfId="3" applyFont="1" applyFill="1" applyBorder="1" applyAlignment="1">
      <alignment horizontal="center" vertical="center"/>
    </xf>
    <xf numFmtId="3" fontId="73" fillId="2" borderId="21" xfId="3" applyNumberFormat="1" applyFont="1" applyFill="1" applyBorder="1" applyAlignment="1">
      <alignment horizontal="right" vertical="center"/>
    </xf>
    <xf numFmtId="3" fontId="71" fillId="2" borderId="21" xfId="3" applyNumberFormat="1" applyFont="1" applyFill="1" applyBorder="1" applyAlignment="1">
      <alignment horizontal="right" vertical="center"/>
    </xf>
    <xf numFmtId="3" fontId="71" fillId="2" borderId="22" xfId="3" applyNumberFormat="1" applyFont="1" applyFill="1" applyBorder="1" applyAlignment="1">
      <alignment horizontal="right" vertical="center"/>
    </xf>
    <xf numFmtId="0" fontId="14" fillId="0" borderId="0" xfId="0" applyFont="1" applyBorder="1" applyAlignment="1">
      <alignment horizontal="center"/>
    </xf>
    <xf numFmtId="165" fontId="14" fillId="0" borderId="0" xfId="0" applyNumberFormat="1" applyFont="1" applyBorder="1"/>
    <xf numFmtId="0" fontId="42" fillId="0" borderId="1" xfId="0" applyFont="1" applyBorder="1" applyAlignment="1">
      <alignment horizontal="center" vertical="center" wrapText="1"/>
    </xf>
    <xf numFmtId="41" fontId="43" fillId="0" borderId="12" xfId="6" applyFont="1" applyBorder="1" applyAlignment="1">
      <alignment horizontal="center"/>
    </xf>
    <xf numFmtId="41" fontId="43" fillId="0" borderId="18" xfId="6" applyFont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0" xfId="0" applyFont="1" applyAlignment="1">
      <alignment horizontal="center" vertical="center"/>
    </xf>
    <xf numFmtId="0" fontId="40" fillId="0" borderId="0" xfId="0" applyFont="1"/>
    <xf numFmtId="41" fontId="43" fillId="0" borderId="24" xfId="6" applyFont="1" applyBorder="1" applyAlignment="1">
      <alignment horizontal="center"/>
    </xf>
    <xf numFmtId="41" fontId="43" fillId="0" borderId="61" xfId="6" applyFont="1" applyBorder="1" applyAlignment="1">
      <alignment horizontal="center"/>
    </xf>
    <xf numFmtId="41" fontId="43" fillId="0" borderId="40" xfId="6" applyFont="1" applyBorder="1" applyAlignment="1">
      <alignment horizontal="center" vertical="top"/>
    </xf>
    <xf numFmtId="41" fontId="43" fillId="0" borderId="12" xfId="6" applyFont="1" applyBorder="1" applyAlignment="1">
      <alignment horizontal="center" vertical="top"/>
    </xf>
    <xf numFmtId="41" fontId="43" fillId="0" borderId="61" xfId="6" applyFont="1" applyBorder="1" applyAlignment="1">
      <alignment horizontal="center" vertical="top"/>
    </xf>
    <xf numFmtId="41" fontId="43" fillId="0" borderId="1" xfId="6" applyFont="1" applyBorder="1" applyAlignment="1">
      <alignment horizontal="center"/>
    </xf>
    <xf numFmtId="41" fontId="43" fillId="0" borderId="39" xfId="6" applyFont="1" applyBorder="1" applyAlignment="1">
      <alignment horizontal="center"/>
    </xf>
    <xf numFmtId="41" fontId="43" fillId="0" borderId="40" xfId="6" applyFont="1" applyBorder="1" applyAlignment="1">
      <alignment horizontal="center"/>
    </xf>
    <xf numFmtId="0" fontId="83" fillId="0" borderId="0" xfId="0" applyFont="1"/>
    <xf numFmtId="0" fontId="42" fillId="0" borderId="0" xfId="0" applyFont="1" applyBorder="1"/>
    <xf numFmtId="0" fontId="84" fillId="0" borderId="21" xfId="0" applyFont="1" applyBorder="1" applyAlignment="1">
      <alignment horizontal="center"/>
    </xf>
    <xf numFmtId="41" fontId="84" fillId="0" borderId="21" xfId="6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3" fontId="29" fillId="0" borderId="18" xfId="1" applyNumberFormat="1" applyFont="1" applyFill="1" applyBorder="1" applyAlignment="1">
      <alignment horizontal="right" vertical="center"/>
    </xf>
    <xf numFmtId="165" fontId="43" fillId="0" borderId="12" xfId="0" applyNumberFormat="1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43" fillId="0" borderId="24" xfId="0" applyFont="1" applyBorder="1" applyAlignment="1">
      <alignment horizontal="center"/>
    </xf>
    <xf numFmtId="0" fontId="43" fillId="0" borderId="24" xfId="0" applyFont="1" applyBorder="1" applyAlignment="1">
      <alignment horizontal="left" wrapText="1"/>
    </xf>
    <xf numFmtId="165" fontId="43" fillId="0" borderId="24" xfId="0" applyNumberFormat="1" applyFont="1" applyBorder="1" applyAlignment="1">
      <alignment horizontal="center"/>
    </xf>
    <xf numFmtId="9" fontId="43" fillId="0" borderId="24" xfId="4" applyNumberFormat="1" applyFont="1" applyBorder="1" applyAlignment="1">
      <alignment horizontal="center"/>
    </xf>
    <xf numFmtId="41" fontId="43" fillId="0" borderId="2" xfId="6" applyFont="1" applyBorder="1" applyAlignment="1">
      <alignment horizontal="center"/>
    </xf>
    <xf numFmtId="9" fontId="43" fillId="0" borderId="24" xfId="4" applyFont="1" applyBorder="1" applyAlignment="1">
      <alignment horizontal="center"/>
    </xf>
    <xf numFmtId="0" fontId="43" fillId="0" borderId="25" xfId="0" applyFont="1" applyBorder="1"/>
    <xf numFmtId="0" fontId="43" fillId="0" borderId="11" xfId="0" applyFont="1" applyBorder="1" applyAlignment="1">
      <alignment horizontal="center"/>
    </xf>
    <xf numFmtId="0" fontId="43" fillId="0" borderId="12" xfId="0" applyFont="1" applyBorder="1" applyAlignment="1">
      <alignment horizontal="center"/>
    </xf>
    <xf numFmtId="9" fontId="43" fillId="0" borderId="12" xfId="4" applyNumberFormat="1" applyFont="1" applyBorder="1" applyAlignment="1">
      <alignment horizontal="center"/>
    </xf>
    <xf numFmtId="9" fontId="43" fillId="0" borderId="12" xfId="4" applyFont="1" applyBorder="1" applyAlignment="1">
      <alignment horizontal="center"/>
    </xf>
    <xf numFmtId="0" fontId="43" fillId="0" borderId="13" xfId="0" applyFont="1" applyBorder="1"/>
    <xf numFmtId="0" fontId="43" fillId="0" borderId="12" xfId="0" quotePrefix="1" applyFont="1" applyBorder="1" applyAlignment="1">
      <alignment horizontal="center"/>
    </xf>
    <xf numFmtId="0" fontId="43" fillId="0" borderId="13" xfId="0" applyFont="1" applyBorder="1" applyAlignment="1">
      <alignment wrapText="1"/>
    </xf>
    <xf numFmtId="0" fontId="43" fillId="0" borderId="12" xfId="0" applyFont="1" applyBorder="1" applyAlignment="1">
      <alignment horizontal="left" wrapText="1"/>
    </xf>
    <xf numFmtId="0" fontId="43" fillId="0" borderId="12" xfId="0" applyFont="1" applyBorder="1" applyAlignment="1">
      <alignment horizontal="center" wrapText="1"/>
    </xf>
    <xf numFmtId="0" fontId="43" fillId="0" borderId="60" xfId="0" applyFont="1" applyBorder="1" applyAlignment="1">
      <alignment horizontal="center"/>
    </xf>
    <xf numFmtId="0" fontId="43" fillId="0" borderId="61" xfId="0" applyFont="1" applyBorder="1" applyAlignment="1">
      <alignment horizontal="center"/>
    </xf>
    <xf numFmtId="0" fontId="43" fillId="0" borderId="61" xfId="0" applyFont="1" applyBorder="1" applyAlignment="1">
      <alignment horizontal="left" wrapText="1"/>
    </xf>
    <xf numFmtId="165" fontId="43" fillId="0" borderId="61" xfId="0" applyNumberFormat="1" applyFont="1" applyBorder="1" applyAlignment="1">
      <alignment horizontal="center"/>
    </xf>
    <xf numFmtId="9" fontId="43" fillId="0" borderId="61" xfId="4" applyNumberFormat="1" applyFont="1" applyBorder="1" applyAlignment="1">
      <alignment horizontal="center"/>
    </xf>
    <xf numFmtId="41" fontId="43" fillId="0" borderId="3" xfId="6" applyFont="1" applyBorder="1" applyAlignment="1">
      <alignment horizontal="center"/>
    </xf>
    <xf numFmtId="9" fontId="43" fillId="0" borderId="61" xfId="4" applyFont="1" applyBorder="1" applyAlignment="1">
      <alignment horizontal="center"/>
    </xf>
    <xf numFmtId="0" fontId="43" fillId="0" borderId="62" xfId="0" applyFont="1" applyBorder="1"/>
    <xf numFmtId="0" fontId="43" fillId="0" borderId="24" xfId="0" quotePrefix="1" applyFont="1" applyBorder="1" applyAlignment="1">
      <alignment horizontal="center"/>
    </xf>
    <xf numFmtId="0" fontId="43" fillId="0" borderId="3" xfId="0" applyFont="1" applyBorder="1" applyAlignment="1">
      <alignment horizontal="center"/>
    </xf>
    <xf numFmtId="0" fontId="43" fillId="0" borderId="3" xfId="0" applyFont="1" applyBorder="1" applyAlignment="1">
      <alignment horizontal="left" wrapText="1"/>
    </xf>
    <xf numFmtId="0" fontId="43" fillId="0" borderId="61" xfId="0" quotePrefix="1" applyFont="1" applyBorder="1" applyAlignment="1">
      <alignment horizontal="center"/>
    </xf>
    <xf numFmtId="0" fontId="43" fillId="0" borderId="62" xfId="0" applyFont="1" applyBorder="1" applyAlignment="1">
      <alignment wrapText="1"/>
    </xf>
    <xf numFmtId="0" fontId="43" fillId="0" borderId="29" xfId="0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43" fillId="0" borderId="1" xfId="0" applyFont="1" applyBorder="1" applyAlignment="1">
      <alignment horizontal="left" wrapText="1"/>
    </xf>
    <xf numFmtId="0" fontId="43" fillId="0" borderId="1" xfId="0" quotePrefix="1" applyFont="1" applyBorder="1" applyAlignment="1">
      <alignment horizontal="center"/>
    </xf>
    <xf numFmtId="165" fontId="43" fillId="0" borderId="1" xfId="0" applyNumberFormat="1" applyFont="1" applyBorder="1" applyAlignment="1">
      <alignment horizontal="center"/>
    </xf>
    <xf numFmtId="9" fontId="43" fillId="0" borderId="1" xfId="4" applyNumberFormat="1" applyFont="1" applyBorder="1" applyAlignment="1">
      <alignment horizontal="center"/>
    </xf>
    <xf numFmtId="9" fontId="43" fillId="0" borderId="1" xfId="4" applyFont="1" applyBorder="1" applyAlignment="1">
      <alignment horizontal="center"/>
    </xf>
    <xf numFmtId="0" fontId="43" fillId="0" borderId="30" xfId="0" applyFont="1" applyBorder="1"/>
    <xf numFmtId="0" fontId="43" fillId="0" borderId="38" xfId="0" applyFont="1" applyBorder="1" applyAlignment="1">
      <alignment horizontal="center"/>
    </xf>
    <xf numFmtId="0" fontId="43" fillId="0" borderId="39" xfId="0" applyFont="1" applyBorder="1" applyAlignment="1">
      <alignment horizontal="left" wrapText="1"/>
    </xf>
    <xf numFmtId="0" fontId="43" fillId="0" borderId="39" xfId="0" quotePrefix="1" applyFont="1" applyBorder="1" applyAlignment="1">
      <alignment horizontal="center"/>
    </xf>
    <xf numFmtId="165" fontId="43" fillId="0" borderId="39" xfId="0" applyNumberFormat="1" applyFont="1" applyBorder="1" applyAlignment="1">
      <alignment horizontal="center"/>
    </xf>
    <xf numFmtId="9" fontId="43" fillId="0" borderId="39" xfId="4" applyNumberFormat="1" applyFont="1" applyBorder="1" applyAlignment="1">
      <alignment horizontal="center"/>
    </xf>
    <xf numFmtId="0" fontId="43" fillId="0" borderId="59" xfId="0" applyFont="1" applyBorder="1"/>
    <xf numFmtId="0" fontId="43" fillId="0" borderId="24" xfId="0" applyFont="1" applyBorder="1" applyAlignment="1">
      <alignment horizontal="center" wrapText="1"/>
    </xf>
    <xf numFmtId="0" fontId="43" fillId="0" borderId="1" xfId="0" applyFont="1" applyBorder="1" applyAlignment="1">
      <alignment horizontal="center" wrapText="1"/>
    </xf>
    <xf numFmtId="0" fontId="43" fillId="0" borderId="30" xfId="0" applyFont="1" applyBorder="1" applyAlignment="1">
      <alignment wrapText="1"/>
    </xf>
    <xf numFmtId="0" fontId="43" fillId="0" borderId="2" xfId="0" applyFont="1" applyBorder="1" applyAlignment="1">
      <alignment horizontal="left" wrapText="1"/>
    </xf>
    <xf numFmtId="0" fontId="43" fillId="0" borderId="61" xfId="0" applyFont="1" applyBorder="1" applyAlignment="1">
      <alignment horizontal="center" wrapText="1"/>
    </xf>
    <xf numFmtId="0" fontId="36" fillId="0" borderId="0" xfId="0" applyFont="1" applyAlignment="1">
      <alignment horizontal="center" vertical="center"/>
    </xf>
    <xf numFmtId="0" fontId="85" fillId="0" borderId="0" xfId="0" applyFont="1"/>
    <xf numFmtId="165" fontId="85" fillId="0" borderId="24" xfId="0" applyNumberFormat="1" applyFont="1" applyBorder="1" applyAlignment="1">
      <alignment horizontal="left"/>
    </xf>
    <xf numFmtId="0" fontId="11" fillId="0" borderId="11" xfId="0" quotePrefix="1" applyFont="1" applyBorder="1" applyAlignment="1">
      <alignment wrapText="1"/>
    </xf>
    <xf numFmtId="14" fontId="43" fillId="2" borderId="24" xfId="0" quotePrefix="1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4" fontId="43" fillId="2" borderId="61" xfId="0" quotePrefix="1" applyNumberFormat="1" applyFont="1" applyFill="1" applyBorder="1" applyAlignment="1">
      <alignment horizontal="center"/>
    </xf>
    <xf numFmtId="14" fontId="43" fillId="2" borderId="1" xfId="0" quotePrefix="1" applyNumberFormat="1" applyFont="1" applyFill="1" applyBorder="1" applyAlignment="1">
      <alignment horizontal="center"/>
    </xf>
    <xf numFmtId="14" fontId="43" fillId="2" borderId="40" xfId="0" quotePrefix="1" applyNumberFormat="1" applyFont="1" applyFill="1" applyBorder="1" applyAlignment="1">
      <alignment horizontal="center"/>
    </xf>
    <xf numFmtId="14" fontId="43" fillId="2" borderId="39" xfId="0" quotePrefix="1" applyNumberFormat="1" applyFont="1" applyFill="1" applyBorder="1" applyAlignment="1">
      <alignment horizontal="center"/>
    </xf>
    <xf numFmtId="16" fontId="11" fillId="0" borderId="23" xfId="0" quotePrefix="1" applyNumberFormat="1" applyFont="1" applyBorder="1" applyAlignment="1">
      <alignment wrapText="1"/>
    </xf>
    <xf numFmtId="165" fontId="21" fillId="2" borderId="36" xfId="1" quotePrefix="1" applyNumberFormat="1" applyFont="1" applyFill="1" applyBorder="1"/>
    <xf numFmtId="165" fontId="28" fillId="2" borderId="18" xfId="1" applyNumberFormat="1" applyFont="1" applyFill="1" applyBorder="1"/>
    <xf numFmtId="0" fontId="20" fillId="2" borderId="17" xfId="0" quotePrefix="1" applyFont="1" applyFill="1" applyBorder="1" applyAlignment="1">
      <alignment horizontal="left"/>
    </xf>
    <xf numFmtId="166" fontId="20" fillId="2" borderId="19" xfId="1" applyNumberFormat="1" applyFont="1" applyFill="1" applyBorder="1" applyAlignment="1"/>
    <xf numFmtId="165" fontId="28" fillId="2" borderId="18" xfId="1" applyNumberFormat="1" applyFont="1" applyFill="1" applyBorder="1" applyAlignment="1">
      <alignment wrapText="1"/>
    </xf>
    <xf numFmtId="16" fontId="20" fillId="2" borderId="17" xfId="0" quotePrefix="1" applyNumberFormat="1" applyFont="1" applyFill="1" applyBorder="1" applyAlignment="1">
      <alignment horizontal="left"/>
    </xf>
    <xf numFmtId="165" fontId="20" fillId="2" borderId="18" xfId="1" applyNumberFormat="1" applyFont="1" applyFill="1" applyBorder="1"/>
    <xf numFmtId="165" fontId="20" fillId="2" borderId="12" xfId="1" applyNumberFormat="1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16" fillId="0" borderId="1" xfId="0" quotePrefix="1" applyFont="1" applyBorder="1" applyAlignment="1">
      <alignment wrapText="1"/>
    </xf>
    <xf numFmtId="0" fontId="16" fillId="0" borderId="0" xfId="0" applyFont="1"/>
    <xf numFmtId="0" fontId="20" fillId="2" borderId="0" xfId="0" applyFont="1" applyFill="1"/>
    <xf numFmtId="0" fontId="21" fillId="2" borderId="11" xfId="0" quotePrefix="1" applyFont="1" applyFill="1" applyBorder="1" applyAlignment="1">
      <alignment horizontal="left"/>
    </xf>
    <xf numFmtId="16" fontId="21" fillId="2" borderId="11" xfId="0" quotePrefix="1" applyNumberFormat="1" applyFont="1" applyFill="1" applyBorder="1" applyAlignment="1">
      <alignment horizontal="left"/>
    </xf>
    <xf numFmtId="165" fontId="27" fillId="2" borderId="12" xfId="1" applyNumberFormat="1" applyFont="1" applyFill="1" applyBorder="1" applyAlignment="1">
      <alignment wrapText="1"/>
    </xf>
    <xf numFmtId="165" fontId="70" fillId="2" borderId="15" xfId="1" applyNumberFormat="1" applyFont="1" applyFill="1" applyBorder="1"/>
    <xf numFmtId="0" fontId="20" fillId="2" borderId="16" xfId="0" applyFont="1" applyFill="1" applyBorder="1"/>
    <xf numFmtId="165" fontId="25" fillId="2" borderId="3" xfId="1" applyNumberFormat="1" applyFont="1" applyFill="1" applyBorder="1" applyAlignment="1">
      <alignment horizontal="center" vertical="center" wrapText="1"/>
    </xf>
    <xf numFmtId="0" fontId="40" fillId="2" borderId="0" xfId="0" applyFont="1" applyFill="1"/>
    <xf numFmtId="165" fontId="75" fillId="2" borderId="1" xfId="1" applyNumberFormat="1" applyFont="1" applyFill="1" applyBorder="1" applyAlignment="1">
      <alignment horizontal="center" vertical="center" wrapText="1"/>
    </xf>
    <xf numFmtId="165" fontId="75" fillId="2" borderId="4" xfId="1" applyNumberFormat="1" applyFont="1" applyFill="1" applyBorder="1" applyAlignment="1">
      <alignment horizontal="center" vertical="center" wrapText="1"/>
    </xf>
    <xf numFmtId="0" fontId="20" fillId="2" borderId="12" xfId="0" applyFont="1" applyFill="1" applyBorder="1"/>
    <xf numFmtId="0" fontId="20" fillId="2" borderId="11" xfId="0" quotePrefix="1" applyFont="1" applyFill="1" applyBorder="1" applyAlignment="1">
      <alignment horizontal="left"/>
    </xf>
    <xf numFmtId="16" fontId="20" fillId="2" borderId="11" xfId="0" quotePrefix="1" applyNumberFormat="1" applyFont="1" applyFill="1" applyBorder="1" applyAlignment="1">
      <alignment horizontal="left"/>
    </xf>
    <xf numFmtId="166" fontId="20" fillId="2" borderId="13" xfId="1" applyNumberFormat="1" applyFont="1" applyFill="1" applyBorder="1" applyAlignment="1"/>
    <xf numFmtId="165" fontId="11" fillId="0" borderId="12" xfId="0" applyNumberFormat="1" applyFont="1" applyBorder="1"/>
    <xf numFmtId="0" fontId="20" fillId="3" borderId="0" xfId="0" applyFont="1" applyFill="1"/>
    <xf numFmtId="0" fontId="37" fillId="2" borderId="1" xfId="0" applyFont="1" applyFill="1" applyBorder="1" applyAlignment="1">
      <alignment wrapText="1"/>
    </xf>
    <xf numFmtId="165" fontId="37" fillId="0" borderId="1" xfId="1" applyNumberFormat="1" applyFont="1" applyBorder="1"/>
    <xf numFmtId="41" fontId="11" fillId="0" borderId="40" xfId="6" quotePrefix="1" applyFont="1" applyBorder="1" applyAlignment="1">
      <alignment wrapText="1"/>
    </xf>
    <xf numFmtId="0" fontId="21" fillId="0" borderId="40" xfId="0" applyFont="1" applyBorder="1" applyAlignment="1">
      <alignment wrapText="1"/>
    </xf>
    <xf numFmtId="3" fontId="28" fillId="0" borderId="40" xfId="0" applyNumberFormat="1" applyFont="1" applyBorder="1" applyAlignment="1">
      <alignment horizontal="right" wrapText="1"/>
    </xf>
    <xf numFmtId="3" fontId="24" fillId="0" borderId="18" xfId="0" applyNumberFormat="1" applyFont="1" applyBorder="1" applyAlignment="1">
      <alignment horizontal="right" wrapText="1"/>
    </xf>
    <xf numFmtId="0" fontId="11" fillId="0" borderId="20" xfId="0" applyFont="1" applyBorder="1"/>
    <xf numFmtId="3" fontId="24" fillId="0" borderId="21" xfId="0" applyNumberFormat="1" applyFont="1" applyBorder="1" applyAlignment="1">
      <alignment horizontal="right" wrapText="1"/>
    </xf>
    <xf numFmtId="0" fontId="11" fillId="0" borderId="82" xfId="0" applyFont="1" applyBorder="1" applyAlignment="1"/>
    <xf numFmtId="0" fontId="86" fillId="0" borderId="0" xfId="0" applyFont="1"/>
    <xf numFmtId="0" fontId="46" fillId="0" borderId="29" xfId="0" applyFont="1" applyBorder="1" applyAlignment="1">
      <alignment horizontal="center" vertical="center"/>
    </xf>
    <xf numFmtId="0" fontId="46" fillId="0" borderId="4" xfId="0" applyFont="1" applyBorder="1" applyAlignment="1">
      <alignment horizontal="center" vertical="center"/>
    </xf>
    <xf numFmtId="41" fontId="46" fillId="0" borderId="30" xfId="6" applyFont="1" applyBorder="1" applyAlignment="1">
      <alignment horizontal="center" vertical="center"/>
    </xf>
    <xf numFmtId="0" fontId="47" fillId="0" borderId="12" xfId="0" applyFont="1" applyBorder="1"/>
    <xf numFmtId="0" fontId="47" fillId="0" borderId="0" xfId="0" applyFont="1"/>
    <xf numFmtId="0" fontId="43" fillId="0" borderId="18" xfId="0" applyFont="1" applyBorder="1" applyAlignment="1">
      <alignment horizontal="left" wrapText="1"/>
    </xf>
    <xf numFmtId="9" fontId="43" fillId="0" borderId="40" xfId="4" applyNumberFormat="1" applyFont="1" applyBorder="1" applyAlignment="1">
      <alignment horizontal="center"/>
    </xf>
    <xf numFmtId="165" fontId="42" fillId="0" borderId="0" xfId="0" applyNumberFormat="1" applyFont="1" applyAlignment="1">
      <alignment vertical="center"/>
    </xf>
    <xf numFmtId="0" fontId="43" fillId="0" borderId="57" xfId="0" applyFont="1" applyBorder="1" applyAlignment="1">
      <alignment horizontal="center"/>
    </xf>
    <xf numFmtId="0" fontId="43" fillId="0" borderId="40" xfId="0" applyFont="1" applyBorder="1" applyAlignment="1">
      <alignment horizontal="left" wrapText="1"/>
    </xf>
    <xf numFmtId="0" fontId="43" fillId="0" borderId="40" xfId="0" quotePrefix="1" applyFont="1" applyBorder="1" applyAlignment="1">
      <alignment horizontal="center"/>
    </xf>
    <xf numFmtId="165" fontId="43" fillId="0" borderId="40" xfId="0" applyNumberFormat="1" applyFont="1" applyBorder="1" applyAlignment="1">
      <alignment horizontal="center"/>
    </xf>
    <xf numFmtId="0" fontId="43" fillId="0" borderId="74" xfId="0" applyFont="1" applyBorder="1"/>
    <xf numFmtId="0" fontId="43" fillId="0" borderId="65" xfId="0" applyFont="1" applyBorder="1" applyAlignment="1">
      <alignment horizontal="center"/>
    </xf>
    <xf numFmtId="0" fontId="43" fillId="0" borderId="3" xfId="0" quotePrefix="1" applyFont="1" applyBorder="1" applyAlignment="1">
      <alignment horizontal="center"/>
    </xf>
    <xf numFmtId="165" fontId="43" fillId="0" borderId="3" xfId="0" applyNumberFormat="1" applyFont="1" applyBorder="1" applyAlignment="1">
      <alignment horizontal="center"/>
    </xf>
    <xf numFmtId="9" fontId="43" fillId="0" borderId="3" xfId="4" applyFont="1" applyBorder="1" applyAlignment="1">
      <alignment horizontal="center"/>
    </xf>
    <xf numFmtId="0" fontId="43" fillId="0" borderId="32" xfId="0" applyFont="1" applyBorder="1"/>
    <xf numFmtId="9" fontId="43" fillId="0" borderId="3" xfId="4" applyNumberFormat="1" applyFont="1" applyBorder="1" applyAlignment="1">
      <alignment horizontal="center"/>
    </xf>
    <xf numFmtId="0" fontId="43" fillId="0" borderId="52" xfId="0" applyFont="1" applyBorder="1" applyAlignment="1">
      <alignment horizontal="center"/>
    </xf>
    <xf numFmtId="165" fontId="43" fillId="0" borderId="2" xfId="0" applyNumberFormat="1" applyFont="1" applyBorder="1" applyAlignment="1">
      <alignment horizontal="center"/>
    </xf>
    <xf numFmtId="9" fontId="43" fillId="0" borderId="2" xfId="4" applyNumberFormat="1" applyFont="1" applyBorder="1" applyAlignment="1">
      <alignment horizontal="center"/>
    </xf>
    <xf numFmtId="0" fontId="43" fillId="0" borderId="9" xfId="0" applyFont="1" applyBorder="1"/>
    <xf numFmtId="165" fontId="43" fillId="0" borderId="18" xfId="0" applyNumberFormat="1" applyFont="1" applyBorder="1" applyAlignment="1">
      <alignment horizontal="center"/>
    </xf>
    <xf numFmtId="0" fontId="52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9" fontId="40" fillId="0" borderId="0" xfId="4" applyFont="1"/>
    <xf numFmtId="9" fontId="59" fillId="0" borderId="0" xfId="4" applyFont="1" applyAlignment="1">
      <alignment horizontal="center"/>
    </xf>
    <xf numFmtId="0" fontId="83" fillId="0" borderId="0" xfId="0" applyFont="1" applyAlignment="1">
      <alignment vertical="center"/>
    </xf>
    <xf numFmtId="0" fontId="83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 wrapText="1"/>
    </xf>
    <xf numFmtId="9" fontId="59" fillId="0" borderId="0" xfId="4" applyFont="1" applyAlignment="1">
      <alignment horizontal="center" vertical="center"/>
    </xf>
    <xf numFmtId="0" fontId="40" fillId="0" borderId="0" xfId="0" applyFont="1" applyAlignment="1">
      <alignment wrapText="1"/>
    </xf>
    <xf numFmtId="0" fontId="59" fillId="0" borderId="0" xfId="0" applyFont="1" applyAlignment="1">
      <alignment vertical="center"/>
    </xf>
    <xf numFmtId="0" fontId="59" fillId="0" borderId="0" xfId="0" applyFont="1" applyAlignment="1">
      <alignment horizontal="center" wrapText="1"/>
    </xf>
    <xf numFmtId="0" fontId="59" fillId="0" borderId="0" xfId="0" applyFont="1" applyAlignment="1">
      <alignment horizontal="center" vertical="center" wrapText="1"/>
    </xf>
    <xf numFmtId="0" fontId="42" fillId="0" borderId="1" xfId="0" applyFont="1" applyBorder="1" applyAlignment="1">
      <alignment vertical="center" wrapText="1"/>
    </xf>
    <xf numFmtId="9" fontId="42" fillId="0" borderId="1" xfId="4" applyFont="1" applyBorder="1" applyAlignment="1">
      <alignment horizontal="center" vertical="center" wrapText="1"/>
    </xf>
    <xf numFmtId="14" fontId="43" fillId="0" borderId="1" xfId="0" quotePrefix="1" applyNumberFormat="1" applyFont="1" applyBorder="1" applyAlignment="1">
      <alignment horizontal="center"/>
    </xf>
    <xf numFmtId="41" fontId="43" fillId="0" borderId="4" xfId="6" applyFont="1" applyBorder="1" applyAlignment="1">
      <alignment horizontal="center"/>
    </xf>
    <xf numFmtId="14" fontId="43" fillId="0" borderId="24" xfId="0" quotePrefix="1" applyNumberFormat="1" applyFont="1" applyBorder="1" applyAlignment="1">
      <alignment horizontal="center"/>
    </xf>
    <xf numFmtId="41" fontId="43" fillId="0" borderId="36" xfId="6" applyFont="1" applyBorder="1" applyAlignment="1">
      <alignment horizontal="center"/>
    </xf>
    <xf numFmtId="41" fontId="43" fillId="0" borderId="37" xfId="6" applyFont="1" applyBorder="1" applyAlignment="1">
      <alignment horizontal="center"/>
    </xf>
    <xf numFmtId="14" fontId="43" fillId="0" borderId="61" xfId="0" quotePrefix="1" applyNumberFormat="1" applyFont="1" applyBorder="1" applyAlignment="1">
      <alignment horizontal="center"/>
    </xf>
    <xf numFmtId="41" fontId="43" fillId="0" borderId="72" xfId="6" applyFont="1" applyBorder="1" applyAlignment="1">
      <alignment horizontal="center"/>
    </xf>
    <xf numFmtId="14" fontId="43" fillId="0" borderId="12" xfId="0" quotePrefix="1" applyNumberFormat="1" applyFont="1" applyBorder="1" applyAlignment="1">
      <alignment horizontal="center"/>
    </xf>
    <xf numFmtId="0" fontId="43" fillId="2" borderId="40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/>
    </xf>
    <xf numFmtId="14" fontId="43" fillId="0" borderId="3" xfId="0" quotePrefix="1" applyNumberFormat="1" applyFont="1" applyBorder="1" applyAlignment="1">
      <alignment horizontal="center"/>
    </xf>
    <xf numFmtId="41" fontId="43" fillId="0" borderId="81" xfId="6" applyFont="1" applyBorder="1" applyAlignment="1">
      <alignment horizontal="center"/>
    </xf>
    <xf numFmtId="0" fontId="43" fillId="0" borderId="1" xfId="0" applyFont="1" applyBorder="1" applyAlignment="1">
      <alignment horizontal="left"/>
    </xf>
    <xf numFmtId="0" fontId="43" fillId="2" borderId="29" xfId="0" applyFont="1" applyFill="1" applyBorder="1" applyAlignment="1">
      <alignment horizontal="center"/>
    </xf>
    <xf numFmtId="0" fontId="43" fillId="2" borderId="1" xfId="0" applyFont="1" applyFill="1" applyBorder="1" applyAlignment="1">
      <alignment horizontal="center"/>
    </xf>
    <xf numFmtId="0" fontId="43" fillId="2" borderId="1" xfId="0" applyFont="1" applyFill="1" applyBorder="1" applyAlignment="1">
      <alignment horizontal="left" wrapText="1"/>
    </xf>
    <xf numFmtId="165" fontId="43" fillId="2" borderId="1" xfId="0" applyNumberFormat="1" applyFont="1" applyFill="1" applyBorder="1" applyAlignment="1">
      <alignment horizontal="center"/>
    </xf>
    <xf numFmtId="9" fontId="43" fillId="2" borderId="1" xfId="4" applyNumberFormat="1" applyFont="1" applyFill="1" applyBorder="1" applyAlignment="1">
      <alignment horizontal="center"/>
    </xf>
    <xf numFmtId="41" fontId="43" fillId="2" borderId="4" xfId="6" applyFont="1" applyFill="1" applyBorder="1" applyAlignment="1">
      <alignment horizontal="center"/>
    </xf>
    <xf numFmtId="0" fontId="43" fillId="2" borderId="30" xfId="0" applyFont="1" applyFill="1" applyBorder="1"/>
    <xf numFmtId="0" fontId="43" fillId="2" borderId="57" xfId="0" applyFont="1" applyFill="1" applyBorder="1" applyAlignment="1">
      <alignment horizontal="center"/>
    </xf>
    <xf numFmtId="0" fontId="43" fillId="2" borderId="40" xfId="0" applyFont="1" applyFill="1" applyBorder="1" applyAlignment="1">
      <alignment horizontal="left" wrapText="1"/>
    </xf>
    <xf numFmtId="165" fontId="43" fillId="2" borderId="40" xfId="0" applyNumberFormat="1" applyFont="1" applyFill="1" applyBorder="1" applyAlignment="1">
      <alignment horizontal="center"/>
    </xf>
    <xf numFmtId="41" fontId="43" fillId="2" borderId="40" xfId="6" applyFont="1" applyFill="1" applyBorder="1" applyAlignment="1">
      <alignment horizontal="center"/>
    </xf>
    <xf numFmtId="9" fontId="43" fillId="2" borderId="40" xfId="4" applyNumberFormat="1" applyFont="1" applyFill="1" applyBorder="1" applyAlignment="1">
      <alignment horizontal="center"/>
    </xf>
    <xf numFmtId="41" fontId="43" fillId="2" borderId="58" xfId="6" applyFont="1" applyFill="1" applyBorder="1" applyAlignment="1">
      <alignment horizontal="center"/>
    </xf>
    <xf numFmtId="0" fontId="43" fillId="2" borderId="74" xfId="0" applyFont="1" applyFill="1" applyBorder="1"/>
    <xf numFmtId="0" fontId="43" fillId="2" borderId="17" xfId="0" applyFont="1" applyFill="1" applyBorder="1" applyAlignment="1">
      <alignment horizontal="center"/>
    </xf>
    <xf numFmtId="14" fontId="43" fillId="2" borderId="18" xfId="0" quotePrefix="1" applyNumberFormat="1" applyFont="1" applyFill="1" applyBorder="1" applyAlignment="1">
      <alignment horizontal="center"/>
    </xf>
    <xf numFmtId="0" fontId="43" fillId="2" borderId="18" xfId="0" applyFont="1" applyFill="1" applyBorder="1" applyAlignment="1">
      <alignment horizontal="left" wrapText="1"/>
    </xf>
    <xf numFmtId="165" fontId="43" fillId="2" borderId="18" xfId="0" applyNumberFormat="1" applyFont="1" applyFill="1" applyBorder="1" applyAlignment="1">
      <alignment horizontal="center"/>
    </xf>
    <xf numFmtId="41" fontId="43" fillId="2" borderId="18" xfId="6" applyFont="1" applyFill="1" applyBorder="1" applyAlignment="1">
      <alignment horizontal="center"/>
    </xf>
    <xf numFmtId="9" fontId="43" fillId="2" borderId="18" xfId="4" applyNumberFormat="1" applyFont="1" applyFill="1" applyBorder="1" applyAlignment="1">
      <alignment horizontal="center"/>
    </xf>
    <xf numFmtId="41" fontId="43" fillId="2" borderId="46" xfId="6" applyFont="1" applyFill="1" applyBorder="1" applyAlignment="1">
      <alignment horizontal="center"/>
    </xf>
    <xf numFmtId="0" fontId="43" fillId="2" borderId="19" xfId="0" applyFont="1" applyFill="1" applyBorder="1"/>
    <xf numFmtId="0" fontId="43" fillId="2" borderId="60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left" wrapText="1"/>
    </xf>
    <xf numFmtId="0" fontId="43" fillId="2" borderId="61" xfId="0" applyFont="1" applyFill="1" applyBorder="1" applyAlignment="1">
      <alignment horizontal="left" wrapText="1"/>
    </xf>
    <xf numFmtId="165" fontId="43" fillId="2" borderId="61" xfId="0" applyNumberFormat="1" applyFont="1" applyFill="1" applyBorder="1" applyAlignment="1">
      <alignment horizontal="center"/>
    </xf>
    <xf numFmtId="9" fontId="43" fillId="2" borderId="61" xfId="4" applyNumberFormat="1" applyFont="1" applyFill="1" applyBorder="1" applyAlignment="1">
      <alignment horizontal="center"/>
    </xf>
    <xf numFmtId="41" fontId="43" fillId="2" borderId="72" xfId="6" applyFont="1" applyFill="1" applyBorder="1" applyAlignment="1">
      <alignment horizontal="center"/>
    </xf>
    <xf numFmtId="0" fontId="43" fillId="2" borderId="62" xfId="0" applyFont="1" applyFill="1" applyBorder="1"/>
    <xf numFmtId="165" fontId="42" fillId="2" borderId="61" xfId="0" applyNumberFormat="1" applyFont="1" applyFill="1" applyBorder="1" applyAlignment="1">
      <alignment horizontal="center"/>
    </xf>
    <xf numFmtId="0" fontId="43" fillId="2" borderId="52" xfId="0" applyFont="1" applyFill="1" applyBorder="1" applyAlignment="1">
      <alignment horizontal="center"/>
    </xf>
    <xf numFmtId="14" fontId="43" fillId="2" borderId="2" xfId="0" quotePrefix="1" applyNumberFormat="1" applyFont="1" applyFill="1" applyBorder="1" applyAlignment="1">
      <alignment horizontal="center"/>
    </xf>
    <xf numFmtId="0" fontId="43" fillId="2" borderId="39" xfId="0" applyFont="1" applyFill="1" applyBorder="1" applyAlignment="1">
      <alignment horizontal="center"/>
    </xf>
    <xf numFmtId="0" fontId="43" fillId="2" borderId="39" xfId="0" applyFont="1" applyFill="1" applyBorder="1" applyAlignment="1">
      <alignment horizontal="left" wrapText="1"/>
    </xf>
    <xf numFmtId="0" fontId="43" fillId="2" borderId="2" xfId="0" applyFont="1" applyFill="1" applyBorder="1" applyAlignment="1">
      <alignment horizontal="left" wrapText="1"/>
    </xf>
    <xf numFmtId="165" fontId="43" fillId="2" borderId="2" xfId="0" applyNumberFormat="1" applyFont="1" applyFill="1" applyBorder="1" applyAlignment="1">
      <alignment horizontal="center"/>
    </xf>
    <xf numFmtId="41" fontId="43" fillId="2" borderId="2" xfId="6" applyFont="1" applyFill="1" applyBorder="1" applyAlignment="1">
      <alignment horizontal="center"/>
    </xf>
    <xf numFmtId="9" fontId="43" fillId="2" borderId="2" xfId="4" applyNumberFormat="1" applyFont="1" applyFill="1" applyBorder="1" applyAlignment="1">
      <alignment horizontal="center"/>
    </xf>
    <xf numFmtId="41" fontId="43" fillId="2" borderId="8" xfId="6" applyFont="1" applyFill="1" applyBorder="1" applyAlignment="1">
      <alignment horizontal="center"/>
    </xf>
    <xf numFmtId="0" fontId="43" fillId="0" borderId="25" xfId="0" applyFont="1" applyBorder="1" applyAlignment="1">
      <alignment wrapText="1"/>
    </xf>
    <xf numFmtId="0" fontId="43" fillId="2" borderId="61" xfId="0" applyFont="1" applyFill="1" applyBorder="1" applyAlignment="1">
      <alignment horizontal="center"/>
    </xf>
    <xf numFmtId="0" fontId="43" fillId="2" borderId="24" xfId="0" applyFont="1" applyFill="1" applyBorder="1" applyAlignment="1">
      <alignment horizontal="left" wrapText="1"/>
    </xf>
    <xf numFmtId="0" fontId="43" fillId="2" borderId="2" xfId="0" quotePrefix="1" applyFont="1" applyFill="1" applyBorder="1" applyAlignment="1">
      <alignment horizontal="left" wrapText="1"/>
    </xf>
    <xf numFmtId="0" fontId="43" fillId="2" borderId="12" xfId="0" applyFont="1" applyFill="1" applyBorder="1" applyAlignment="1">
      <alignment horizontal="left" wrapText="1"/>
    </xf>
    <xf numFmtId="0" fontId="43" fillId="2" borderId="18" xfId="0" quotePrefix="1" applyFont="1" applyFill="1" applyBorder="1" applyAlignment="1">
      <alignment horizontal="left" wrapText="1"/>
    </xf>
    <xf numFmtId="0" fontId="43" fillId="2" borderId="61" xfId="0" quotePrefix="1" applyFont="1" applyFill="1" applyBorder="1" applyAlignment="1">
      <alignment horizontal="left" wrapText="1"/>
    </xf>
    <xf numFmtId="0" fontId="43" fillId="2" borderId="1" xfId="0" quotePrefix="1" applyFont="1" applyFill="1" applyBorder="1" applyAlignment="1">
      <alignment horizontal="left" wrapText="1"/>
    </xf>
    <xf numFmtId="0" fontId="43" fillId="2" borderId="30" xfId="0" applyFont="1" applyFill="1" applyBorder="1" applyAlignment="1">
      <alignment wrapText="1"/>
    </xf>
    <xf numFmtId="0" fontId="43" fillId="2" borderId="40" xfId="0" quotePrefix="1" applyFont="1" applyFill="1" applyBorder="1" applyAlignment="1">
      <alignment horizontal="left" wrapText="1"/>
    </xf>
    <xf numFmtId="0" fontId="43" fillId="2" borderId="19" xfId="0" applyFont="1" applyFill="1" applyBorder="1" applyAlignment="1">
      <alignment wrapText="1"/>
    </xf>
    <xf numFmtId="0" fontId="43" fillId="2" borderId="9" xfId="0" applyFont="1" applyFill="1" applyBorder="1" applyAlignment="1">
      <alignment wrapText="1"/>
    </xf>
    <xf numFmtId="0" fontId="43" fillId="0" borderId="17" xfId="0" applyFont="1" applyBorder="1" applyAlignment="1">
      <alignment horizontal="center"/>
    </xf>
    <xf numFmtId="9" fontId="43" fillId="0" borderId="18" xfId="4" applyNumberFormat="1" applyFont="1" applyBorder="1" applyAlignment="1">
      <alignment horizontal="center"/>
    </xf>
    <xf numFmtId="0" fontId="43" fillId="0" borderId="19" xfId="0" applyFont="1" applyBorder="1"/>
    <xf numFmtId="0" fontId="42" fillId="0" borderId="0" xfId="0" applyFont="1" applyBorder="1" applyAlignment="1">
      <alignment horizontal="left"/>
    </xf>
    <xf numFmtId="41" fontId="42" fillId="0" borderId="0" xfId="6" applyFont="1" applyBorder="1"/>
    <xf numFmtId="9" fontId="42" fillId="0" borderId="0" xfId="4" applyFont="1" applyBorder="1"/>
    <xf numFmtId="0" fontId="83" fillId="0" borderId="0" xfId="0" applyFont="1" applyAlignment="1">
      <alignment horizontal="center"/>
    </xf>
    <xf numFmtId="9" fontId="83" fillId="0" borderId="0" xfId="4" applyFont="1"/>
    <xf numFmtId="0" fontId="52" fillId="2" borderId="0" xfId="0" applyFont="1" applyFill="1" applyAlignment="1">
      <alignment vertical="center"/>
    </xf>
    <xf numFmtId="0" fontId="52" fillId="0" borderId="0" xfId="0" applyFont="1" applyAlignment="1">
      <alignment horizontal="left" vertical="center"/>
    </xf>
    <xf numFmtId="0" fontId="83" fillId="2" borderId="0" xfId="0" applyFont="1" applyFill="1" applyAlignment="1">
      <alignment vertical="center"/>
    </xf>
    <xf numFmtId="0" fontId="83" fillId="0" borderId="0" xfId="0" applyFont="1" applyAlignment="1">
      <alignment horizontal="left" vertical="center"/>
    </xf>
    <xf numFmtId="0" fontId="43" fillId="0" borderId="24" xfId="0" applyFont="1" applyBorder="1" applyAlignment="1">
      <alignment horizontal="left"/>
    </xf>
    <xf numFmtId="0" fontId="43" fillId="0" borderId="59" xfId="0" applyFont="1" applyBorder="1" applyAlignment="1">
      <alignment wrapText="1"/>
    </xf>
    <xf numFmtId="0" fontId="43" fillId="0" borderId="18" xfId="0" quotePrefix="1" applyFont="1" applyBorder="1" applyAlignment="1">
      <alignment horizontal="center"/>
    </xf>
    <xf numFmtId="0" fontId="43" fillId="0" borderId="39" xfId="0" applyFont="1" applyBorder="1" applyAlignment="1">
      <alignment horizontal="left"/>
    </xf>
    <xf numFmtId="14" fontId="43" fillId="2" borderId="3" xfId="0" quotePrefix="1" applyNumberFormat="1" applyFont="1" applyFill="1" applyBorder="1" applyAlignment="1">
      <alignment horizontal="center"/>
    </xf>
    <xf numFmtId="0" fontId="43" fillId="0" borderId="74" xfId="0" applyFont="1" applyBorder="1" applyAlignment="1">
      <alignment wrapText="1"/>
    </xf>
    <xf numFmtId="0" fontId="43" fillId="0" borderId="40" xfId="0" quotePrefix="1" applyFont="1" applyBorder="1" applyAlignment="1">
      <alignment horizontal="center" wrapText="1"/>
    </xf>
    <xf numFmtId="0" fontId="43" fillId="0" borderId="1" xfId="0" quotePrefix="1" applyFont="1" applyBorder="1" applyAlignment="1">
      <alignment horizontal="center" wrapText="1"/>
    </xf>
    <xf numFmtId="165" fontId="40" fillId="0" borderId="0" xfId="0" applyNumberFormat="1" applyFont="1"/>
    <xf numFmtId="41" fontId="40" fillId="0" borderId="0" xfId="0" applyNumberFormat="1" applyFont="1"/>
    <xf numFmtId="0" fontId="40" fillId="0" borderId="0" xfId="0" applyFont="1" applyAlignment="1">
      <alignment horizontal="left"/>
    </xf>
    <xf numFmtId="0" fontId="85" fillId="0" borderId="0" xfId="0" applyFont="1" applyAlignment="1">
      <alignment horizontal="left"/>
    </xf>
    <xf numFmtId="165" fontId="85" fillId="0" borderId="12" xfId="0" applyNumberFormat="1" applyFont="1" applyBorder="1" applyAlignment="1">
      <alignment horizontal="left"/>
    </xf>
    <xf numFmtId="0" fontId="85" fillId="0" borderId="12" xfId="0" applyFont="1" applyBorder="1" applyAlignment="1">
      <alignment horizontal="left"/>
    </xf>
    <xf numFmtId="0" fontId="85" fillId="0" borderId="11" xfId="0" applyFont="1" applyBorder="1" applyAlignment="1">
      <alignment horizontal="left"/>
    </xf>
    <xf numFmtId="0" fontId="85" fillId="0" borderId="12" xfId="0" applyFont="1" applyBorder="1"/>
    <xf numFmtId="165" fontId="85" fillId="0" borderId="11" xfId="0" applyNumberFormat="1" applyFont="1" applyBorder="1" applyAlignment="1">
      <alignment horizontal="left"/>
    </xf>
    <xf numFmtId="165" fontId="85" fillId="0" borderId="12" xfId="0" applyNumberFormat="1" applyFont="1" applyBorder="1" applyAlignment="1">
      <alignment horizontal="center"/>
    </xf>
    <xf numFmtId="165" fontId="85" fillId="0" borderId="12" xfId="0" applyNumberFormat="1" applyFont="1" applyBorder="1" applyAlignment="1"/>
    <xf numFmtId="0" fontId="85" fillId="0" borderId="23" xfId="0" applyFont="1" applyBorder="1" applyAlignment="1">
      <alignment horizontal="left"/>
    </xf>
    <xf numFmtId="0" fontId="85" fillId="0" borderId="24" xfId="0" applyFont="1" applyBorder="1"/>
    <xf numFmtId="0" fontId="85" fillId="0" borderId="24" xfId="0" applyFont="1" applyBorder="1" applyAlignment="1">
      <alignment horizontal="left"/>
    </xf>
    <xf numFmtId="0" fontId="85" fillId="0" borderId="17" xfId="0" applyFont="1" applyBorder="1" applyAlignment="1">
      <alignment horizontal="left"/>
    </xf>
    <xf numFmtId="0" fontId="85" fillId="0" borderId="18" xfId="0" applyFont="1" applyBorder="1"/>
    <xf numFmtId="0" fontId="85" fillId="0" borderId="18" xfId="0" applyFont="1" applyBorder="1" applyAlignment="1">
      <alignment horizontal="left"/>
    </xf>
    <xf numFmtId="0" fontId="89" fillId="0" borderId="28" xfId="0" applyFont="1" applyBorder="1"/>
    <xf numFmtId="0" fontId="89" fillId="0" borderId="65" xfId="0" applyFont="1" applyBorder="1" applyAlignment="1">
      <alignment horizontal="left"/>
    </xf>
    <xf numFmtId="0" fontId="89" fillId="0" borderId="3" xfId="0" applyFont="1" applyBorder="1"/>
    <xf numFmtId="0" fontId="89" fillId="0" borderId="32" xfId="0" applyFont="1" applyBorder="1"/>
    <xf numFmtId="0" fontId="89" fillId="0" borderId="3" xfId="0" applyFont="1" applyBorder="1" applyAlignment="1">
      <alignment horizontal="left"/>
    </xf>
    <xf numFmtId="0" fontId="85" fillId="2" borderId="0" xfId="0" applyFont="1" applyFill="1"/>
    <xf numFmtId="0" fontId="74" fillId="2" borderId="12" xfId="0" applyFont="1" applyFill="1" applyBorder="1" applyAlignment="1">
      <alignment wrapText="1"/>
    </xf>
    <xf numFmtId="0" fontId="85" fillId="2" borderId="11" xfId="0" applyFont="1" applyFill="1" applyBorder="1" applyAlignment="1">
      <alignment horizontal="left"/>
    </xf>
    <xf numFmtId="0" fontId="85" fillId="2" borderId="12" xfId="0" applyFont="1" applyFill="1" applyBorder="1"/>
    <xf numFmtId="0" fontId="85" fillId="2" borderId="12" xfId="0" applyFont="1" applyFill="1" applyBorder="1" applyAlignment="1">
      <alignment horizontal="left"/>
    </xf>
    <xf numFmtId="0" fontId="43" fillId="0" borderId="2" xfId="0" quotePrefix="1" applyFont="1" applyBorder="1" applyAlignment="1">
      <alignment horizontal="center" wrapText="1"/>
    </xf>
    <xf numFmtId="0" fontId="43" fillId="0" borderId="12" xfId="0" quotePrefix="1" applyFont="1" applyBorder="1" applyAlignment="1">
      <alignment horizontal="center" wrapText="1"/>
    </xf>
    <xf numFmtId="0" fontId="74" fillId="2" borderId="24" xfId="0" applyFont="1" applyFill="1" applyBorder="1" applyAlignment="1">
      <alignment wrapText="1"/>
    </xf>
    <xf numFmtId="0" fontId="74" fillId="2" borderId="13" xfId="0" applyFont="1" applyFill="1" applyBorder="1"/>
    <xf numFmtId="165" fontId="68" fillId="2" borderId="0" xfId="1" applyNumberFormat="1" applyFont="1" applyFill="1"/>
    <xf numFmtId="0" fontId="68" fillId="2" borderId="0" xfId="0" applyFont="1" applyFill="1"/>
    <xf numFmtId="0" fontId="74" fillId="2" borderId="19" xfId="0" applyFont="1" applyFill="1" applyBorder="1"/>
    <xf numFmtId="0" fontId="74" fillId="2" borderId="61" xfId="0" applyFont="1" applyFill="1" applyBorder="1" applyAlignment="1">
      <alignment wrapText="1"/>
    </xf>
    <xf numFmtId="0" fontId="74" fillId="2" borderId="62" xfId="0" applyFont="1" applyFill="1" applyBorder="1" applyAlignment="1">
      <alignment wrapText="1"/>
    </xf>
    <xf numFmtId="0" fontId="74" fillId="2" borderId="25" xfId="0" applyFont="1" applyFill="1" applyBorder="1"/>
    <xf numFmtId="0" fontId="74" fillId="2" borderId="62" xfId="0" applyFont="1" applyFill="1" applyBorder="1"/>
    <xf numFmtId="0" fontId="74" fillId="2" borderId="40" xfId="0" applyFont="1" applyFill="1" applyBorder="1" applyAlignment="1">
      <alignment wrapText="1"/>
    </xf>
    <xf numFmtId="0" fontId="74" fillId="2" borderId="18" xfId="0" applyFont="1" applyFill="1" applyBorder="1" applyAlignment="1">
      <alignment wrapText="1"/>
    </xf>
    <xf numFmtId="0" fontId="74" fillId="2" borderId="74" xfId="0" applyFont="1" applyFill="1" applyBorder="1"/>
    <xf numFmtId="0" fontId="85" fillId="0" borderId="0" xfId="0" applyFont="1" applyAlignment="1">
      <alignment horizontal="right"/>
    </xf>
    <xf numFmtId="0" fontId="47" fillId="0" borderId="18" xfId="0" applyFont="1" applyBorder="1" applyAlignment="1">
      <alignment wrapText="1"/>
    </xf>
    <xf numFmtId="0" fontId="88" fillId="2" borderId="0" xfId="0" applyFont="1" applyFill="1"/>
    <xf numFmtId="165" fontId="94" fillId="2" borderId="39" xfId="1" quotePrefix="1" applyNumberFormat="1" applyFont="1" applyFill="1" applyBorder="1" applyAlignment="1">
      <alignment horizontal="center" vertical="center" wrapText="1"/>
    </xf>
    <xf numFmtId="0" fontId="94" fillId="2" borderId="39" xfId="0" applyFont="1" applyFill="1" applyBorder="1" applyAlignment="1">
      <alignment wrapText="1"/>
    </xf>
    <xf numFmtId="165" fontId="95" fillId="2" borderId="39" xfId="0" applyNumberFormat="1" applyFont="1" applyFill="1" applyBorder="1" applyAlignment="1">
      <alignment horizontal="center"/>
    </xf>
    <xf numFmtId="0" fontId="94" fillId="2" borderId="2" xfId="0" applyFont="1" applyFill="1" applyBorder="1" applyAlignment="1">
      <alignment wrapText="1"/>
    </xf>
    <xf numFmtId="165" fontId="94" fillId="2" borderId="12" xfId="1" applyNumberFormat="1" applyFont="1" applyFill="1" applyBorder="1" applyAlignment="1">
      <alignment horizontal="center" vertical="center" wrapText="1"/>
    </xf>
    <xf numFmtId="0" fontId="94" fillId="2" borderId="12" xfId="0" applyFont="1" applyFill="1" applyBorder="1" applyAlignment="1">
      <alignment wrapText="1"/>
    </xf>
    <xf numFmtId="165" fontId="95" fillId="2" borderId="12" xfId="0" applyNumberFormat="1" applyFont="1" applyFill="1" applyBorder="1" applyAlignment="1">
      <alignment horizontal="center"/>
    </xf>
    <xf numFmtId="165" fontId="94" fillId="2" borderId="18" xfId="1" applyNumberFormat="1" applyFont="1" applyFill="1" applyBorder="1" applyAlignment="1">
      <alignment horizontal="center" vertical="center" wrapText="1"/>
    </xf>
    <xf numFmtId="165" fontId="94" fillId="2" borderId="12" xfId="1" quotePrefix="1" applyNumberFormat="1" applyFont="1" applyFill="1" applyBorder="1" applyAlignment="1">
      <alignment horizontal="center" vertical="center" wrapText="1"/>
    </xf>
    <xf numFmtId="0" fontId="95" fillId="2" borderId="12" xfId="0" applyFont="1" applyFill="1" applyBorder="1" applyAlignment="1">
      <alignment horizontal="center"/>
    </xf>
    <xf numFmtId="0" fontId="94" fillId="2" borderId="12" xfId="0" quotePrefix="1" applyFont="1" applyFill="1" applyBorder="1" applyAlignment="1">
      <alignment wrapText="1"/>
    </xf>
    <xf numFmtId="165" fontId="94" fillId="2" borderId="18" xfId="1" quotePrefix="1" applyNumberFormat="1" applyFont="1" applyFill="1" applyBorder="1" applyAlignment="1">
      <alignment horizontal="center" vertical="center" wrapText="1"/>
    </xf>
    <xf numFmtId="0" fontId="96" fillId="2" borderId="4" xfId="0" applyFont="1" applyFill="1" applyBorder="1" applyAlignment="1">
      <alignment wrapText="1"/>
    </xf>
    <xf numFmtId="0" fontId="96" fillId="2" borderId="1" xfId="0" applyFont="1" applyFill="1" applyBorder="1" applyAlignment="1">
      <alignment wrapText="1"/>
    </xf>
    <xf numFmtId="0" fontId="30" fillId="0" borderId="1" xfId="0" applyFont="1" applyBorder="1" applyAlignment="1">
      <alignment horizontal="center" vertical="center" wrapText="1"/>
    </xf>
    <xf numFmtId="0" fontId="34" fillId="0" borderId="24" xfId="0" applyFont="1" applyBorder="1" applyAlignment="1">
      <alignment wrapText="1"/>
    </xf>
    <xf numFmtId="165" fontId="40" fillId="0" borderId="0" xfId="1" applyNumberFormat="1" applyFont="1"/>
    <xf numFmtId="165" fontId="40" fillId="0" borderId="0" xfId="1" applyNumberFormat="1" applyFont="1" applyAlignment="1">
      <alignment wrapText="1"/>
    </xf>
    <xf numFmtId="0" fontId="46" fillId="0" borderId="27" xfId="0" applyFont="1" applyBorder="1" applyAlignment="1">
      <alignment horizontal="center" vertical="center"/>
    </xf>
    <xf numFmtId="0" fontId="46" fillId="0" borderId="27" xfId="0" applyFont="1" applyBorder="1" applyAlignment="1">
      <alignment horizontal="center" vertical="center" wrapText="1"/>
    </xf>
    <xf numFmtId="0" fontId="46" fillId="0" borderId="35" xfId="0" applyFont="1" applyBorder="1" applyAlignment="1">
      <alignment horizontal="center" vertical="center" wrapText="1"/>
    </xf>
    <xf numFmtId="16" fontId="47" fillId="0" borderId="24" xfId="0" quotePrefix="1" applyNumberFormat="1" applyFont="1" applyBorder="1" applyAlignment="1">
      <alignment wrapText="1"/>
    </xf>
    <xf numFmtId="0" fontId="46" fillId="0" borderId="24" xfId="0" applyFont="1" applyBorder="1" applyAlignment="1">
      <alignment wrapText="1"/>
    </xf>
    <xf numFmtId="0" fontId="47" fillId="0" borderId="24" xfId="0" applyFont="1" applyBorder="1" applyAlignment="1">
      <alignment wrapText="1"/>
    </xf>
    <xf numFmtId="165" fontId="47" fillId="0" borderId="36" xfId="0" applyNumberFormat="1" applyFont="1" applyBorder="1"/>
    <xf numFmtId="165" fontId="47" fillId="2" borderId="36" xfId="0" applyNumberFormat="1" applyFont="1" applyFill="1" applyBorder="1"/>
    <xf numFmtId="0" fontId="47" fillId="0" borderId="12" xfId="0" applyFont="1" applyBorder="1" applyAlignment="1">
      <alignment wrapText="1"/>
    </xf>
    <xf numFmtId="165" fontId="47" fillId="0" borderId="12" xfId="0" applyNumberFormat="1" applyFont="1" applyBorder="1"/>
    <xf numFmtId="165" fontId="47" fillId="0" borderId="37" xfId="0" applyNumberFormat="1" applyFont="1" applyBorder="1"/>
    <xf numFmtId="165" fontId="47" fillId="2" borderId="37" xfId="0" applyNumberFormat="1" applyFont="1" applyFill="1" applyBorder="1"/>
    <xf numFmtId="0" fontId="47" fillId="0" borderId="61" xfId="0" applyFont="1" applyBorder="1" applyAlignment="1">
      <alignment wrapText="1"/>
    </xf>
    <xf numFmtId="165" fontId="47" fillId="0" borderId="72" xfId="0" applyNumberFormat="1" applyFont="1" applyBorder="1"/>
    <xf numFmtId="0" fontId="47" fillId="0" borderId="24" xfId="0" quotePrefix="1" applyFont="1" applyBorder="1" applyAlignment="1">
      <alignment wrapText="1"/>
    </xf>
    <xf numFmtId="0" fontId="47" fillId="0" borderId="37" xfId="0" applyFont="1" applyBorder="1"/>
    <xf numFmtId="0" fontId="47" fillId="2" borderId="37" xfId="0" applyFont="1" applyFill="1" applyBorder="1"/>
    <xf numFmtId="0" fontId="47" fillId="0" borderId="18" xfId="0" applyFont="1" applyBorder="1" applyAlignment="1">
      <alignment horizontal="left" wrapText="1"/>
    </xf>
    <xf numFmtId="165" fontId="47" fillId="0" borderId="18" xfId="0" applyNumberFormat="1" applyFont="1" applyBorder="1"/>
    <xf numFmtId="0" fontId="47" fillId="0" borderId="46" xfId="0" applyFont="1" applyBorder="1"/>
    <xf numFmtId="0" fontId="47" fillId="2" borderId="46" xfId="0" applyFont="1" applyFill="1" applyBorder="1"/>
    <xf numFmtId="0" fontId="47" fillId="0" borderId="40" xfId="0" quotePrefix="1" applyFont="1" applyBorder="1" applyAlignment="1">
      <alignment wrapText="1"/>
    </xf>
    <xf numFmtId="0" fontId="47" fillId="0" borderId="40" xfId="0" applyFont="1" applyBorder="1" applyAlignment="1">
      <alignment wrapText="1"/>
    </xf>
    <xf numFmtId="0" fontId="46" fillId="0" borderId="1" xfId="0" applyFont="1" applyBorder="1" applyAlignment="1">
      <alignment horizontal="center"/>
    </xf>
    <xf numFmtId="165" fontId="46" fillId="0" borderId="1" xfId="0" applyNumberFormat="1" applyFont="1" applyBorder="1"/>
    <xf numFmtId="0" fontId="47" fillId="0" borderId="21" xfId="0" applyFont="1" applyBorder="1"/>
    <xf numFmtId="165" fontId="47" fillId="0" borderId="21" xfId="0" applyNumberFormat="1" applyFont="1" applyBorder="1"/>
    <xf numFmtId="0" fontId="68" fillId="0" borderId="0" xfId="0" applyFont="1"/>
    <xf numFmtId="0" fontId="74" fillId="2" borderId="73" xfId="0" applyFont="1" applyFill="1" applyBorder="1" applyAlignment="1">
      <alignment wrapText="1"/>
    </xf>
    <xf numFmtId="0" fontId="66" fillId="2" borderId="24" xfId="0" applyFont="1" applyFill="1" applyBorder="1" applyAlignment="1">
      <alignment wrapText="1"/>
    </xf>
    <xf numFmtId="0" fontId="94" fillId="2" borderId="18" xfId="0" applyFont="1" applyFill="1" applyBorder="1" applyAlignment="1">
      <alignment wrapText="1"/>
    </xf>
    <xf numFmtId="165" fontId="95" fillId="2" borderId="18" xfId="0" applyNumberFormat="1" applyFont="1" applyFill="1" applyBorder="1" applyAlignment="1">
      <alignment horizontal="center"/>
    </xf>
    <xf numFmtId="0" fontId="95" fillId="2" borderId="18" xfId="0" applyFont="1" applyFill="1" applyBorder="1" applyAlignment="1">
      <alignment horizontal="center"/>
    </xf>
    <xf numFmtId="0" fontId="93" fillId="11" borderId="27" xfId="0" applyFont="1" applyFill="1" applyBorder="1" applyAlignment="1">
      <alignment horizontal="center" vertical="center" wrapText="1"/>
    </xf>
    <xf numFmtId="0" fontId="93" fillId="12" borderId="27" xfId="0" applyFont="1" applyFill="1" applyBorder="1" applyAlignment="1">
      <alignment horizontal="center" vertical="center" wrapText="1"/>
    </xf>
    <xf numFmtId="0" fontId="93" fillId="3" borderId="27" xfId="0" applyFont="1" applyFill="1" applyBorder="1" applyAlignment="1">
      <alignment horizontal="center" vertical="center" wrapText="1"/>
    </xf>
    <xf numFmtId="0" fontId="93" fillId="13" borderId="27" xfId="0" applyFont="1" applyFill="1" applyBorder="1" applyAlignment="1">
      <alignment horizontal="center" vertical="center"/>
    </xf>
    <xf numFmtId="0" fontId="93" fillId="13" borderId="27" xfId="0" applyFont="1" applyFill="1" applyBorder="1" applyAlignment="1">
      <alignment horizontal="center" vertical="center" wrapText="1"/>
    </xf>
    <xf numFmtId="0" fontId="93" fillId="14" borderId="27" xfId="0" applyFont="1" applyFill="1" applyBorder="1" applyAlignment="1">
      <alignment horizontal="center" vertical="center" wrapText="1"/>
    </xf>
    <xf numFmtId="165" fontId="46" fillId="0" borderId="61" xfId="0" applyNumberFormat="1" applyFont="1" applyBorder="1"/>
    <xf numFmtId="41" fontId="31" fillId="0" borderId="3" xfId="6" applyFont="1" applyBorder="1" applyAlignment="1">
      <alignment horizontal="center"/>
    </xf>
    <xf numFmtId="0" fontId="43" fillId="2" borderId="12" xfId="0" applyFont="1" applyFill="1" applyBorder="1" applyAlignment="1">
      <alignment horizontal="center"/>
    </xf>
    <xf numFmtId="0" fontId="43" fillId="2" borderId="65" xfId="0" applyFont="1" applyFill="1" applyBorder="1" applyAlignment="1">
      <alignment horizontal="center"/>
    </xf>
    <xf numFmtId="0" fontId="43" fillId="2" borderId="11" xfId="0" applyFont="1" applyFill="1" applyBorder="1" applyAlignment="1">
      <alignment horizontal="center"/>
    </xf>
    <xf numFmtId="0" fontId="43" fillId="0" borderId="39" xfId="0" quotePrefix="1" applyFont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94" fillId="2" borderId="24" xfId="0" applyFont="1" applyFill="1" applyBorder="1" applyAlignment="1">
      <alignment wrapText="1"/>
    </xf>
    <xf numFmtId="0" fontId="88" fillId="0" borderId="20" xfId="0" applyFont="1" applyBorder="1" applyAlignment="1">
      <alignment horizontal="left"/>
    </xf>
    <xf numFmtId="165" fontId="88" fillId="0" borderId="21" xfId="0" applyNumberFormat="1" applyFont="1" applyBorder="1"/>
    <xf numFmtId="0" fontId="88" fillId="0" borderId="21" xfId="0" applyFont="1" applyBorder="1" applyAlignment="1">
      <alignment horizontal="left"/>
    </xf>
    <xf numFmtId="165" fontId="31" fillId="2" borderId="12" xfId="0" applyNumberFormat="1" applyFont="1" applyFill="1" applyBorder="1" applyAlignment="1">
      <alignment horizontal="center"/>
    </xf>
    <xf numFmtId="14" fontId="31" fillId="0" borderId="1" xfId="0" quotePrefix="1" applyNumberFormat="1" applyFont="1" applyBorder="1" applyAlignment="1">
      <alignment horizontal="center"/>
    </xf>
    <xf numFmtId="0" fontId="31" fillId="0" borderId="30" xfId="0" applyFont="1" applyBorder="1"/>
    <xf numFmtId="14" fontId="31" fillId="0" borderId="61" xfId="0" quotePrefix="1" applyNumberFormat="1" applyFont="1" applyBorder="1" applyAlignment="1">
      <alignment horizontal="center"/>
    </xf>
    <xf numFmtId="0" fontId="31" fillId="0" borderId="62" xfId="0" applyFont="1" applyBorder="1"/>
    <xf numFmtId="0" fontId="14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50" fillId="0" borderId="0" xfId="3" applyFont="1" applyFill="1" applyAlignment="1">
      <alignment horizontal="center" vertical="center"/>
    </xf>
    <xf numFmtId="0" fontId="14" fillId="0" borderId="1" xfId="0" applyFont="1" applyBorder="1"/>
    <xf numFmtId="0" fontId="64" fillId="0" borderId="0" xfId="3" applyFont="1" applyFill="1" applyAlignment="1">
      <alignment horizontal="left" vertical="center"/>
    </xf>
    <xf numFmtId="0" fontId="30" fillId="0" borderId="0" xfId="0" applyFont="1" applyBorder="1" applyAlignment="1">
      <alignment horizontal="center"/>
    </xf>
    <xf numFmtId="9" fontId="30" fillId="0" borderId="0" xfId="4" applyNumberFormat="1" applyFont="1" applyBorder="1" applyAlignment="1">
      <alignment horizontal="center"/>
    </xf>
    <xf numFmtId="165" fontId="30" fillId="0" borderId="0" xfId="0" applyNumberFormat="1" applyFont="1" applyBorder="1" applyAlignment="1">
      <alignment horizontal="center"/>
    </xf>
    <xf numFmtId="165" fontId="30" fillId="0" borderId="0" xfId="0" applyNumberFormat="1" applyFont="1" applyBorder="1" applyAlignment="1">
      <alignment horizontal="center" wrapText="1"/>
    </xf>
    <xf numFmtId="41" fontId="43" fillId="0" borderId="12" xfId="6" applyFont="1" applyBorder="1"/>
    <xf numFmtId="41" fontId="43" fillId="0" borderId="61" xfId="6" applyFont="1" applyBorder="1"/>
    <xf numFmtId="165" fontId="42" fillId="0" borderId="41" xfId="0" applyNumberFormat="1" applyFont="1" applyBorder="1" applyAlignment="1">
      <alignment horizontal="center"/>
    </xf>
    <xf numFmtId="165" fontId="43" fillId="2" borderId="12" xfId="0" applyNumberFormat="1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3" fillId="2" borderId="3" xfId="0" quotePrefix="1" applyFont="1" applyFill="1" applyBorder="1" applyAlignment="1">
      <alignment horizontal="center"/>
    </xf>
    <xf numFmtId="165" fontId="43" fillId="2" borderId="3" xfId="0" applyNumberFormat="1" applyFont="1" applyFill="1" applyBorder="1" applyAlignment="1">
      <alignment horizontal="center"/>
    </xf>
    <xf numFmtId="0" fontId="43" fillId="2" borderId="40" xfId="0" applyFont="1" applyFill="1" applyBorder="1" applyAlignment="1">
      <alignment horizontal="center" wrapText="1"/>
    </xf>
    <xf numFmtId="0" fontId="43" fillId="2" borderId="40" xfId="0" quotePrefix="1" applyFont="1" applyFill="1" applyBorder="1" applyAlignment="1">
      <alignment horizontal="center"/>
    </xf>
    <xf numFmtId="0" fontId="43" fillId="2" borderId="12" xfId="0" quotePrefix="1" applyFont="1" applyFill="1" applyBorder="1" applyAlignment="1">
      <alignment horizontal="center"/>
    </xf>
    <xf numFmtId="0" fontId="43" fillId="2" borderId="38" xfId="0" applyFont="1" applyFill="1" applyBorder="1" applyAlignment="1">
      <alignment horizontal="center"/>
    </xf>
    <xf numFmtId="0" fontId="43" fillId="2" borderId="39" xfId="0" quotePrefix="1" applyFont="1" applyFill="1" applyBorder="1" applyAlignment="1">
      <alignment horizontal="center"/>
    </xf>
    <xf numFmtId="165" fontId="43" fillId="2" borderId="39" xfId="0" applyNumberFormat="1" applyFont="1" applyFill="1" applyBorder="1" applyAlignment="1">
      <alignment horizontal="center"/>
    </xf>
    <xf numFmtId="0" fontId="43" fillId="2" borderId="1" xfId="0" quotePrefix="1" applyFont="1" applyFill="1" applyBorder="1" applyAlignment="1">
      <alignment horizontal="center"/>
    </xf>
    <xf numFmtId="0" fontId="43" fillId="2" borderId="24" xfId="0" applyFont="1" applyFill="1" applyBorder="1" applyAlignment="1">
      <alignment horizontal="center" wrapText="1"/>
    </xf>
    <xf numFmtId="0" fontId="43" fillId="2" borderId="24" xfId="0" applyFont="1" applyFill="1" applyBorder="1" applyAlignment="1">
      <alignment horizontal="center"/>
    </xf>
    <xf numFmtId="0" fontId="74" fillId="2" borderId="13" xfId="0" applyFont="1" applyFill="1" applyBorder="1" applyAlignment="1">
      <alignment wrapText="1"/>
    </xf>
    <xf numFmtId="0" fontId="74" fillId="2" borderId="25" xfId="0" applyFont="1" applyFill="1" applyBorder="1" applyAlignment="1">
      <alignment wrapText="1"/>
    </xf>
    <xf numFmtId="0" fontId="34" fillId="0" borderId="26" xfId="0" applyFont="1" applyBorder="1" applyAlignment="1">
      <alignment horizontal="center" vertical="center"/>
    </xf>
    <xf numFmtId="16" fontId="36" fillId="0" borderId="23" xfId="0" quotePrefix="1" applyNumberFormat="1" applyFont="1" applyBorder="1" applyAlignment="1">
      <alignment wrapText="1"/>
    </xf>
    <xf numFmtId="16" fontId="74" fillId="2" borderId="23" xfId="0" quotePrefix="1" applyNumberFormat="1" applyFont="1" applyFill="1" applyBorder="1" applyAlignment="1">
      <alignment wrapText="1"/>
    </xf>
    <xf numFmtId="0" fontId="74" fillId="2" borderId="60" xfId="0" applyFont="1" applyFill="1" applyBorder="1" applyAlignment="1">
      <alignment wrapText="1"/>
    </xf>
    <xf numFmtId="0" fontId="74" fillId="2" borderId="23" xfId="0" quotePrefix="1" applyFont="1" applyFill="1" applyBorder="1" applyAlignment="1">
      <alignment wrapText="1"/>
    </xf>
    <xf numFmtId="0" fontId="74" fillId="2" borderId="57" xfId="0" quotePrefix="1" applyFont="1" applyFill="1" applyBorder="1" applyAlignment="1">
      <alignment wrapText="1"/>
    </xf>
    <xf numFmtId="0" fontId="88" fillId="0" borderId="25" xfId="0" applyFont="1" applyBorder="1"/>
    <xf numFmtId="165" fontId="97" fillId="0" borderId="22" xfId="0" applyNumberFormat="1" applyFont="1" applyBorder="1"/>
    <xf numFmtId="0" fontId="43" fillId="0" borderId="24" xfId="0" quotePrefix="1" applyFont="1" applyBorder="1" applyAlignment="1">
      <alignment horizontal="center" wrapText="1"/>
    </xf>
    <xf numFmtId="0" fontId="43" fillId="0" borderId="61" xfId="0" quotePrefix="1" applyFont="1" applyBorder="1" applyAlignment="1">
      <alignment horizontal="center" wrapText="1"/>
    </xf>
    <xf numFmtId="0" fontId="43" fillId="0" borderId="39" xfId="0" applyFont="1" applyBorder="1" applyAlignment="1">
      <alignment horizontal="center"/>
    </xf>
    <xf numFmtId="0" fontId="43" fillId="0" borderId="40" xfId="0" applyFont="1" applyBorder="1" applyAlignment="1">
      <alignment horizontal="center"/>
    </xf>
    <xf numFmtId="0" fontId="43" fillId="0" borderId="18" xfId="0" quotePrefix="1" applyFont="1" applyBorder="1" applyAlignment="1">
      <alignment horizontal="center" wrapText="1"/>
    </xf>
    <xf numFmtId="0" fontId="43" fillId="0" borderId="32" xfId="0" applyFont="1" applyBorder="1" applyAlignment="1">
      <alignment wrapText="1"/>
    </xf>
    <xf numFmtId="41" fontId="43" fillId="0" borderId="40" xfId="6" applyFont="1" applyBorder="1" applyAlignment="1">
      <alignment vertical="top"/>
    </xf>
    <xf numFmtId="41" fontId="43" fillId="0" borderId="58" xfId="6" applyFont="1" applyBorder="1" applyAlignment="1">
      <alignment horizontal="center"/>
    </xf>
    <xf numFmtId="41" fontId="43" fillId="0" borderId="12" xfId="6" applyFont="1" applyBorder="1" applyAlignment="1">
      <alignment vertical="top"/>
    </xf>
    <xf numFmtId="41" fontId="43" fillId="0" borderId="61" xfId="6" applyFont="1" applyBorder="1" applyAlignment="1">
      <alignment vertical="top"/>
    </xf>
    <xf numFmtId="41" fontId="43" fillId="0" borderId="24" xfId="6" applyFont="1" applyBorder="1" applyAlignment="1">
      <alignment vertical="center"/>
    </xf>
    <xf numFmtId="41" fontId="43" fillId="0" borderId="61" xfId="6" applyFont="1" applyBorder="1" applyAlignment="1">
      <alignment vertical="center"/>
    </xf>
    <xf numFmtId="16" fontId="43" fillId="0" borderId="24" xfId="0" quotePrefix="1" applyNumberFormat="1" applyFont="1" applyBorder="1" applyAlignment="1">
      <alignment horizontal="center"/>
    </xf>
    <xf numFmtId="16" fontId="43" fillId="0" borderId="12" xfId="0" quotePrefix="1" applyNumberFormat="1" applyFont="1" applyBorder="1" applyAlignment="1">
      <alignment horizontal="center"/>
    </xf>
    <xf numFmtId="16" fontId="43" fillId="0" borderId="61" xfId="0" quotePrefix="1" applyNumberFormat="1" applyFont="1" applyBorder="1" applyAlignment="1">
      <alignment horizontal="center"/>
    </xf>
    <xf numFmtId="16" fontId="43" fillId="0" borderId="1" xfId="0" quotePrefix="1" applyNumberFormat="1" applyFont="1" applyBorder="1" applyAlignment="1">
      <alignment horizontal="center"/>
    </xf>
    <xf numFmtId="41" fontId="43" fillId="0" borderId="39" xfId="6" applyFont="1" applyBorder="1" applyAlignment="1">
      <alignment vertical="center"/>
    </xf>
    <xf numFmtId="0" fontId="43" fillId="0" borderId="61" xfId="0" applyFont="1" applyBorder="1" applyAlignment="1">
      <alignment horizontal="left"/>
    </xf>
    <xf numFmtId="41" fontId="43" fillId="0" borderId="3" xfId="6" applyFont="1" applyBorder="1" applyAlignment="1">
      <alignment vertical="center"/>
    </xf>
    <xf numFmtId="0" fontId="43" fillId="2" borderId="23" xfId="0" applyFont="1" applyFill="1" applyBorder="1" applyAlignment="1">
      <alignment horizontal="center"/>
    </xf>
    <xf numFmtId="165" fontId="43" fillId="2" borderId="24" xfId="0" applyNumberFormat="1" applyFont="1" applyFill="1" applyBorder="1" applyAlignment="1">
      <alignment horizontal="center"/>
    </xf>
    <xf numFmtId="9" fontId="43" fillId="2" borderId="24" xfId="4" applyNumberFormat="1" applyFont="1" applyFill="1" applyBorder="1" applyAlignment="1">
      <alignment horizontal="center"/>
    </xf>
    <xf numFmtId="0" fontId="43" fillId="2" borderId="25" xfId="0" applyFont="1" applyFill="1" applyBorder="1"/>
    <xf numFmtId="0" fontId="43" fillId="2" borderId="0" xfId="0" applyFont="1" applyFill="1"/>
    <xf numFmtId="0" fontId="43" fillId="2" borderId="13" xfId="0" applyFont="1" applyFill="1" applyBorder="1"/>
    <xf numFmtId="0" fontId="43" fillId="2" borderId="13" xfId="0" applyFont="1" applyFill="1" applyBorder="1" applyAlignment="1">
      <alignment wrapText="1"/>
    </xf>
    <xf numFmtId="0" fontId="43" fillId="2" borderId="61" xfId="0" quotePrefix="1" applyFont="1" applyFill="1" applyBorder="1" applyAlignment="1">
      <alignment horizontal="center"/>
    </xf>
    <xf numFmtId="0" fontId="43" fillId="2" borderId="62" xfId="0" applyFont="1" applyFill="1" applyBorder="1" applyAlignment="1">
      <alignment wrapText="1"/>
    </xf>
    <xf numFmtId="0" fontId="43" fillId="2" borderId="24" xfId="0" quotePrefix="1" applyFont="1" applyFill="1" applyBorder="1" applyAlignment="1">
      <alignment horizontal="center"/>
    </xf>
    <xf numFmtId="9" fontId="43" fillId="2" borderId="12" xfId="4" applyNumberFormat="1" applyFont="1" applyFill="1" applyBorder="1" applyAlignment="1">
      <alignment horizontal="center"/>
    </xf>
    <xf numFmtId="0" fontId="43" fillId="2" borderId="61" xfId="0" applyFont="1" applyFill="1" applyBorder="1" applyAlignment="1">
      <alignment horizontal="center" wrapText="1"/>
    </xf>
    <xf numFmtId="0" fontId="43" fillId="2" borderId="1" xfId="0" applyFont="1" applyFill="1" applyBorder="1" applyAlignment="1">
      <alignment horizontal="center" wrapText="1"/>
    </xf>
    <xf numFmtId="0" fontId="43" fillId="2" borderId="2" xfId="0" applyFont="1" applyFill="1" applyBorder="1" applyAlignment="1">
      <alignment horizontal="center"/>
    </xf>
    <xf numFmtId="9" fontId="43" fillId="2" borderId="39" xfId="4" applyNumberFormat="1" applyFont="1" applyFill="1" applyBorder="1" applyAlignment="1">
      <alignment horizontal="center"/>
    </xf>
    <xf numFmtId="0" fontId="43" fillId="2" borderId="59" xfId="0" applyFont="1" applyFill="1" applyBorder="1"/>
    <xf numFmtId="41" fontId="43" fillId="2" borderId="3" xfId="6" applyFont="1" applyFill="1" applyBorder="1" applyAlignment="1">
      <alignment horizontal="center"/>
    </xf>
    <xf numFmtId="0" fontId="43" fillId="2" borderId="39" xfId="0" applyFont="1" applyFill="1" applyBorder="1" applyAlignment="1">
      <alignment horizontal="center" wrapText="1"/>
    </xf>
    <xf numFmtId="165" fontId="43" fillId="2" borderId="1" xfId="1" applyNumberFormat="1" applyFont="1" applyFill="1" applyBorder="1" applyAlignment="1">
      <alignment horizontal="center"/>
    </xf>
    <xf numFmtId="0" fontId="43" fillId="2" borderId="2" xfId="0" applyFont="1" applyFill="1" applyBorder="1" applyAlignment="1">
      <alignment horizontal="center" wrapText="1"/>
    </xf>
    <xf numFmtId="165" fontId="43" fillId="2" borderId="39" xfId="1" applyNumberFormat="1" applyFont="1" applyFill="1" applyBorder="1" applyAlignment="1">
      <alignment horizontal="center"/>
    </xf>
    <xf numFmtId="41" fontId="43" fillId="2" borderId="0" xfId="0" applyNumberFormat="1" applyFont="1" applyFill="1"/>
    <xf numFmtId="0" fontId="43" fillId="2" borderId="18" xfId="0" quotePrefix="1" applyFont="1" applyFill="1" applyBorder="1" applyAlignment="1">
      <alignment horizontal="center"/>
    </xf>
    <xf numFmtId="0" fontId="43" fillId="2" borderId="12" xfId="0" applyFont="1" applyFill="1" applyBorder="1" applyAlignment="1">
      <alignment horizontal="center" wrapText="1"/>
    </xf>
    <xf numFmtId="0" fontId="43" fillId="2" borderId="32" xfId="0" applyFont="1" applyFill="1" applyBorder="1"/>
    <xf numFmtId="9" fontId="43" fillId="2" borderId="3" xfId="4" applyNumberFormat="1" applyFont="1" applyFill="1" applyBorder="1" applyAlignment="1">
      <alignment horizontal="center"/>
    </xf>
    <xf numFmtId="0" fontId="43" fillId="2" borderId="25" xfId="0" applyFont="1" applyFill="1" applyBorder="1" applyAlignment="1">
      <alignment wrapText="1"/>
    </xf>
    <xf numFmtId="0" fontId="43" fillId="2" borderId="2" xfId="0" quotePrefix="1" applyFont="1" applyFill="1" applyBorder="1" applyAlignment="1">
      <alignment horizontal="center"/>
    </xf>
    <xf numFmtId="0" fontId="43" fillId="2" borderId="9" xfId="0" applyFont="1" applyFill="1" applyBorder="1"/>
    <xf numFmtId="0" fontId="43" fillId="0" borderId="2" xfId="0" applyFont="1" applyBorder="1" applyAlignment="1">
      <alignment horizontal="left"/>
    </xf>
    <xf numFmtId="0" fontId="43" fillId="2" borderId="2" xfId="0" applyFont="1" applyFill="1" applyBorder="1" applyAlignment="1">
      <alignment horizontal="left"/>
    </xf>
    <xf numFmtId="0" fontId="43" fillId="2" borderId="61" xfId="0" applyFont="1" applyFill="1" applyBorder="1" applyAlignment="1">
      <alignment horizontal="left"/>
    </xf>
    <xf numFmtId="0" fontId="43" fillId="0" borderId="12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51" fillId="0" borderId="0" xfId="3" applyFont="1" applyFill="1" applyAlignment="1">
      <alignment horizontal="center" vertical="center"/>
    </xf>
    <xf numFmtId="0" fontId="46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/>
    </xf>
    <xf numFmtId="41" fontId="46" fillId="0" borderId="0" xfId="6" applyFont="1" applyBorder="1" applyAlignment="1">
      <alignment horizontal="center" vertical="center"/>
    </xf>
    <xf numFmtId="0" fontId="47" fillId="0" borderId="0" xfId="0" quotePrefix="1" applyFont="1" applyBorder="1"/>
    <xf numFmtId="0" fontId="47" fillId="0" borderId="0" xfId="0" applyFont="1" applyBorder="1"/>
    <xf numFmtId="165" fontId="47" fillId="0" borderId="0" xfId="1" applyNumberFormat="1" applyFont="1" applyBorder="1"/>
    <xf numFmtId="41" fontId="47" fillId="0" borderId="0" xfId="6" applyFont="1" applyBorder="1"/>
    <xf numFmtId="0" fontId="18" fillId="0" borderId="12" xfId="0" applyFont="1" applyBorder="1"/>
    <xf numFmtId="165" fontId="18" fillId="0" borderId="12" xfId="1" applyNumberFormat="1" applyFont="1" applyBorder="1"/>
    <xf numFmtId="0" fontId="31" fillId="2" borderId="12" xfId="0" applyFont="1" applyFill="1" applyBorder="1" applyAlignment="1">
      <alignment horizontal="center"/>
    </xf>
    <xf numFmtId="9" fontId="31" fillId="2" borderId="12" xfId="4" applyNumberFormat="1" applyFont="1" applyFill="1" applyBorder="1" applyAlignment="1">
      <alignment horizontal="center"/>
    </xf>
    <xf numFmtId="165" fontId="31" fillId="2" borderId="24" xfId="0" applyNumberFormat="1" applyFont="1" applyFill="1" applyBorder="1" applyAlignment="1">
      <alignment horizontal="center"/>
    </xf>
    <xf numFmtId="9" fontId="31" fillId="2" borderId="36" xfId="4" applyFont="1" applyFill="1" applyBorder="1" applyAlignment="1">
      <alignment horizontal="center"/>
    </xf>
    <xf numFmtId="165" fontId="31" fillId="2" borderId="36" xfId="0" applyNumberFormat="1" applyFont="1" applyFill="1" applyBorder="1" applyAlignment="1">
      <alignment horizontal="center"/>
    </xf>
    <xf numFmtId="165" fontId="31" fillId="2" borderId="24" xfId="0" applyNumberFormat="1" applyFont="1" applyFill="1" applyBorder="1" applyAlignment="1">
      <alignment horizontal="center" wrapText="1"/>
    </xf>
    <xf numFmtId="41" fontId="43" fillId="2" borderId="12" xfId="6" applyFont="1" applyFill="1" applyBorder="1"/>
    <xf numFmtId="0" fontId="11" fillId="0" borderId="0" xfId="0" applyFont="1" applyBorder="1"/>
    <xf numFmtId="16" fontId="21" fillId="0" borderId="4" xfId="0" quotePrefix="1" applyNumberFormat="1" applyFont="1" applyBorder="1" applyAlignment="1">
      <alignment horizontal="left"/>
    </xf>
    <xf numFmtId="0" fontId="21" fillId="2" borderId="5" xfId="0" applyFont="1" applyFill="1" applyBorder="1" applyAlignment="1">
      <alignment wrapText="1"/>
    </xf>
    <xf numFmtId="0" fontId="98" fillId="2" borderId="2" xfId="0" applyFont="1" applyFill="1" applyBorder="1" applyAlignment="1">
      <alignment wrapText="1"/>
    </xf>
    <xf numFmtId="0" fontId="98" fillId="2" borderId="12" xfId="0" applyFont="1" applyFill="1" applyBorder="1" applyAlignment="1">
      <alignment wrapText="1"/>
    </xf>
    <xf numFmtId="0" fontId="1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51" fillId="0" borderId="0" xfId="3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51" fillId="0" borderId="0" xfId="3" applyFont="1" applyFill="1" applyAlignment="1">
      <alignment horizontal="center" vertical="center"/>
    </xf>
    <xf numFmtId="16" fontId="21" fillId="0" borderId="0" xfId="0" quotePrefix="1" applyNumberFormat="1" applyFont="1" applyBorder="1" applyAlignment="1">
      <alignment horizontal="left"/>
    </xf>
    <xf numFmtId="0" fontId="21" fillId="2" borderId="0" xfId="0" applyFont="1" applyFill="1" applyBorder="1" applyAlignment="1">
      <alignment wrapText="1"/>
    </xf>
    <xf numFmtId="165" fontId="21" fillId="0" borderId="0" xfId="1" applyNumberFormat="1" applyFont="1" applyBorder="1"/>
    <xf numFmtId="0" fontId="11" fillId="0" borderId="48" xfId="0" applyFont="1" applyBorder="1" applyAlignment="1"/>
    <xf numFmtId="16" fontId="20" fillId="2" borderId="20" xfId="0" quotePrefix="1" applyNumberFormat="1" applyFont="1" applyFill="1" applyBorder="1" applyAlignment="1">
      <alignment horizontal="left"/>
    </xf>
    <xf numFmtId="166" fontId="20" fillId="2" borderId="22" xfId="1" applyNumberFormat="1" applyFont="1" applyFill="1" applyBorder="1" applyAlignment="1">
      <alignment wrapText="1"/>
    </xf>
    <xf numFmtId="165" fontId="71" fillId="2" borderId="21" xfId="1" applyNumberFormat="1" applyFont="1" applyFill="1" applyBorder="1"/>
    <xf numFmtId="14" fontId="26" fillId="0" borderId="12" xfId="0" quotePrefix="1" applyNumberFormat="1" applyFont="1" applyBorder="1" applyAlignment="1">
      <alignment horizontal="left" wrapText="1"/>
    </xf>
    <xf numFmtId="0" fontId="0" fillId="0" borderId="0" xfId="0" applyBorder="1" applyAlignment="1"/>
    <xf numFmtId="0" fontId="43" fillId="0" borderId="20" xfId="0" applyFont="1" applyBorder="1" applyAlignment="1">
      <alignment horizontal="center"/>
    </xf>
    <xf numFmtId="14" fontId="43" fillId="2" borderId="21" xfId="0" quotePrefix="1" applyNumberFormat="1" applyFont="1" applyFill="1" applyBorder="1" applyAlignment="1">
      <alignment horizontal="center"/>
    </xf>
    <xf numFmtId="0" fontId="43" fillId="0" borderId="21" xfId="0" applyFont="1" applyBorder="1" applyAlignment="1">
      <alignment horizontal="left"/>
    </xf>
    <xf numFmtId="0" fontId="43" fillId="0" borderId="21" xfId="0" applyFont="1" applyBorder="1" applyAlignment="1">
      <alignment horizontal="left" wrapText="1"/>
    </xf>
    <xf numFmtId="0" fontId="43" fillId="0" borderId="21" xfId="0" applyFont="1" applyBorder="1" applyAlignment="1">
      <alignment horizontal="center"/>
    </xf>
    <xf numFmtId="165" fontId="43" fillId="0" borderId="21" xfId="0" applyNumberFormat="1" applyFont="1" applyBorder="1" applyAlignment="1">
      <alignment horizontal="center"/>
    </xf>
    <xf numFmtId="41" fontId="43" fillId="0" borderId="21" xfId="6" applyFont="1" applyBorder="1" applyAlignment="1">
      <alignment horizontal="center"/>
    </xf>
    <xf numFmtId="9" fontId="43" fillId="0" borderId="21" xfId="4" applyNumberFormat="1" applyFont="1" applyBorder="1" applyAlignment="1">
      <alignment horizontal="center"/>
    </xf>
    <xf numFmtId="41" fontId="43" fillId="0" borderId="22" xfId="6" applyFont="1" applyBorder="1" applyAlignment="1">
      <alignment horizontal="center"/>
    </xf>
    <xf numFmtId="0" fontId="100" fillId="0" borderId="21" xfId="0" applyFont="1" applyBorder="1" applyAlignment="1">
      <alignment horizontal="center"/>
    </xf>
    <xf numFmtId="165" fontId="100" fillId="0" borderId="21" xfId="0" applyNumberFormat="1" applyFont="1" applyBorder="1" applyAlignment="1">
      <alignment horizontal="center"/>
    </xf>
    <xf numFmtId="41" fontId="100" fillId="0" borderId="21" xfId="6" applyFont="1" applyBorder="1" applyAlignment="1">
      <alignment horizontal="center"/>
    </xf>
    <xf numFmtId="9" fontId="100" fillId="0" borderId="21" xfId="4" applyNumberFormat="1" applyFont="1" applyBorder="1" applyAlignment="1">
      <alignment horizontal="center"/>
    </xf>
    <xf numFmtId="41" fontId="100" fillId="0" borderId="22" xfId="6" applyFont="1" applyBorder="1" applyAlignment="1">
      <alignment horizontal="center"/>
    </xf>
    <xf numFmtId="0" fontId="99" fillId="0" borderId="1" xfId="0" applyFont="1" applyBorder="1"/>
    <xf numFmtId="41" fontId="99" fillId="0" borderId="1" xfId="0" applyNumberFormat="1" applyFont="1" applyBorder="1"/>
    <xf numFmtId="0" fontId="99" fillId="0" borderId="0" xfId="0" applyFont="1"/>
    <xf numFmtId="0" fontId="30" fillId="0" borderId="1" xfId="0" applyFont="1" applyBorder="1" applyAlignment="1">
      <alignment horizontal="center" vertical="center" wrapText="1"/>
    </xf>
    <xf numFmtId="0" fontId="42" fillId="0" borderId="2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99" fillId="0" borderId="0" xfId="0" applyFont="1" applyBorder="1" applyAlignment="1">
      <alignment horizontal="center"/>
    </xf>
    <xf numFmtId="0" fontId="99" fillId="0" borderId="0" xfId="0" applyFont="1" applyBorder="1"/>
    <xf numFmtId="41" fontId="99" fillId="0" borderId="0" xfId="0" applyNumberFormat="1" applyFont="1" applyBorder="1"/>
    <xf numFmtId="0" fontId="16" fillId="0" borderId="0" xfId="0" applyFont="1" applyAlignment="1">
      <alignment vertical="center"/>
    </xf>
    <xf numFmtId="0" fontId="31" fillId="0" borderId="57" xfId="0" applyFont="1" applyBorder="1" applyAlignment="1">
      <alignment horizontal="center"/>
    </xf>
    <xf numFmtId="14" fontId="31" fillId="0" borderId="40" xfId="0" quotePrefix="1" applyNumberFormat="1" applyFont="1" applyBorder="1" applyAlignment="1">
      <alignment horizontal="center"/>
    </xf>
    <xf numFmtId="0" fontId="31" fillId="0" borderId="40" xfId="0" applyFont="1" applyBorder="1" applyAlignment="1">
      <alignment horizontal="center"/>
    </xf>
    <xf numFmtId="0" fontId="31" fillId="0" borderId="40" xfId="0" applyFont="1" applyBorder="1" applyAlignment="1">
      <alignment horizontal="left" wrapText="1"/>
    </xf>
    <xf numFmtId="0" fontId="31" fillId="0" borderId="40" xfId="0" quotePrefix="1" applyFont="1" applyBorder="1" applyAlignment="1">
      <alignment horizontal="center"/>
    </xf>
    <xf numFmtId="165" fontId="31" fillId="0" borderId="40" xfId="0" applyNumberFormat="1" applyFont="1" applyBorder="1" applyAlignment="1">
      <alignment horizontal="center"/>
    </xf>
    <xf numFmtId="41" fontId="31" fillId="0" borderId="40" xfId="6" applyFont="1" applyBorder="1" applyAlignment="1">
      <alignment horizontal="center"/>
    </xf>
    <xf numFmtId="9" fontId="31" fillId="0" borderId="40" xfId="4" applyNumberFormat="1" applyFont="1" applyBorder="1" applyAlignment="1">
      <alignment horizontal="center"/>
    </xf>
    <xf numFmtId="0" fontId="31" fillId="0" borderId="74" xfId="0" applyFont="1" applyBorder="1"/>
    <xf numFmtId="0" fontId="31" fillId="0" borderId="65" xfId="0" applyFont="1" applyBorder="1" applyAlignment="1">
      <alignment horizontal="center"/>
    </xf>
    <xf numFmtId="14" fontId="31" fillId="0" borderId="3" xfId="0" quotePrefix="1" applyNumberFormat="1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left" wrapText="1"/>
    </xf>
    <xf numFmtId="0" fontId="31" fillId="0" borderId="3" xfId="0" quotePrefix="1" applyFont="1" applyBorder="1" applyAlignment="1">
      <alignment horizontal="center"/>
    </xf>
    <xf numFmtId="165" fontId="31" fillId="0" borderId="3" xfId="0" applyNumberFormat="1" applyFont="1" applyBorder="1" applyAlignment="1">
      <alignment horizontal="center"/>
    </xf>
    <xf numFmtId="9" fontId="31" fillId="0" borderId="3" xfId="4" applyNumberFormat="1" applyFont="1" applyBorder="1" applyAlignment="1">
      <alignment horizontal="center"/>
    </xf>
    <xf numFmtId="0" fontId="31" fillId="0" borderId="32" xfId="0" applyFont="1" applyBorder="1"/>
    <xf numFmtId="0" fontId="31" fillId="0" borderId="1" xfId="0" applyFont="1" applyBorder="1"/>
    <xf numFmtId="0" fontId="10" fillId="0" borderId="0" xfId="0" applyFont="1" applyAlignment="1">
      <alignment horizontal="center" vertical="center"/>
    </xf>
    <xf numFmtId="0" fontId="51" fillId="0" borderId="0" xfId="3" applyFont="1" applyFill="1" applyAlignment="1">
      <alignment horizontal="center" vertical="center"/>
    </xf>
    <xf numFmtId="0" fontId="43" fillId="2" borderId="24" xfId="0" applyFont="1" applyFill="1" applyBorder="1" applyAlignment="1">
      <alignment horizontal="left"/>
    </xf>
    <xf numFmtId="0" fontId="43" fillId="2" borderId="32" xfId="0" applyFont="1" applyFill="1" applyBorder="1" applyAlignment="1">
      <alignment wrapText="1"/>
    </xf>
    <xf numFmtId="0" fontId="11" fillId="0" borderId="65" xfId="0" applyFont="1" applyBorder="1" applyAlignment="1">
      <alignment wrapText="1"/>
    </xf>
    <xf numFmtId="0" fontId="20" fillId="2" borderId="3" xfId="0" applyFont="1" applyFill="1" applyBorder="1" applyAlignment="1">
      <alignment wrapText="1"/>
    </xf>
    <xf numFmtId="165" fontId="21" fillId="2" borderId="3" xfId="1" applyNumberFormat="1" applyFont="1" applyFill="1" applyBorder="1"/>
    <xf numFmtId="166" fontId="20" fillId="2" borderId="32" xfId="1" applyNumberFormat="1" applyFont="1" applyFill="1" applyBorder="1" applyAlignment="1">
      <alignment wrapText="1"/>
    </xf>
    <xf numFmtId="165" fontId="85" fillId="0" borderId="0" xfId="0" applyNumberFormat="1" applyFont="1"/>
    <xf numFmtId="0" fontId="88" fillId="2" borderId="21" xfId="0" applyFont="1" applyFill="1" applyBorder="1"/>
    <xf numFmtId="0" fontId="88" fillId="2" borderId="21" xfId="0" applyFont="1" applyFill="1" applyBorder="1" applyAlignment="1">
      <alignment horizontal="left"/>
    </xf>
    <xf numFmtId="0" fontId="98" fillId="2" borderId="40" xfId="0" applyFont="1" applyFill="1" applyBorder="1" applyAlignment="1">
      <alignment wrapText="1"/>
    </xf>
    <xf numFmtId="0" fontId="101" fillId="0" borderId="1" xfId="7" applyFont="1" applyBorder="1" applyAlignment="1">
      <alignment wrapText="1"/>
    </xf>
    <xf numFmtId="0" fontId="63" fillId="0" borderId="1" xfId="0" applyFont="1" applyBorder="1"/>
    <xf numFmtId="0" fontId="63" fillId="0" borderId="1" xfId="0" applyFont="1" applyBorder="1" applyAlignment="1">
      <alignment wrapText="1"/>
    </xf>
    <xf numFmtId="0" fontId="14" fillId="0" borderId="0" xfId="0" applyFont="1" applyAlignment="1">
      <alignment horizontal="center"/>
    </xf>
    <xf numFmtId="165" fontId="32" fillId="2" borderId="24" xfId="0" applyNumberFormat="1" applyFont="1" applyFill="1" applyBorder="1" applyAlignment="1">
      <alignment horizontal="center"/>
    </xf>
    <xf numFmtId="165" fontId="32" fillId="2" borderId="12" xfId="0" applyNumberFormat="1" applyFont="1" applyFill="1" applyBorder="1" applyAlignment="1">
      <alignment horizontal="center"/>
    </xf>
    <xf numFmtId="165" fontId="32" fillId="2" borderId="18" xfId="0" applyNumberFormat="1" applyFont="1" applyFill="1" applyBorder="1" applyAlignment="1">
      <alignment horizontal="center"/>
    </xf>
    <xf numFmtId="165" fontId="32" fillId="2" borderId="6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1" fillId="0" borderId="0" xfId="3" applyFont="1" applyFill="1" applyAlignment="1">
      <alignment horizontal="center" vertical="center"/>
    </xf>
    <xf numFmtId="0" fontId="21" fillId="0" borderId="11" xfId="0" quotePrefix="1" applyFont="1" applyBorder="1" applyAlignment="1">
      <alignment horizontal="left"/>
    </xf>
    <xf numFmtId="0" fontId="21" fillId="0" borderId="13" xfId="0" applyFont="1" applyBorder="1" applyAlignment="1">
      <alignment wrapText="1"/>
    </xf>
    <xf numFmtId="16" fontId="21" fillId="0" borderId="11" xfId="0" quotePrefix="1" applyNumberFormat="1" applyFont="1" applyBorder="1" applyAlignment="1">
      <alignment horizontal="left"/>
    </xf>
    <xf numFmtId="0" fontId="3" fillId="0" borderId="27" xfId="0" applyFont="1" applyBorder="1" applyAlignment="1">
      <alignment horizontal="center" wrapText="1"/>
    </xf>
    <xf numFmtId="0" fontId="43" fillId="2" borderId="57" xfId="0" quotePrefix="1" applyFont="1" applyFill="1" applyBorder="1" applyAlignment="1">
      <alignment horizontal="center"/>
    </xf>
    <xf numFmtId="0" fontId="31" fillId="0" borderId="38" xfId="0" applyFont="1" applyBorder="1" applyAlignment="1">
      <alignment horizontal="center"/>
    </xf>
    <xf numFmtId="14" fontId="31" fillId="0" borderId="39" xfId="0" quotePrefix="1" applyNumberFormat="1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1" fillId="0" borderId="39" xfId="0" applyFont="1" applyBorder="1" applyAlignment="1">
      <alignment horizontal="left" wrapText="1"/>
    </xf>
    <xf numFmtId="0" fontId="31" fillId="0" borderId="39" xfId="0" quotePrefix="1" applyFont="1" applyBorder="1" applyAlignment="1">
      <alignment horizontal="center"/>
    </xf>
    <xf numFmtId="165" fontId="31" fillId="0" borderId="39" xfId="0" applyNumberFormat="1" applyFont="1" applyBorder="1" applyAlignment="1">
      <alignment horizontal="center"/>
    </xf>
    <xf numFmtId="41" fontId="31" fillId="0" borderId="39" xfId="6" applyFont="1" applyBorder="1" applyAlignment="1">
      <alignment horizontal="center"/>
    </xf>
    <xf numFmtId="9" fontId="31" fillId="0" borderId="39" xfId="4" applyNumberFormat="1" applyFont="1" applyBorder="1" applyAlignment="1">
      <alignment horizontal="center"/>
    </xf>
    <xf numFmtId="0" fontId="31" fillId="0" borderId="59" xfId="0" applyFont="1" applyBorder="1"/>
    <xf numFmtId="165" fontId="22" fillId="2" borderId="12" xfId="1" applyNumberFormat="1" applyFont="1" applyFill="1" applyBorder="1"/>
    <xf numFmtId="165" fontId="22" fillId="2" borderId="18" xfId="1" applyNumberFormat="1" applyFont="1" applyFill="1" applyBorder="1"/>
    <xf numFmtId="165" fontId="24" fillId="2" borderId="12" xfId="1" applyNumberFormat="1" applyFont="1" applyFill="1" applyBorder="1" applyAlignment="1">
      <alignment wrapText="1"/>
    </xf>
    <xf numFmtId="165" fontId="75" fillId="2" borderId="1" xfId="1" applyNumberFormat="1" applyFont="1" applyFill="1" applyBorder="1" applyAlignment="1">
      <alignment horizontal="center" vertical="center" wrapText="1"/>
    </xf>
    <xf numFmtId="0" fontId="51" fillId="0" borderId="0" xfId="3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3" fontId="71" fillId="0" borderId="1" xfId="3" applyNumberFormat="1" applyFont="1" applyFill="1" applyBorder="1" applyAlignment="1">
      <alignment horizontal="center" vertical="center" wrapText="1"/>
    </xf>
    <xf numFmtId="0" fontId="50" fillId="0" borderId="0" xfId="3" applyFont="1" applyFill="1" applyAlignment="1">
      <alignment horizontal="center" vertical="center"/>
    </xf>
    <xf numFmtId="165" fontId="19" fillId="2" borderId="36" xfId="0" applyNumberFormat="1" applyFont="1" applyFill="1" applyBorder="1"/>
    <xf numFmtId="0" fontId="31" fillId="2" borderId="23" xfId="0" applyFont="1" applyFill="1" applyBorder="1" applyAlignment="1">
      <alignment horizontal="center"/>
    </xf>
    <xf numFmtId="0" fontId="31" fillId="2" borderId="24" xfId="0" applyFont="1" applyFill="1" applyBorder="1" applyAlignment="1">
      <alignment horizontal="center"/>
    </xf>
    <xf numFmtId="9" fontId="31" fillId="2" borderId="24" xfId="4" applyNumberFormat="1" applyFont="1" applyFill="1" applyBorder="1" applyAlignment="1">
      <alignment horizontal="center"/>
    </xf>
    <xf numFmtId="41" fontId="43" fillId="2" borderId="39" xfId="6" applyFont="1" applyFill="1" applyBorder="1"/>
    <xf numFmtId="165" fontId="73" fillId="2" borderId="12" xfId="1" applyNumberFormat="1" applyFont="1" applyFill="1" applyBorder="1"/>
    <xf numFmtId="165" fontId="92" fillId="0" borderId="55" xfId="0" applyNumberFormat="1" applyFont="1" applyBorder="1" applyAlignment="1"/>
    <xf numFmtId="0" fontId="68" fillId="0" borderId="0" xfId="0" applyFont="1" applyAlignment="1">
      <alignment horizontal="left"/>
    </xf>
    <xf numFmtId="16" fontId="20" fillId="2" borderId="11" xfId="0" quotePrefix="1" applyNumberFormat="1" applyFont="1" applyFill="1" applyBorder="1" applyAlignment="1">
      <alignment horizontal="center"/>
    </xf>
    <xf numFmtId="0" fontId="11" fillId="0" borderId="54" xfId="0" applyFont="1" applyBorder="1" applyAlignment="1">
      <alignment horizontal="center"/>
    </xf>
    <xf numFmtId="16" fontId="20" fillId="2" borderId="20" xfId="0" quotePrefix="1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2" fillId="2" borderId="0" xfId="0" applyFont="1" applyFill="1" applyBorder="1"/>
    <xf numFmtId="165" fontId="42" fillId="0" borderId="1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9" fontId="42" fillId="0" borderId="30" xfId="4" applyFont="1" applyBorder="1" applyAlignment="1">
      <alignment horizontal="center" vertical="center"/>
    </xf>
    <xf numFmtId="41" fontId="42" fillId="0" borderId="1" xfId="6" applyFont="1" applyBorder="1"/>
    <xf numFmtId="9" fontId="42" fillId="0" borderId="30" xfId="4" applyFont="1" applyBorder="1"/>
    <xf numFmtId="0" fontId="43" fillId="2" borderId="74" xfId="0" applyFont="1" applyFill="1" applyBorder="1" applyAlignment="1">
      <alignment wrapText="1"/>
    </xf>
    <xf numFmtId="41" fontId="43" fillId="0" borderId="30" xfId="6" applyFont="1" applyBorder="1" applyAlignment="1">
      <alignment horizontal="center"/>
    </xf>
    <xf numFmtId="0" fontId="0" fillId="0" borderId="21" xfId="0" applyBorder="1"/>
    <xf numFmtId="41" fontId="99" fillId="0" borderId="21" xfId="0" applyNumberFormat="1" applyFont="1" applyBorder="1"/>
    <xf numFmtId="0" fontId="0" fillId="0" borderId="22" xfId="0" applyBorder="1"/>
    <xf numFmtId="165" fontId="102" fillId="2" borderId="12" xfId="0" applyNumberFormat="1" applyFont="1" applyFill="1" applyBorder="1" applyAlignment="1">
      <alignment horizontal="center"/>
    </xf>
    <xf numFmtId="0" fontId="18" fillId="0" borderId="0" xfId="0" applyFont="1" applyBorder="1"/>
    <xf numFmtId="0" fontId="18" fillId="0" borderId="0" xfId="0" quotePrefix="1" applyFont="1" applyBorder="1"/>
    <xf numFmtId="165" fontId="18" fillId="0" borderId="0" xfId="1" applyNumberFormat="1" applyFont="1" applyBorder="1"/>
    <xf numFmtId="16" fontId="47" fillId="0" borderId="0" xfId="0" quotePrefix="1" applyNumberFormat="1" applyFont="1" applyBorder="1"/>
    <xf numFmtId="165" fontId="18" fillId="0" borderId="0" xfId="0" applyNumberFormat="1" applyFont="1" applyBorder="1" applyAlignment="1"/>
    <xf numFmtId="165" fontId="102" fillId="0" borderId="12" xfId="0" applyNumberFormat="1" applyFont="1" applyBorder="1" applyAlignment="1">
      <alignment horizontal="center"/>
    </xf>
    <xf numFmtId="165" fontId="102" fillId="0" borderId="61" xfId="0" applyNumberFormat="1" applyFont="1" applyBorder="1" applyAlignment="1">
      <alignment horizontal="center"/>
    </xf>
    <xf numFmtId="0" fontId="59" fillId="0" borderId="0" xfId="0" applyFont="1" applyAlignment="1"/>
    <xf numFmtId="0" fontId="44" fillId="0" borderId="0" xfId="0" applyFont="1" applyAlignment="1"/>
    <xf numFmtId="166" fontId="40" fillId="0" borderId="0" xfId="1" applyNumberFormat="1" applyFont="1" applyAlignment="1">
      <alignment wrapText="1"/>
    </xf>
    <xf numFmtId="165" fontId="28" fillId="2" borderId="12" xfId="1" applyNumberFormat="1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46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51" fillId="0" borderId="0" xfId="3" applyFont="1" applyFill="1" applyAlignment="1">
      <alignment horizontal="center" vertical="center"/>
    </xf>
    <xf numFmtId="0" fontId="74" fillId="2" borderId="73" xfId="0" applyFont="1" applyFill="1" applyBorder="1" applyAlignment="1">
      <alignment horizontal="center" wrapText="1"/>
    </xf>
    <xf numFmtId="0" fontId="51" fillId="0" borderId="0" xfId="3" applyFont="1" applyFill="1" applyAlignment="1">
      <alignment horizontal="center" vertical="center"/>
    </xf>
    <xf numFmtId="3" fontId="58" fillId="0" borderId="21" xfId="0" applyNumberFormat="1" applyFont="1" applyBorder="1" applyAlignment="1">
      <alignment horizontal="right" wrapText="1"/>
    </xf>
    <xf numFmtId="16" fontId="14" fillId="0" borderId="1" xfId="0" quotePrefix="1" applyNumberFormat="1" applyFont="1" applyBorder="1" applyAlignment="1">
      <alignment horizontal="left"/>
    </xf>
    <xf numFmtId="0" fontId="14" fillId="2" borderId="1" xfId="0" applyFont="1" applyFill="1" applyBorder="1" applyAlignment="1">
      <alignment wrapText="1"/>
    </xf>
    <xf numFmtId="165" fontId="14" fillId="0" borderId="1" xfId="1" applyNumberFormat="1" applyFont="1" applyBorder="1"/>
    <xf numFmtId="41" fontId="43" fillId="2" borderId="77" xfId="6" applyFont="1" applyFill="1" applyBorder="1"/>
    <xf numFmtId="41" fontId="43" fillId="2" borderId="37" xfId="6" applyFont="1" applyFill="1" applyBorder="1"/>
    <xf numFmtId="41" fontId="43" fillId="0" borderId="37" xfId="6" applyFont="1" applyBorder="1"/>
    <xf numFmtId="41" fontId="43" fillId="0" borderId="72" xfId="6" applyFont="1" applyBorder="1"/>
    <xf numFmtId="165" fontId="42" fillId="0" borderId="87" xfId="0" applyNumberFormat="1" applyFont="1" applyBorder="1" applyAlignment="1">
      <alignment horizontal="center"/>
    </xf>
    <xf numFmtId="165" fontId="30" fillId="0" borderId="21" xfId="1" applyNumberFormat="1" applyFont="1" applyBorder="1"/>
    <xf numFmtId="165" fontId="31" fillId="0" borderId="2" xfId="0" applyNumberFormat="1" applyFont="1" applyBorder="1"/>
    <xf numFmtId="165" fontId="31" fillId="0" borderId="3" xfId="1" applyNumberFormat="1" applyFont="1" applyBorder="1"/>
    <xf numFmtId="165" fontId="31" fillId="0" borderId="12" xfId="1" applyNumberFormat="1" applyFont="1" applyBorder="1"/>
    <xf numFmtId="165" fontId="102" fillId="2" borderId="61" xfId="0" applyNumberFormat="1" applyFont="1" applyFill="1" applyBorder="1" applyAlignment="1">
      <alignment horizontal="center"/>
    </xf>
    <xf numFmtId="0" fontId="47" fillId="0" borderId="0" xfId="0" applyFont="1" applyBorder="1" applyAlignment="1"/>
    <xf numFmtId="9" fontId="47" fillId="0" borderId="0" xfId="4" applyNumberFormat="1" applyFont="1" applyBorder="1" applyAlignment="1"/>
    <xf numFmtId="165" fontId="47" fillId="0" borderId="0" xfId="0" applyNumberFormat="1" applyFont="1" applyBorder="1" applyAlignment="1">
      <alignment horizontal="center"/>
    </xf>
    <xf numFmtId="0" fontId="86" fillId="0" borderId="0" xfId="0" applyFont="1" applyBorder="1"/>
    <xf numFmtId="0" fontId="47" fillId="2" borderId="0" xfId="0" applyFont="1" applyFill="1" applyBorder="1"/>
    <xf numFmtId="0" fontId="66" fillId="0" borderId="0" xfId="0" applyFont="1" applyBorder="1" applyAlignment="1">
      <alignment wrapText="1"/>
    </xf>
    <xf numFmtId="41" fontId="46" fillId="0" borderId="0" xfId="6" applyFont="1" applyBorder="1" applyAlignment="1">
      <alignment horizontal="center" vertical="center" wrapText="1"/>
    </xf>
    <xf numFmtId="165" fontId="47" fillId="0" borderId="0" xfId="0" applyNumberFormat="1" applyFont="1" applyBorder="1"/>
    <xf numFmtId="165" fontId="31" fillId="0" borderId="12" xfId="1" applyNumberFormat="1" applyFont="1" applyBorder="1" applyAlignment="1">
      <alignment wrapText="1"/>
    </xf>
    <xf numFmtId="0" fontId="46" fillId="0" borderId="0" xfId="0" applyFont="1" applyBorder="1" applyAlignment="1"/>
    <xf numFmtId="16" fontId="26" fillId="0" borderId="2" xfId="0" quotePrefix="1" applyNumberFormat="1" applyFont="1" applyBorder="1" applyAlignment="1">
      <alignment horizontal="left"/>
    </xf>
    <xf numFmtId="0" fontId="26" fillId="2" borderId="2" xfId="0" applyFont="1" applyFill="1" applyBorder="1" applyAlignment="1">
      <alignment wrapText="1"/>
    </xf>
    <xf numFmtId="165" fontId="26" fillId="0" borderId="2" xfId="1" applyNumberFormat="1" applyFont="1" applyBorder="1"/>
    <xf numFmtId="0" fontId="11" fillId="0" borderId="2" xfId="0" applyFont="1" applyBorder="1"/>
    <xf numFmtId="16" fontId="26" fillId="0" borderId="3" xfId="0" quotePrefix="1" applyNumberFormat="1" applyFont="1" applyBorder="1" applyAlignment="1">
      <alignment horizontal="left"/>
    </xf>
    <xf numFmtId="0" fontId="26" fillId="2" borderId="3" xfId="0" applyFont="1" applyFill="1" applyBorder="1" applyAlignment="1">
      <alignment wrapText="1"/>
    </xf>
    <xf numFmtId="165" fontId="26" fillId="0" borderId="3" xfId="1" applyNumberFormat="1" applyFont="1" applyBorder="1"/>
    <xf numFmtId="0" fontId="11" fillId="0" borderId="3" xfId="0" applyFont="1" applyBorder="1"/>
    <xf numFmtId="16" fontId="26" fillId="0" borderId="12" xfId="0" quotePrefix="1" applyNumberFormat="1" applyFont="1" applyBorder="1" applyAlignment="1">
      <alignment horizontal="left"/>
    </xf>
    <xf numFmtId="165" fontId="26" fillId="0" borderId="12" xfId="1" applyNumberFormat="1" applyFont="1" applyBorder="1"/>
    <xf numFmtId="41" fontId="30" fillId="0" borderId="1" xfId="6" applyFont="1" applyBorder="1" applyAlignment="1">
      <alignment horizontal="center" vertical="center" wrapText="1"/>
    </xf>
    <xf numFmtId="0" fontId="104" fillId="0" borderId="0" xfId="3" applyFont="1" applyFill="1" applyAlignment="1">
      <alignment vertical="center"/>
    </xf>
    <xf numFmtId="0" fontId="73" fillId="0" borderId="0" xfId="3" applyFont="1" applyFill="1" applyAlignment="1">
      <alignment vertical="center"/>
    </xf>
    <xf numFmtId="0" fontId="37" fillId="0" borderId="0" xfId="0" applyFont="1"/>
    <xf numFmtId="165" fontId="37" fillId="0" borderId="0" xfId="0" applyNumberFormat="1" applyFont="1" applyBorder="1" applyAlignment="1">
      <alignment horizontal="center"/>
    </xf>
    <xf numFmtId="165" fontId="37" fillId="0" borderId="0" xfId="0" applyNumberFormat="1" applyFont="1" applyBorder="1" applyAlignment="1">
      <alignment horizontal="center" wrapText="1"/>
    </xf>
    <xf numFmtId="0" fontId="104" fillId="0" borderId="0" xfId="3" applyFont="1" applyFill="1" applyAlignment="1">
      <alignment horizontal="left" vertical="center"/>
    </xf>
    <xf numFmtId="0" fontId="104" fillId="0" borderId="0" xfId="3" applyFont="1" applyFill="1" applyAlignment="1">
      <alignment horizontal="center" vertical="center"/>
    </xf>
    <xf numFmtId="0" fontId="105" fillId="0" borderId="0" xfId="3" applyFont="1" applyFill="1" applyAlignment="1">
      <alignment horizontal="left" vertical="center"/>
    </xf>
    <xf numFmtId="0" fontId="105" fillId="0" borderId="0" xfId="3" applyFont="1" applyFill="1" applyAlignment="1">
      <alignment horizontal="center" vertical="center"/>
    </xf>
    <xf numFmtId="0" fontId="40" fillId="0" borderId="0" xfId="0" applyFont="1" applyAlignment="1">
      <alignment horizontal="center"/>
    </xf>
    <xf numFmtId="165" fontId="75" fillId="2" borderId="1" xfId="1" applyNumberFormat="1" applyFont="1" applyFill="1" applyBorder="1" applyAlignment="1">
      <alignment horizontal="center" vertical="center" wrapText="1"/>
    </xf>
    <xf numFmtId="0" fontId="51" fillId="0" borderId="0" xfId="3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65" fontId="75" fillId="2" borderId="3" xfId="1" applyNumberFormat="1" applyFont="1" applyFill="1" applyBorder="1" applyAlignment="1">
      <alignment horizontal="center" vertical="center" wrapText="1"/>
    </xf>
    <xf numFmtId="0" fontId="43" fillId="2" borderId="18" xfId="0" applyFont="1" applyFill="1" applyBorder="1" applyAlignment="1">
      <alignment horizontal="center"/>
    </xf>
    <xf numFmtId="0" fontId="74" fillId="2" borderId="90" xfId="0" applyFont="1" applyFill="1" applyBorder="1" applyAlignment="1">
      <alignment wrapText="1"/>
    </xf>
    <xf numFmtId="0" fontId="74" fillId="2" borderId="3" xfId="0" applyFont="1" applyFill="1" applyBorder="1" applyAlignment="1">
      <alignment wrapText="1"/>
    </xf>
    <xf numFmtId="165" fontId="46" fillId="0" borderId="3" xfId="0" applyNumberFormat="1" applyFont="1" applyBorder="1"/>
    <xf numFmtId="0" fontId="74" fillId="2" borderId="0" xfId="0" applyFont="1" applyFill="1" applyBorder="1" applyAlignment="1">
      <alignment horizontal="center" wrapText="1"/>
    </xf>
    <xf numFmtId="0" fontId="74" fillId="2" borderId="12" xfId="0" applyFont="1" applyFill="1" applyBorder="1" applyAlignment="1">
      <alignment horizontal="center" wrapText="1"/>
    </xf>
    <xf numFmtId="165" fontId="46" fillId="0" borderId="12" xfId="0" applyNumberFormat="1" applyFont="1" applyBorder="1"/>
    <xf numFmtId="0" fontId="92" fillId="2" borderId="91" xfId="0" applyFont="1" applyFill="1" applyBorder="1"/>
    <xf numFmtId="0" fontId="74" fillId="2" borderId="38" xfId="0" quotePrefix="1" applyFont="1" applyFill="1" applyBorder="1" applyAlignment="1">
      <alignment wrapText="1"/>
    </xf>
    <xf numFmtId="0" fontId="74" fillId="2" borderId="85" xfId="0" applyFont="1" applyFill="1" applyBorder="1" applyAlignment="1">
      <alignment horizontal="center" wrapText="1"/>
    </xf>
    <xf numFmtId="0" fontId="74" fillId="2" borderId="11" xfId="0" applyFont="1" applyFill="1" applyBorder="1" applyAlignment="1">
      <alignment horizontal="center" wrapText="1"/>
    </xf>
    <xf numFmtId="0" fontId="46" fillId="0" borderId="21" xfId="0" applyFont="1" applyBorder="1" applyAlignment="1">
      <alignment horizontal="center"/>
    </xf>
    <xf numFmtId="0" fontId="92" fillId="2" borderId="92" xfId="0" applyFont="1" applyFill="1" applyBorder="1"/>
    <xf numFmtId="0" fontId="92" fillId="2" borderId="41" xfId="0" applyFont="1" applyFill="1" applyBorder="1"/>
    <xf numFmtId="0" fontId="92" fillId="2" borderId="93" xfId="0" applyFont="1" applyFill="1" applyBorder="1"/>
    <xf numFmtId="0" fontId="66" fillId="2" borderId="61" xfId="0" applyFont="1" applyFill="1" applyBorder="1" applyAlignment="1">
      <alignment wrapText="1"/>
    </xf>
    <xf numFmtId="0" fontId="47" fillId="0" borderId="72" xfId="0" applyFont="1" applyBorder="1"/>
    <xf numFmtId="0" fontId="51" fillId="0" borderId="0" xfId="3" applyFont="1" applyFill="1" applyAlignment="1">
      <alignment horizontal="center" vertical="center"/>
    </xf>
    <xf numFmtId="165" fontId="75" fillId="2" borderId="3" xfId="1" applyNumberFormat="1" applyFont="1" applyFill="1" applyBorder="1" applyAlignment="1">
      <alignment horizontal="center" vertical="center" wrapText="1"/>
    </xf>
    <xf numFmtId="3" fontId="22" fillId="0" borderId="40" xfId="0" applyNumberFormat="1" applyFont="1" applyBorder="1" applyAlignment="1">
      <alignment horizontal="right" wrapText="1"/>
    </xf>
    <xf numFmtId="0" fontId="21" fillId="0" borderId="74" xfId="0" applyFont="1" applyBorder="1"/>
    <xf numFmtId="0" fontId="26" fillId="0" borderId="95" xfId="0" applyFont="1" applyBorder="1" applyAlignment="1">
      <alignment horizontal="center"/>
    </xf>
    <xf numFmtId="165" fontId="26" fillId="0" borderId="18" xfId="1" applyNumberFormat="1" applyFont="1" applyBorder="1" applyAlignment="1">
      <alignment horizontal="center"/>
    </xf>
    <xf numFmtId="0" fontId="26" fillId="0" borderId="17" xfId="0" quotePrefix="1" applyFont="1" applyBorder="1" applyAlignment="1">
      <alignment horizontal="left"/>
    </xf>
    <xf numFmtId="0" fontId="21" fillId="0" borderId="71" xfId="0" applyFont="1" applyBorder="1" applyAlignment="1">
      <alignment horizontal="center"/>
    </xf>
    <xf numFmtId="0" fontId="21" fillId="0" borderId="17" xfId="0" quotePrefix="1" applyFont="1" applyBorder="1"/>
    <xf numFmtId="0" fontId="21" fillId="0" borderId="95" xfId="0" applyFont="1" applyBorder="1" applyAlignment="1">
      <alignment horizontal="center"/>
    </xf>
    <xf numFmtId="165" fontId="21" fillId="0" borderId="18" xfId="1" applyNumberFormat="1" applyFont="1" applyBorder="1"/>
    <xf numFmtId="16" fontId="21" fillId="0" borderId="2" xfId="0" quotePrefix="1" applyNumberFormat="1" applyFont="1" applyBorder="1" applyAlignment="1">
      <alignment horizontal="left"/>
    </xf>
    <xf numFmtId="0" fontId="21" fillId="2" borderId="2" xfId="0" applyFont="1" applyFill="1" applyBorder="1" applyAlignment="1">
      <alignment wrapText="1"/>
    </xf>
    <xf numFmtId="165" fontId="21" fillId="0" borderId="2" xfId="1" applyNumberFormat="1" applyFont="1" applyBorder="1"/>
    <xf numFmtId="16" fontId="21" fillId="0" borderId="12" xfId="0" quotePrefix="1" applyNumberFormat="1" applyFont="1" applyBorder="1" applyAlignment="1">
      <alignment horizontal="left"/>
    </xf>
    <xf numFmtId="16" fontId="21" fillId="0" borderId="37" xfId="0" quotePrefix="1" applyNumberFormat="1" applyFont="1" applyBorder="1" applyAlignment="1">
      <alignment horizontal="left"/>
    </xf>
    <xf numFmtId="0" fontId="21" fillId="2" borderId="71" xfId="0" applyFont="1" applyFill="1" applyBorder="1" applyAlignment="1">
      <alignment wrapText="1"/>
    </xf>
    <xf numFmtId="0" fontId="21" fillId="0" borderId="23" xfId="0" quotePrefix="1" applyFont="1" applyBorder="1"/>
    <xf numFmtId="0" fontId="21" fillId="0" borderId="79" xfId="0" applyFont="1" applyBorder="1"/>
    <xf numFmtId="16" fontId="21" fillId="0" borderId="24" xfId="0" quotePrefix="1" applyNumberFormat="1" applyFont="1" applyBorder="1" applyAlignment="1">
      <alignment horizontal="left"/>
    </xf>
    <xf numFmtId="0" fontId="21" fillId="2" borderId="24" xfId="0" applyFont="1" applyFill="1" applyBorder="1" applyAlignment="1">
      <alignment wrapText="1"/>
    </xf>
    <xf numFmtId="3" fontId="22" fillId="0" borderId="3" xfId="0" applyNumberFormat="1" applyFont="1" applyBorder="1" applyAlignment="1">
      <alignment horizontal="right" wrapText="1"/>
    </xf>
    <xf numFmtId="0" fontId="21" fillId="0" borderId="32" xfId="0" applyFont="1" applyBorder="1"/>
    <xf numFmtId="168" fontId="73" fillId="2" borderId="1" xfId="0" applyNumberFormat="1" applyFont="1" applyFill="1" applyBorder="1" applyAlignment="1">
      <alignment horizontal="center" vertical="center"/>
    </xf>
    <xf numFmtId="3" fontId="73" fillId="2" borderId="1" xfId="3" applyNumberFormat="1" applyFont="1" applyFill="1" applyBorder="1" applyAlignment="1">
      <alignment vertical="center"/>
    </xf>
    <xf numFmtId="0" fontId="47" fillId="2" borderId="0" xfId="3" applyFont="1" applyFill="1" applyAlignment="1">
      <alignment vertical="center"/>
    </xf>
    <xf numFmtId="165" fontId="52" fillId="0" borderId="0" xfId="1" applyNumberFormat="1" applyFont="1" applyAlignment="1">
      <alignment horizontal="center" vertical="center" wrapText="1"/>
    </xf>
    <xf numFmtId="165" fontId="83" fillId="0" borderId="0" xfId="1" applyNumberFormat="1" applyFont="1" applyAlignment="1">
      <alignment horizontal="center" vertical="center" wrapText="1"/>
    </xf>
    <xf numFmtId="165" fontId="83" fillId="0" borderId="0" xfId="1" applyNumberFormat="1" applyFont="1"/>
    <xf numFmtId="0" fontId="52" fillId="0" borderId="0" xfId="0" applyFont="1" applyAlignment="1">
      <alignment vertical="center" wrapText="1"/>
    </xf>
    <xf numFmtId="0" fontId="83" fillId="0" borderId="0" xfId="0" applyFont="1" applyAlignment="1">
      <alignment vertical="center" wrapText="1"/>
    </xf>
    <xf numFmtId="165" fontId="46" fillId="2" borderId="72" xfId="0" applyNumberFormat="1" applyFont="1" applyFill="1" applyBorder="1"/>
    <xf numFmtId="0" fontId="47" fillId="3" borderId="61" xfId="0" applyFont="1" applyFill="1" applyBorder="1" applyAlignment="1">
      <alignment wrapText="1"/>
    </xf>
    <xf numFmtId="165" fontId="47" fillId="3" borderId="72" xfId="0" applyNumberFormat="1" applyFont="1" applyFill="1" applyBorder="1"/>
    <xf numFmtId="165" fontId="46" fillId="3" borderId="72" xfId="0" applyNumberFormat="1" applyFont="1" applyFill="1" applyBorder="1"/>
    <xf numFmtId="0" fontId="47" fillId="2" borderId="39" xfId="0" quotePrefix="1" applyFont="1" applyFill="1" applyBorder="1" applyAlignment="1">
      <alignment wrapText="1"/>
    </xf>
    <xf numFmtId="0" fontId="46" fillId="2" borderId="24" xfId="0" applyFont="1" applyFill="1" applyBorder="1" applyAlignment="1">
      <alignment wrapText="1"/>
    </xf>
    <xf numFmtId="0" fontId="47" fillId="2" borderId="24" xfId="0" applyFont="1" applyFill="1" applyBorder="1" applyAlignment="1">
      <alignment wrapText="1"/>
    </xf>
    <xf numFmtId="0" fontId="47" fillId="2" borderId="36" xfId="0" applyFont="1" applyFill="1" applyBorder="1"/>
    <xf numFmtId="0" fontId="47" fillId="2" borderId="12" xfId="0" quotePrefix="1" applyFont="1" applyFill="1" applyBorder="1" applyAlignment="1">
      <alignment wrapText="1"/>
    </xf>
    <xf numFmtId="0" fontId="47" fillId="2" borderId="12" xfId="0" applyFont="1" applyFill="1" applyBorder="1" applyAlignment="1">
      <alignment wrapText="1"/>
    </xf>
    <xf numFmtId="0" fontId="47" fillId="2" borderId="40" xfId="0" applyFont="1" applyFill="1" applyBorder="1" applyAlignment="1">
      <alignment wrapText="1"/>
    </xf>
    <xf numFmtId="0" fontId="47" fillId="2" borderId="18" xfId="0" applyFont="1" applyFill="1" applyBorder="1" applyAlignment="1">
      <alignment wrapText="1"/>
    </xf>
    <xf numFmtId="0" fontId="47" fillId="2" borderId="58" xfId="0" applyFont="1" applyFill="1" applyBorder="1"/>
    <xf numFmtId="0" fontId="47" fillId="2" borderId="73" xfId="0" applyFont="1" applyFill="1" applyBorder="1" applyAlignment="1">
      <alignment wrapText="1"/>
    </xf>
    <xf numFmtId="0" fontId="47" fillId="2" borderId="61" xfId="0" applyFont="1" applyFill="1" applyBorder="1" applyAlignment="1">
      <alignment wrapText="1"/>
    </xf>
    <xf numFmtId="0" fontId="47" fillId="2" borderId="72" xfId="0" applyFont="1" applyFill="1" applyBorder="1"/>
    <xf numFmtId="0" fontId="47" fillId="2" borderId="58" xfId="0" applyFont="1" applyFill="1" applyBorder="1" applyAlignment="1">
      <alignment horizontal="center" wrapText="1"/>
    </xf>
    <xf numFmtId="165" fontId="47" fillId="0" borderId="40" xfId="0" applyNumberFormat="1" applyFont="1" applyBorder="1"/>
    <xf numFmtId="0" fontId="47" fillId="2" borderId="12" xfId="0" applyFont="1" applyFill="1" applyBorder="1" applyAlignment="1">
      <alignment horizontal="center" wrapText="1"/>
    </xf>
    <xf numFmtId="0" fontId="47" fillId="2" borderId="12" xfId="0" applyFont="1" applyFill="1" applyBorder="1"/>
    <xf numFmtId="0" fontId="47" fillId="2" borderId="90" xfId="0" applyFont="1" applyFill="1" applyBorder="1" applyAlignment="1">
      <alignment wrapText="1"/>
    </xf>
    <xf numFmtId="0" fontId="47" fillId="2" borderId="3" xfId="0" applyFont="1" applyFill="1" applyBorder="1" applyAlignment="1">
      <alignment wrapText="1"/>
    </xf>
    <xf numFmtId="0" fontId="47" fillId="2" borderId="81" xfId="0" applyFont="1" applyFill="1" applyBorder="1"/>
    <xf numFmtId="0" fontId="106" fillId="0" borderId="0" xfId="3" applyFont="1" applyFill="1" applyAlignment="1">
      <alignment vertical="center"/>
    </xf>
    <xf numFmtId="0" fontId="75" fillId="0" borderId="0" xfId="0" applyFont="1"/>
    <xf numFmtId="165" fontId="42" fillId="0" borderId="0" xfId="0" applyNumberFormat="1" applyFont="1" applyBorder="1" applyAlignment="1">
      <alignment horizontal="center" wrapText="1"/>
    </xf>
    <xf numFmtId="165" fontId="47" fillId="0" borderId="36" xfId="0" applyNumberFormat="1" applyFont="1" applyBorder="1" applyAlignment="1">
      <alignment wrapText="1"/>
    </xf>
    <xf numFmtId="165" fontId="24" fillId="2" borderId="18" xfId="1" applyNumberFormat="1" applyFont="1" applyFill="1" applyBorder="1" applyAlignment="1">
      <alignment wrapText="1"/>
    </xf>
    <xf numFmtId="165" fontId="20" fillId="0" borderId="12" xfId="0" applyNumberFormat="1" applyFont="1" applyBorder="1"/>
    <xf numFmtId="0" fontId="20" fillId="0" borderId="13" xfId="0" applyFont="1" applyBorder="1"/>
    <xf numFmtId="165" fontId="20" fillId="2" borderId="61" xfId="1" applyNumberFormat="1" applyFont="1" applyFill="1" applyBorder="1"/>
    <xf numFmtId="165" fontId="22" fillId="2" borderId="37" xfId="0" applyNumberFormat="1" applyFont="1" applyFill="1" applyBorder="1"/>
    <xf numFmtId="165" fontId="22" fillId="2" borderId="46" xfId="0" applyNumberFormat="1" applyFont="1" applyFill="1" applyBorder="1"/>
    <xf numFmtId="165" fontId="19" fillId="0" borderId="39" xfId="0" applyNumberFormat="1" applyFont="1" applyBorder="1"/>
    <xf numFmtId="165" fontId="47" fillId="2" borderId="37" xfId="1" applyNumberFormat="1" applyFont="1" applyFill="1" applyBorder="1"/>
    <xf numFmtId="165" fontId="22" fillId="2" borderId="0" xfId="1" applyNumberFormat="1" applyFont="1" applyFill="1" applyBorder="1"/>
    <xf numFmtId="0" fontId="11" fillId="0" borderId="0" xfId="0" quotePrefix="1" applyFont="1"/>
    <xf numFmtId="165" fontId="22" fillId="2" borderId="12" xfId="0" applyNumberFormat="1" applyFont="1" applyFill="1" applyBorder="1"/>
    <xf numFmtId="165" fontId="107" fillId="0" borderId="18" xfId="1" applyNumberFormat="1" applyFont="1" applyBorder="1" applyAlignment="1">
      <alignment horizontal="center"/>
    </xf>
    <xf numFmtId="165" fontId="24" fillId="2" borderId="18" xfId="1" applyNumberFormat="1" applyFont="1" applyFill="1" applyBorder="1"/>
    <xf numFmtId="0" fontId="51" fillId="0" borderId="0" xfId="3" applyFont="1" applyFill="1" applyAlignment="1">
      <alignment horizontal="center" vertical="center"/>
    </xf>
    <xf numFmtId="0" fontId="26" fillId="0" borderId="0" xfId="0" applyFont="1" applyAlignment="1">
      <alignment horizontal="center"/>
    </xf>
    <xf numFmtId="0" fontId="103" fillId="0" borderId="3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8" fontId="73" fillId="2" borderId="11" xfId="0" applyNumberFormat="1" applyFont="1" applyFill="1" applyBorder="1" applyAlignment="1">
      <alignment horizontal="center" vertical="center"/>
    </xf>
    <xf numFmtId="3" fontId="73" fillId="2" borderId="12" xfId="3" applyNumberFormat="1" applyFont="1" applyFill="1" applyBorder="1" applyAlignment="1">
      <alignment horizontal="right" vertical="center"/>
    </xf>
    <xf numFmtId="3" fontId="73" fillId="2" borderId="13" xfId="3" applyNumberFormat="1" applyFont="1" applyFill="1" applyBorder="1" applyAlignment="1">
      <alignment vertical="center"/>
    </xf>
    <xf numFmtId="0" fontId="43" fillId="2" borderId="59" xfId="0" applyFont="1" applyFill="1" applyBorder="1" applyAlignment="1">
      <alignment wrapText="1"/>
    </xf>
    <xf numFmtId="41" fontId="21" fillId="0" borderId="24" xfId="6" quotePrefix="1" applyFont="1" applyBorder="1" applyAlignment="1">
      <alignment horizontal="left" wrapText="1"/>
    </xf>
    <xf numFmtId="0" fontId="21" fillId="0" borderId="0" xfId="0" applyFont="1" applyBorder="1"/>
    <xf numFmtId="0" fontId="11" fillId="0" borderId="57" xfId="0" applyFont="1" applyBorder="1"/>
    <xf numFmtId="0" fontId="11" fillId="0" borderId="40" xfId="0" applyFont="1" applyBorder="1"/>
    <xf numFmtId="0" fontId="37" fillId="0" borderId="0" xfId="0" applyFont="1" applyBorder="1" applyAlignment="1">
      <alignment horizontal="center"/>
    </xf>
    <xf numFmtId="3" fontId="71" fillId="0" borderId="0" xfId="0" applyNumberFormat="1" applyFont="1" applyBorder="1" applyAlignment="1">
      <alignment horizontal="right" wrapText="1"/>
    </xf>
    <xf numFmtId="3" fontId="22" fillId="0" borderId="0" xfId="0" applyNumberFormat="1" applyFont="1" applyBorder="1" applyAlignment="1">
      <alignment horizontal="right" wrapText="1"/>
    </xf>
    <xf numFmtId="0" fontId="25" fillId="0" borderId="28" xfId="0" applyFont="1" applyBorder="1" applyAlignment="1">
      <alignment horizontal="center" vertical="center" wrapText="1"/>
    </xf>
    <xf numFmtId="0" fontId="25" fillId="0" borderId="69" xfId="0" applyFont="1" applyBorder="1" applyAlignment="1">
      <alignment horizontal="center" wrapText="1"/>
    </xf>
    <xf numFmtId="3" fontId="71" fillId="0" borderId="15" xfId="0" applyNumberFormat="1" applyFont="1" applyBorder="1" applyAlignment="1">
      <alignment horizontal="right" wrapText="1"/>
    </xf>
    <xf numFmtId="0" fontId="21" fillId="0" borderId="16" xfId="0" applyFont="1" applyBorder="1"/>
    <xf numFmtId="0" fontId="21" fillId="0" borderId="57" xfId="0" applyFont="1" applyBorder="1"/>
    <xf numFmtId="0" fontId="21" fillId="0" borderId="40" xfId="0" applyFont="1" applyBorder="1"/>
    <xf numFmtId="164" fontId="11" fillId="0" borderId="0" xfId="0" applyNumberFormat="1" applyFont="1"/>
    <xf numFmtId="0" fontId="36" fillId="0" borderId="0" xfId="0" applyFont="1"/>
    <xf numFmtId="0" fontId="34" fillId="0" borderId="22" xfId="0" applyFont="1" applyBorder="1"/>
    <xf numFmtId="164" fontId="34" fillId="0" borderId="48" xfId="0" applyNumberFormat="1" applyFont="1" applyBorder="1"/>
    <xf numFmtId="164" fontId="34" fillId="0" borderId="21" xfId="0" applyNumberFormat="1" applyFont="1" applyBorder="1"/>
    <xf numFmtId="0" fontId="34" fillId="0" borderId="21" xfId="0" applyFont="1" applyBorder="1"/>
    <xf numFmtId="0" fontId="34" fillId="0" borderId="0" xfId="0" applyFont="1"/>
    <xf numFmtId="0" fontId="34" fillId="0" borderId="30" xfId="0" applyFont="1" applyBorder="1"/>
    <xf numFmtId="164" fontId="34" fillId="0" borderId="4" xfId="0" applyNumberFormat="1" applyFont="1" applyBorder="1"/>
    <xf numFmtId="164" fontId="34" fillId="0" borderId="1" xfId="0" applyNumberFormat="1" applyFont="1" applyBorder="1"/>
    <xf numFmtId="0" fontId="34" fillId="0" borderId="1" xfId="0" applyFont="1" applyBorder="1"/>
    <xf numFmtId="14" fontId="43" fillId="2" borderId="60" xfId="0" quotePrefix="1" applyNumberFormat="1" applyFont="1" applyFill="1" applyBorder="1" applyAlignment="1">
      <alignment horizontal="center"/>
    </xf>
    <xf numFmtId="14" fontId="43" fillId="2" borderId="57" xfId="0" quotePrefix="1" applyNumberFormat="1" applyFont="1" applyFill="1" applyBorder="1" applyAlignment="1">
      <alignment horizontal="center"/>
    </xf>
    <xf numFmtId="0" fontId="43" fillId="0" borderId="40" xfId="0" quotePrefix="1" applyFont="1" applyBorder="1" applyAlignment="1">
      <alignment horizontal="left" wrapText="1"/>
    </xf>
    <xf numFmtId="14" fontId="43" fillId="2" borderId="65" xfId="0" quotePrefix="1" applyNumberFormat="1" applyFont="1" applyFill="1" applyBorder="1" applyAlignment="1">
      <alignment horizontal="center"/>
    </xf>
    <xf numFmtId="14" fontId="43" fillId="2" borderId="23" xfId="0" quotePrefix="1" applyNumberFormat="1" applyFont="1" applyFill="1" applyBorder="1" applyAlignment="1">
      <alignment horizontal="center"/>
    </xf>
    <xf numFmtId="41" fontId="43" fillId="0" borderId="24" xfId="6" applyFont="1" applyBorder="1" applyAlignment="1">
      <alignment horizontal="center" wrapText="1"/>
    </xf>
    <xf numFmtId="0" fontId="108" fillId="0" borderId="3" xfId="0" applyFont="1" applyBorder="1" applyAlignment="1">
      <alignment vertical="center" wrapText="1"/>
    </xf>
    <xf numFmtId="9" fontId="43" fillId="0" borderId="24" xfId="0" quotePrefix="1" applyNumberFormat="1" applyFont="1" applyBorder="1" applyAlignment="1">
      <alignment horizontal="center"/>
    </xf>
    <xf numFmtId="9" fontId="43" fillId="0" borderId="24" xfId="0" applyNumberFormat="1" applyFont="1" applyBorder="1" applyAlignment="1">
      <alignment horizontal="left" wrapText="1"/>
    </xf>
    <xf numFmtId="14" fontId="43" fillId="0" borderId="24" xfId="0" applyNumberFormat="1" applyFont="1" applyBorder="1" applyAlignment="1">
      <alignment horizontal="left" wrapText="1"/>
    </xf>
    <xf numFmtId="166" fontId="43" fillId="0" borderId="24" xfId="1" quotePrefix="1" applyNumberFormat="1" applyFont="1" applyBorder="1" applyAlignment="1">
      <alignment horizontal="left" wrapText="1"/>
    </xf>
    <xf numFmtId="166" fontId="43" fillId="0" borderId="24" xfId="1" applyNumberFormat="1" applyFont="1" applyBorder="1" applyAlignment="1">
      <alignment horizontal="left" wrapText="1"/>
    </xf>
    <xf numFmtId="0" fontId="43" fillId="0" borderId="24" xfId="0" quotePrefix="1" applyFont="1" applyBorder="1" applyAlignment="1">
      <alignment horizontal="left" wrapText="1"/>
    </xf>
    <xf numFmtId="164" fontId="43" fillId="0" borderId="3" xfId="0" quotePrefix="1" applyNumberFormat="1" applyFont="1" applyBorder="1" applyAlignment="1">
      <alignment horizontal="center"/>
    </xf>
    <xf numFmtId="166" fontId="43" fillId="0" borderId="3" xfId="0" quotePrefix="1" applyNumberFormat="1" applyFont="1" applyBorder="1" applyAlignment="1">
      <alignment horizontal="center"/>
    </xf>
    <xf numFmtId="164" fontId="43" fillId="0" borderId="3" xfId="0" applyNumberFormat="1" applyFont="1" applyBorder="1" applyAlignment="1">
      <alignment horizontal="left" wrapText="1"/>
    </xf>
    <xf numFmtId="166" fontId="43" fillId="0" borderId="40" xfId="1" applyNumberFormat="1" applyFont="1" applyBorder="1" applyAlignment="1">
      <alignment horizontal="left" wrapText="1"/>
    </xf>
    <xf numFmtId="164" fontId="43" fillId="0" borderId="40" xfId="0" applyNumberFormat="1" applyFont="1" applyBorder="1" applyAlignment="1">
      <alignment horizontal="left" wrapText="1"/>
    </xf>
    <xf numFmtId="41" fontId="43" fillId="0" borderId="58" xfId="6" applyFont="1" applyBorder="1" applyAlignment="1">
      <alignment horizontal="center" wrapText="1"/>
    </xf>
    <xf numFmtId="41" fontId="43" fillId="0" borderId="36" xfId="6" applyFont="1" applyBorder="1" applyAlignment="1">
      <alignment horizontal="center" wrapText="1"/>
    </xf>
    <xf numFmtId="0" fontId="109" fillId="0" borderId="13" xfId="0" applyFont="1" applyBorder="1"/>
    <xf numFmtId="41" fontId="109" fillId="0" borderId="37" xfId="6" applyFont="1" applyBorder="1" applyAlignment="1">
      <alignment horizontal="center"/>
    </xf>
    <xf numFmtId="41" fontId="109" fillId="0" borderId="12" xfId="6" applyFont="1" applyBorder="1" applyAlignment="1">
      <alignment horizontal="center"/>
    </xf>
    <xf numFmtId="0" fontId="109" fillId="0" borderId="12" xfId="0" quotePrefix="1" applyFont="1" applyBorder="1" applyAlignment="1">
      <alignment horizontal="center"/>
    </xf>
    <xf numFmtId="0" fontId="109" fillId="0" borderId="12" xfId="0" applyFont="1" applyBorder="1" applyAlignment="1">
      <alignment horizontal="left" wrapText="1"/>
    </xf>
    <xf numFmtId="14" fontId="109" fillId="2" borderId="11" xfId="0" quotePrefix="1" applyNumberFormat="1" applyFont="1" applyFill="1" applyBorder="1" applyAlignment="1">
      <alignment horizontal="center"/>
    </xf>
    <xf numFmtId="0" fontId="109" fillId="0" borderId="24" xfId="0" applyFont="1" applyBorder="1" applyAlignment="1">
      <alignment horizontal="left" wrapText="1"/>
    </xf>
    <xf numFmtId="14" fontId="109" fillId="2" borderId="23" xfId="0" quotePrefix="1" applyNumberFormat="1" applyFont="1" applyFill="1" applyBorder="1" applyAlignment="1">
      <alignment horizontal="center"/>
    </xf>
    <xf numFmtId="0" fontId="108" fillId="0" borderId="0" xfId="0" applyFont="1"/>
    <xf numFmtId="0" fontId="110" fillId="0" borderId="0" xfId="0" applyFont="1"/>
    <xf numFmtId="0" fontId="103" fillId="0" borderId="3" xfId="0" applyFont="1" applyBorder="1" applyAlignment="1">
      <alignment horizontal="center" wrapText="1"/>
    </xf>
    <xf numFmtId="165" fontId="112" fillId="2" borderId="12" xfId="1" applyNumberFormat="1" applyFont="1" applyFill="1" applyBorder="1"/>
    <xf numFmtId="165" fontId="32" fillId="0" borderId="39" xfId="0" applyNumberFormat="1" applyFont="1" applyBorder="1" applyAlignment="1">
      <alignment horizontal="center"/>
    </xf>
    <xf numFmtId="165" fontId="22" fillId="3" borderId="12" xfId="1" applyNumberFormat="1" applyFont="1" applyFill="1" applyBorder="1"/>
    <xf numFmtId="41" fontId="32" fillId="2" borderId="3" xfId="6" applyFont="1" applyFill="1" applyBorder="1" applyAlignment="1">
      <alignment horizontal="center"/>
    </xf>
    <xf numFmtId="165" fontId="107" fillId="2" borderId="12" xfId="1" applyNumberFormat="1" applyFont="1" applyFill="1" applyBorder="1"/>
    <xf numFmtId="0" fontId="21" fillId="2" borderId="61" xfId="0" applyFont="1" applyFill="1" applyBorder="1" applyAlignment="1">
      <alignment wrapText="1"/>
    </xf>
    <xf numFmtId="165" fontId="24" fillId="2" borderId="61" xfId="1" applyNumberFormat="1" applyFont="1" applyFill="1" applyBorder="1" applyAlignment="1">
      <alignment wrapText="1"/>
    </xf>
    <xf numFmtId="165" fontId="28" fillId="2" borderId="61" xfId="1" applyNumberFormat="1" applyFont="1" applyFill="1" applyBorder="1" applyAlignment="1">
      <alignment wrapText="1"/>
    </xf>
    <xf numFmtId="165" fontId="28" fillId="2" borderId="61" xfId="1" applyNumberFormat="1" applyFont="1" applyFill="1" applyBorder="1"/>
    <xf numFmtId="166" fontId="20" fillId="2" borderId="61" xfId="1" applyNumberFormat="1" applyFont="1" applyFill="1" applyBorder="1" applyAlignment="1">
      <alignment wrapText="1"/>
    </xf>
    <xf numFmtId="165" fontId="19" fillId="0" borderId="12" xfId="0" applyNumberFormat="1" applyFont="1" applyBorder="1"/>
    <xf numFmtId="165" fontId="22" fillId="0" borderId="12" xfId="0" applyNumberFormat="1" applyFont="1" applyBorder="1"/>
    <xf numFmtId="165" fontId="19" fillId="0" borderId="24" xfId="0" applyNumberFormat="1" applyFont="1" applyBorder="1"/>
    <xf numFmtId="16" fontId="20" fillId="2" borderId="1" xfId="0" quotePrefix="1" applyNumberFormat="1" applyFont="1" applyFill="1" applyBorder="1" applyAlignment="1">
      <alignment horizontal="left"/>
    </xf>
    <xf numFmtId="165" fontId="20" fillId="2" borderId="1" xfId="1" applyNumberFormat="1" applyFont="1" applyFill="1" applyBorder="1"/>
    <xf numFmtId="166" fontId="20" fillId="2" borderId="1" xfId="1" applyNumberFormat="1" applyFont="1" applyFill="1" applyBorder="1" applyAlignment="1">
      <alignment wrapText="1"/>
    </xf>
    <xf numFmtId="0" fontId="40" fillId="0" borderId="1" xfId="0" applyFont="1" applyBorder="1"/>
    <xf numFmtId="0" fontId="2" fillId="0" borderId="1" xfId="0" applyFont="1" applyBorder="1"/>
    <xf numFmtId="165" fontId="22" fillId="2" borderId="61" xfId="1" applyNumberFormat="1" applyFont="1" applyFill="1" applyBorder="1"/>
    <xf numFmtId="0" fontId="92" fillId="0" borderId="1" xfId="0" applyFont="1" applyBorder="1" applyAlignment="1">
      <alignment wrapText="1"/>
    </xf>
    <xf numFmtId="165" fontId="92" fillId="0" borderId="1" xfId="0" applyNumberFormat="1" applyFont="1" applyBorder="1" applyAlignment="1">
      <alignment wrapText="1"/>
    </xf>
    <xf numFmtId="0" fontId="20" fillId="2" borderId="18" xfId="0" applyFont="1" applyFill="1" applyBorder="1"/>
    <xf numFmtId="165" fontId="22" fillId="0" borderId="18" xfId="0" applyNumberFormat="1" applyFont="1" applyBorder="1"/>
    <xf numFmtId="165" fontId="71" fillId="2" borderId="1" xfId="1" applyNumberFormat="1" applyFont="1" applyFill="1" applyBorder="1"/>
    <xf numFmtId="16" fontId="20" fillId="2" borderId="3" xfId="0" quotePrefix="1" applyNumberFormat="1" applyFont="1" applyFill="1" applyBorder="1" applyAlignment="1">
      <alignment horizontal="left"/>
    </xf>
    <xf numFmtId="166" fontId="20" fillId="2" borderId="40" xfId="1" applyNumberFormat="1" applyFont="1" applyFill="1" applyBorder="1" applyAlignment="1">
      <alignment wrapText="1"/>
    </xf>
    <xf numFmtId="165" fontId="20" fillId="2" borderId="40" xfId="1" applyNumberFormat="1" applyFont="1" applyFill="1" applyBorder="1"/>
    <xf numFmtId="16" fontId="20" fillId="2" borderId="23" xfId="0" quotePrefix="1" applyNumberFormat="1" applyFont="1" applyFill="1" applyBorder="1" applyAlignment="1">
      <alignment horizontal="left"/>
    </xf>
    <xf numFmtId="165" fontId="22" fillId="2" borderId="40" xfId="1" applyNumberFormat="1" applyFont="1" applyFill="1" applyBorder="1"/>
    <xf numFmtId="165" fontId="2" fillId="0" borderId="1" xfId="1" applyNumberFormat="1" applyFont="1" applyBorder="1"/>
    <xf numFmtId="0" fontId="71" fillId="2" borderId="1" xfId="0" applyFont="1" applyFill="1" applyBorder="1" applyAlignment="1">
      <alignment horizontal="center" wrapText="1"/>
    </xf>
    <xf numFmtId="165" fontId="70" fillId="2" borderId="41" xfId="1" applyNumberFormat="1" applyFont="1" applyFill="1" applyBorder="1"/>
    <xf numFmtId="0" fontId="20" fillId="2" borderId="94" xfId="0" applyFont="1" applyFill="1" applyBorder="1"/>
    <xf numFmtId="165" fontId="27" fillId="2" borderId="61" xfId="1" applyNumberFormat="1" applyFont="1" applyFill="1" applyBorder="1" applyAlignment="1">
      <alignment wrapText="1"/>
    </xf>
    <xf numFmtId="166" fontId="21" fillId="2" borderId="62" xfId="1" applyNumberFormat="1" applyFont="1" applyFill="1" applyBorder="1" applyAlignment="1">
      <alignment wrapText="1"/>
    </xf>
    <xf numFmtId="165" fontId="70" fillId="0" borderId="2" xfId="0" applyNumberFormat="1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9" xfId="0" applyFont="1" applyBorder="1" applyAlignment="1">
      <alignment vertical="center" wrapText="1"/>
    </xf>
    <xf numFmtId="165" fontId="70" fillId="0" borderId="0" xfId="0" applyNumberFormat="1" applyFont="1" applyAlignment="1">
      <alignment vertical="center"/>
    </xf>
    <xf numFmtId="0" fontId="70" fillId="0" borderId="0" xfId="0" applyFont="1" applyAlignment="1">
      <alignment vertical="center"/>
    </xf>
    <xf numFmtId="0" fontId="70" fillId="0" borderId="53" xfId="0" applyFont="1" applyBorder="1" applyAlignment="1">
      <alignment horizontal="left" vertical="center"/>
    </xf>
    <xf numFmtId="0" fontId="70" fillId="0" borderId="7" xfId="0" applyFont="1" applyBorder="1" applyAlignment="1">
      <alignment horizontal="left" vertical="center"/>
    </xf>
    <xf numFmtId="0" fontId="70" fillId="0" borderId="5" xfId="0" applyFont="1" applyBorder="1" applyAlignment="1">
      <alignment horizontal="left" vertical="center"/>
    </xf>
    <xf numFmtId="0" fontId="70" fillId="0" borderId="1" xfId="0" applyFont="1" applyBorder="1"/>
    <xf numFmtId="41" fontId="70" fillId="0" borderId="1" xfId="6" applyFont="1" applyBorder="1"/>
    <xf numFmtId="0" fontId="70" fillId="0" borderId="30" xfId="0" applyFont="1" applyBorder="1" applyAlignment="1">
      <alignment wrapText="1"/>
    </xf>
    <xf numFmtId="0" fontId="28" fillId="0" borderId="0" xfId="0" applyFont="1"/>
    <xf numFmtId="0" fontId="70" fillId="0" borderId="54" xfId="0" applyFont="1" applyBorder="1" applyAlignment="1">
      <alignment horizontal="left"/>
    </xf>
    <xf numFmtId="0" fontId="70" fillId="0" borderId="55" xfId="0" applyFont="1" applyBorder="1" applyAlignment="1">
      <alignment horizontal="left"/>
    </xf>
    <xf numFmtId="0" fontId="70" fillId="0" borderId="56" xfId="0" applyFont="1" applyBorder="1" applyAlignment="1">
      <alignment horizontal="left"/>
    </xf>
    <xf numFmtId="0" fontId="70" fillId="0" borderId="21" xfId="0" applyFont="1" applyBorder="1"/>
    <xf numFmtId="41" fontId="70" fillId="0" borderId="21" xfId="6" applyFont="1" applyBorder="1"/>
    <xf numFmtId="0" fontId="70" fillId="0" borderId="22" xfId="0" applyFont="1" applyBorder="1" applyAlignment="1">
      <alignment wrapText="1"/>
    </xf>
    <xf numFmtId="0" fontId="75" fillId="0" borderId="1" xfId="0" applyFont="1" applyBorder="1"/>
    <xf numFmtId="41" fontId="75" fillId="0" borderId="1" xfId="6" applyFont="1" applyBorder="1"/>
    <xf numFmtId="0" fontId="75" fillId="2" borderId="1" xfId="0" applyFont="1" applyFill="1" applyBorder="1"/>
    <xf numFmtId="9" fontId="75" fillId="0" borderId="30" xfId="4" applyFont="1" applyBorder="1"/>
    <xf numFmtId="0" fontId="43" fillId="0" borderId="100" xfId="0" applyFont="1" applyBorder="1" applyAlignment="1">
      <alignment wrapText="1"/>
    </xf>
    <xf numFmtId="0" fontId="43" fillId="0" borderId="101" xfId="0" applyFont="1" applyBorder="1" applyAlignment="1">
      <alignment wrapText="1"/>
    </xf>
    <xf numFmtId="165" fontId="70" fillId="2" borderId="2" xfId="0" applyNumberFormat="1" applyFont="1" applyFill="1" applyBorder="1" applyAlignment="1">
      <alignment horizontal="center" vertical="center"/>
    </xf>
    <xf numFmtId="0" fontId="70" fillId="0" borderId="9" xfId="0" applyFont="1" applyBorder="1" applyAlignment="1">
      <alignment vertical="center"/>
    </xf>
    <xf numFmtId="165" fontId="70" fillId="2" borderId="1" xfId="0" applyNumberFormat="1" applyFont="1" applyFill="1" applyBorder="1" applyAlignment="1">
      <alignment horizontal="center" vertical="center"/>
    </xf>
    <xf numFmtId="0" fontId="70" fillId="0" borderId="1" xfId="0" applyFont="1" applyBorder="1" applyAlignment="1">
      <alignment horizontal="center" vertical="center"/>
    </xf>
    <xf numFmtId="165" fontId="70" fillId="0" borderId="1" xfId="0" applyNumberFormat="1" applyFont="1" applyBorder="1" applyAlignment="1">
      <alignment horizontal="center" vertical="center"/>
    </xf>
    <xf numFmtId="9" fontId="70" fillId="0" borderId="30" xfId="4" applyFont="1" applyBorder="1" applyAlignment="1">
      <alignment horizontal="center" vertical="center"/>
    </xf>
    <xf numFmtId="0" fontId="70" fillId="2" borderId="1" xfId="0" applyFont="1" applyFill="1" applyBorder="1"/>
    <xf numFmtId="9" fontId="70" fillId="0" borderId="30" xfId="4" applyFont="1" applyBorder="1"/>
    <xf numFmtId="0" fontId="70" fillId="2" borderId="1" xfId="0" applyFont="1" applyFill="1" applyBorder="1" applyAlignment="1">
      <alignment horizontal="center" vertical="center"/>
    </xf>
    <xf numFmtId="9" fontId="70" fillId="2" borderId="30" xfId="4" applyFont="1" applyFill="1" applyBorder="1" applyAlignment="1">
      <alignment horizontal="center" vertical="center"/>
    </xf>
    <xf numFmtId="165" fontId="70" fillId="2" borderId="0" xfId="0" applyNumberFormat="1" applyFont="1" applyFill="1" applyAlignment="1">
      <alignment vertical="center"/>
    </xf>
    <xf numFmtId="0" fontId="70" fillId="2" borderId="0" xfId="0" applyFont="1" applyFill="1" applyAlignment="1">
      <alignment vertical="center"/>
    </xf>
    <xf numFmtId="41" fontId="70" fillId="2" borderId="1" xfId="6" applyFont="1" applyFill="1" applyBorder="1"/>
    <xf numFmtId="9" fontId="70" fillId="2" borderId="30" xfId="4" applyFont="1" applyFill="1" applyBorder="1"/>
    <xf numFmtId="0" fontId="28" fillId="2" borderId="0" xfId="0" applyFont="1" applyFill="1"/>
    <xf numFmtId="41" fontId="43" fillId="2" borderId="74" xfId="0" applyNumberFormat="1" applyFont="1" applyFill="1" applyBorder="1" applyAlignment="1">
      <alignment wrapText="1"/>
    </xf>
    <xf numFmtId="0" fontId="47" fillId="0" borderId="25" xfId="0" applyFont="1" applyBorder="1"/>
    <xf numFmtId="0" fontId="46" fillId="0" borderId="28" xfId="0" applyFont="1" applyBorder="1" applyAlignment="1">
      <alignment horizontal="center" vertical="center"/>
    </xf>
    <xf numFmtId="0" fontId="47" fillId="0" borderId="59" xfId="0" applyFont="1" applyBorder="1"/>
    <xf numFmtId="0" fontId="47" fillId="0" borderId="13" xfId="0" applyFont="1" applyBorder="1"/>
    <xf numFmtId="0" fontId="47" fillId="0" borderId="25" xfId="0" applyFont="1" applyBorder="1" applyAlignment="1">
      <alignment wrapText="1"/>
    </xf>
    <xf numFmtId="0" fontId="47" fillId="0" borderId="13" xfId="0" applyFont="1" applyBorder="1" applyAlignment="1">
      <alignment wrapText="1"/>
    </xf>
    <xf numFmtId="0" fontId="47" fillId="0" borderId="62" xfId="0" applyFont="1" applyBorder="1" applyAlignment="1">
      <alignment wrapText="1"/>
    </xf>
    <xf numFmtId="0" fontId="47" fillId="3" borderId="62" xfId="0" applyFont="1" applyFill="1" applyBorder="1" applyAlignment="1">
      <alignment wrapText="1"/>
    </xf>
    <xf numFmtId="0" fontId="47" fillId="0" borderId="74" xfId="0" applyFont="1" applyBorder="1"/>
    <xf numFmtId="0" fontId="47" fillId="0" borderId="19" xfId="0" applyFont="1" applyBorder="1"/>
    <xf numFmtId="0" fontId="47" fillId="0" borderId="62" xfId="0" applyFont="1" applyBorder="1"/>
    <xf numFmtId="0" fontId="47" fillId="0" borderId="30" xfId="0" applyFont="1" applyBorder="1" applyAlignment="1">
      <alignment wrapText="1"/>
    </xf>
    <xf numFmtId="0" fontId="47" fillId="0" borderId="22" xfId="0" applyFont="1" applyBorder="1" applyAlignment="1"/>
    <xf numFmtId="0" fontId="43" fillId="0" borderId="11" xfId="0" quotePrefix="1" applyFont="1" applyBorder="1"/>
    <xf numFmtId="0" fontId="43" fillId="0" borderId="12" xfId="0" applyFont="1" applyBorder="1"/>
    <xf numFmtId="165" fontId="43" fillId="0" borderId="37" xfId="1" applyNumberFormat="1" applyFont="1" applyBorder="1"/>
    <xf numFmtId="41" fontId="43" fillId="0" borderId="13" xfId="6" applyFont="1" applyBorder="1"/>
    <xf numFmtId="0" fontId="31" fillId="0" borderId="11" xfId="0" quotePrefix="1" applyFont="1" applyBorder="1"/>
    <xf numFmtId="0" fontId="31" fillId="0" borderId="12" xfId="0" applyFont="1" applyBorder="1"/>
    <xf numFmtId="16" fontId="43" fillId="0" borderId="17" xfId="0" quotePrefix="1" applyNumberFormat="1" applyFont="1" applyBorder="1"/>
    <xf numFmtId="0" fontId="43" fillId="0" borderId="18" xfId="0" applyFont="1" applyBorder="1"/>
    <xf numFmtId="165" fontId="43" fillId="0" borderId="46" xfId="1" applyNumberFormat="1" applyFont="1" applyBorder="1"/>
    <xf numFmtId="41" fontId="43" fillId="0" borderId="19" xfId="6" applyFont="1" applyBorder="1"/>
    <xf numFmtId="165" fontId="30" fillId="0" borderId="1" xfId="0" applyNumberFormat="1" applyFont="1" applyBorder="1" applyAlignment="1"/>
    <xf numFmtId="0" fontId="43" fillId="0" borderId="23" xfId="0" quotePrefix="1" applyFont="1" applyBorder="1"/>
    <xf numFmtId="0" fontId="43" fillId="0" borderId="24" xfId="0" applyFont="1" applyBorder="1"/>
    <xf numFmtId="165" fontId="43" fillId="0" borderId="36" xfId="1" applyNumberFormat="1" applyFont="1" applyBorder="1"/>
    <xf numFmtId="41" fontId="43" fillId="0" borderId="25" xfId="6" applyFont="1" applyBorder="1"/>
    <xf numFmtId="165" fontId="30" fillId="0" borderId="86" xfId="0" applyNumberFormat="1" applyFont="1" applyBorder="1" applyAlignment="1"/>
    <xf numFmtId="165" fontId="31" fillId="0" borderId="89" xfId="0" applyNumberFormat="1" applyFont="1" applyBorder="1" applyAlignment="1"/>
    <xf numFmtId="165" fontId="17" fillId="8" borderId="1" xfId="1" applyNumberFormat="1" applyFont="1" applyFill="1" applyBorder="1" applyAlignment="1">
      <alignment vertical="center" wrapText="1"/>
    </xf>
    <xf numFmtId="165" fontId="46" fillId="5" borderId="4" xfId="1" applyNumberFormat="1" applyFont="1" applyFill="1" applyBorder="1" applyAlignment="1">
      <alignment horizontal="center" vertical="center" wrapText="1"/>
    </xf>
    <xf numFmtId="165" fontId="46" fillId="5" borderId="1" xfId="1" applyNumberFormat="1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3" borderId="40" xfId="0" applyFont="1" applyFill="1" applyBorder="1" applyAlignment="1">
      <alignment horizontal="center" vertical="center" wrapText="1"/>
    </xf>
    <xf numFmtId="165" fontId="17" fillId="2" borderId="40" xfId="1" applyNumberFormat="1" applyFont="1" applyFill="1" applyBorder="1" applyAlignment="1">
      <alignment vertical="center" wrapText="1"/>
    </xf>
    <xf numFmtId="165" fontId="46" fillId="2" borderId="58" xfId="1" applyNumberFormat="1" applyFont="1" applyFill="1" applyBorder="1" applyAlignment="1">
      <alignment horizontal="center" vertical="center" wrapText="1"/>
    </xf>
    <xf numFmtId="165" fontId="46" fillId="2" borderId="40" xfId="1" applyNumberFormat="1" applyFont="1" applyFill="1" applyBorder="1" applyAlignment="1">
      <alignment horizontal="center" vertical="center" wrapText="1"/>
    </xf>
    <xf numFmtId="165" fontId="17" fillId="2" borderId="40" xfId="1" applyNumberFormat="1" applyFont="1" applyFill="1" applyBorder="1" applyAlignment="1">
      <alignment horizontal="center" vertical="center" wrapText="1"/>
    </xf>
    <xf numFmtId="166" fontId="17" fillId="2" borderId="74" xfId="1" applyNumberFormat="1" applyFont="1" applyFill="1" applyBorder="1" applyAlignment="1">
      <alignment horizontal="center" vertical="center" wrapText="1"/>
    </xf>
    <xf numFmtId="16" fontId="18" fillId="2" borderId="11" xfId="0" quotePrefix="1" applyNumberFormat="1" applyFont="1" applyFill="1" applyBorder="1" applyAlignment="1">
      <alignment horizontal="left"/>
    </xf>
    <xf numFmtId="165" fontId="19" fillId="2" borderId="12" xfId="1" applyNumberFormat="1" applyFont="1" applyFill="1" applyBorder="1" applyAlignment="1">
      <alignment wrapText="1"/>
    </xf>
    <xf numFmtId="165" fontId="47" fillId="2" borderId="12" xfId="1" applyNumberFormat="1" applyFont="1" applyFill="1" applyBorder="1" applyAlignment="1">
      <alignment wrapText="1"/>
    </xf>
    <xf numFmtId="165" fontId="47" fillId="2" borderId="12" xfId="1" applyNumberFormat="1" applyFont="1" applyFill="1" applyBorder="1"/>
    <xf numFmtId="165" fontId="18" fillId="2" borderId="12" xfId="1" applyNumberFormat="1" applyFont="1" applyFill="1" applyBorder="1"/>
    <xf numFmtId="166" fontId="18" fillId="2" borderId="13" xfId="1" applyNumberFormat="1" applyFont="1" applyFill="1" applyBorder="1" applyAlignment="1">
      <alignment wrapText="1"/>
    </xf>
    <xf numFmtId="166" fontId="18" fillId="2" borderId="12" xfId="1" applyNumberFormat="1" applyFont="1" applyFill="1" applyBorder="1" applyAlignment="1">
      <alignment wrapText="1"/>
    </xf>
    <xf numFmtId="165" fontId="19" fillId="2" borderId="12" xfId="1" applyNumberFormat="1" applyFont="1" applyFill="1" applyBorder="1"/>
    <xf numFmtId="16" fontId="18" fillId="2" borderId="60" xfId="0" quotePrefix="1" applyNumberFormat="1" applyFont="1" applyFill="1" applyBorder="1" applyAlignment="1">
      <alignment horizontal="left"/>
    </xf>
    <xf numFmtId="0" fontId="18" fillId="2" borderId="61" xfId="0" applyFont="1" applyFill="1" applyBorder="1" applyAlignment="1">
      <alignment wrapText="1"/>
    </xf>
    <xf numFmtId="165" fontId="19" fillId="2" borderId="61" xfId="1" applyNumberFormat="1" applyFont="1" applyFill="1" applyBorder="1" applyAlignment="1">
      <alignment wrapText="1"/>
    </xf>
    <xf numFmtId="165" fontId="47" fillId="2" borderId="61" xfId="1" applyNumberFormat="1" applyFont="1" applyFill="1" applyBorder="1" applyAlignment="1">
      <alignment wrapText="1"/>
    </xf>
    <xf numFmtId="165" fontId="47" fillId="2" borderId="61" xfId="1" applyNumberFormat="1" applyFont="1" applyFill="1" applyBorder="1"/>
    <xf numFmtId="165" fontId="18" fillId="2" borderId="61" xfId="1" applyNumberFormat="1" applyFont="1" applyFill="1" applyBorder="1"/>
    <xf numFmtId="166" fontId="47" fillId="2" borderId="61" xfId="1" applyNumberFormat="1" applyFont="1" applyFill="1" applyBorder="1" applyAlignment="1">
      <alignment wrapText="1"/>
    </xf>
    <xf numFmtId="0" fontId="18" fillId="2" borderId="24" xfId="0" quotePrefix="1" applyFont="1" applyFill="1" applyBorder="1" applyAlignment="1">
      <alignment horizontal="left"/>
    </xf>
    <xf numFmtId="0" fontId="46" fillId="3" borderId="24" xfId="0" applyFont="1" applyFill="1" applyBorder="1" applyAlignment="1">
      <alignment horizontal="center" vertical="center" wrapText="1"/>
    </xf>
    <xf numFmtId="165" fontId="18" fillId="2" borderId="24" xfId="1" applyNumberFormat="1" applyFont="1" applyFill="1" applyBorder="1" applyAlignment="1">
      <alignment wrapText="1"/>
    </xf>
    <xf numFmtId="165" fontId="18" fillId="2" borderId="24" xfId="1" applyNumberFormat="1" applyFont="1" applyFill="1" applyBorder="1"/>
    <xf numFmtId="166" fontId="18" fillId="2" borderId="24" xfId="1" applyNumberFormat="1" applyFont="1" applyFill="1" applyBorder="1" applyAlignment="1">
      <alignment wrapText="1"/>
    </xf>
    <xf numFmtId="16" fontId="47" fillId="2" borderId="17" xfId="0" quotePrefix="1" applyNumberFormat="1" applyFont="1" applyFill="1" applyBorder="1" applyAlignment="1">
      <alignment horizontal="left"/>
    </xf>
    <xf numFmtId="165" fontId="47" fillId="2" borderId="18" xfId="1" applyNumberFormat="1" applyFont="1" applyFill="1" applyBorder="1" applyAlignment="1">
      <alignment wrapText="1"/>
    </xf>
    <xf numFmtId="165" fontId="47" fillId="2" borderId="18" xfId="1" applyNumberFormat="1" applyFont="1" applyFill="1" applyBorder="1"/>
    <xf numFmtId="16" fontId="47" fillId="2" borderId="60" xfId="0" quotePrefix="1" applyNumberFormat="1" applyFont="1" applyFill="1" applyBorder="1" applyAlignment="1">
      <alignment horizontal="left"/>
    </xf>
    <xf numFmtId="165" fontId="18" fillId="2" borderId="12" xfId="1" applyNumberFormat="1" applyFont="1" applyFill="1" applyBorder="1" applyAlignment="1">
      <alignment wrapText="1"/>
    </xf>
    <xf numFmtId="165" fontId="19" fillId="2" borderId="18" xfId="1" applyNumberFormat="1" applyFont="1" applyFill="1" applyBorder="1"/>
    <xf numFmtId="165" fontId="19" fillId="2" borderId="18" xfId="1" applyNumberFormat="1" applyFont="1" applyFill="1" applyBorder="1" applyAlignment="1">
      <alignment wrapText="1"/>
    </xf>
    <xf numFmtId="165" fontId="19" fillId="2" borderId="61" xfId="1" applyNumberFormat="1" applyFont="1" applyFill="1" applyBorder="1"/>
    <xf numFmtId="166" fontId="18" fillId="2" borderId="61" xfId="1" applyNumberFormat="1" applyFont="1" applyFill="1" applyBorder="1" applyAlignment="1">
      <alignment wrapText="1"/>
    </xf>
    <xf numFmtId="16" fontId="18" fillId="2" borderId="24" xfId="0" quotePrefix="1" applyNumberFormat="1" applyFont="1" applyFill="1" applyBorder="1"/>
    <xf numFmtId="0" fontId="17" fillId="3" borderId="24" xfId="0" applyFont="1" applyFill="1" applyBorder="1" applyAlignment="1">
      <alignment horizontal="center" vertical="center" wrapText="1"/>
    </xf>
    <xf numFmtId="165" fontId="19" fillId="2" borderId="24" xfId="1" applyNumberFormat="1" applyFont="1" applyFill="1" applyBorder="1"/>
    <xf numFmtId="16" fontId="47" fillId="2" borderId="11" xfId="0" quotePrefix="1" applyNumberFormat="1" applyFont="1" applyFill="1" applyBorder="1" applyAlignment="1">
      <alignment horizontal="left"/>
    </xf>
    <xf numFmtId="165" fontId="19" fillId="2" borderId="37" xfId="0" applyNumberFormat="1" applyFont="1" applyFill="1" applyBorder="1"/>
    <xf numFmtId="165" fontId="19" fillId="2" borderId="46" xfId="0" applyNumberFormat="1" applyFont="1" applyFill="1" applyBorder="1"/>
    <xf numFmtId="165" fontId="19" fillId="2" borderId="12" xfId="0" applyNumberFormat="1" applyFont="1" applyFill="1" applyBorder="1"/>
    <xf numFmtId="0" fontId="47" fillId="2" borderId="61" xfId="0" applyFont="1" applyFill="1" applyBorder="1"/>
    <xf numFmtId="165" fontId="19" fillId="0" borderId="61" xfId="0" applyNumberFormat="1" applyFont="1" applyBorder="1"/>
    <xf numFmtId="16" fontId="47" fillId="2" borderId="12" xfId="0" quotePrefix="1" applyNumberFormat="1" applyFont="1" applyFill="1" applyBorder="1" applyAlignment="1">
      <alignment horizontal="left"/>
    </xf>
    <xf numFmtId="166" fontId="18" fillId="2" borderId="61" xfId="1" applyNumberFormat="1" applyFont="1" applyFill="1" applyBorder="1" applyAlignment="1">
      <alignment vertical="top" wrapText="1"/>
    </xf>
    <xf numFmtId="16" fontId="47" fillId="2" borderId="3" xfId="0" quotePrefix="1" applyNumberFormat="1" applyFont="1" applyFill="1" applyBorder="1" applyAlignment="1">
      <alignment horizontal="left"/>
    </xf>
    <xf numFmtId="166" fontId="18" fillId="2" borderId="24" xfId="1" applyNumberFormat="1" applyFont="1" applyFill="1" applyBorder="1" applyAlignment="1">
      <alignment vertical="top" wrapText="1"/>
    </xf>
    <xf numFmtId="0" fontId="47" fillId="2" borderId="11" xfId="0" quotePrefix="1" applyFont="1" applyFill="1" applyBorder="1" applyAlignment="1">
      <alignment horizontal="left"/>
    </xf>
    <xf numFmtId="166" fontId="47" fillId="2" borderId="13" xfId="1" applyNumberFormat="1" applyFont="1" applyFill="1" applyBorder="1" applyAlignment="1">
      <alignment wrapText="1"/>
    </xf>
    <xf numFmtId="0" fontId="18" fillId="2" borderId="0" xfId="0" applyFont="1" applyFill="1"/>
    <xf numFmtId="165" fontId="18" fillId="0" borderId="0" xfId="0" applyNumberFormat="1" applyFont="1"/>
    <xf numFmtId="166" fontId="47" fillId="2" borderId="13" xfId="1" applyNumberFormat="1" applyFont="1" applyFill="1" applyBorder="1" applyAlignment="1"/>
    <xf numFmtId="165" fontId="19" fillId="2" borderId="0" xfId="1" applyNumberFormat="1" applyFont="1" applyFill="1" applyBorder="1"/>
    <xf numFmtId="0" fontId="47" fillId="2" borderId="0" xfId="0" applyFont="1" applyFill="1"/>
    <xf numFmtId="41" fontId="19" fillId="2" borderId="12" xfId="6" applyFont="1" applyFill="1" applyBorder="1"/>
    <xf numFmtId="165" fontId="18" fillId="2" borderId="18" xfId="1" applyNumberFormat="1" applyFont="1" applyFill="1" applyBorder="1"/>
    <xf numFmtId="0" fontId="47" fillId="2" borderId="37" xfId="0" applyFont="1" applyFill="1" applyBorder="1" applyAlignment="1">
      <alignment wrapText="1"/>
    </xf>
    <xf numFmtId="165" fontId="29" fillId="0" borderId="12" xfId="1" applyNumberFormat="1" applyFont="1" applyBorder="1"/>
    <xf numFmtId="0" fontId="19" fillId="0" borderId="0" xfId="0" applyFont="1"/>
    <xf numFmtId="0" fontId="17" fillId="0" borderId="12" xfId="0" applyFont="1" applyBorder="1" applyAlignment="1"/>
    <xf numFmtId="165" fontId="17" fillId="0" borderId="12" xfId="0" applyNumberFormat="1" applyFont="1" applyBorder="1" applyAlignment="1"/>
    <xf numFmtId="165" fontId="17" fillId="0" borderId="12" xfId="1" applyNumberFormat="1" applyFont="1" applyBorder="1" applyAlignment="1"/>
    <xf numFmtId="165" fontId="17" fillId="0" borderId="12" xfId="1" applyNumberFormat="1" applyFont="1" applyBorder="1" applyAlignment="1">
      <alignment horizontal="center"/>
    </xf>
    <xf numFmtId="165" fontId="113" fillId="0" borderId="12" xfId="1" applyNumberFormat="1" applyFont="1" applyBorder="1"/>
    <xf numFmtId="165" fontId="18" fillId="0" borderId="12" xfId="1" applyNumberFormat="1" applyFont="1" applyBorder="1" applyAlignment="1">
      <alignment wrapText="1"/>
    </xf>
    <xf numFmtId="0" fontId="47" fillId="2" borderId="46" xfId="0" applyFont="1" applyFill="1" applyBorder="1" applyAlignment="1">
      <alignment wrapText="1"/>
    </xf>
    <xf numFmtId="166" fontId="47" fillId="2" borderId="19" xfId="1" applyNumberFormat="1" applyFont="1" applyFill="1" applyBorder="1" applyAlignment="1">
      <alignment wrapText="1"/>
    </xf>
    <xf numFmtId="0" fontId="47" fillId="2" borderId="17" xfId="0" quotePrefix="1" applyFont="1" applyFill="1" applyBorder="1" applyAlignment="1">
      <alignment horizontal="left"/>
    </xf>
    <xf numFmtId="165" fontId="18" fillId="0" borderId="18" xfId="1" applyNumberFormat="1" applyFont="1" applyBorder="1" applyAlignment="1">
      <alignment wrapText="1"/>
    </xf>
    <xf numFmtId="165" fontId="18" fillId="0" borderId="18" xfId="1" applyNumberFormat="1" applyFont="1" applyBorder="1"/>
    <xf numFmtId="165" fontId="17" fillId="0" borderId="1" xfId="1" applyNumberFormat="1" applyFont="1" applyBorder="1" applyAlignment="1">
      <alignment wrapText="1"/>
    </xf>
    <xf numFmtId="0" fontId="18" fillId="0" borderId="1" xfId="0" applyFont="1" applyBorder="1" applyAlignment="1">
      <alignment wrapText="1"/>
    </xf>
    <xf numFmtId="165" fontId="18" fillId="0" borderId="4" xfId="1" applyNumberFormat="1" applyFont="1" applyBorder="1" applyAlignment="1"/>
    <xf numFmtId="165" fontId="18" fillId="0" borderId="7" xfId="1" applyNumberFormat="1" applyFont="1" applyBorder="1" applyAlignment="1"/>
    <xf numFmtId="165" fontId="18" fillId="0" borderId="5" xfId="1" applyNumberFormat="1" applyFont="1" applyBorder="1" applyAlignment="1"/>
    <xf numFmtId="165" fontId="18" fillId="0" borderId="1" xfId="1" applyNumberFormat="1" applyFont="1" applyBorder="1"/>
    <xf numFmtId="165" fontId="30" fillId="5" borderId="35" xfId="1" applyNumberFormat="1" applyFont="1" applyFill="1" applyBorder="1" applyAlignment="1">
      <alignment horizontal="center" vertical="center"/>
    </xf>
    <xf numFmtId="165" fontId="30" fillId="8" borderId="1" xfId="1" applyNumberFormat="1" applyFont="1" applyFill="1" applyBorder="1" applyAlignment="1">
      <alignment vertical="center" wrapText="1"/>
    </xf>
    <xf numFmtId="165" fontId="42" fillId="5" borderId="4" xfId="1" applyNumberFormat="1" applyFont="1" applyFill="1" applyBorder="1" applyAlignment="1">
      <alignment horizontal="center" vertical="center" wrapText="1"/>
    </xf>
    <xf numFmtId="165" fontId="42" fillId="5" borderId="1" xfId="1" applyNumberFormat="1" applyFont="1" applyFill="1" applyBorder="1" applyAlignment="1">
      <alignment horizontal="center" vertical="center" wrapText="1"/>
    </xf>
    <xf numFmtId="16" fontId="31" fillId="0" borderId="23" xfId="0" quotePrefix="1" applyNumberFormat="1" applyFont="1" applyBorder="1"/>
    <xf numFmtId="0" fontId="31" fillId="0" borderId="24" xfId="0" applyFont="1" applyBorder="1" applyAlignment="1">
      <alignment wrapText="1"/>
    </xf>
    <xf numFmtId="165" fontId="31" fillId="0" borderId="24" xfId="1" applyNumberFormat="1" applyFont="1" applyBorder="1"/>
    <xf numFmtId="165" fontId="30" fillId="2" borderId="40" xfId="1" applyNumberFormat="1" applyFont="1" applyFill="1" applyBorder="1" applyAlignment="1">
      <alignment vertical="center" wrapText="1"/>
    </xf>
    <xf numFmtId="165" fontId="30" fillId="2" borderId="24" xfId="1" applyNumberFormat="1" applyFont="1" applyFill="1" applyBorder="1" applyAlignment="1">
      <alignment vertical="center" wrapText="1"/>
    </xf>
    <xf numFmtId="165" fontId="31" fillId="2" borderId="24" xfId="1" applyNumberFormat="1" applyFont="1" applyFill="1" applyBorder="1"/>
    <xf numFmtId="165" fontId="42" fillId="2" borderId="36" xfId="1" applyNumberFormat="1" applyFont="1" applyFill="1" applyBorder="1" applyAlignment="1">
      <alignment horizontal="center" vertical="center" wrapText="1"/>
    </xf>
    <xf numFmtId="166" fontId="30" fillId="2" borderId="25" xfId="1" applyNumberFormat="1" applyFont="1" applyFill="1" applyBorder="1" applyAlignment="1">
      <alignment horizontal="center" vertical="center" wrapText="1"/>
    </xf>
    <xf numFmtId="0" fontId="31" fillId="2" borderId="102" xfId="0" applyFont="1" applyFill="1" applyBorder="1"/>
    <xf numFmtId="0" fontId="31" fillId="0" borderId="12" xfId="0" quotePrefix="1" applyFont="1" applyBorder="1" applyAlignment="1">
      <alignment horizontal="left"/>
    </xf>
    <xf numFmtId="0" fontId="31" fillId="0" borderId="12" xfId="0" applyFont="1" applyBorder="1" applyAlignment="1">
      <alignment wrapText="1"/>
    </xf>
    <xf numFmtId="165" fontId="31" fillId="2" borderId="12" xfId="1" applyNumberFormat="1" applyFont="1" applyFill="1" applyBorder="1"/>
    <xf numFmtId="165" fontId="30" fillId="2" borderId="12" xfId="1" applyNumberFormat="1" applyFont="1" applyFill="1" applyBorder="1" applyAlignment="1">
      <alignment vertical="center" wrapText="1"/>
    </xf>
    <xf numFmtId="165" fontId="42" fillId="2" borderId="37" xfId="1" applyNumberFormat="1" applyFont="1" applyFill="1" applyBorder="1" applyAlignment="1">
      <alignment horizontal="center" vertical="center" wrapText="1"/>
    </xf>
    <xf numFmtId="166" fontId="30" fillId="2" borderId="13" xfId="1" applyNumberFormat="1" applyFont="1" applyFill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left"/>
    </xf>
    <xf numFmtId="0" fontId="31" fillId="3" borderId="12" xfId="0" applyFont="1" applyFill="1" applyBorder="1" applyAlignment="1">
      <alignment wrapText="1"/>
    </xf>
    <xf numFmtId="165" fontId="31" fillId="3" borderId="12" xfId="1" applyNumberFormat="1" applyFont="1" applyFill="1" applyBorder="1"/>
    <xf numFmtId="165" fontId="30" fillId="2" borderId="12" xfId="1" applyNumberFormat="1" applyFont="1" applyFill="1" applyBorder="1"/>
    <xf numFmtId="0" fontId="31" fillId="2" borderId="12" xfId="0" quotePrefix="1" applyFont="1" applyFill="1" applyBorder="1" applyAlignment="1">
      <alignment horizontal="left"/>
    </xf>
    <xf numFmtId="0" fontId="43" fillId="2" borderId="12" xfId="0" applyFont="1" applyFill="1" applyBorder="1" applyAlignment="1">
      <alignment wrapText="1"/>
    </xf>
    <xf numFmtId="165" fontId="31" fillId="2" borderId="12" xfId="1" applyNumberFormat="1" applyFont="1" applyFill="1" applyBorder="1" applyAlignment="1">
      <alignment wrapText="1"/>
    </xf>
    <xf numFmtId="0" fontId="31" fillId="0" borderId="12" xfId="0" quotePrefix="1" applyFont="1" applyBorder="1" applyAlignment="1">
      <alignment horizontal="left" wrapText="1"/>
    </xf>
    <xf numFmtId="16" fontId="31" fillId="2" borderId="12" xfId="0" quotePrefix="1" applyNumberFormat="1" applyFont="1" applyFill="1" applyBorder="1"/>
    <xf numFmtId="165" fontId="32" fillId="2" borderId="12" xfId="1" applyNumberFormat="1" applyFont="1" applyFill="1" applyBorder="1"/>
    <xf numFmtId="0" fontId="31" fillId="0" borderId="12" xfId="0" applyFont="1" applyBorder="1" applyAlignment="1">
      <alignment horizontal="left" vertical="center" wrapText="1"/>
    </xf>
    <xf numFmtId="0" fontId="31" fillId="2" borderId="12" xfId="0" applyFont="1" applyFill="1" applyBorder="1" applyAlignment="1">
      <alignment wrapText="1"/>
    </xf>
    <xf numFmtId="0" fontId="31" fillId="2" borderId="12" xfId="0" applyFont="1" applyFill="1" applyBorder="1"/>
    <xf numFmtId="0" fontId="43" fillId="2" borderId="12" xfId="0" quotePrefix="1" applyFont="1" applyFill="1" applyBorder="1" applyAlignment="1">
      <alignment horizontal="left"/>
    </xf>
    <xf numFmtId="165" fontId="31" fillId="2" borderId="12" xfId="1" applyNumberFormat="1" applyFont="1" applyFill="1" applyBorder="1" applyAlignment="1">
      <alignment horizontal="left" wrapText="1"/>
    </xf>
    <xf numFmtId="0" fontId="31" fillId="0" borderId="12" xfId="0" applyFont="1" applyBorder="1" applyAlignment="1">
      <alignment vertical="center" wrapText="1"/>
    </xf>
    <xf numFmtId="0" fontId="31" fillId="2" borderId="12" xfId="0" quotePrefix="1" applyFont="1" applyFill="1" applyBorder="1" applyAlignment="1">
      <alignment horizontal="left" wrapText="1"/>
    </xf>
    <xf numFmtId="16" fontId="31" fillId="2" borderId="12" xfId="0" quotePrefix="1" applyNumberFormat="1" applyFont="1" applyFill="1" applyBorder="1" applyAlignment="1">
      <alignment horizontal="left"/>
    </xf>
    <xf numFmtId="16" fontId="43" fillId="2" borderId="12" xfId="0" quotePrefix="1" applyNumberFormat="1" applyFont="1" applyFill="1" applyBorder="1" applyAlignment="1">
      <alignment horizontal="left"/>
    </xf>
    <xf numFmtId="16" fontId="43" fillId="2" borderId="12" xfId="0" quotePrefix="1" applyNumberFormat="1" applyFont="1" applyFill="1" applyBorder="1"/>
    <xf numFmtId="16" fontId="43" fillId="2" borderId="12" xfId="0" quotePrefix="1" applyNumberFormat="1" applyFont="1" applyFill="1" applyBorder="1" applyAlignment="1">
      <alignment wrapText="1"/>
    </xf>
    <xf numFmtId="165" fontId="43" fillId="2" borderId="12" xfId="1" applyNumberFormat="1" applyFont="1" applyFill="1" applyBorder="1"/>
    <xf numFmtId="165" fontId="32" fillId="0" borderId="12" xfId="1" applyNumberFormat="1" applyFont="1" applyBorder="1"/>
    <xf numFmtId="0" fontId="32" fillId="3" borderId="12" xfId="0" applyFont="1" applyFill="1" applyBorder="1" applyAlignment="1">
      <alignment wrapText="1"/>
    </xf>
    <xf numFmtId="165" fontId="31" fillId="2" borderId="12" xfId="1" applyNumberFormat="1" applyFont="1" applyFill="1" applyBorder="1" applyAlignment="1">
      <alignment horizontal="center" wrapText="1"/>
    </xf>
    <xf numFmtId="165" fontId="30" fillId="0" borderId="12" xfId="1" applyNumberFormat="1" applyFont="1" applyBorder="1"/>
    <xf numFmtId="165" fontId="33" fillId="2" borderId="12" xfId="1" applyNumberFormat="1" applyFont="1" applyFill="1" applyBorder="1"/>
    <xf numFmtId="166" fontId="31" fillId="2" borderId="13" xfId="1" applyNumberFormat="1" applyFont="1" applyFill="1" applyBorder="1" applyAlignment="1">
      <alignment horizontal="center" vertical="center" wrapText="1"/>
    </xf>
    <xf numFmtId="16" fontId="31" fillId="0" borderId="12" xfId="0" quotePrefix="1" applyNumberFormat="1" applyFont="1" applyBorder="1"/>
    <xf numFmtId="41" fontId="32" fillId="0" borderId="12" xfId="6" applyFont="1" applyBorder="1"/>
    <xf numFmtId="0" fontId="31" fillId="0" borderId="12" xfId="0" quotePrefix="1" applyFont="1" applyBorder="1"/>
    <xf numFmtId="0" fontId="43" fillId="3" borderId="12" xfId="0" applyFont="1" applyFill="1" applyBorder="1" applyAlignment="1">
      <alignment wrapText="1"/>
    </xf>
    <xf numFmtId="165" fontId="43" fillId="3" borderId="12" xfId="1" applyNumberFormat="1" applyFont="1" applyFill="1" applyBorder="1" applyAlignment="1">
      <alignment horizontal="center" wrapText="1"/>
    </xf>
    <xf numFmtId="165" fontId="43" fillId="3" borderId="12" xfId="1" applyNumberFormat="1" applyFont="1" applyFill="1" applyBorder="1"/>
    <xf numFmtId="0" fontId="32" fillId="2" borderId="12" xfId="0" quotePrefix="1" applyFont="1" applyFill="1" applyBorder="1" applyAlignment="1">
      <alignment horizontal="left"/>
    </xf>
    <xf numFmtId="0" fontId="43" fillId="0" borderId="12" xfId="0" applyFont="1" applyBorder="1" applyAlignment="1">
      <alignment wrapText="1"/>
    </xf>
    <xf numFmtId="3" fontId="31" fillId="0" borderId="12" xfId="0" applyNumberFormat="1" applyFont="1" applyBorder="1"/>
    <xf numFmtId="0" fontId="31" fillId="2" borderId="17" xfId="0" quotePrefix="1" applyFont="1" applyFill="1" applyBorder="1" applyAlignment="1">
      <alignment horizontal="left"/>
    </xf>
    <xf numFmtId="0" fontId="31" fillId="0" borderId="18" xfId="0" applyFont="1" applyBorder="1" applyAlignment="1">
      <alignment wrapText="1"/>
    </xf>
    <xf numFmtId="165" fontId="31" fillId="2" borderId="18" xfId="1" applyNumberFormat="1" applyFont="1" applyFill="1" applyBorder="1"/>
    <xf numFmtId="165" fontId="30" fillId="2" borderId="18" xfId="1" applyNumberFormat="1" applyFont="1" applyFill="1" applyBorder="1" applyAlignment="1">
      <alignment vertical="center" wrapText="1"/>
    </xf>
    <xf numFmtId="165" fontId="31" fillId="0" borderId="18" xfId="1" applyNumberFormat="1" applyFont="1" applyBorder="1"/>
    <xf numFmtId="165" fontId="30" fillId="2" borderId="1" xfId="1" applyNumberFormat="1" applyFont="1" applyFill="1" applyBorder="1" applyAlignment="1">
      <alignment vertical="center" wrapText="1"/>
    </xf>
    <xf numFmtId="166" fontId="30" fillId="2" borderId="1" xfId="1" applyNumberFormat="1" applyFont="1" applyFill="1" applyBorder="1" applyAlignment="1">
      <alignment horizontal="center" vertical="center" wrapText="1"/>
    </xf>
    <xf numFmtId="0" fontId="30" fillId="3" borderId="40" xfId="0" applyFont="1" applyFill="1" applyBorder="1" applyAlignment="1">
      <alignment horizontal="center" vertical="center" wrapText="1"/>
    </xf>
    <xf numFmtId="165" fontId="42" fillId="2" borderId="58" xfId="1" applyNumberFormat="1" applyFont="1" applyFill="1" applyBorder="1" applyAlignment="1">
      <alignment horizontal="center" vertical="center" wrapText="1"/>
    </xf>
    <xf numFmtId="165" fontId="42" fillId="2" borderId="40" xfId="1" applyNumberFormat="1" applyFont="1" applyFill="1" applyBorder="1" applyAlignment="1">
      <alignment horizontal="center" vertical="center" wrapText="1"/>
    </xf>
    <xf numFmtId="165" fontId="30" fillId="2" borderId="40" xfId="1" applyNumberFormat="1" applyFont="1" applyFill="1" applyBorder="1" applyAlignment="1">
      <alignment horizontal="center" vertical="center" wrapText="1"/>
    </xf>
    <xf numFmtId="165" fontId="30" fillId="2" borderId="58" xfId="1" applyNumberFormat="1" applyFont="1" applyFill="1" applyBorder="1" applyAlignment="1">
      <alignment horizontal="center" vertical="center" wrapText="1"/>
    </xf>
    <xf numFmtId="166" fontId="30" fillId="2" borderId="74" xfId="1" applyNumberFormat="1" applyFont="1" applyFill="1" applyBorder="1" applyAlignment="1">
      <alignment horizontal="center" vertical="center" wrapText="1"/>
    </xf>
    <xf numFmtId="16" fontId="31" fillId="2" borderId="11" xfId="0" quotePrefix="1" applyNumberFormat="1" applyFont="1" applyFill="1" applyBorder="1" applyAlignment="1">
      <alignment horizontal="left"/>
    </xf>
    <xf numFmtId="165" fontId="32" fillId="2" borderId="12" xfId="1" applyNumberFormat="1" applyFont="1" applyFill="1" applyBorder="1" applyAlignment="1">
      <alignment wrapText="1"/>
    </xf>
    <xf numFmtId="165" fontId="43" fillId="2" borderId="12" xfId="1" applyNumberFormat="1" applyFont="1" applyFill="1" applyBorder="1" applyAlignment="1">
      <alignment wrapText="1"/>
    </xf>
    <xf numFmtId="165" fontId="31" fillId="2" borderId="37" xfId="1" applyNumberFormat="1" applyFont="1" applyFill="1" applyBorder="1"/>
    <xf numFmtId="166" fontId="31" fillId="2" borderId="13" xfId="1" applyNumberFormat="1" applyFont="1" applyFill="1" applyBorder="1" applyAlignment="1">
      <alignment wrapText="1"/>
    </xf>
    <xf numFmtId="166" fontId="31" fillId="2" borderId="12" xfId="1" applyNumberFormat="1" applyFont="1" applyFill="1" applyBorder="1" applyAlignment="1">
      <alignment wrapText="1"/>
    </xf>
    <xf numFmtId="16" fontId="31" fillId="2" borderId="60" xfId="0" quotePrefix="1" applyNumberFormat="1" applyFont="1" applyFill="1" applyBorder="1" applyAlignment="1">
      <alignment horizontal="left"/>
    </xf>
    <xf numFmtId="0" fontId="31" fillId="2" borderId="61" xfId="0" applyFont="1" applyFill="1" applyBorder="1" applyAlignment="1">
      <alignment wrapText="1"/>
    </xf>
    <xf numFmtId="165" fontId="32" fillId="2" borderId="61" xfId="1" applyNumberFormat="1" applyFont="1" applyFill="1" applyBorder="1" applyAlignment="1">
      <alignment wrapText="1"/>
    </xf>
    <xf numFmtId="165" fontId="43" fillId="2" borderId="61" xfId="1" applyNumberFormat="1" applyFont="1" applyFill="1" applyBorder="1" applyAlignment="1">
      <alignment wrapText="1"/>
    </xf>
    <xf numFmtId="165" fontId="43" fillId="2" borderId="61" xfId="1" applyNumberFormat="1" applyFont="1" applyFill="1" applyBorder="1"/>
    <xf numFmtId="165" fontId="31" fillId="2" borderId="61" xfId="1" applyNumberFormat="1" applyFont="1" applyFill="1" applyBorder="1"/>
    <xf numFmtId="166" fontId="43" fillId="2" borderId="61" xfId="1" applyNumberFormat="1" applyFont="1" applyFill="1" applyBorder="1" applyAlignment="1">
      <alignment wrapText="1"/>
    </xf>
    <xf numFmtId="0" fontId="31" fillId="2" borderId="24" xfId="0" quotePrefix="1" applyFont="1" applyFill="1" applyBorder="1" applyAlignment="1">
      <alignment horizontal="left"/>
    </xf>
    <xf numFmtId="0" fontId="42" fillId="3" borderId="24" xfId="0" applyFont="1" applyFill="1" applyBorder="1" applyAlignment="1">
      <alignment horizontal="center" vertical="center" wrapText="1"/>
    </xf>
    <xf numFmtId="165" fontId="31" fillId="2" borderId="24" xfId="1" applyNumberFormat="1" applyFont="1" applyFill="1" applyBorder="1" applyAlignment="1">
      <alignment wrapText="1"/>
    </xf>
    <xf numFmtId="166" fontId="31" fillId="2" borderId="24" xfId="1" applyNumberFormat="1" applyFont="1" applyFill="1" applyBorder="1" applyAlignment="1">
      <alignment wrapText="1"/>
    </xf>
    <xf numFmtId="16" fontId="43" fillId="2" borderId="17" xfId="0" quotePrefix="1" applyNumberFormat="1" applyFont="1" applyFill="1" applyBorder="1" applyAlignment="1">
      <alignment horizontal="left"/>
    </xf>
    <xf numFmtId="0" fontId="43" fillId="2" borderId="18" xfId="0" applyFont="1" applyFill="1" applyBorder="1" applyAlignment="1">
      <alignment wrapText="1"/>
    </xf>
    <xf numFmtId="165" fontId="43" fillId="2" borderId="18" xfId="1" applyNumberFormat="1" applyFont="1" applyFill="1" applyBorder="1" applyAlignment="1">
      <alignment wrapText="1"/>
    </xf>
    <xf numFmtId="165" fontId="43" fillId="2" borderId="18" xfId="1" applyNumberFormat="1" applyFont="1" applyFill="1" applyBorder="1"/>
    <xf numFmtId="16" fontId="43" fillId="2" borderId="60" xfId="0" quotePrefix="1" applyNumberFormat="1" applyFont="1" applyFill="1" applyBorder="1" applyAlignment="1">
      <alignment horizontal="left"/>
    </xf>
    <xf numFmtId="0" fontId="43" fillId="2" borderId="61" xfId="0" applyFont="1" applyFill="1" applyBorder="1" applyAlignment="1">
      <alignment wrapText="1"/>
    </xf>
    <xf numFmtId="165" fontId="32" fillId="2" borderId="18" xfId="1" applyNumberFormat="1" applyFont="1" applyFill="1" applyBorder="1"/>
    <xf numFmtId="165" fontId="31" fillId="2" borderId="61" xfId="1" applyNumberFormat="1" applyFont="1" applyFill="1" applyBorder="1" applyAlignment="1">
      <alignment wrapText="1"/>
    </xf>
    <xf numFmtId="165" fontId="32" fillId="2" borderId="61" xfId="1" applyNumberFormat="1" applyFont="1" applyFill="1" applyBorder="1"/>
    <xf numFmtId="166" fontId="31" fillId="2" borderId="61" xfId="1" applyNumberFormat="1" applyFont="1" applyFill="1" applyBorder="1" applyAlignment="1">
      <alignment wrapText="1"/>
    </xf>
    <xf numFmtId="165" fontId="32" fillId="2" borderId="18" xfId="1" applyNumberFormat="1" applyFont="1" applyFill="1" applyBorder="1" applyAlignment="1">
      <alignment wrapText="1"/>
    </xf>
    <xf numFmtId="166" fontId="31" fillId="2" borderId="18" xfId="1" applyNumberFormat="1" applyFont="1" applyFill="1" applyBorder="1" applyAlignment="1">
      <alignment wrapText="1"/>
    </xf>
    <xf numFmtId="16" fontId="31" fillId="2" borderId="24" xfId="0" quotePrefix="1" applyNumberFormat="1" applyFont="1" applyFill="1" applyBorder="1"/>
    <xf numFmtId="0" fontId="30" fillId="3" borderId="24" xfId="0" applyFont="1" applyFill="1" applyBorder="1" applyAlignment="1">
      <alignment horizontal="center" vertical="center" wrapText="1"/>
    </xf>
    <xf numFmtId="165" fontId="32" fillId="2" borderId="24" xfId="1" applyNumberFormat="1" applyFont="1" applyFill="1" applyBorder="1"/>
    <xf numFmtId="16" fontId="43" fillId="2" borderId="11" xfId="0" quotePrefix="1" applyNumberFormat="1" applyFont="1" applyFill="1" applyBorder="1" applyAlignment="1">
      <alignment horizontal="left"/>
    </xf>
    <xf numFmtId="165" fontId="32" fillId="2" borderId="37" xfId="0" applyNumberFormat="1" applyFont="1" applyFill="1" applyBorder="1"/>
    <xf numFmtId="0" fontId="43" fillId="2" borderId="12" xfId="0" applyFont="1" applyFill="1" applyBorder="1"/>
    <xf numFmtId="165" fontId="32" fillId="2" borderId="46" xfId="0" applyNumberFormat="1" applyFont="1" applyFill="1" applyBorder="1"/>
    <xf numFmtId="165" fontId="43" fillId="0" borderId="12" xfId="0" applyNumberFormat="1" applyFont="1" applyBorder="1"/>
    <xf numFmtId="165" fontId="32" fillId="2" borderId="12" xfId="0" applyNumberFormat="1" applyFont="1" applyFill="1" applyBorder="1"/>
    <xf numFmtId="165" fontId="32" fillId="0" borderId="12" xfId="0" applyNumberFormat="1" applyFont="1" applyBorder="1"/>
    <xf numFmtId="0" fontId="43" fillId="2" borderId="61" xfId="0" applyFont="1" applyFill="1" applyBorder="1"/>
    <xf numFmtId="165" fontId="32" fillId="0" borderId="61" xfId="0" applyNumberFormat="1" applyFont="1" applyBorder="1"/>
    <xf numFmtId="166" fontId="31" fillId="2" borderId="61" xfId="1" applyNumberFormat="1" applyFont="1" applyFill="1" applyBorder="1" applyAlignment="1">
      <alignment vertical="top" wrapText="1"/>
    </xf>
    <xf numFmtId="16" fontId="43" fillId="2" borderId="3" xfId="0" quotePrefix="1" applyNumberFormat="1" applyFont="1" applyFill="1" applyBorder="1" applyAlignment="1">
      <alignment horizontal="left"/>
    </xf>
    <xf numFmtId="0" fontId="43" fillId="2" borderId="3" xfId="0" applyFont="1" applyFill="1" applyBorder="1" applyAlignment="1">
      <alignment wrapText="1"/>
    </xf>
    <xf numFmtId="166" fontId="31" fillId="2" borderId="24" xfId="1" applyNumberFormat="1" applyFont="1" applyFill="1" applyBorder="1" applyAlignment="1">
      <alignment vertical="top" wrapText="1"/>
    </xf>
    <xf numFmtId="0" fontId="43" fillId="2" borderId="11" xfId="0" quotePrefix="1" applyFont="1" applyFill="1" applyBorder="1" applyAlignment="1">
      <alignment horizontal="left"/>
    </xf>
    <xf numFmtId="165" fontId="43" fillId="2" borderId="37" xfId="1" applyNumberFormat="1" applyFont="1" applyFill="1" applyBorder="1"/>
    <xf numFmtId="166" fontId="43" fillId="2" borderId="13" xfId="1" applyNumberFormat="1" applyFont="1" applyFill="1" applyBorder="1" applyAlignment="1">
      <alignment wrapText="1"/>
    </xf>
    <xf numFmtId="0" fontId="31" fillId="2" borderId="0" xfId="0" applyFont="1" applyFill="1"/>
    <xf numFmtId="165" fontId="32" fillId="2" borderId="37" xfId="1" applyNumberFormat="1" applyFont="1" applyFill="1" applyBorder="1"/>
    <xf numFmtId="165" fontId="31" fillId="0" borderId="0" xfId="0" applyNumberFormat="1" applyFont="1"/>
    <xf numFmtId="166" fontId="43" fillId="2" borderId="13" xfId="1" applyNumberFormat="1" applyFont="1" applyFill="1" applyBorder="1" applyAlignment="1"/>
    <xf numFmtId="165" fontId="32" fillId="2" borderId="0" xfId="1" applyNumberFormat="1" applyFont="1" applyFill="1" applyBorder="1"/>
    <xf numFmtId="41" fontId="32" fillId="2" borderId="12" xfId="6" applyFont="1" applyFill="1" applyBorder="1"/>
    <xf numFmtId="0" fontId="43" fillId="2" borderId="37" xfId="0" applyFont="1" applyFill="1" applyBorder="1" applyAlignment="1">
      <alignment wrapText="1"/>
    </xf>
    <xf numFmtId="165" fontId="33" fillId="0" borderId="12" xfId="1" applyNumberFormat="1" applyFont="1" applyBorder="1"/>
    <xf numFmtId="0" fontId="32" fillId="0" borderId="0" xfId="0" applyFont="1"/>
    <xf numFmtId="0" fontId="30" fillId="0" borderId="12" xfId="0" applyFont="1" applyBorder="1" applyAlignment="1"/>
    <xf numFmtId="165" fontId="30" fillId="0" borderId="12" xfId="0" applyNumberFormat="1" applyFont="1" applyBorder="1" applyAlignment="1"/>
    <xf numFmtId="165" fontId="30" fillId="0" borderId="12" xfId="1" applyNumberFormat="1" applyFont="1" applyBorder="1" applyAlignment="1"/>
    <xf numFmtId="165" fontId="30" fillId="0" borderId="12" xfId="1" applyNumberFormat="1" applyFont="1" applyBorder="1" applyAlignment="1">
      <alignment horizontal="center"/>
    </xf>
    <xf numFmtId="165" fontId="114" fillId="0" borderId="12" xfId="1" applyNumberFormat="1" applyFont="1" applyBorder="1"/>
    <xf numFmtId="0" fontId="43" fillId="2" borderId="46" xfId="0" applyFont="1" applyFill="1" applyBorder="1" applyAlignment="1">
      <alignment wrapText="1"/>
    </xf>
    <xf numFmtId="165" fontId="43" fillId="2" borderId="46" xfId="1" applyNumberFormat="1" applyFont="1" applyFill="1" applyBorder="1"/>
    <xf numFmtId="166" fontId="43" fillId="2" borderId="19" xfId="1" applyNumberFormat="1" applyFont="1" applyFill="1" applyBorder="1" applyAlignment="1">
      <alignment wrapText="1"/>
    </xf>
    <xf numFmtId="0" fontId="43" fillId="2" borderId="17" xfId="0" quotePrefix="1" applyFont="1" applyFill="1" applyBorder="1" applyAlignment="1">
      <alignment horizontal="left"/>
    </xf>
    <xf numFmtId="165" fontId="31" fillId="0" borderId="18" xfId="1" applyNumberFormat="1" applyFont="1" applyBorder="1" applyAlignment="1">
      <alignment wrapText="1"/>
    </xf>
    <xf numFmtId="165" fontId="30" fillId="0" borderId="1" xfId="1" applyNumberFormat="1" applyFont="1" applyBorder="1" applyAlignment="1">
      <alignment wrapText="1"/>
    </xf>
    <xf numFmtId="165" fontId="31" fillId="0" borderId="4" xfId="1" applyNumberFormat="1" applyFont="1" applyBorder="1" applyAlignment="1"/>
    <xf numFmtId="165" fontId="31" fillId="0" borderId="7" xfId="1" applyNumberFormat="1" applyFont="1" applyBorder="1" applyAlignment="1"/>
    <xf numFmtId="165" fontId="31" fillId="0" borderId="5" xfId="1" applyNumberFormat="1" applyFont="1" applyBorder="1" applyAlignment="1"/>
    <xf numFmtId="165" fontId="31" fillId="0" borderId="1" xfId="1" applyNumberFormat="1" applyFont="1" applyBorder="1"/>
    <xf numFmtId="0" fontId="30" fillId="2" borderId="57" xfId="0" applyFont="1" applyFill="1" applyBorder="1" applyAlignment="1">
      <alignment horizontal="center" vertical="center" wrapText="1"/>
    </xf>
    <xf numFmtId="165" fontId="30" fillId="2" borderId="4" xfId="1" applyNumberFormat="1" applyFont="1" applyFill="1" applyBorder="1" applyAlignment="1">
      <alignment horizontal="center" vertical="center" wrapText="1"/>
    </xf>
    <xf numFmtId="165" fontId="30" fillId="2" borderId="7" xfId="1" applyNumberFormat="1" applyFont="1" applyFill="1" applyBorder="1" applyAlignment="1">
      <alignment horizontal="center" vertical="center" wrapText="1"/>
    </xf>
    <xf numFmtId="166" fontId="30" fillId="2" borderId="4" xfId="1" applyNumberFormat="1" applyFont="1" applyFill="1" applyBorder="1" applyAlignment="1">
      <alignment horizontal="center" vertical="center" wrapText="1"/>
    </xf>
    <xf numFmtId="0" fontId="2" fillId="0" borderId="30" xfId="0" applyFont="1" applyBorder="1" applyAlignment="1">
      <alignment wrapText="1"/>
    </xf>
    <xf numFmtId="165" fontId="9" fillId="0" borderId="0" xfId="1" applyNumberFormat="1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3" fillId="2" borderId="74" xfId="0" applyFont="1" applyFill="1" applyBorder="1" applyAlignment="1">
      <alignment horizontal="center" vertical="center" wrapText="1"/>
    </xf>
    <xf numFmtId="0" fontId="51" fillId="0" borderId="0" xfId="3" applyFont="1" applyFill="1" applyAlignment="1">
      <alignment horizontal="center" vertical="center"/>
    </xf>
    <xf numFmtId="0" fontId="50" fillId="0" borderId="0" xfId="3" applyFont="1" applyFill="1" applyAlignment="1">
      <alignment horizontal="center" vertical="center"/>
    </xf>
    <xf numFmtId="16" fontId="43" fillId="2" borderId="66" xfId="0" quotePrefix="1" applyNumberFormat="1" applyFont="1" applyFill="1" applyBorder="1" applyAlignment="1">
      <alignment horizontal="left"/>
    </xf>
    <xf numFmtId="0" fontId="43" fillId="2" borderId="58" xfId="0" applyFont="1" applyFill="1" applyBorder="1" applyAlignment="1">
      <alignment wrapText="1"/>
    </xf>
    <xf numFmtId="165" fontId="31" fillId="0" borderId="40" xfId="1" applyNumberFormat="1" applyFont="1" applyBorder="1" applyAlignment="1">
      <alignment wrapText="1"/>
    </xf>
    <xf numFmtId="165" fontId="31" fillId="0" borderId="40" xfId="1" applyNumberFormat="1" applyFont="1" applyBorder="1"/>
    <xf numFmtId="165" fontId="32" fillId="2" borderId="40" xfId="1" applyNumberFormat="1" applyFont="1" applyFill="1" applyBorder="1"/>
    <xf numFmtId="165" fontId="43" fillId="2" borderId="40" xfId="1" applyNumberFormat="1" applyFont="1" applyFill="1" applyBorder="1"/>
    <xf numFmtId="165" fontId="43" fillId="2" borderId="58" xfId="1" applyNumberFormat="1" applyFont="1" applyFill="1" applyBorder="1"/>
    <xf numFmtId="166" fontId="43" fillId="2" borderId="74" xfId="1" applyNumberFormat="1" applyFont="1" applyFill="1" applyBorder="1" applyAlignment="1">
      <alignment wrapText="1"/>
    </xf>
    <xf numFmtId="0" fontId="66" fillId="2" borderId="3" xfId="0" applyFont="1" applyFill="1" applyBorder="1" applyAlignment="1">
      <alignment wrapText="1"/>
    </xf>
    <xf numFmtId="0" fontId="116" fillId="0" borderId="0" xfId="0" applyFont="1"/>
    <xf numFmtId="0" fontId="85" fillId="0" borderId="0" xfId="0" applyFont="1" applyBorder="1" applyAlignment="1"/>
    <xf numFmtId="0" fontId="89" fillId="0" borderId="0" xfId="0" applyFont="1" applyBorder="1" applyAlignment="1">
      <alignment horizontal="center"/>
    </xf>
    <xf numFmtId="0" fontId="89" fillId="0" borderId="0" xfId="0" applyFont="1" applyBorder="1"/>
    <xf numFmtId="41" fontId="89" fillId="0" borderId="0" xfId="0" applyNumberFormat="1" applyFont="1" applyBorder="1"/>
    <xf numFmtId="0" fontId="85" fillId="0" borderId="0" xfId="0" applyFont="1" applyBorder="1"/>
    <xf numFmtId="0" fontId="85" fillId="0" borderId="54" xfId="0" applyFont="1" applyBorder="1" applyAlignment="1"/>
    <xf numFmtId="0" fontId="85" fillId="0" borderId="55" xfId="0" applyFont="1" applyBorder="1" applyAlignment="1"/>
    <xf numFmtId="0" fontId="89" fillId="0" borderId="21" xfId="0" applyFont="1" applyBorder="1"/>
    <xf numFmtId="41" fontId="89" fillId="0" borderId="21" xfId="0" applyNumberFormat="1" applyFont="1" applyBorder="1"/>
    <xf numFmtId="0" fontId="85" fillId="0" borderId="22" xfId="0" applyFont="1" applyBorder="1"/>
    <xf numFmtId="0" fontId="116" fillId="0" borderId="20" xfId="0" applyFont="1" applyBorder="1"/>
    <xf numFmtId="0" fontId="116" fillId="0" borderId="21" xfId="0" applyFont="1" applyBorder="1"/>
    <xf numFmtId="0" fontId="117" fillId="0" borderId="21" xfId="0" applyFont="1" applyBorder="1"/>
    <xf numFmtId="41" fontId="117" fillId="0" borderId="21" xfId="0" applyNumberFormat="1" applyFont="1" applyBorder="1"/>
    <xf numFmtId="0" fontId="116" fillId="0" borderId="22" xfId="0" applyFont="1" applyBorder="1"/>
    <xf numFmtId="3" fontId="73" fillId="0" borderId="37" xfId="3" applyNumberFormat="1" applyFont="1" applyFill="1" applyBorder="1" applyAlignment="1">
      <alignment horizontal="right" vertical="center"/>
    </xf>
    <xf numFmtId="3" fontId="73" fillId="0" borderId="46" xfId="3" applyNumberFormat="1" applyFont="1" applyFill="1" applyBorder="1" applyAlignment="1">
      <alignment horizontal="right" vertical="center"/>
    </xf>
    <xf numFmtId="3" fontId="73" fillId="2" borderId="48" xfId="3" applyNumberFormat="1" applyFont="1" applyFill="1" applyBorder="1" applyAlignment="1">
      <alignment horizontal="right" vertical="center"/>
    </xf>
    <xf numFmtId="0" fontId="43" fillId="2" borderId="13" xfId="0" applyFont="1" applyFill="1" applyBorder="1" applyAlignment="1">
      <alignment horizontal="center" vertical="center" wrapText="1"/>
    </xf>
    <xf numFmtId="0" fontId="51" fillId="0" borderId="0" xfId="3" applyFont="1" applyFill="1" applyAlignment="1">
      <alignment horizontal="center" vertical="center"/>
    </xf>
    <xf numFmtId="165" fontId="30" fillId="5" borderId="35" xfId="1" applyNumberFormat="1" applyFont="1" applyFill="1" applyBorder="1" applyAlignment="1">
      <alignment horizontal="center" vertical="center"/>
    </xf>
    <xf numFmtId="165" fontId="32" fillId="2" borderId="39" xfId="0" applyNumberFormat="1" applyFont="1" applyFill="1" applyBorder="1" applyAlignment="1">
      <alignment horizontal="center"/>
    </xf>
    <xf numFmtId="165" fontId="32" fillId="2" borderId="3" xfId="0" applyNumberFormat="1" applyFont="1" applyFill="1" applyBorder="1" applyAlignment="1">
      <alignment horizontal="center"/>
    </xf>
    <xf numFmtId="165" fontId="32" fillId="2" borderId="40" xfId="0" applyNumberFormat="1" applyFont="1" applyFill="1" applyBorder="1" applyAlignment="1">
      <alignment horizontal="center"/>
    </xf>
    <xf numFmtId="165" fontId="32" fillId="2" borderId="1" xfId="0" applyNumberFormat="1" applyFont="1" applyFill="1" applyBorder="1" applyAlignment="1">
      <alignment horizontal="center"/>
    </xf>
    <xf numFmtId="165" fontId="32" fillId="0" borderId="40" xfId="0" applyNumberFormat="1" applyFont="1" applyBorder="1" applyAlignment="1">
      <alignment horizontal="center"/>
    </xf>
    <xf numFmtId="165" fontId="32" fillId="0" borderId="12" xfId="0" applyNumberFormat="1" applyFont="1" applyBorder="1" applyAlignment="1">
      <alignment horizontal="center"/>
    </xf>
    <xf numFmtId="165" fontId="32" fillId="0" borderId="3" xfId="0" applyNumberFormat="1" applyFont="1" applyBorder="1" applyAlignment="1">
      <alignment horizontal="center"/>
    </xf>
    <xf numFmtId="165" fontId="32" fillId="2" borderId="2" xfId="0" applyNumberFormat="1" applyFont="1" applyFill="1" applyBorder="1" applyAlignment="1">
      <alignment horizontal="center"/>
    </xf>
    <xf numFmtId="165" fontId="30" fillId="2" borderId="4" xfId="1" applyNumberFormat="1" applyFont="1" applyFill="1" applyBorder="1" applyAlignment="1">
      <alignment vertical="center" wrapText="1"/>
    </xf>
    <xf numFmtId="165" fontId="30" fillId="2" borderId="7" xfId="1" applyNumberFormat="1" applyFont="1" applyFill="1" applyBorder="1" applyAlignment="1">
      <alignment vertical="center" wrapText="1"/>
    </xf>
    <xf numFmtId="165" fontId="30" fillId="2" borderId="5" xfId="1" applyNumberFormat="1" applyFont="1" applyFill="1" applyBorder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108" fillId="0" borderId="1" xfId="0" applyFont="1" applyBorder="1"/>
    <xf numFmtId="0" fontId="108" fillId="0" borderId="1" xfId="0" applyFont="1" applyBorder="1" applyAlignment="1">
      <alignment wrapText="1"/>
    </xf>
    <xf numFmtId="0" fontId="108" fillId="0" borderId="1" xfId="0" applyFont="1" applyBorder="1" applyAlignment="1">
      <alignment horizontal="left" wrapText="1"/>
    </xf>
    <xf numFmtId="0" fontId="108" fillId="0" borderId="1" xfId="0" applyFont="1" applyBorder="1" applyAlignment="1">
      <alignment horizontal="center"/>
    </xf>
    <xf numFmtId="166" fontId="108" fillId="0" borderId="1" xfId="1" applyNumberFormat="1" applyFont="1" applyBorder="1" applyAlignment="1">
      <alignment horizontal="center"/>
    </xf>
    <xf numFmtId="9" fontId="108" fillId="0" borderId="1" xfId="0" applyNumberFormat="1" applyFont="1" applyBorder="1" applyAlignment="1">
      <alignment horizontal="center"/>
    </xf>
    <xf numFmtId="0" fontId="108" fillId="0" borderId="1" xfId="0" applyFont="1" applyFill="1" applyBorder="1" applyAlignment="1">
      <alignment horizontal="center"/>
    </xf>
    <xf numFmtId="166" fontId="108" fillId="0" borderId="1" xfId="1" applyNumberFormat="1" applyFont="1" applyFill="1" applyBorder="1" applyAlignment="1">
      <alignment horizontal="center"/>
    </xf>
    <xf numFmtId="16" fontId="11" fillId="0" borderId="11" xfId="0" applyNumberFormat="1" applyFont="1" applyBorder="1" applyAlignment="1">
      <alignment wrapText="1"/>
    </xf>
    <xf numFmtId="0" fontId="0" fillId="0" borderId="1" xfId="0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165" fontId="11" fillId="0" borderId="1" xfId="1" applyNumberFormat="1" applyFont="1" applyBorder="1"/>
    <xf numFmtId="0" fontId="1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168" fontId="20" fillId="0" borderId="103" xfId="0" applyNumberFormat="1" applyFont="1" applyBorder="1" applyAlignment="1">
      <alignment horizontal="center" vertical="center"/>
    </xf>
    <xf numFmtId="0" fontId="100" fillId="0" borderId="1" xfId="0" applyFont="1" applyBorder="1" applyAlignment="1">
      <alignment vertical="center" wrapText="1"/>
    </xf>
    <xf numFmtId="0" fontId="100" fillId="0" borderId="1" xfId="0" applyFont="1" applyBorder="1" applyAlignment="1">
      <alignment horizontal="center" vertical="center" wrapText="1"/>
    </xf>
    <xf numFmtId="0" fontId="100" fillId="0" borderId="4" xfId="0" applyFont="1" applyBorder="1" applyAlignment="1">
      <alignment horizontal="center" vertical="center" wrapText="1"/>
    </xf>
    <xf numFmtId="9" fontId="108" fillId="0" borderId="1" xfId="0" applyNumberFormat="1" applyFont="1" applyFill="1" applyBorder="1" applyAlignment="1">
      <alignment horizontal="center"/>
    </xf>
    <xf numFmtId="0" fontId="102" fillId="2" borderId="1" xfId="0" applyFont="1" applyFill="1" applyBorder="1" applyAlignment="1">
      <alignment horizontal="left" wrapText="1"/>
    </xf>
    <xf numFmtId="166" fontId="108" fillId="0" borderId="1" xfId="0" applyNumberFormat="1" applyFont="1" applyBorder="1"/>
    <xf numFmtId="3" fontId="71" fillId="0" borderId="3" xfId="3" applyNumberFormat="1" applyFont="1" applyFill="1" applyBorder="1" applyAlignment="1">
      <alignment horizontal="center" vertical="center" wrapText="1"/>
    </xf>
    <xf numFmtId="0" fontId="71" fillId="0" borderId="1" xfId="3" applyFont="1" applyFill="1" applyBorder="1" applyAlignment="1">
      <alignment horizontal="center" vertical="center"/>
    </xf>
    <xf numFmtId="3" fontId="71" fillId="0" borderId="1" xfId="3" applyNumberFormat="1" applyFont="1" applyFill="1" applyBorder="1" applyAlignment="1">
      <alignment horizontal="center" vertical="center"/>
    </xf>
    <xf numFmtId="3" fontId="71" fillId="0" borderId="1" xfId="3" applyNumberFormat="1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8" fontId="71" fillId="0" borderId="1" xfId="0" applyNumberFormat="1" applyFont="1" applyBorder="1" applyAlignment="1">
      <alignment horizontal="center" vertical="center"/>
    </xf>
    <xf numFmtId="3" fontId="73" fillId="0" borderId="1" xfId="3" applyNumberFormat="1" applyFont="1" applyFill="1" applyBorder="1" applyAlignment="1">
      <alignment horizontal="center" vertical="center" wrapText="1"/>
    </xf>
    <xf numFmtId="0" fontId="26" fillId="0" borderId="1" xfId="0" applyFont="1" applyBorder="1"/>
    <xf numFmtId="165" fontId="73" fillId="0" borderId="3" xfId="1" applyNumberFormat="1" applyFont="1" applyFill="1" applyBorder="1" applyAlignment="1">
      <alignment horizontal="right" vertical="center"/>
    </xf>
    <xf numFmtId="0" fontId="37" fillId="0" borderId="1" xfId="0" applyFont="1" applyBorder="1" applyAlignment="1"/>
    <xf numFmtId="165" fontId="37" fillId="0" borderId="1" xfId="0" applyNumberFormat="1" applyFont="1" applyBorder="1" applyAlignment="1"/>
    <xf numFmtId="0" fontId="26" fillId="0" borderId="1" xfId="0" applyFont="1" applyBorder="1" applyAlignment="1">
      <alignment horizontal="center" vertical="center" wrapText="1"/>
    </xf>
    <xf numFmtId="165" fontId="26" fillId="0" borderId="1" xfId="1" applyNumberFormat="1" applyFont="1" applyBorder="1" applyAlignment="1">
      <alignment horizontal="center" vertical="center" wrapText="1"/>
    </xf>
    <xf numFmtId="0" fontId="119" fillId="0" borderId="1" xfId="0" applyFont="1" applyBorder="1"/>
    <xf numFmtId="165" fontId="119" fillId="0" borderId="1" xfId="1" applyNumberFormat="1" applyFont="1" applyBorder="1"/>
    <xf numFmtId="165" fontId="120" fillId="0" borderId="1" xfId="1" applyNumberFormat="1" applyFont="1" applyBorder="1"/>
    <xf numFmtId="0" fontId="14" fillId="0" borderId="3" xfId="0" applyFont="1" applyBorder="1" applyAlignment="1">
      <alignment horizontal="center" vertical="center" wrapText="1"/>
    </xf>
    <xf numFmtId="0" fontId="73" fillId="0" borderId="1" xfId="3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165" fontId="119" fillId="0" borderId="1" xfId="1" applyNumberFormat="1" applyFont="1" applyBorder="1" applyAlignment="1">
      <alignment horizontal="center"/>
    </xf>
    <xf numFmtId="0" fontId="84" fillId="0" borderId="3" xfId="0" applyFont="1" applyBorder="1" applyAlignment="1">
      <alignment horizontal="center" vertical="center" wrapText="1"/>
    </xf>
    <xf numFmtId="0" fontId="120" fillId="0" borderId="1" xfId="0" applyFont="1" applyBorder="1"/>
    <xf numFmtId="0" fontId="120" fillId="0" borderId="0" xfId="0" applyFont="1"/>
    <xf numFmtId="0" fontId="121" fillId="0" borderId="0" xfId="0" applyFont="1"/>
    <xf numFmtId="0" fontId="14" fillId="0" borderId="3" xfId="0" applyFont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center" wrapText="1"/>
    </xf>
    <xf numFmtId="0" fontId="37" fillId="0" borderId="0" xfId="0" applyFont="1" applyAlignment="1">
      <alignment horizontal="center"/>
    </xf>
    <xf numFmtId="0" fontId="26" fillId="2" borderId="1" xfId="0" applyFont="1" applyFill="1" applyBorder="1" applyAlignment="1">
      <alignment horizontal="center" vertical="center" wrapText="1"/>
    </xf>
    <xf numFmtId="0" fontId="73" fillId="0" borderId="1" xfId="3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 wrapText="1"/>
    </xf>
    <xf numFmtId="14" fontId="26" fillId="0" borderId="1" xfId="0" quotePrefix="1" applyNumberFormat="1" applyFont="1" applyBorder="1" applyAlignment="1">
      <alignment horizontal="left" vertical="center" wrapText="1"/>
    </xf>
    <xf numFmtId="169" fontId="11" fillId="0" borderId="1" xfId="0" applyNumberFormat="1" applyFont="1" applyBorder="1" applyAlignment="1">
      <alignment horizontal="center" vertical="center" wrapText="1"/>
    </xf>
    <xf numFmtId="169" fontId="11" fillId="0" borderId="1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3" xfId="0" applyFont="1" applyBorder="1" applyAlignment="1">
      <alignment horizontal="left" vertical="center" wrapText="1"/>
    </xf>
    <xf numFmtId="0" fontId="119" fillId="0" borderId="1" xfId="0" applyFont="1" applyBorder="1" applyAlignment="1">
      <alignment horizontal="left"/>
    </xf>
    <xf numFmtId="0" fontId="120" fillId="0" borderId="1" xfId="0" applyFont="1" applyBorder="1" applyAlignment="1">
      <alignment horizontal="left"/>
    </xf>
    <xf numFmtId="0" fontId="108" fillId="0" borderId="1" xfId="0" applyFont="1" applyBorder="1" applyAlignment="1"/>
    <xf numFmtId="166" fontId="108" fillId="0" borderId="1" xfId="1" applyNumberFormat="1" applyFont="1" applyBorder="1" applyAlignment="1">
      <alignment horizontal="right"/>
    </xf>
    <xf numFmtId="166" fontId="108" fillId="0" borderId="1" xfId="1" applyNumberFormat="1" applyFont="1" applyFill="1" applyBorder="1" applyAlignment="1">
      <alignment horizontal="right"/>
    </xf>
    <xf numFmtId="0" fontId="26" fillId="0" borderId="1" xfId="0" applyFont="1" applyBorder="1" applyAlignment="1">
      <alignment horizontal="center" vertical="center"/>
    </xf>
    <xf numFmtId="165" fontId="71" fillId="0" borderId="3" xfId="1" applyNumberFormat="1" applyFont="1" applyFill="1" applyBorder="1" applyAlignment="1">
      <alignment horizontal="center" vertical="center" wrapText="1"/>
    </xf>
    <xf numFmtId="169" fontId="108" fillId="0" borderId="1" xfId="0" applyNumberFormat="1" applyFont="1" applyBorder="1" applyAlignment="1">
      <alignment horizontal="center"/>
    </xf>
    <xf numFmtId="169" fontId="108" fillId="0" borderId="1" xfId="0" applyNumberFormat="1" applyFont="1" applyBorder="1"/>
    <xf numFmtId="169" fontId="108" fillId="0" borderId="4" xfId="0" applyNumberFormat="1" applyFont="1" applyBorder="1"/>
    <xf numFmtId="0" fontId="108" fillId="0" borderId="5" xfId="0" applyFont="1" applyBorder="1"/>
    <xf numFmtId="0" fontId="102" fillId="0" borderId="5" xfId="0" applyFont="1" applyBorder="1" applyAlignment="1">
      <alignment wrapText="1"/>
    </xf>
    <xf numFmtId="0" fontId="14" fillId="0" borderId="3" xfId="0" applyFont="1" applyBorder="1" applyAlignment="1">
      <alignment horizontal="center" vertical="center" wrapText="1"/>
    </xf>
    <xf numFmtId="0" fontId="74" fillId="2" borderId="75" xfId="0" applyFont="1" applyFill="1" applyBorder="1" applyAlignment="1">
      <alignment horizontal="center" wrapText="1"/>
    </xf>
    <xf numFmtId="0" fontId="74" fillId="2" borderId="72" xfId="0" applyFont="1" applyFill="1" applyBorder="1" applyAlignment="1">
      <alignment horizontal="center" wrapText="1"/>
    </xf>
    <xf numFmtId="0" fontId="51" fillId="0" borderId="0" xfId="3" applyFont="1" applyFill="1" applyAlignment="1">
      <alignment horizontal="center" vertical="center"/>
    </xf>
    <xf numFmtId="0" fontId="11" fillId="0" borderId="40" xfId="0" applyFont="1" applyBorder="1" applyAlignment="1">
      <alignment wrapText="1"/>
    </xf>
    <xf numFmtId="41" fontId="11" fillId="0" borderId="40" xfId="6" applyFont="1" applyBorder="1" applyAlignment="1">
      <alignment wrapText="1"/>
    </xf>
    <xf numFmtId="41" fontId="11" fillId="0" borderId="58" xfId="6" applyFont="1" applyBorder="1" applyAlignment="1">
      <alignment wrapText="1"/>
    </xf>
    <xf numFmtId="0" fontId="11" fillId="0" borderId="74" xfId="0" applyFont="1" applyBorder="1"/>
    <xf numFmtId="165" fontId="108" fillId="0" borderId="1" xfId="1" applyNumberFormat="1" applyFont="1" applyBorder="1"/>
    <xf numFmtId="165" fontId="11" fillId="2" borderId="1" xfId="1" applyNumberFormat="1" applyFont="1" applyFill="1" applyBorder="1"/>
    <xf numFmtId="165" fontId="118" fillId="0" borderId="1" xfId="1" applyNumberFormat="1" applyFont="1" applyBorder="1"/>
    <xf numFmtId="165" fontId="118" fillId="0" borderId="1" xfId="0" applyNumberFormat="1" applyFont="1" applyBorder="1"/>
    <xf numFmtId="0" fontId="85" fillId="0" borderId="36" xfId="0" applyFont="1" applyBorder="1"/>
    <xf numFmtId="0" fontId="85" fillId="2" borderId="36" xfId="0" applyFont="1" applyFill="1" applyBorder="1"/>
    <xf numFmtId="0" fontId="85" fillId="0" borderId="58" xfId="0" applyFont="1" applyBorder="1"/>
    <xf numFmtId="0" fontId="88" fillId="2" borderId="48" xfId="0" applyFont="1" applyFill="1" applyBorder="1"/>
    <xf numFmtId="0" fontId="74" fillId="2" borderId="104" xfId="0" applyFont="1" applyFill="1" applyBorder="1" applyAlignment="1">
      <alignment horizontal="center" wrapText="1"/>
    </xf>
    <xf numFmtId="0" fontId="92" fillId="2" borderId="96" xfId="0" applyFont="1" applyFill="1" applyBorder="1"/>
    <xf numFmtId="0" fontId="74" fillId="2" borderId="17" xfId="0" applyFont="1" applyFill="1" applyBorder="1" applyAlignment="1">
      <alignment horizontal="center" wrapText="1"/>
    </xf>
    <xf numFmtId="0" fontId="74" fillId="2" borderId="18" xfId="0" applyFont="1" applyFill="1" applyBorder="1" applyAlignment="1">
      <alignment horizontal="center" wrapText="1"/>
    </xf>
    <xf numFmtId="0" fontId="66" fillId="2" borderId="3" xfId="0" applyFont="1" applyFill="1" applyBorder="1"/>
    <xf numFmtId="0" fontId="92" fillId="2" borderId="106" xfId="0" applyFont="1" applyFill="1" applyBorder="1"/>
    <xf numFmtId="0" fontId="74" fillId="2" borderId="8" xfId="0" applyFont="1" applyFill="1" applyBorder="1" applyAlignment="1">
      <alignment horizontal="center" wrapText="1"/>
    </xf>
    <xf numFmtId="0" fontId="74" fillId="2" borderId="78" xfId="0" applyFont="1" applyFill="1" applyBorder="1" applyAlignment="1">
      <alignment horizontal="center" wrapText="1"/>
    </xf>
    <xf numFmtId="0" fontId="74" fillId="2" borderId="2" xfId="0" applyFont="1" applyFill="1" applyBorder="1" applyAlignment="1">
      <alignment wrapText="1"/>
    </xf>
    <xf numFmtId="0" fontId="92" fillId="2" borderId="88" xfId="0" applyFont="1" applyFill="1" applyBorder="1"/>
    <xf numFmtId="0" fontId="74" fillId="2" borderId="46" xfId="0" applyFont="1" applyFill="1" applyBorder="1" applyAlignment="1">
      <alignment horizontal="center" wrapText="1"/>
    </xf>
    <xf numFmtId="0" fontId="92" fillId="2" borderId="95" xfId="0" applyFont="1" applyFill="1" applyBorder="1"/>
    <xf numFmtId="0" fontId="92" fillId="2" borderId="73" xfId="0" applyFont="1" applyFill="1" applyBorder="1"/>
    <xf numFmtId="0" fontId="92" fillId="2" borderId="0" xfId="0" applyFont="1" applyFill="1" applyBorder="1"/>
    <xf numFmtId="165" fontId="100" fillId="0" borderId="1" xfId="1" applyNumberFormat="1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/>
    </xf>
    <xf numFmtId="0" fontId="32" fillId="0" borderId="1" xfId="0" quotePrefix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1" xfId="0" applyFont="1" applyBorder="1" applyAlignment="1">
      <alignment horizontal="left" wrapText="1"/>
    </xf>
    <xf numFmtId="0" fontId="32" fillId="0" borderId="1" xfId="0" applyFont="1" applyBorder="1" applyAlignment="1">
      <alignment horizontal="center" wrapText="1"/>
    </xf>
    <xf numFmtId="165" fontId="32" fillId="0" borderId="1" xfId="0" applyNumberFormat="1" applyFont="1" applyBorder="1" applyAlignment="1">
      <alignment horizontal="center"/>
    </xf>
    <xf numFmtId="41" fontId="32" fillId="0" borderId="1" xfId="6" applyFont="1" applyBorder="1" applyAlignment="1">
      <alignment horizontal="center"/>
    </xf>
    <xf numFmtId="9" fontId="32" fillId="0" borderId="1" xfId="4" applyNumberFormat="1" applyFont="1" applyBorder="1" applyAlignment="1">
      <alignment horizontal="center"/>
    </xf>
    <xf numFmtId="0" fontId="32" fillId="0" borderId="30" xfId="0" applyFont="1" applyBorder="1" applyAlignment="1">
      <alignment wrapText="1"/>
    </xf>
    <xf numFmtId="168" fontId="71" fillId="0" borderId="1" xfId="3" applyNumberFormat="1" applyFont="1" applyFill="1" applyBorder="1" applyAlignment="1">
      <alignment horizontal="center" vertical="center"/>
    </xf>
    <xf numFmtId="165" fontId="30" fillId="0" borderId="3" xfId="1" applyNumberFormat="1" applyFont="1" applyBorder="1" applyAlignment="1">
      <alignment wrapText="1"/>
    </xf>
    <xf numFmtId="0" fontId="31" fillId="0" borderId="32" xfId="0" applyFont="1" applyBorder="1" applyAlignment="1">
      <alignment wrapText="1"/>
    </xf>
    <xf numFmtId="16" fontId="43" fillId="2" borderId="2" xfId="0" quotePrefix="1" applyNumberFormat="1" applyFont="1" applyFill="1" applyBorder="1" applyAlignment="1">
      <alignment horizontal="left"/>
    </xf>
    <xf numFmtId="0" fontId="43" fillId="2" borderId="8" xfId="0" applyFont="1" applyFill="1" applyBorder="1" applyAlignment="1">
      <alignment wrapText="1"/>
    </xf>
    <xf numFmtId="165" fontId="31" fillId="0" borderId="2" xfId="1" applyNumberFormat="1" applyFont="1" applyBorder="1" applyAlignment="1">
      <alignment wrapText="1"/>
    </xf>
    <xf numFmtId="165" fontId="31" fillId="0" borderId="2" xfId="1" applyNumberFormat="1" applyFont="1" applyBorder="1"/>
    <xf numFmtId="0" fontId="31" fillId="0" borderId="78" xfId="0" applyFont="1" applyBorder="1"/>
    <xf numFmtId="0" fontId="31" fillId="0" borderId="0" xfId="0" applyFont="1" applyBorder="1"/>
    <xf numFmtId="169" fontId="43" fillId="2" borderId="18" xfId="0" quotePrefix="1" applyNumberFormat="1" applyFont="1" applyFill="1" applyBorder="1" applyAlignment="1">
      <alignment horizontal="left"/>
    </xf>
    <xf numFmtId="169" fontId="43" fillId="2" borderId="40" xfId="0" quotePrefix="1" applyNumberFormat="1" applyFont="1" applyFill="1" applyBorder="1" applyAlignment="1">
      <alignment horizontal="left"/>
    </xf>
    <xf numFmtId="169" fontId="43" fillId="2" borderId="18" xfId="0" applyNumberFormat="1" applyFont="1" applyFill="1" applyBorder="1" applyAlignment="1">
      <alignment horizontal="left"/>
    </xf>
    <xf numFmtId="169" fontId="43" fillId="2" borderId="40" xfId="0" applyNumberFormat="1" applyFont="1" applyFill="1" applyBorder="1" applyAlignment="1">
      <alignment horizontal="left"/>
    </xf>
    <xf numFmtId="0" fontId="122" fillId="2" borderId="58" xfId="0" applyFont="1" applyFill="1" applyBorder="1" applyAlignment="1">
      <alignment wrapText="1"/>
    </xf>
    <xf numFmtId="3" fontId="73" fillId="0" borderId="12" xfId="3" quotePrefix="1" applyNumberFormat="1" applyFont="1" applyFill="1" applyBorder="1" applyAlignment="1">
      <alignment horizontal="center" vertical="center"/>
    </xf>
    <xf numFmtId="3" fontId="73" fillId="0" borderId="12" xfId="3" applyNumberFormat="1" applyFont="1" applyFill="1" applyBorder="1" applyAlignment="1">
      <alignment horizontal="center" vertical="center"/>
    </xf>
    <xf numFmtId="168" fontId="73" fillId="0" borderId="1" xfId="3" applyNumberFormat="1" applyFont="1" applyFill="1" applyBorder="1" applyAlignment="1">
      <alignment horizontal="center" vertical="center"/>
    </xf>
    <xf numFmtId="169" fontId="43" fillId="3" borderId="40" xfId="0" quotePrefix="1" applyNumberFormat="1" applyFont="1" applyFill="1" applyBorder="1" applyAlignment="1">
      <alignment horizontal="left"/>
    </xf>
    <xf numFmtId="0" fontId="43" fillId="3" borderId="58" xfId="0" applyFont="1" applyFill="1" applyBorder="1" applyAlignment="1">
      <alignment wrapText="1"/>
    </xf>
    <xf numFmtId="165" fontId="31" fillId="3" borderId="40" xfId="1" applyNumberFormat="1" applyFont="1" applyFill="1" applyBorder="1" applyAlignment="1">
      <alignment wrapText="1"/>
    </xf>
    <xf numFmtId="165" fontId="31" fillId="3" borderId="40" xfId="1" applyNumberFormat="1" applyFont="1" applyFill="1" applyBorder="1"/>
    <xf numFmtId="0" fontId="31" fillId="3" borderId="0" xfId="0" applyFont="1" applyFill="1" applyBorder="1"/>
    <xf numFmtId="169" fontId="43" fillId="2" borderId="58" xfId="0" applyNumberFormat="1" applyFont="1" applyFill="1" applyBorder="1" applyAlignment="1">
      <alignment wrapText="1"/>
    </xf>
    <xf numFmtId="169" fontId="43" fillId="2" borderId="40" xfId="0" applyNumberFormat="1" applyFont="1" applyFill="1" applyBorder="1" applyAlignment="1">
      <alignment horizontal="center" vertical="center" wrapText="1"/>
    </xf>
    <xf numFmtId="165" fontId="31" fillId="0" borderId="1" xfId="1" applyNumberFormat="1" applyFont="1" applyBorder="1" applyAlignment="1">
      <alignment wrapText="1"/>
    </xf>
    <xf numFmtId="16" fontId="43" fillId="2" borderId="40" xfId="0" applyNumberFormat="1" applyFont="1" applyFill="1" applyBorder="1" applyAlignment="1">
      <alignment horizontal="left"/>
    </xf>
    <xf numFmtId="165" fontId="31" fillId="2" borderId="40" xfId="1" applyNumberFormat="1" applyFont="1" applyFill="1" applyBorder="1"/>
    <xf numFmtId="169" fontId="43" fillId="2" borderId="11" xfId="0" quotePrefix="1" applyNumberFormat="1" applyFont="1" applyFill="1" applyBorder="1" applyAlignment="1">
      <alignment horizontal="left"/>
    </xf>
    <xf numFmtId="41" fontId="47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65" fontId="30" fillId="2" borderId="4" xfId="1" applyNumberFormat="1" applyFont="1" applyFill="1" applyBorder="1" applyAlignment="1">
      <alignment horizontal="center" vertical="center" wrapText="1"/>
    </xf>
    <xf numFmtId="165" fontId="30" fillId="2" borderId="7" xfId="1" applyNumberFormat="1" applyFont="1" applyFill="1" applyBorder="1" applyAlignment="1">
      <alignment horizontal="center" vertical="center" wrapText="1"/>
    </xf>
    <xf numFmtId="166" fontId="0" fillId="0" borderId="0" xfId="0" applyNumberFormat="1"/>
    <xf numFmtId="0" fontId="36" fillId="0" borderId="1" xfId="0" applyFont="1" applyBorder="1"/>
    <xf numFmtId="166" fontId="34" fillId="0" borderId="1" xfId="0" applyNumberFormat="1" applyFont="1" applyBorder="1"/>
    <xf numFmtId="165" fontId="36" fillId="0" borderId="1" xfId="1" applyNumberFormat="1" applyFont="1" applyBorder="1"/>
    <xf numFmtId="165" fontId="36" fillId="0" borderId="1" xfId="0" applyNumberFormat="1" applyFont="1" applyBorder="1"/>
    <xf numFmtId="16" fontId="21" fillId="2" borderId="11" xfId="0" quotePrefix="1" applyNumberFormat="1" applyFont="1" applyFill="1" applyBorder="1" applyAlignment="1">
      <alignment horizontal="center"/>
    </xf>
    <xf numFmtId="16" fontId="21" fillId="2" borderId="60" xfId="0" quotePrefix="1" applyNumberFormat="1" applyFont="1" applyFill="1" applyBorder="1" applyAlignment="1">
      <alignment horizontal="center"/>
    </xf>
    <xf numFmtId="0" fontId="108" fillId="0" borderId="2" xfId="0" applyFont="1" applyBorder="1" applyAlignment="1">
      <alignment horizontal="center"/>
    </xf>
    <xf numFmtId="169" fontId="108" fillId="0" borderId="2" xfId="0" applyNumberFormat="1" applyFont="1" applyBorder="1" applyAlignment="1">
      <alignment horizontal="center"/>
    </xf>
    <xf numFmtId="0" fontId="108" fillId="0" borderId="2" xfId="0" applyFont="1" applyBorder="1"/>
    <xf numFmtId="0" fontId="108" fillId="0" borderId="2" xfId="0" applyFont="1" applyBorder="1" applyAlignment="1"/>
    <xf numFmtId="0" fontId="108" fillId="0" borderId="2" xfId="0" applyFont="1" applyFill="1" applyBorder="1" applyAlignment="1">
      <alignment horizontal="center"/>
    </xf>
    <xf numFmtId="166" fontId="108" fillId="0" borderId="2" xfId="1" applyNumberFormat="1" applyFont="1" applyFill="1" applyBorder="1" applyAlignment="1">
      <alignment horizontal="center"/>
    </xf>
    <xf numFmtId="166" fontId="108" fillId="0" borderId="2" xfId="1" applyNumberFormat="1" applyFont="1" applyFill="1" applyBorder="1" applyAlignment="1">
      <alignment horizontal="right"/>
    </xf>
    <xf numFmtId="9" fontId="108" fillId="0" borderId="2" xfId="0" applyNumberFormat="1" applyFont="1" applyBorder="1" applyAlignment="1">
      <alignment horizontal="center"/>
    </xf>
    <xf numFmtId="166" fontId="108" fillId="0" borderId="2" xfId="1" applyNumberFormat="1" applyFont="1" applyBorder="1" applyAlignment="1">
      <alignment horizontal="right"/>
    </xf>
    <xf numFmtId="166" fontId="108" fillId="0" borderId="2" xfId="0" applyNumberFormat="1" applyFont="1" applyBorder="1"/>
    <xf numFmtId="0" fontId="89" fillId="0" borderId="2" xfId="0" applyFont="1" applyBorder="1"/>
    <xf numFmtId="41" fontId="89" fillId="0" borderId="2" xfId="0" applyNumberFormat="1" applyFont="1" applyBorder="1"/>
    <xf numFmtId="0" fontId="85" fillId="0" borderId="9" xfId="0" applyFont="1" applyBorder="1"/>
    <xf numFmtId="0" fontId="11" fillId="0" borderId="23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1" fillId="0" borderId="57" xfId="0" applyFont="1" applyBorder="1" applyAlignment="1">
      <alignment horizontal="center" wrapText="1"/>
    </xf>
    <xf numFmtId="169" fontId="43" fillId="0" borderId="23" xfId="0" quotePrefix="1" applyNumberFormat="1" applyFont="1" applyBorder="1" applyAlignment="1">
      <alignment horizontal="left"/>
    </xf>
    <xf numFmtId="3" fontId="73" fillId="2" borderId="21" xfId="3" applyNumberFormat="1" applyFont="1" applyFill="1" applyBorder="1" applyAlignment="1">
      <alignment horizontal="center" vertical="center"/>
    </xf>
    <xf numFmtId="165" fontId="30" fillId="2" borderId="36" xfId="1" applyNumberFormat="1" applyFont="1" applyFill="1" applyBorder="1" applyAlignment="1">
      <alignment horizontal="center" vertical="center" wrapText="1"/>
    </xf>
    <xf numFmtId="165" fontId="30" fillId="2" borderId="37" xfId="1" applyNumberFormat="1" applyFont="1" applyFill="1" applyBorder="1" applyAlignment="1">
      <alignment horizontal="center" vertical="center" wrapText="1"/>
    </xf>
    <xf numFmtId="41" fontId="31" fillId="0" borderId="12" xfId="6" applyFont="1" applyBorder="1"/>
    <xf numFmtId="165" fontId="31" fillId="3" borderId="12" xfId="1" applyNumberFormat="1" applyFont="1" applyFill="1" applyBorder="1" applyAlignment="1">
      <alignment horizontal="center" wrapText="1"/>
    </xf>
    <xf numFmtId="165" fontId="31" fillId="2" borderId="18" xfId="1" applyNumberFormat="1" applyFont="1" applyFill="1" applyBorder="1" applyAlignment="1">
      <alignment wrapText="1"/>
    </xf>
    <xf numFmtId="165" fontId="31" fillId="2" borderId="37" xfId="0" applyNumberFormat="1" applyFont="1" applyFill="1" applyBorder="1"/>
    <xf numFmtId="165" fontId="31" fillId="2" borderId="46" xfId="0" applyNumberFormat="1" applyFont="1" applyFill="1" applyBorder="1"/>
    <xf numFmtId="165" fontId="31" fillId="2" borderId="12" xfId="0" applyNumberFormat="1" applyFont="1" applyFill="1" applyBorder="1"/>
    <xf numFmtId="165" fontId="31" fillId="0" borderId="12" xfId="0" applyNumberFormat="1" applyFont="1" applyBorder="1"/>
    <xf numFmtId="165" fontId="31" fillId="0" borderId="61" xfId="0" applyNumberFormat="1" applyFont="1" applyBorder="1"/>
    <xf numFmtId="166" fontId="31" fillId="2" borderId="13" xfId="1" applyNumberFormat="1" applyFont="1" applyFill="1" applyBorder="1" applyAlignment="1"/>
    <xf numFmtId="165" fontId="31" fillId="2" borderId="0" xfId="1" applyNumberFormat="1" applyFont="1" applyFill="1" applyBorder="1"/>
    <xf numFmtId="41" fontId="31" fillId="2" borderId="12" xfId="6" applyFont="1" applyFill="1" applyBorder="1"/>
    <xf numFmtId="165" fontId="31" fillId="2" borderId="46" xfId="1" applyNumberFormat="1" applyFont="1" applyFill="1" applyBorder="1"/>
    <xf numFmtId="166" fontId="31" fillId="2" borderId="19" xfId="1" applyNumberFormat="1" applyFont="1" applyFill="1" applyBorder="1" applyAlignment="1">
      <alignment wrapText="1"/>
    </xf>
    <xf numFmtId="165" fontId="31" fillId="2" borderId="2" xfId="1" applyNumberFormat="1" applyFont="1" applyFill="1" applyBorder="1"/>
    <xf numFmtId="165" fontId="31" fillId="2" borderId="8" xfId="1" applyNumberFormat="1" applyFont="1" applyFill="1" applyBorder="1"/>
    <xf numFmtId="166" fontId="31" fillId="2" borderId="9" xfId="1" applyNumberFormat="1" applyFont="1" applyFill="1" applyBorder="1" applyAlignment="1">
      <alignment wrapText="1"/>
    </xf>
    <xf numFmtId="165" fontId="31" fillId="2" borderId="58" xfId="1" applyNumberFormat="1" applyFont="1" applyFill="1" applyBorder="1"/>
    <xf numFmtId="166" fontId="31" fillId="2" borderId="74" xfId="1" applyNumberFormat="1" applyFont="1" applyFill="1" applyBorder="1" applyAlignment="1">
      <alignment wrapText="1"/>
    </xf>
    <xf numFmtId="166" fontId="31" fillId="2" borderId="1" xfId="1" applyNumberFormat="1" applyFont="1" applyFill="1" applyBorder="1" applyAlignment="1">
      <alignment wrapText="1"/>
    </xf>
    <xf numFmtId="165" fontId="31" fillId="2" borderId="1" xfId="1" applyNumberFormat="1" applyFont="1" applyFill="1" applyBorder="1"/>
    <xf numFmtId="165" fontId="31" fillId="3" borderId="58" xfId="1" applyNumberFormat="1" applyFont="1" applyFill="1" applyBorder="1"/>
    <xf numFmtId="166" fontId="31" fillId="3" borderId="74" xfId="1" applyNumberFormat="1" applyFont="1" applyFill="1" applyBorder="1" applyAlignment="1">
      <alignment wrapText="1"/>
    </xf>
    <xf numFmtId="168" fontId="20" fillId="0" borderId="0" xfId="0" applyNumberFormat="1" applyFont="1" applyBorder="1" applyAlignment="1">
      <alignment horizontal="center" vertical="center"/>
    </xf>
    <xf numFmtId="0" fontId="26" fillId="2" borderId="40" xfId="0" applyFont="1" applyFill="1" applyBorder="1" applyAlignment="1">
      <alignment wrapText="1"/>
    </xf>
    <xf numFmtId="3" fontId="73" fillId="0" borderId="40" xfId="3" applyNumberFormat="1" applyFont="1" applyFill="1" applyBorder="1" applyAlignment="1">
      <alignment horizontal="right" vertical="center"/>
    </xf>
    <xf numFmtId="3" fontId="73" fillId="0" borderId="40" xfId="3" applyNumberFormat="1" applyFont="1" applyFill="1" applyBorder="1" applyAlignment="1">
      <alignment horizontal="center" vertical="center"/>
    </xf>
    <xf numFmtId="3" fontId="73" fillId="0" borderId="58" xfId="3" applyNumberFormat="1" applyFont="1" applyFill="1" applyBorder="1" applyAlignment="1">
      <alignment horizontal="right" vertical="center"/>
    </xf>
    <xf numFmtId="3" fontId="73" fillId="0" borderId="74" xfId="3" applyNumberFormat="1" applyFont="1" applyFill="1" applyBorder="1" applyAlignment="1">
      <alignment vertical="center" wrapText="1"/>
    </xf>
    <xf numFmtId="0" fontId="51" fillId="0" borderId="0" xfId="3" applyFont="1" applyFill="1" applyAlignment="1">
      <alignment vertical="center"/>
    </xf>
    <xf numFmtId="0" fontId="13" fillId="0" borderId="34" xfId="0" applyFont="1" applyBorder="1" applyAlignment="1">
      <alignment horizontal="center"/>
    </xf>
    <xf numFmtId="0" fontId="119" fillId="0" borderId="40" xfId="0" applyFont="1" applyBorder="1" applyAlignment="1">
      <alignment wrapText="1"/>
    </xf>
    <xf numFmtId="0" fontId="14" fillId="0" borderId="0" xfId="0" applyFont="1" applyAlignment="1">
      <alignment horizontal="center"/>
    </xf>
    <xf numFmtId="0" fontId="13" fillId="0" borderId="0" xfId="0" applyFont="1" applyAlignment="1"/>
    <xf numFmtId="0" fontId="68" fillId="0" borderId="12" xfId="0" applyFont="1" applyBorder="1" applyAlignment="1">
      <alignment wrapText="1"/>
    </xf>
    <xf numFmtId="169" fontId="31" fillId="0" borderId="12" xfId="0" quotePrefix="1" applyNumberFormat="1" applyFont="1" applyBorder="1" applyAlignment="1">
      <alignment horizontal="center"/>
    </xf>
    <xf numFmtId="169" fontId="31" fillId="0" borderId="24" xfId="0" quotePrefix="1" applyNumberFormat="1" applyFont="1" applyBorder="1" applyAlignment="1">
      <alignment horizontal="center"/>
    </xf>
    <xf numFmtId="14" fontId="31" fillId="0" borderId="1" xfId="0" applyNumberFormat="1" applyFont="1" applyBorder="1" applyAlignment="1">
      <alignment horizontal="center"/>
    </xf>
    <xf numFmtId="169" fontId="31" fillId="0" borderId="1" xfId="0" quotePrefix="1" applyNumberFormat="1" applyFont="1" applyBorder="1" applyAlignment="1">
      <alignment horizontal="center"/>
    </xf>
    <xf numFmtId="169" fontId="31" fillId="0" borderId="39" xfId="0" quotePrefix="1" applyNumberFormat="1" applyFont="1" applyBorder="1" applyAlignment="1">
      <alignment horizontal="center"/>
    </xf>
    <xf numFmtId="169" fontId="31" fillId="0" borderId="61" xfId="0" quotePrefix="1" applyNumberFormat="1" applyFont="1" applyBorder="1" applyAlignment="1">
      <alignment horizontal="center"/>
    </xf>
    <xf numFmtId="169" fontId="31" fillId="0" borderId="18" xfId="0" quotePrefix="1" applyNumberFormat="1" applyFont="1" applyBorder="1" applyAlignment="1">
      <alignment horizontal="center"/>
    </xf>
    <xf numFmtId="0" fontId="31" fillId="0" borderId="18" xfId="0" applyFont="1" applyBorder="1" applyAlignment="1">
      <alignment horizontal="left" wrapText="1"/>
    </xf>
    <xf numFmtId="0" fontId="31" fillId="0" borderId="18" xfId="0" quotePrefix="1" applyFont="1" applyBorder="1" applyAlignment="1">
      <alignment horizontal="center"/>
    </xf>
    <xf numFmtId="165" fontId="31" fillId="0" borderId="18" xfId="0" applyNumberFormat="1" applyFont="1" applyBorder="1" applyAlignment="1">
      <alignment horizontal="center"/>
    </xf>
    <xf numFmtId="41" fontId="31" fillId="0" borderId="18" xfId="6" applyFont="1" applyBorder="1" applyAlignment="1">
      <alignment horizontal="center"/>
    </xf>
    <xf numFmtId="0" fontId="31" fillId="0" borderId="19" xfId="0" applyFont="1" applyBorder="1"/>
    <xf numFmtId="169" fontId="31" fillId="0" borderId="3" xfId="0" applyNumberFormat="1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9" fontId="31" fillId="0" borderId="0" xfId="0" quotePrefix="1" applyNumberFormat="1" applyFont="1" applyBorder="1" applyAlignment="1">
      <alignment horizontal="center"/>
    </xf>
    <xf numFmtId="0" fontId="31" fillId="0" borderId="0" xfId="0" applyFont="1" applyBorder="1" applyAlignment="1">
      <alignment horizontal="left" wrapText="1"/>
    </xf>
    <xf numFmtId="0" fontId="31" fillId="0" borderId="0" xfId="0" quotePrefix="1" applyFont="1" applyBorder="1" applyAlignment="1">
      <alignment horizontal="center"/>
    </xf>
    <xf numFmtId="165" fontId="31" fillId="0" borderId="0" xfId="0" applyNumberFormat="1" applyFont="1" applyBorder="1" applyAlignment="1">
      <alignment horizontal="center"/>
    </xf>
    <xf numFmtId="41" fontId="31" fillId="0" borderId="0" xfId="6" applyFont="1" applyBorder="1" applyAlignment="1">
      <alignment horizontal="center"/>
    </xf>
    <xf numFmtId="9" fontId="31" fillId="0" borderId="0" xfId="4" applyNumberFormat="1" applyFont="1" applyBorder="1" applyAlignment="1">
      <alignment horizontal="center"/>
    </xf>
    <xf numFmtId="0" fontId="31" fillId="0" borderId="78" xfId="0" applyFont="1" applyBorder="1" applyAlignment="1">
      <alignment horizontal="center"/>
    </xf>
    <xf numFmtId="0" fontId="31" fillId="0" borderId="78" xfId="0" applyFont="1" applyBorder="1" applyAlignment="1">
      <alignment horizontal="left" wrapText="1"/>
    </xf>
    <xf numFmtId="0" fontId="31" fillId="0" borderId="78" xfId="0" quotePrefix="1" applyFont="1" applyBorder="1" applyAlignment="1">
      <alignment horizontal="center"/>
    </xf>
    <xf numFmtId="165" fontId="31" fillId="0" borderId="78" xfId="0" applyNumberFormat="1" applyFont="1" applyBorder="1" applyAlignment="1">
      <alignment horizontal="center"/>
    </xf>
    <xf numFmtId="41" fontId="31" fillId="0" borderId="78" xfId="6" applyFont="1" applyBorder="1" applyAlignment="1">
      <alignment horizontal="center"/>
    </xf>
    <xf numFmtId="9" fontId="31" fillId="0" borderId="78" xfId="4" applyNumberFormat="1" applyFont="1" applyBorder="1" applyAlignment="1">
      <alignment horizontal="center"/>
    </xf>
    <xf numFmtId="169" fontId="31" fillId="0" borderId="6" xfId="0" quotePrefix="1" applyNumberFormat="1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6" xfId="0" applyFont="1" applyBorder="1" applyAlignment="1">
      <alignment horizontal="left" wrapText="1"/>
    </xf>
    <xf numFmtId="0" fontId="31" fillId="0" borderId="6" xfId="0" quotePrefix="1" applyFont="1" applyBorder="1" applyAlignment="1">
      <alignment horizontal="center"/>
    </xf>
    <xf numFmtId="165" fontId="31" fillId="0" borderId="6" xfId="0" applyNumberFormat="1" applyFont="1" applyBorder="1" applyAlignment="1">
      <alignment horizontal="center"/>
    </xf>
    <xf numFmtId="41" fontId="31" fillId="0" borderId="6" xfId="6" applyFont="1" applyBorder="1" applyAlignment="1">
      <alignment horizontal="center"/>
    </xf>
    <xf numFmtId="9" fontId="31" fillId="0" borderId="6" xfId="4" applyNumberFormat="1" applyFont="1" applyBorder="1" applyAlignment="1">
      <alignment horizontal="center"/>
    </xf>
    <xf numFmtId="0" fontId="31" fillId="0" borderId="6" xfId="0" applyFont="1" applyBorder="1"/>
    <xf numFmtId="169" fontId="31" fillId="0" borderId="78" xfId="0" applyNumberFormat="1" applyFont="1" applyBorder="1" applyAlignment="1">
      <alignment horizontal="center"/>
    </xf>
    <xf numFmtId="0" fontId="47" fillId="2" borderId="4" xfId="0" applyFont="1" applyFill="1" applyBorder="1" applyAlignment="1">
      <alignment horizontal="left" wrapText="1"/>
    </xf>
    <xf numFmtId="0" fontId="47" fillId="2" borderId="7" xfId="0" applyFont="1" applyFill="1" applyBorder="1" applyAlignment="1">
      <alignment horizontal="left" wrapText="1"/>
    </xf>
    <xf numFmtId="0" fontId="47" fillId="2" borderId="5" xfId="0" applyFont="1" applyFill="1" applyBorder="1" applyAlignment="1">
      <alignment horizontal="left" wrapText="1"/>
    </xf>
    <xf numFmtId="0" fontId="47" fillId="2" borderId="4" xfId="0" applyFont="1" applyFill="1" applyBorder="1" applyAlignment="1">
      <alignment wrapText="1"/>
    </xf>
    <xf numFmtId="0" fontId="47" fillId="2" borderId="7" xfId="0" applyFont="1" applyFill="1" applyBorder="1" applyAlignment="1">
      <alignment wrapText="1"/>
    </xf>
    <xf numFmtId="0" fontId="47" fillId="2" borderId="5" xfId="0" applyFont="1" applyFill="1" applyBorder="1" applyAlignment="1">
      <alignment wrapText="1"/>
    </xf>
    <xf numFmtId="0" fontId="13" fillId="0" borderId="0" xfId="0" applyFont="1" applyAlignment="1">
      <alignment horizontal="center"/>
    </xf>
    <xf numFmtId="0" fontId="91" fillId="0" borderId="0" xfId="0" applyFont="1" applyAlignment="1">
      <alignment vertical="center"/>
    </xf>
    <xf numFmtId="0" fontId="123" fillId="0" borderId="0" xfId="0" applyFont="1"/>
    <xf numFmtId="0" fontId="124" fillId="0" borderId="0" xfId="0" applyFont="1" applyAlignment="1">
      <alignment vertical="center"/>
    </xf>
    <xf numFmtId="0" fontId="91" fillId="0" borderId="26" xfId="0" applyFont="1" applyBorder="1" applyAlignment="1">
      <alignment horizontal="center" vertical="center"/>
    </xf>
    <xf numFmtId="0" fontId="91" fillId="0" borderId="27" xfId="0" applyFont="1" applyBorder="1" applyAlignment="1">
      <alignment horizontal="center" vertical="center"/>
    </xf>
    <xf numFmtId="0" fontId="91" fillId="0" borderId="27" xfId="0" applyFont="1" applyBorder="1" applyAlignment="1">
      <alignment horizontal="center" vertical="center" wrapText="1"/>
    </xf>
    <xf numFmtId="0" fontId="91" fillId="0" borderId="35" xfId="0" applyFont="1" applyBorder="1" applyAlignment="1">
      <alignment horizontal="center" vertical="center" wrapText="1"/>
    </xf>
    <xf numFmtId="0" fontId="123" fillId="0" borderId="23" xfId="0" applyFont="1" applyBorder="1" applyAlignment="1">
      <alignment horizontal="center" wrapText="1"/>
    </xf>
    <xf numFmtId="0" fontId="123" fillId="0" borderId="24" xfId="0" applyFont="1" applyBorder="1" applyAlignment="1">
      <alignment wrapText="1"/>
    </xf>
    <xf numFmtId="0" fontId="123" fillId="0" borderId="24" xfId="0" applyFont="1" applyBorder="1" applyAlignment="1">
      <alignment horizontal="center" wrapText="1"/>
    </xf>
    <xf numFmtId="41" fontId="123" fillId="0" borderId="24" xfId="6" applyFont="1" applyBorder="1" applyAlignment="1">
      <alignment wrapText="1"/>
    </xf>
    <xf numFmtId="41" fontId="123" fillId="0" borderId="36" xfId="6" applyFont="1" applyBorder="1" applyAlignment="1">
      <alignment wrapText="1"/>
    </xf>
    <xf numFmtId="0" fontId="123" fillId="0" borderId="25" xfId="0" applyFont="1" applyBorder="1"/>
    <xf numFmtId="0" fontId="123" fillId="0" borderId="11" xfId="0" applyFont="1" applyBorder="1" applyAlignment="1">
      <alignment horizontal="center" wrapText="1"/>
    </xf>
    <xf numFmtId="0" fontId="123" fillId="0" borderId="12" xfId="0" applyFont="1" applyBorder="1" applyAlignment="1">
      <alignment horizontal="center" wrapText="1"/>
    </xf>
    <xf numFmtId="41" fontId="123" fillId="0" borderId="12" xfId="6" applyFont="1" applyBorder="1" applyAlignment="1">
      <alignment wrapText="1"/>
    </xf>
    <xf numFmtId="0" fontId="123" fillId="0" borderId="13" xfId="0" applyFont="1" applyBorder="1"/>
    <xf numFmtId="41" fontId="123" fillId="0" borderId="37" xfId="6" applyFont="1" applyBorder="1" applyAlignment="1">
      <alignment wrapText="1"/>
    </xf>
    <xf numFmtId="0" fontId="123" fillId="0" borderId="57" xfId="0" applyFont="1" applyBorder="1" applyAlignment="1">
      <alignment horizontal="center" wrapText="1"/>
    </xf>
    <xf numFmtId="0" fontId="123" fillId="0" borderId="40" xfId="0" applyFont="1" applyBorder="1" applyAlignment="1">
      <alignment wrapText="1"/>
    </xf>
    <xf numFmtId="0" fontId="123" fillId="0" borderId="40" xfId="0" applyFont="1" applyBorder="1" applyAlignment="1">
      <alignment horizontal="center" wrapText="1"/>
    </xf>
    <xf numFmtId="41" fontId="123" fillId="0" borderId="40" xfId="6" applyFont="1" applyBorder="1" applyAlignment="1">
      <alignment wrapText="1"/>
    </xf>
    <xf numFmtId="41" fontId="123" fillId="0" borderId="58" xfId="6" applyFont="1" applyBorder="1" applyAlignment="1">
      <alignment wrapText="1"/>
    </xf>
    <xf numFmtId="0" fontId="123" fillId="0" borderId="74" xfId="0" applyFont="1" applyBorder="1"/>
    <xf numFmtId="0" fontId="125" fillId="0" borderId="21" xfId="0" applyFont="1" applyBorder="1" applyAlignment="1">
      <alignment horizontal="center"/>
    </xf>
    <xf numFmtId="41" fontId="125" fillId="0" borderId="21" xfId="6" applyFont="1" applyBorder="1" applyAlignment="1">
      <alignment horizontal="center"/>
    </xf>
    <xf numFmtId="0" fontId="123" fillId="0" borderId="22" xfId="0" applyFont="1" applyBorder="1"/>
    <xf numFmtId="0" fontId="123" fillId="0" borderId="0" xfId="0" applyFont="1" applyAlignment="1"/>
    <xf numFmtId="41" fontId="123" fillId="0" borderId="0" xfId="0" applyNumberFormat="1" applyFont="1"/>
    <xf numFmtId="0" fontId="127" fillId="0" borderId="0" xfId="0" applyFont="1"/>
    <xf numFmtId="0" fontId="128" fillId="0" borderId="0" xfId="0" applyFont="1" applyBorder="1" applyAlignment="1">
      <alignment horizontal="center"/>
    </xf>
    <xf numFmtId="0" fontId="127" fillId="0" borderId="0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91" fillId="0" borderId="51" xfId="0" applyFont="1" applyBorder="1" applyAlignment="1">
      <alignment horizontal="center" vertical="center" wrapText="1"/>
    </xf>
    <xf numFmtId="0" fontId="91" fillId="0" borderId="7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wrapText="1"/>
    </xf>
    <xf numFmtId="0" fontId="14" fillId="0" borderId="81" xfId="0" applyFont="1" applyBorder="1" applyAlignment="1">
      <alignment horizontal="center" wrapText="1"/>
    </xf>
    <xf numFmtId="0" fontId="14" fillId="0" borderId="32" xfId="0" applyFont="1" applyBorder="1"/>
    <xf numFmtId="43" fontId="0" fillId="0" borderId="0" xfId="1" applyFont="1"/>
    <xf numFmtId="165" fontId="0" fillId="0" borderId="0" xfId="1" applyNumberFormat="1" applyFont="1"/>
    <xf numFmtId="0" fontId="0" fillId="0" borderId="107" xfId="0" applyBorder="1"/>
    <xf numFmtId="0" fontId="0" fillId="0" borderId="109" xfId="0" applyBorder="1"/>
    <xf numFmtId="0" fontId="0" fillId="0" borderId="110" xfId="0" applyBorder="1"/>
    <xf numFmtId="0" fontId="0" fillId="0" borderId="112" xfId="0" applyBorder="1"/>
    <xf numFmtId="0" fontId="0" fillId="0" borderId="110" xfId="0" applyFill="1" applyBorder="1"/>
    <xf numFmtId="0" fontId="0" fillId="0" borderId="115" xfId="0" applyBorder="1"/>
    <xf numFmtId="0" fontId="118" fillId="0" borderId="113" xfId="0" applyFont="1" applyBorder="1"/>
    <xf numFmtId="0" fontId="0" fillId="0" borderId="107" xfId="0" applyFill="1" applyBorder="1"/>
    <xf numFmtId="0" fontId="118" fillId="0" borderId="113" xfId="0" applyFont="1" applyFill="1" applyBorder="1"/>
    <xf numFmtId="165" fontId="0" fillId="0" borderId="0" xfId="0" applyNumberFormat="1"/>
    <xf numFmtId="0" fontId="118" fillId="0" borderId="117" xfId="0" applyFont="1" applyFill="1" applyBorder="1" applyAlignment="1">
      <alignment horizontal="center" vertical="center" wrapText="1"/>
    </xf>
    <xf numFmtId="0" fontId="14" fillId="0" borderId="0" xfId="0" applyFont="1" applyAlignment="1"/>
    <xf numFmtId="165" fontId="68" fillId="0" borderId="0" xfId="0" applyNumberFormat="1" applyFont="1"/>
    <xf numFmtId="0" fontId="0" fillId="0" borderId="111" xfId="0" applyBorder="1"/>
    <xf numFmtId="0" fontId="0" fillId="0" borderId="114" xfId="0" applyBorder="1"/>
    <xf numFmtId="165" fontId="0" fillId="0" borderId="120" xfId="1" applyNumberFormat="1" applyFont="1" applyBorder="1"/>
    <xf numFmtId="165" fontId="0" fillId="0" borderId="119" xfId="1" applyNumberFormat="1" applyFont="1" applyBorder="1"/>
    <xf numFmtId="165" fontId="118" fillId="0" borderId="121" xfId="1" applyNumberFormat="1" applyFont="1" applyBorder="1"/>
    <xf numFmtId="165" fontId="129" fillId="0" borderId="122" xfId="1" applyNumberFormat="1" applyFont="1" applyBorder="1" applyAlignment="1">
      <alignment horizontal="center" vertical="center" wrapText="1"/>
    </xf>
    <xf numFmtId="165" fontId="0" fillId="0" borderId="112" xfId="0" applyNumberFormat="1" applyBorder="1"/>
    <xf numFmtId="0" fontId="0" fillId="0" borderId="113" xfId="0" applyBorder="1"/>
    <xf numFmtId="0" fontId="0" fillId="0" borderId="110" xfId="0" applyFill="1" applyBorder="1" applyAlignment="1">
      <alignment horizontal="left" vertical="center" wrapText="1"/>
    </xf>
    <xf numFmtId="0" fontId="0" fillId="0" borderId="116" xfId="0" applyFill="1" applyBorder="1" applyAlignment="1">
      <alignment horizontal="left" vertical="center" wrapText="1"/>
    </xf>
    <xf numFmtId="165" fontId="0" fillId="0" borderId="118" xfId="1" applyNumberFormat="1" applyFont="1" applyBorder="1"/>
    <xf numFmtId="0" fontId="0" fillId="0" borderId="108" xfId="0" applyBorder="1"/>
    <xf numFmtId="0" fontId="26" fillId="2" borderId="1" xfId="0" applyFont="1" applyFill="1" applyBorder="1" applyAlignment="1">
      <alignment vertical="center" wrapText="1"/>
    </xf>
    <xf numFmtId="0" fontId="37" fillId="2" borderId="1" xfId="0" applyFont="1" applyFill="1" applyBorder="1" applyAlignment="1">
      <alignment horizontal="center" vertical="center" wrapText="1"/>
    </xf>
    <xf numFmtId="3" fontId="73" fillId="0" borderId="13" xfId="3" applyNumberFormat="1" applyFont="1" applyFill="1" applyBorder="1" applyAlignment="1">
      <alignment horizontal="center" vertical="center"/>
    </xf>
    <xf numFmtId="3" fontId="73" fillId="0" borderId="19" xfId="3" applyNumberFormat="1" applyFont="1" applyFill="1" applyBorder="1" applyAlignment="1">
      <alignment horizontal="center" vertical="center" wrapText="1"/>
    </xf>
    <xf numFmtId="0" fontId="131" fillId="0" borderId="0" xfId="3" applyFont="1" applyFill="1" applyAlignment="1">
      <alignment vertical="center"/>
    </xf>
    <xf numFmtId="3" fontId="131" fillId="0" borderId="0" xfId="3" applyNumberFormat="1" applyFont="1" applyFill="1" applyAlignment="1">
      <alignment horizontal="right" vertical="center"/>
    </xf>
    <xf numFmtId="3" fontId="87" fillId="0" borderId="1" xfId="3" applyNumberFormat="1" applyFont="1" applyFill="1" applyBorder="1" applyAlignment="1">
      <alignment horizontal="center" vertical="center" wrapText="1"/>
    </xf>
    <xf numFmtId="0" fontId="131" fillId="0" borderId="0" xfId="3" applyFont="1" applyFill="1" applyAlignment="1">
      <alignment horizontal="left" vertical="center"/>
    </xf>
    <xf numFmtId="0" fontId="131" fillId="0" borderId="0" xfId="3" applyFont="1" applyFill="1" applyAlignment="1">
      <alignment horizontal="center" vertical="center"/>
    </xf>
    <xf numFmtId="0" fontId="133" fillId="0" borderId="0" xfId="3" applyFont="1" applyFill="1" applyAlignment="1">
      <alignment vertical="center"/>
    </xf>
    <xf numFmtId="0" fontId="133" fillId="0" borderId="0" xfId="3" applyFont="1" applyFill="1" applyAlignment="1">
      <alignment horizontal="center" vertical="center"/>
    </xf>
    <xf numFmtId="0" fontId="132" fillId="0" borderId="0" xfId="3" applyFont="1" applyFill="1" applyAlignment="1">
      <alignment horizontal="center" vertical="center"/>
    </xf>
    <xf numFmtId="168" fontId="135" fillId="0" borderId="38" xfId="0" applyNumberFormat="1" applyFont="1" applyBorder="1" applyAlignment="1">
      <alignment horizontal="center" vertical="center"/>
    </xf>
    <xf numFmtId="0" fontId="137" fillId="2" borderId="12" xfId="0" applyFont="1" applyFill="1" applyBorder="1" applyAlignment="1">
      <alignment wrapText="1"/>
    </xf>
    <xf numFmtId="3" fontId="135" fillId="0" borderId="12" xfId="3" applyNumberFormat="1" applyFont="1" applyFill="1" applyBorder="1" applyAlignment="1">
      <alignment horizontal="right" vertical="center"/>
    </xf>
    <xf numFmtId="165" fontId="135" fillId="0" borderId="39" xfId="1" applyNumberFormat="1" applyFont="1" applyFill="1" applyBorder="1" applyAlignment="1">
      <alignment vertical="center"/>
    </xf>
    <xf numFmtId="3" fontId="137" fillId="0" borderId="12" xfId="3" applyNumberFormat="1" applyFont="1" applyFill="1" applyBorder="1" applyAlignment="1">
      <alignment horizontal="right" vertical="center"/>
    </xf>
    <xf numFmtId="3" fontId="136" fillId="0" borderId="12" xfId="3" applyNumberFormat="1" applyFont="1" applyFill="1" applyBorder="1" applyAlignment="1">
      <alignment horizontal="right" vertical="center"/>
    </xf>
    <xf numFmtId="3" fontId="136" fillId="0" borderId="39" xfId="3" applyNumberFormat="1" applyFont="1" applyFill="1" applyBorder="1" applyAlignment="1">
      <alignment horizontal="center" vertical="center"/>
    </xf>
    <xf numFmtId="168" fontId="135" fillId="0" borderId="11" xfId="0" applyNumberFormat="1" applyFont="1" applyBorder="1" applyAlignment="1">
      <alignment horizontal="center" vertical="center"/>
    </xf>
    <xf numFmtId="165" fontId="135" fillId="0" borderId="12" xfId="1" applyNumberFormat="1" applyFont="1" applyFill="1" applyBorder="1" applyAlignment="1">
      <alignment vertical="center"/>
    </xf>
    <xf numFmtId="3" fontId="136" fillId="0" borderId="12" xfId="3" applyNumberFormat="1" applyFont="1" applyFill="1" applyBorder="1" applyAlignment="1">
      <alignment horizontal="center" vertical="center"/>
    </xf>
    <xf numFmtId="168" fontId="135" fillId="0" borderId="17" xfId="0" applyNumberFormat="1" applyFont="1" applyBorder="1" applyAlignment="1">
      <alignment horizontal="center" vertical="center"/>
    </xf>
    <xf numFmtId="0" fontId="137" fillId="2" borderId="18" xfId="0" applyFont="1" applyFill="1" applyBorder="1" applyAlignment="1">
      <alignment wrapText="1"/>
    </xf>
    <xf numFmtId="3" fontId="135" fillId="0" borderId="18" xfId="3" applyNumberFormat="1" applyFont="1" applyFill="1" applyBorder="1" applyAlignment="1">
      <alignment horizontal="right" vertical="center"/>
    </xf>
    <xf numFmtId="3" fontId="136" fillId="0" borderId="12" xfId="3" applyNumberFormat="1" applyFont="1" applyFill="1" applyBorder="1" applyAlignment="1">
      <alignment horizontal="center" vertical="center" wrapText="1"/>
    </xf>
    <xf numFmtId="168" fontId="135" fillId="0" borderId="60" xfId="0" applyNumberFormat="1" applyFont="1" applyBorder="1" applyAlignment="1">
      <alignment horizontal="center" vertical="center"/>
    </xf>
    <xf numFmtId="0" fontId="137" fillId="2" borderId="40" xfId="0" applyFont="1" applyFill="1" applyBorder="1" applyAlignment="1">
      <alignment wrapText="1"/>
    </xf>
    <xf numFmtId="3" fontId="135" fillId="0" borderId="61" xfId="3" applyNumberFormat="1" applyFont="1" applyFill="1" applyBorder="1" applyAlignment="1">
      <alignment horizontal="right" vertical="center"/>
    </xf>
    <xf numFmtId="3" fontId="135" fillId="0" borderId="40" xfId="3" applyNumberFormat="1" applyFont="1" applyFill="1" applyBorder="1" applyAlignment="1">
      <alignment horizontal="right" vertical="center"/>
    </xf>
    <xf numFmtId="165" fontId="135" fillId="0" borderId="18" xfId="1" applyNumberFormat="1" applyFont="1" applyFill="1" applyBorder="1" applyAlignment="1">
      <alignment vertical="center"/>
    </xf>
    <xf numFmtId="3" fontId="136" fillId="0" borderId="3" xfId="3" applyNumberFormat="1" applyFont="1" applyFill="1" applyBorder="1" applyAlignment="1">
      <alignment horizontal="center" vertical="center" wrapText="1"/>
    </xf>
    <xf numFmtId="168" fontId="136" fillId="2" borderId="20" xfId="3" applyNumberFormat="1" applyFont="1" applyFill="1" applyBorder="1" applyAlignment="1">
      <alignment horizontal="center" vertical="center"/>
    </xf>
    <xf numFmtId="0" fontId="136" fillId="2" borderId="21" xfId="3" applyFont="1" applyFill="1" applyBorder="1" applyAlignment="1">
      <alignment horizontal="left" vertical="center"/>
    </xf>
    <xf numFmtId="0" fontId="136" fillId="2" borderId="21" xfId="3" applyFont="1" applyFill="1" applyBorder="1" applyAlignment="1">
      <alignment horizontal="center" vertical="center"/>
    </xf>
    <xf numFmtId="3" fontId="135" fillId="2" borderId="21" xfId="3" applyNumberFormat="1" applyFont="1" applyFill="1" applyBorder="1" applyAlignment="1">
      <alignment horizontal="right" vertical="center"/>
    </xf>
    <xf numFmtId="165" fontId="135" fillId="0" borderId="21" xfId="3" applyNumberFormat="1" applyFont="1" applyFill="1" applyBorder="1" applyAlignment="1">
      <alignment vertical="center"/>
    </xf>
    <xf numFmtId="3" fontId="136" fillId="2" borderId="21" xfId="3" applyNumberFormat="1" applyFont="1" applyFill="1" applyBorder="1" applyAlignment="1">
      <alignment horizontal="right" vertical="center"/>
    </xf>
    <xf numFmtId="3" fontId="136" fillId="2" borderId="48" xfId="3" applyNumberFormat="1" applyFont="1" applyFill="1" applyBorder="1" applyAlignment="1">
      <alignment horizontal="right" vertical="center"/>
    </xf>
    <xf numFmtId="168" fontId="138" fillId="0" borderId="0" xfId="0" applyNumberFormat="1" applyFont="1" applyFill="1" applyAlignment="1">
      <alignment vertical="center"/>
    </xf>
    <xf numFmtId="0" fontId="138" fillId="0" borderId="0" xfId="0" applyFont="1" applyFill="1" applyAlignment="1">
      <alignment vertical="center"/>
    </xf>
    <xf numFmtId="3" fontId="138" fillId="0" borderId="0" xfId="0" applyNumberFormat="1" applyFont="1" applyFill="1" applyAlignment="1">
      <alignment vertical="center"/>
    </xf>
    <xf numFmtId="3" fontId="140" fillId="0" borderId="0" xfId="0" applyNumberFormat="1" applyFont="1" applyFill="1" applyAlignment="1">
      <alignment horizontal="center" vertical="center"/>
    </xf>
    <xf numFmtId="168" fontId="138" fillId="0" borderId="0" xfId="3" applyNumberFormat="1" applyFont="1" applyFill="1" applyAlignment="1">
      <alignment vertical="center"/>
    </xf>
    <xf numFmtId="0" fontId="138" fillId="0" borderId="0" xfId="3" applyFont="1" applyFill="1" applyAlignment="1">
      <alignment vertical="center"/>
    </xf>
    <xf numFmtId="3" fontId="138" fillId="0" borderId="0" xfId="3" applyNumberFormat="1" applyFont="1" applyFill="1" applyAlignment="1">
      <alignment horizontal="right" vertical="center"/>
    </xf>
    <xf numFmtId="3" fontId="138" fillId="0" borderId="0" xfId="3" applyNumberFormat="1" applyFont="1" applyFill="1" applyAlignment="1">
      <alignment vertical="center"/>
    </xf>
    <xf numFmtId="3" fontId="138" fillId="0" borderId="59" xfId="3" applyNumberFormat="1" applyFont="1" applyFill="1" applyBorder="1" applyAlignment="1">
      <alignment vertical="center"/>
    </xf>
    <xf numFmtId="3" fontId="138" fillId="0" borderId="13" xfId="3" applyNumberFormat="1" applyFont="1" applyFill="1" applyBorder="1" applyAlignment="1">
      <alignment vertical="center" wrapText="1"/>
    </xf>
    <xf numFmtId="3" fontId="138" fillId="0" borderId="19" xfId="3" applyNumberFormat="1" applyFont="1" applyFill="1" applyBorder="1" applyAlignment="1">
      <alignment vertical="center" wrapText="1"/>
    </xf>
    <xf numFmtId="3" fontId="138" fillId="0" borderId="62" xfId="3" applyNumberFormat="1" applyFont="1" applyFill="1" applyBorder="1" applyAlignment="1">
      <alignment vertical="center" wrapText="1"/>
    </xf>
    <xf numFmtId="3" fontId="45" fillId="2" borderId="22" xfId="3" applyNumberFormat="1" applyFont="1" applyFill="1" applyBorder="1" applyAlignment="1">
      <alignment horizontal="right" vertical="center"/>
    </xf>
    <xf numFmtId="0" fontId="45" fillId="0" borderId="0" xfId="3" applyFont="1" applyFill="1" applyAlignment="1">
      <alignment vertical="center"/>
    </xf>
    <xf numFmtId="168" fontId="138" fillId="0" borderId="0" xfId="3" applyNumberFormat="1" applyFont="1" applyFill="1" applyAlignment="1">
      <alignment horizontal="center" vertical="center"/>
    </xf>
    <xf numFmtId="0" fontId="138" fillId="0" borderId="0" xfId="3" applyFont="1" applyFill="1" applyAlignment="1">
      <alignment horizontal="left" vertical="center"/>
    </xf>
    <xf numFmtId="0" fontId="138" fillId="0" borderId="0" xfId="3" applyFont="1" applyFill="1" applyAlignment="1">
      <alignment horizontal="center" vertical="center"/>
    </xf>
    <xf numFmtId="168" fontId="141" fillId="0" borderId="0" xfId="3" applyNumberFormat="1" applyFont="1" applyFill="1" applyAlignment="1">
      <alignment horizontal="center" vertical="center"/>
    </xf>
    <xf numFmtId="3" fontId="141" fillId="0" borderId="0" xfId="3" applyNumberFormat="1" applyFont="1" applyFill="1" applyAlignment="1">
      <alignment horizontal="center" vertical="center"/>
    </xf>
    <xf numFmtId="0" fontId="142" fillId="0" borderId="0" xfId="3" applyFont="1" applyFill="1" applyAlignment="1">
      <alignment vertical="center"/>
    </xf>
    <xf numFmtId="3" fontId="140" fillId="0" borderId="0" xfId="3" applyNumberFormat="1" applyFont="1" applyFill="1" applyAlignment="1">
      <alignment horizontal="center" vertical="center"/>
    </xf>
    <xf numFmtId="168" fontId="87" fillId="0" borderId="0" xfId="0" applyNumberFormat="1" applyFont="1" applyFill="1" applyAlignment="1">
      <alignment horizontal="center" vertical="center"/>
    </xf>
    <xf numFmtId="0" fontId="137" fillId="2" borderId="12" xfId="0" applyFont="1" applyFill="1" applyBorder="1" applyAlignment="1">
      <alignment horizontal="center" vertical="center" wrapText="1"/>
    </xf>
    <xf numFmtId="14" fontId="137" fillId="0" borderId="12" xfId="0" quotePrefix="1" applyNumberFormat="1" applyFont="1" applyBorder="1" applyAlignment="1">
      <alignment horizontal="center" vertical="center" wrapText="1"/>
    </xf>
    <xf numFmtId="0" fontId="137" fillId="2" borderId="18" xfId="0" applyFont="1" applyFill="1" applyBorder="1" applyAlignment="1">
      <alignment horizontal="center" vertical="center" wrapText="1"/>
    </xf>
    <xf numFmtId="0" fontId="137" fillId="2" borderId="61" xfId="0" applyFont="1" applyFill="1" applyBorder="1" applyAlignment="1">
      <alignment horizontal="center" vertical="center" wrapText="1"/>
    </xf>
    <xf numFmtId="0" fontId="131" fillId="0" borderId="0" xfId="0" applyFont="1"/>
    <xf numFmtId="0" fontId="130" fillId="0" borderId="0" xfId="0" applyFont="1" applyAlignment="1">
      <alignment horizontal="center"/>
    </xf>
    <xf numFmtId="0" fontId="131" fillId="0" borderId="0" xfId="0" applyFont="1" applyAlignment="1">
      <alignment horizontal="center"/>
    </xf>
    <xf numFmtId="0" fontId="143" fillId="0" borderId="0" xfId="0" applyFont="1"/>
    <xf numFmtId="0" fontId="123" fillId="0" borderId="0" xfId="0" applyFont="1" applyAlignment="1">
      <alignment vertical="center"/>
    </xf>
    <xf numFmtId="0" fontId="131" fillId="0" borderId="0" xfId="0" applyFont="1" applyAlignment="1">
      <alignment horizontal="center" vertical="center"/>
    </xf>
    <xf numFmtId="3" fontId="73" fillId="0" borderId="24" xfId="3" applyNumberFormat="1" applyFont="1" applyFill="1" applyBorder="1" applyAlignment="1">
      <alignment horizontal="right" vertical="center"/>
    </xf>
    <xf numFmtId="3" fontId="37" fillId="0" borderId="1" xfId="0" applyNumberFormat="1" applyFont="1" applyBorder="1" applyAlignment="1"/>
    <xf numFmtId="3" fontId="71" fillId="0" borderId="3" xfId="3" applyNumberFormat="1" applyFont="1" applyFill="1" applyBorder="1" applyAlignment="1">
      <alignment horizontal="center" vertical="center" wrapText="1"/>
    </xf>
    <xf numFmtId="3" fontId="73" fillId="0" borderId="3" xfId="3" applyNumberFormat="1" applyFont="1" applyFill="1" applyBorder="1" applyAlignment="1">
      <alignment horizontal="center" vertical="center" wrapText="1"/>
    </xf>
    <xf numFmtId="169" fontId="31" fillId="0" borderId="39" xfId="0" applyNumberFormat="1" applyFont="1" applyBorder="1" applyAlignment="1">
      <alignment horizontal="center"/>
    </xf>
    <xf numFmtId="0" fontId="5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4" fillId="0" borderId="27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41" fontId="2" fillId="0" borderId="12" xfId="6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30" fillId="0" borderId="39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9" fontId="30" fillId="0" borderId="33" xfId="4" applyNumberFormat="1" applyFont="1" applyBorder="1" applyAlignment="1">
      <alignment horizontal="center" vertical="center" wrapText="1"/>
    </xf>
    <xf numFmtId="9" fontId="30" fillId="0" borderId="40" xfId="4" applyNumberFormat="1" applyFont="1" applyBorder="1" applyAlignment="1">
      <alignment horizontal="center" vertical="center" wrapText="1"/>
    </xf>
    <xf numFmtId="9" fontId="30" fillId="0" borderId="3" xfId="4" applyNumberFormat="1" applyFont="1" applyBorder="1" applyAlignment="1">
      <alignment horizontal="center" vertical="center" wrapText="1"/>
    </xf>
    <xf numFmtId="0" fontId="47" fillId="2" borderId="0" xfId="0" applyFont="1" applyFill="1" applyBorder="1" applyAlignment="1">
      <alignment horizontal="left" wrapText="1"/>
    </xf>
    <xf numFmtId="0" fontId="47" fillId="0" borderId="0" xfId="0" applyFont="1" applyBorder="1" applyAlignment="1">
      <alignment horizontal="center" wrapText="1"/>
    </xf>
    <xf numFmtId="0" fontId="66" fillId="0" borderId="0" xfId="0" applyFont="1" applyBorder="1" applyAlignment="1">
      <alignment horizontal="center"/>
    </xf>
    <xf numFmtId="41" fontId="66" fillId="0" borderId="0" xfId="0" applyNumberFormat="1" applyFont="1" applyBorder="1" applyAlignment="1">
      <alignment horizontal="center"/>
    </xf>
    <xf numFmtId="0" fontId="66" fillId="0" borderId="0" xfId="0" applyFont="1" applyBorder="1" applyAlignment="1">
      <alignment horizontal="center" wrapText="1"/>
    </xf>
    <xf numFmtId="41" fontId="66" fillId="0" borderId="0" xfId="0" applyNumberFormat="1" applyFont="1" applyBorder="1" applyAlignment="1">
      <alignment horizontal="center" wrapText="1"/>
    </xf>
    <xf numFmtId="41" fontId="47" fillId="0" borderId="0" xfId="0" applyNumberFormat="1" applyFont="1" applyBorder="1" applyAlignment="1">
      <alignment horizontal="center" wrapText="1"/>
    </xf>
    <xf numFmtId="41" fontId="47" fillId="0" borderId="0" xfId="6" applyFont="1" applyBorder="1" applyAlignment="1">
      <alignment horizontal="center" wrapText="1"/>
    </xf>
    <xf numFmtId="41" fontId="66" fillId="0" borderId="0" xfId="6" applyFont="1" applyBorder="1" applyAlignment="1">
      <alignment horizontal="center" wrapText="1"/>
    </xf>
    <xf numFmtId="41" fontId="66" fillId="2" borderId="0" xfId="0" applyNumberFormat="1" applyFont="1" applyFill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31" fillId="0" borderId="53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6" fillId="0" borderId="69" xfId="0" applyFont="1" applyBorder="1" applyAlignment="1">
      <alignment horizontal="center" wrapText="1"/>
    </xf>
    <xf numFmtId="0" fontId="46" fillId="0" borderId="50" xfId="0" applyFont="1" applyBorder="1" applyAlignment="1">
      <alignment horizontal="center" wrapText="1"/>
    </xf>
    <xf numFmtId="0" fontId="46" fillId="0" borderId="70" xfId="0" applyFont="1" applyBorder="1" applyAlignment="1">
      <alignment horizontal="center" wrapText="1"/>
    </xf>
    <xf numFmtId="0" fontId="31" fillId="0" borderId="20" xfId="0" applyFont="1" applyBorder="1" applyAlignment="1">
      <alignment horizontal="center"/>
    </xf>
    <xf numFmtId="0" fontId="31" fillId="0" borderId="48" xfId="0" applyFont="1" applyBorder="1" applyAlignment="1">
      <alignment horizontal="center"/>
    </xf>
    <xf numFmtId="0" fontId="46" fillId="0" borderId="0" xfId="0" applyFont="1" applyBorder="1" applyAlignment="1">
      <alignment horizontal="center" vertical="center"/>
    </xf>
    <xf numFmtId="165" fontId="47" fillId="0" borderId="0" xfId="0" applyNumberFormat="1" applyFont="1" applyBorder="1" applyAlignment="1">
      <alignment horizontal="center"/>
    </xf>
    <xf numFmtId="0" fontId="46" fillId="0" borderId="0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/>
    </xf>
    <xf numFmtId="0" fontId="30" fillId="0" borderId="21" xfId="0" applyFont="1" applyBorder="1" applyAlignment="1">
      <alignment horizontal="center"/>
    </xf>
    <xf numFmtId="0" fontId="30" fillId="0" borderId="47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/>
    </xf>
    <xf numFmtId="0" fontId="30" fillId="0" borderId="57" xfId="0" applyFont="1" applyBorder="1" applyAlignment="1">
      <alignment horizontal="center" vertical="center"/>
    </xf>
    <xf numFmtId="0" fontId="30" fillId="0" borderId="65" xfId="0" applyFont="1" applyBorder="1" applyAlignment="1">
      <alignment horizontal="center" vertical="center"/>
    </xf>
    <xf numFmtId="0" fontId="103" fillId="0" borderId="33" xfId="0" applyFont="1" applyBorder="1" applyAlignment="1">
      <alignment horizontal="center" vertical="center" wrapText="1"/>
    </xf>
    <xf numFmtId="0" fontId="103" fillId="0" borderId="40" xfId="0" applyFont="1" applyBorder="1" applyAlignment="1">
      <alignment horizontal="center" vertical="center" wrapText="1"/>
    </xf>
    <xf numFmtId="0" fontId="103" fillId="0" borderId="3" xfId="0" applyFont="1" applyBorder="1" applyAlignment="1">
      <alignment horizontal="center" vertical="center" wrapText="1"/>
    </xf>
    <xf numFmtId="41" fontId="30" fillId="0" borderId="8" xfId="6" applyFont="1" applyBorder="1" applyAlignment="1">
      <alignment horizontal="center" vertical="center" wrapText="1"/>
    </xf>
    <xf numFmtId="41" fontId="30" fillId="0" borderId="78" xfId="6" applyFont="1" applyBorder="1" applyAlignment="1">
      <alignment horizontal="center" vertical="center" wrapText="1"/>
    </xf>
    <xf numFmtId="41" fontId="30" fillId="0" borderId="88" xfId="6" applyFont="1" applyBorder="1" applyAlignment="1">
      <alignment horizontal="center" vertical="center" wrapText="1"/>
    </xf>
    <xf numFmtId="41" fontId="30" fillId="0" borderId="35" xfId="6" applyFont="1" applyBorder="1" applyAlignment="1">
      <alignment horizontal="center" vertical="center"/>
    </xf>
    <xf numFmtId="41" fontId="30" fillId="0" borderId="50" xfId="6" applyFont="1" applyBorder="1" applyAlignment="1">
      <alignment horizontal="center" vertical="center"/>
    </xf>
    <xf numFmtId="41" fontId="30" fillId="0" borderId="51" xfId="6" applyFont="1" applyBorder="1" applyAlignment="1">
      <alignment horizontal="center" vertical="center"/>
    </xf>
    <xf numFmtId="41" fontId="47" fillId="0" borderId="0" xfId="0" applyNumberFormat="1" applyFont="1" applyBorder="1" applyAlignment="1">
      <alignment horizontal="center"/>
    </xf>
    <xf numFmtId="165" fontId="46" fillId="0" borderId="0" xfId="0" applyNumberFormat="1" applyFont="1" applyBorder="1" applyAlignment="1">
      <alignment horizontal="center" wrapText="1"/>
    </xf>
    <xf numFmtId="0" fontId="91" fillId="0" borderId="0" xfId="0" applyFont="1" applyAlignment="1">
      <alignment horizontal="center"/>
    </xf>
    <xf numFmtId="0" fontId="103" fillId="0" borderId="31" xfId="0" applyFont="1" applyBorder="1" applyAlignment="1">
      <alignment horizontal="center" vertical="center" wrapText="1"/>
    </xf>
    <xf numFmtId="0" fontId="103" fillId="0" borderId="32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20" xfId="0" applyFont="1" applyBorder="1" applyAlignment="1">
      <alignment horizontal="center"/>
    </xf>
    <xf numFmtId="0" fontId="34" fillId="0" borderId="21" xfId="0" applyFont="1" applyBorder="1" applyAlignment="1">
      <alignment horizontal="center"/>
    </xf>
    <xf numFmtId="0" fontId="103" fillId="0" borderId="64" xfId="0" applyFont="1" applyBorder="1" applyAlignment="1">
      <alignment horizontal="center" vertical="center" wrapText="1"/>
    </xf>
    <xf numFmtId="0" fontId="103" fillId="0" borderId="65" xfId="0" applyFont="1" applyBorder="1" applyAlignment="1">
      <alignment horizontal="center" vertical="center" wrapText="1"/>
    </xf>
    <xf numFmtId="0" fontId="103" fillId="0" borderId="33" xfId="0" applyFont="1" applyBorder="1" applyAlignment="1">
      <alignment vertical="center" wrapText="1"/>
    </xf>
    <xf numFmtId="0" fontId="103" fillId="0" borderId="3" xfId="0" applyFont="1" applyBorder="1" applyAlignment="1">
      <alignment vertical="center" wrapText="1"/>
    </xf>
    <xf numFmtId="0" fontId="103" fillId="0" borderId="35" xfId="0" applyFont="1" applyBorder="1" applyAlignment="1">
      <alignment horizontal="center" vertical="center" wrapText="1"/>
    </xf>
    <xf numFmtId="0" fontId="103" fillId="0" borderId="50" xfId="0" applyFont="1" applyBorder="1" applyAlignment="1">
      <alignment horizontal="center" vertical="center" wrapText="1"/>
    </xf>
    <xf numFmtId="0" fontId="103" fillId="0" borderId="5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30" fillId="0" borderId="26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0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70" fillId="0" borderId="53" xfId="0" applyFont="1" applyBorder="1" applyAlignment="1">
      <alignment horizontal="left"/>
    </xf>
    <xf numFmtId="0" fontId="70" fillId="0" borderId="7" xfId="0" applyFont="1" applyBorder="1" applyAlignment="1">
      <alignment horizontal="left"/>
    </xf>
    <xf numFmtId="0" fontId="70" fillId="0" borderId="5" xfId="0" applyFont="1" applyBorder="1" applyAlignment="1">
      <alignment horizontal="left"/>
    </xf>
    <xf numFmtId="0" fontId="70" fillId="0" borderId="52" xfId="0" applyFont="1" applyBorder="1" applyAlignment="1">
      <alignment horizontal="center" vertical="center"/>
    </xf>
    <xf numFmtId="0" fontId="70" fillId="0" borderId="2" xfId="0" applyFont="1" applyBorder="1" applyAlignment="1">
      <alignment horizontal="center" vertical="center"/>
    </xf>
    <xf numFmtId="0" fontId="70" fillId="0" borderId="53" xfId="0" applyFont="1" applyBorder="1" applyAlignment="1">
      <alignment horizontal="left" vertical="center"/>
    </xf>
    <xf numFmtId="0" fontId="70" fillId="0" borderId="7" xfId="0" applyFont="1" applyBorder="1" applyAlignment="1">
      <alignment horizontal="left" vertical="center"/>
    </xf>
    <xf numFmtId="0" fontId="70" fillId="0" borderId="5" xfId="0" applyFont="1" applyBorder="1" applyAlignment="1">
      <alignment horizontal="left" vertical="center"/>
    </xf>
    <xf numFmtId="0" fontId="83" fillId="0" borderId="0" xfId="0" applyFont="1" applyAlignment="1">
      <alignment horizontal="center"/>
    </xf>
    <xf numFmtId="0" fontId="70" fillId="0" borderId="29" xfId="0" applyFont="1" applyBorder="1" applyAlignment="1">
      <alignment horizontal="left" vertical="center"/>
    </xf>
    <xf numFmtId="0" fontId="70" fillId="0" borderId="1" xfId="0" applyFont="1" applyBorder="1" applyAlignment="1">
      <alignment horizontal="left" vertical="center"/>
    </xf>
    <xf numFmtId="0" fontId="70" fillId="0" borderId="29" xfId="0" applyFont="1" applyBorder="1" applyAlignment="1">
      <alignment horizontal="left"/>
    </xf>
    <xf numFmtId="0" fontId="70" fillId="0" borderId="1" xfId="0" applyFont="1" applyBorder="1" applyAlignment="1">
      <alignment horizontal="left"/>
    </xf>
    <xf numFmtId="0" fontId="75" fillId="0" borderId="29" xfId="0" applyFont="1" applyBorder="1" applyAlignment="1">
      <alignment horizontal="left"/>
    </xf>
    <xf numFmtId="0" fontId="75" fillId="0" borderId="1" xfId="0" applyFont="1" applyBorder="1" applyAlignment="1">
      <alignment horizontal="left"/>
    </xf>
    <xf numFmtId="0" fontId="42" fillId="0" borderId="28" xfId="0" applyFont="1" applyBorder="1" applyAlignment="1">
      <alignment horizontal="center" vertical="center" wrapText="1"/>
    </xf>
    <xf numFmtId="0" fontId="42" fillId="0" borderId="30" xfId="0" applyFont="1" applyBorder="1" applyAlignment="1">
      <alignment horizontal="center" vertical="center" wrapText="1"/>
    </xf>
    <xf numFmtId="0" fontId="87" fillId="0" borderId="0" xfId="0" applyFont="1" applyAlignment="1">
      <alignment horizontal="center"/>
    </xf>
    <xf numFmtId="9" fontId="87" fillId="0" borderId="0" xfId="4" applyFont="1" applyAlignment="1">
      <alignment horizontal="center"/>
    </xf>
    <xf numFmtId="0" fontId="40" fillId="0" borderId="0" xfId="0" applyFont="1" applyAlignment="1">
      <alignment horizontal="center"/>
    </xf>
    <xf numFmtId="9" fontId="40" fillId="0" borderId="0" xfId="4" applyFont="1" applyAlignment="1">
      <alignment horizontal="center"/>
    </xf>
    <xf numFmtId="0" fontId="42" fillId="0" borderId="26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27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/>
    </xf>
    <xf numFmtId="0" fontId="42" fillId="0" borderId="50" xfId="0" applyFont="1" applyBorder="1" applyAlignment="1">
      <alignment horizontal="center" vertical="center"/>
    </xf>
    <xf numFmtId="0" fontId="42" fillId="0" borderId="51" xfId="0" applyFont="1" applyBorder="1" applyAlignment="1">
      <alignment horizontal="center" vertical="center"/>
    </xf>
    <xf numFmtId="9" fontId="42" fillId="0" borderId="51" xfId="4" applyFont="1" applyBorder="1" applyAlignment="1">
      <alignment horizontal="center" vertical="center"/>
    </xf>
    <xf numFmtId="0" fontId="43" fillId="2" borderId="9" xfId="0" applyFont="1" applyFill="1" applyBorder="1" applyAlignment="1">
      <alignment horizontal="center" vertical="center" wrapText="1"/>
    </xf>
    <xf numFmtId="0" fontId="43" fillId="2" borderId="74" xfId="0" applyFont="1" applyFill="1" applyBorder="1" applyAlignment="1">
      <alignment horizontal="center" vertical="center" wrapText="1"/>
    </xf>
    <xf numFmtId="0" fontId="43" fillId="2" borderId="25" xfId="0" applyFont="1" applyFill="1" applyBorder="1" applyAlignment="1">
      <alignment horizontal="center" vertical="center" wrapText="1"/>
    </xf>
    <xf numFmtId="0" fontId="43" fillId="0" borderId="9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 wrapText="1"/>
    </xf>
    <xf numFmtId="0" fontId="43" fillId="2" borderId="19" xfId="0" applyFont="1" applyFill="1" applyBorder="1" applyAlignment="1">
      <alignment horizontal="center" wrapText="1"/>
    </xf>
    <xf numFmtId="0" fontId="43" fillId="2" borderId="32" xfId="0" applyFont="1" applyFill="1" applyBorder="1" applyAlignment="1">
      <alignment horizontal="center" wrapText="1"/>
    </xf>
    <xf numFmtId="0" fontId="43" fillId="0" borderId="9" xfId="0" applyFont="1" applyBorder="1" applyAlignment="1">
      <alignment horizontal="center" wrapText="1"/>
    </xf>
    <xf numFmtId="0" fontId="43" fillId="0" borderId="74" xfId="0" applyFont="1" applyBorder="1" applyAlignment="1">
      <alignment horizontal="center" wrapText="1"/>
    </xf>
    <xf numFmtId="0" fontId="43" fillId="0" borderId="32" xfId="0" applyFont="1" applyBorder="1" applyAlignment="1">
      <alignment horizontal="center" wrapText="1"/>
    </xf>
    <xf numFmtId="0" fontId="44" fillId="0" borderId="0" xfId="0" applyFont="1" applyAlignment="1">
      <alignment horizontal="center"/>
    </xf>
    <xf numFmtId="9" fontId="44" fillId="0" borderId="0" xfId="4" applyFont="1" applyAlignment="1">
      <alignment horizontal="center"/>
    </xf>
    <xf numFmtId="0" fontId="42" fillId="2" borderId="27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2" fillId="0" borderId="27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left" vertical="center" wrapText="1"/>
    </xf>
    <xf numFmtId="0" fontId="42" fillId="0" borderId="27" xfId="0" applyFont="1" applyBorder="1" applyAlignment="1">
      <alignment horizontal="center" vertical="center"/>
    </xf>
    <xf numFmtId="9" fontId="42" fillId="0" borderId="27" xfId="4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 wrapText="1"/>
    </xf>
    <xf numFmtId="0" fontId="43" fillId="0" borderId="74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70" fillId="2" borderId="29" xfId="0" applyFont="1" applyFill="1" applyBorder="1" applyAlignment="1">
      <alignment horizontal="left"/>
    </xf>
    <xf numFmtId="0" fontId="70" fillId="2" borderId="1" xfId="0" applyFont="1" applyFill="1" applyBorder="1" applyAlignment="1">
      <alignment horizontal="left"/>
    </xf>
    <xf numFmtId="0" fontId="70" fillId="2" borderId="29" xfId="0" applyFont="1" applyFill="1" applyBorder="1" applyAlignment="1">
      <alignment horizontal="left" vertical="center"/>
    </xf>
    <xf numFmtId="0" fontId="70" fillId="2" borderId="1" xfId="0" applyFont="1" applyFill="1" applyBorder="1" applyAlignment="1">
      <alignment horizontal="left" vertical="center"/>
    </xf>
    <xf numFmtId="0" fontId="42" fillId="0" borderId="53" xfId="0" applyFont="1" applyBorder="1" applyAlignment="1">
      <alignment horizontal="left" vertical="center"/>
    </xf>
    <xf numFmtId="0" fontId="42" fillId="0" borderId="7" xfId="0" applyFont="1" applyBorder="1" applyAlignment="1">
      <alignment horizontal="left" vertical="center"/>
    </xf>
    <xf numFmtId="0" fontId="42" fillId="0" borderId="5" xfId="0" applyFont="1" applyBorder="1" applyAlignment="1">
      <alignment horizontal="left" vertical="center"/>
    </xf>
    <xf numFmtId="0" fontId="42" fillId="0" borderId="29" xfId="0" applyFont="1" applyBorder="1" applyAlignment="1">
      <alignment horizontal="left"/>
    </xf>
    <xf numFmtId="0" fontId="42" fillId="0" borderId="1" xfId="0" applyFont="1" applyBorder="1" applyAlignment="1">
      <alignment horizontal="left"/>
    </xf>
    <xf numFmtId="0" fontId="42" fillId="0" borderId="29" xfId="0" applyFont="1" applyBorder="1" applyAlignment="1">
      <alignment horizontal="left" vertical="center"/>
    </xf>
    <xf numFmtId="0" fontId="42" fillId="0" borderId="1" xfId="0" applyFont="1" applyBorder="1" applyAlignment="1">
      <alignment horizontal="left" vertical="center"/>
    </xf>
    <xf numFmtId="0" fontId="43" fillId="2" borderId="32" xfId="0" applyFont="1" applyFill="1" applyBorder="1" applyAlignment="1">
      <alignment horizontal="center" vertical="center" wrapText="1"/>
    </xf>
    <xf numFmtId="0" fontId="43" fillId="2" borderId="9" xfId="0" applyFont="1" applyFill="1" applyBorder="1" applyAlignment="1">
      <alignment vertical="center" wrapText="1"/>
    </xf>
    <xf numFmtId="0" fontId="0" fillId="0" borderId="74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42" fillId="0" borderId="5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43" fillId="2" borderId="9" xfId="0" applyFont="1" applyFill="1" applyBorder="1" applyAlignment="1">
      <alignment horizontal="center" wrapText="1"/>
    </xf>
    <xf numFmtId="0" fontId="66" fillId="0" borderId="29" xfId="0" applyFont="1" applyBorder="1" applyAlignment="1">
      <alignment horizontal="left" vertical="center"/>
    </xf>
    <xf numFmtId="0" fontId="66" fillId="0" borderId="1" xfId="0" applyFont="1" applyBorder="1" applyAlignment="1">
      <alignment horizontal="left" vertical="center"/>
    </xf>
    <xf numFmtId="0" fontId="34" fillId="0" borderId="4" xfId="0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4" fillId="0" borderId="54" xfId="0" applyFont="1" applyBorder="1" applyAlignment="1">
      <alignment horizontal="center" wrapText="1"/>
    </xf>
    <xf numFmtId="0" fontId="84" fillId="0" borderId="56" xfId="0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24" fillId="0" borderId="0" xfId="0" applyFont="1" applyAlignment="1">
      <alignment horizontal="center"/>
    </xf>
    <xf numFmtId="0" fontId="123" fillId="0" borderId="0" xfId="0" applyFont="1" applyAlignment="1">
      <alignment horizontal="center" vertical="center"/>
    </xf>
    <xf numFmtId="0" fontId="126" fillId="0" borderId="0" xfId="0" applyFont="1" applyAlignment="1">
      <alignment horizontal="center"/>
    </xf>
    <xf numFmtId="0" fontId="128" fillId="0" borderId="0" xfId="0" applyFont="1" applyBorder="1" applyAlignment="1">
      <alignment horizontal="center"/>
    </xf>
    <xf numFmtId="0" fontId="125" fillId="0" borderId="20" xfId="0" applyFont="1" applyBorder="1" applyAlignment="1">
      <alignment horizontal="center" wrapText="1"/>
    </xf>
    <xf numFmtId="0" fontId="125" fillId="0" borderId="21" xfId="0" applyFont="1" applyBorder="1" applyAlignment="1">
      <alignment horizontal="center" wrapText="1"/>
    </xf>
    <xf numFmtId="165" fontId="92" fillId="0" borderId="0" xfId="1" applyNumberFormat="1" applyFont="1" applyAlignment="1">
      <alignment horizontal="center"/>
    </xf>
    <xf numFmtId="0" fontId="75" fillId="2" borderId="99" xfId="0" applyFont="1" applyFill="1" applyBorder="1" applyAlignment="1">
      <alignment horizontal="center"/>
    </xf>
    <xf numFmtId="0" fontId="75" fillId="2" borderId="41" xfId="0" applyFont="1" applyFill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34" xfId="0" applyFont="1" applyBorder="1" applyAlignment="1">
      <alignment horizontal="center" wrapText="1"/>
    </xf>
    <xf numFmtId="0" fontId="25" fillId="2" borderId="10" xfId="0" applyFont="1" applyFill="1" applyBorder="1" applyAlignment="1">
      <alignment horizontal="center" vertical="center" wrapText="1"/>
    </xf>
    <xf numFmtId="0" fontId="25" fillId="2" borderId="60" xfId="0" applyFont="1" applyFill="1" applyBorder="1" applyAlignment="1">
      <alignment horizontal="center" vertical="center" wrapText="1"/>
    </xf>
    <xf numFmtId="0" fontId="25" fillId="2" borderId="67" xfId="0" applyFont="1" applyFill="1" applyBorder="1" applyAlignment="1">
      <alignment horizontal="center" vertical="center" wrapText="1"/>
    </xf>
    <xf numFmtId="0" fontId="25" fillId="2" borderId="61" xfId="0" applyFont="1" applyFill="1" applyBorder="1" applyAlignment="1">
      <alignment horizontal="center" vertical="center" wrapText="1"/>
    </xf>
    <xf numFmtId="165" fontId="25" fillId="2" borderId="27" xfId="1" applyNumberFormat="1" applyFont="1" applyFill="1" applyBorder="1" applyAlignment="1">
      <alignment horizontal="center" vertical="center"/>
    </xf>
    <xf numFmtId="166" fontId="25" fillId="2" borderId="68" xfId="1" applyNumberFormat="1" applyFont="1" applyFill="1" applyBorder="1" applyAlignment="1">
      <alignment horizontal="center" vertical="center" wrapText="1"/>
    </xf>
    <xf numFmtId="166" fontId="25" fillId="2" borderId="62" xfId="1" applyNumberFormat="1" applyFont="1" applyFill="1" applyBorder="1" applyAlignment="1">
      <alignment horizontal="center" vertical="center" wrapText="1"/>
    </xf>
    <xf numFmtId="0" fontId="75" fillId="0" borderId="20" xfId="0" applyFont="1" applyBorder="1" applyAlignment="1">
      <alignment horizontal="center"/>
    </xf>
    <xf numFmtId="0" fontId="75" fillId="0" borderId="21" xfId="0" applyFont="1" applyBorder="1" applyAlignment="1">
      <alignment horizontal="center"/>
    </xf>
    <xf numFmtId="165" fontId="75" fillId="2" borderId="47" xfId="1" applyNumberFormat="1" applyFont="1" applyFill="1" applyBorder="1" applyAlignment="1">
      <alignment horizontal="center" vertical="center" wrapText="1"/>
    </xf>
    <xf numFmtId="165" fontId="75" fillId="2" borderId="81" xfId="1" applyNumberFormat="1" applyFont="1" applyFill="1" applyBorder="1" applyAlignment="1">
      <alignment horizontal="center" vertical="center" wrapText="1"/>
    </xf>
    <xf numFmtId="165" fontId="75" fillId="2" borderId="1" xfId="1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75" fillId="2" borderId="64" xfId="0" applyFont="1" applyFill="1" applyBorder="1" applyAlignment="1">
      <alignment horizontal="center" vertical="center" wrapText="1"/>
    </xf>
    <xf numFmtId="0" fontId="75" fillId="2" borderId="65" xfId="0" applyFont="1" applyFill="1" applyBorder="1" applyAlignment="1">
      <alignment horizontal="center" vertical="center" wrapText="1"/>
    </xf>
    <xf numFmtId="0" fontId="75" fillId="2" borderId="33" xfId="0" applyFont="1" applyFill="1" applyBorder="1" applyAlignment="1">
      <alignment horizontal="center" vertical="center" wrapText="1"/>
    </xf>
    <xf numFmtId="0" fontId="75" fillId="2" borderId="3" xfId="0" applyFont="1" applyFill="1" applyBorder="1" applyAlignment="1">
      <alignment horizontal="center" vertical="center" wrapText="1"/>
    </xf>
    <xf numFmtId="166" fontId="75" fillId="2" borderId="28" xfId="1" applyNumberFormat="1" applyFont="1" applyFill="1" applyBorder="1" applyAlignment="1">
      <alignment horizontal="center" vertical="center" wrapText="1"/>
    </xf>
    <xf numFmtId="166" fontId="75" fillId="2" borderId="30" xfId="1" applyNumberFormat="1" applyFont="1" applyFill="1" applyBorder="1" applyAlignment="1">
      <alignment horizontal="center" vertical="center" wrapText="1"/>
    </xf>
    <xf numFmtId="165" fontId="75" fillId="2" borderId="27" xfId="1" applyNumberFormat="1" applyFont="1" applyFill="1" applyBorder="1" applyAlignment="1">
      <alignment horizontal="center" vertical="center"/>
    </xf>
    <xf numFmtId="0" fontId="75" fillId="2" borderId="57" xfId="0" applyFont="1" applyFill="1" applyBorder="1" applyAlignment="1">
      <alignment horizontal="center" vertical="center" wrapText="1"/>
    </xf>
    <xf numFmtId="0" fontId="118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18" fillId="0" borderId="4" xfId="0" applyFont="1" applyBorder="1" applyAlignment="1">
      <alignment horizontal="center"/>
    </xf>
    <xf numFmtId="0" fontId="118" fillId="0" borderId="7" xfId="0" applyFont="1" applyBorder="1" applyAlignment="1">
      <alignment horizontal="center"/>
    </xf>
    <xf numFmtId="0" fontId="118" fillId="0" borderId="5" xfId="0" applyFont="1" applyBorder="1" applyAlignment="1">
      <alignment horizontal="center"/>
    </xf>
    <xf numFmtId="0" fontId="0" fillId="0" borderId="36" xfId="0" applyBorder="1" applyAlignment="1">
      <alignment horizontal="left" vertical="center" wrapText="1"/>
    </xf>
    <xf numFmtId="0" fontId="0" fillId="0" borderId="123" xfId="0" applyBorder="1" applyAlignment="1">
      <alignment horizontal="left" vertical="center" wrapText="1"/>
    </xf>
    <xf numFmtId="0" fontId="0" fillId="0" borderId="79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102" xfId="0" applyBorder="1" applyAlignment="1">
      <alignment horizontal="left" vertical="center" wrapText="1"/>
    </xf>
    <xf numFmtId="0" fontId="0" fillId="0" borderId="71" xfId="0" applyBorder="1" applyAlignment="1">
      <alignment horizontal="left" vertical="center" wrapText="1"/>
    </xf>
    <xf numFmtId="0" fontId="30" fillId="0" borderId="1" xfId="0" applyFont="1" applyBorder="1" applyAlignment="1">
      <alignment horizontal="center"/>
    </xf>
    <xf numFmtId="0" fontId="115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5" fontId="30" fillId="0" borderId="4" xfId="1" applyNumberFormat="1" applyFont="1" applyBorder="1" applyAlignment="1">
      <alignment horizontal="center" wrapText="1"/>
    </xf>
    <xf numFmtId="165" fontId="30" fillId="0" borderId="7" xfId="1" applyNumberFormat="1" applyFont="1" applyBorder="1" applyAlignment="1">
      <alignment horizontal="center" wrapText="1"/>
    </xf>
    <xf numFmtId="0" fontId="11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5" fontId="34" fillId="0" borderId="4" xfId="1" applyNumberFormat="1" applyFont="1" applyBorder="1" applyAlignment="1">
      <alignment horizontal="center" wrapText="1"/>
    </xf>
    <xf numFmtId="165" fontId="34" fillId="0" borderId="7" xfId="1" applyNumberFormat="1" applyFont="1" applyBorder="1" applyAlignment="1">
      <alignment horizontal="center" wrapText="1"/>
    </xf>
    <xf numFmtId="165" fontId="34" fillId="0" borderId="5" xfId="1" applyNumberFormat="1" applyFont="1" applyBorder="1" applyAlignment="1">
      <alignment horizontal="center" wrapText="1"/>
    </xf>
    <xf numFmtId="0" fontId="42" fillId="0" borderId="3" xfId="0" applyFont="1" applyBorder="1" applyAlignment="1">
      <alignment horizontal="center"/>
    </xf>
    <xf numFmtId="0" fontId="30" fillId="2" borderId="4" xfId="0" applyFont="1" applyFill="1" applyBorder="1" applyAlignment="1">
      <alignment horizontal="center" vertical="center" wrapText="1"/>
    </xf>
    <xf numFmtId="0" fontId="30" fillId="2" borderId="5" xfId="0" applyFont="1" applyFill="1" applyBorder="1" applyAlignment="1">
      <alignment horizontal="center" vertical="center" wrapText="1"/>
    </xf>
    <xf numFmtId="0" fontId="30" fillId="2" borderId="7" xfId="0" applyFont="1" applyFill="1" applyBorder="1" applyAlignment="1">
      <alignment horizontal="center" vertical="center" wrapText="1"/>
    </xf>
    <xf numFmtId="166" fontId="31" fillId="2" borderId="18" xfId="1" applyNumberFormat="1" applyFont="1" applyFill="1" applyBorder="1" applyAlignment="1">
      <alignment horizontal="center" wrapText="1"/>
    </xf>
    <xf numFmtId="166" fontId="31" fillId="2" borderId="40" xfId="1" applyNumberFormat="1" applyFont="1" applyFill="1" applyBorder="1" applyAlignment="1">
      <alignment horizontal="center" wrapText="1"/>
    </xf>
    <xf numFmtId="166" fontId="31" fillId="2" borderId="3" xfId="1" applyNumberFormat="1" applyFont="1" applyFill="1" applyBorder="1" applyAlignment="1">
      <alignment horizontal="center" wrapText="1"/>
    </xf>
    <xf numFmtId="0" fontId="3" fillId="0" borderId="34" xfId="0" applyFont="1" applyBorder="1" applyAlignment="1">
      <alignment horizontal="center"/>
    </xf>
    <xf numFmtId="0" fontId="30" fillId="6" borderId="10" xfId="0" applyFont="1" applyFill="1" applyBorder="1" applyAlignment="1">
      <alignment horizontal="center" vertical="center" wrapText="1"/>
    </xf>
    <xf numFmtId="0" fontId="30" fillId="6" borderId="60" xfId="0" applyFont="1" applyFill="1" applyBorder="1" applyAlignment="1">
      <alignment horizontal="center" vertical="center" wrapText="1"/>
    </xf>
    <xf numFmtId="0" fontId="30" fillId="7" borderId="27" xfId="0" applyFont="1" applyFill="1" applyBorder="1" applyAlignment="1">
      <alignment horizontal="center" vertical="center" wrapText="1"/>
    </xf>
    <xf numFmtId="0" fontId="30" fillId="7" borderId="1" xfId="0" applyFont="1" applyFill="1" applyBorder="1" applyAlignment="1">
      <alignment horizontal="center" vertical="center" wrapText="1"/>
    </xf>
    <xf numFmtId="165" fontId="30" fillId="8" borderId="35" xfId="1" applyNumberFormat="1" applyFont="1" applyFill="1" applyBorder="1" applyAlignment="1">
      <alignment horizontal="center" vertical="center"/>
    </xf>
    <xf numFmtId="165" fontId="30" fillId="8" borderId="50" xfId="1" applyNumberFormat="1" applyFont="1" applyFill="1" applyBorder="1" applyAlignment="1">
      <alignment horizontal="center" vertical="center"/>
    </xf>
    <xf numFmtId="165" fontId="30" fillId="5" borderId="35" xfId="1" applyNumberFormat="1" applyFont="1" applyFill="1" applyBorder="1" applyAlignment="1">
      <alignment horizontal="center" vertical="center"/>
    </xf>
    <xf numFmtId="165" fontId="30" fillId="5" borderId="50" xfId="1" applyNumberFormat="1" applyFont="1" applyFill="1" applyBorder="1" applyAlignment="1">
      <alignment horizontal="center" vertical="center"/>
    </xf>
    <xf numFmtId="165" fontId="30" fillId="5" borderId="51" xfId="1" applyNumberFormat="1" applyFont="1" applyFill="1" applyBorder="1" applyAlignment="1">
      <alignment horizontal="center" vertical="center"/>
    </xf>
    <xf numFmtId="166" fontId="30" fillId="4" borderId="28" xfId="1" applyNumberFormat="1" applyFont="1" applyFill="1" applyBorder="1" applyAlignment="1">
      <alignment horizontal="center" vertical="center" wrapText="1"/>
    </xf>
    <xf numFmtId="166" fontId="30" fillId="4" borderId="30" xfId="1" applyNumberFormat="1" applyFont="1" applyFill="1" applyBorder="1" applyAlignment="1">
      <alignment horizontal="center" vertical="center" wrapText="1"/>
    </xf>
    <xf numFmtId="165" fontId="30" fillId="2" borderId="4" xfId="1" applyNumberFormat="1" applyFont="1" applyFill="1" applyBorder="1" applyAlignment="1">
      <alignment horizontal="center" vertical="center" wrapText="1"/>
    </xf>
    <xf numFmtId="165" fontId="30" fillId="2" borderId="7" xfId="1" applyNumberFormat="1" applyFont="1" applyFill="1" applyBorder="1" applyAlignment="1">
      <alignment horizontal="center" vertical="center" wrapText="1"/>
    </xf>
    <xf numFmtId="165" fontId="30" fillId="2" borderId="5" xfId="1" applyNumberFormat="1" applyFont="1" applyFill="1" applyBorder="1" applyAlignment="1">
      <alignment horizontal="center" vertical="center" wrapText="1"/>
    </xf>
    <xf numFmtId="0" fontId="115" fillId="0" borderId="4" xfId="0" applyFont="1" applyBorder="1" applyAlignment="1">
      <alignment horizontal="center"/>
    </xf>
    <xf numFmtId="0" fontId="115" fillId="0" borderId="5" xfId="0" applyFont="1" applyBorder="1" applyAlignment="1">
      <alignment horizontal="center"/>
    </xf>
    <xf numFmtId="165" fontId="115" fillId="0" borderId="4" xfId="1" applyNumberFormat="1" applyFont="1" applyBorder="1" applyAlignment="1">
      <alignment horizontal="center" wrapText="1"/>
    </xf>
    <xf numFmtId="165" fontId="115" fillId="0" borderId="7" xfId="1" applyNumberFormat="1" applyFont="1" applyBorder="1" applyAlignment="1">
      <alignment horizontal="center" wrapText="1"/>
    </xf>
    <xf numFmtId="165" fontId="115" fillId="0" borderId="5" xfId="1" applyNumberFormat="1" applyFont="1" applyBorder="1" applyAlignment="1">
      <alignment horizontal="center" wrapText="1"/>
    </xf>
    <xf numFmtId="0" fontId="17" fillId="6" borderId="10" xfId="0" applyFont="1" applyFill="1" applyBorder="1" applyAlignment="1">
      <alignment horizontal="center" vertical="center" wrapText="1"/>
    </xf>
    <xf numFmtId="0" fontId="17" fillId="6" borderId="60" xfId="0" applyFont="1" applyFill="1" applyBorder="1" applyAlignment="1">
      <alignment horizontal="center" vertical="center" wrapText="1"/>
    </xf>
    <xf numFmtId="0" fontId="17" fillId="7" borderId="2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166" fontId="17" fillId="4" borderId="28" xfId="1" applyNumberFormat="1" applyFont="1" applyFill="1" applyBorder="1" applyAlignment="1">
      <alignment horizontal="center" vertical="center" wrapText="1"/>
    </xf>
    <xf numFmtId="166" fontId="17" fillId="4" borderId="30" xfId="1" applyNumberFormat="1" applyFont="1" applyFill="1" applyBorder="1" applyAlignment="1">
      <alignment horizontal="center" vertical="center" wrapText="1"/>
    </xf>
    <xf numFmtId="165" fontId="17" fillId="0" borderId="4" xfId="1" applyNumberFormat="1" applyFont="1" applyBorder="1" applyAlignment="1">
      <alignment horizontal="center" wrapText="1"/>
    </xf>
    <xf numFmtId="165" fontId="17" fillId="0" borderId="7" xfId="1" applyNumberFormat="1" applyFont="1" applyBorder="1" applyAlignment="1">
      <alignment horizontal="center" wrapText="1"/>
    </xf>
    <xf numFmtId="165" fontId="17" fillId="0" borderId="5" xfId="1" applyNumberFormat="1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166" fontId="18" fillId="2" borderId="18" xfId="1" applyNumberFormat="1" applyFont="1" applyFill="1" applyBorder="1" applyAlignment="1">
      <alignment horizontal="center" wrapText="1"/>
    </xf>
    <xf numFmtId="166" fontId="18" fillId="2" borderId="40" xfId="1" applyNumberFormat="1" applyFont="1" applyFill="1" applyBorder="1" applyAlignment="1">
      <alignment horizontal="center" wrapText="1"/>
    </xf>
    <xf numFmtId="166" fontId="18" fillId="2" borderId="3" xfId="1" applyNumberFormat="1" applyFont="1" applyFill="1" applyBorder="1" applyAlignment="1">
      <alignment horizontal="center" wrapText="1"/>
    </xf>
    <xf numFmtId="165" fontId="17" fillId="8" borderId="35" xfId="1" applyNumberFormat="1" applyFont="1" applyFill="1" applyBorder="1" applyAlignment="1">
      <alignment horizontal="center" vertical="center"/>
    </xf>
    <xf numFmtId="165" fontId="17" fillId="8" borderId="50" xfId="1" applyNumberFormat="1" applyFont="1" applyFill="1" applyBorder="1" applyAlignment="1">
      <alignment horizontal="center" vertical="center"/>
    </xf>
    <xf numFmtId="165" fontId="17" fillId="8" borderId="51" xfId="1" applyNumberFormat="1" applyFont="1" applyFill="1" applyBorder="1" applyAlignment="1">
      <alignment horizontal="center" vertical="center"/>
    </xf>
    <xf numFmtId="165" fontId="17" fillId="5" borderId="35" xfId="1" applyNumberFormat="1" applyFont="1" applyFill="1" applyBorder="1" applyAlignment="1">
      <alignment horizontal="center" vertical="center"/>
    </xf>
    <xf numFmtId="165" fontId="17" fillId="5" borderId="50" xfId="1" applyNumberFormat="1" applyFont="1" applyFill="1" applyBorder="1" applyAlignment="1">
      <alignment horizontal="center" vertical="center"/>
    </xf>
    <xf numFmtId="165" fontId="17" fillId="5" borderId="51" xfId="1" applyNumberFormat="1" applyFont="1" applyFill="1" applyBorder="1" applyAlignment="1">
      <alignment horizontal="center" vertical="center"/>
    </xf>
    <xf numFmtId="0" fontId="75" fillId="2" borderId="14" xfId="0" applyFont="1" applyFill="1" applyBorder="1" applyAlignment="1">
      <alignment horizontal="center"/>
    </xf>
    <xf numFmtId="0" fontId="75" fillId="2" borderId="15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6" fillId="0" borderId="0" xfId="0" applyFont="1" applyBorder="1" applyAlignment="1">
      <alignment horizontal="center" vertical="center"/>
    </xf>
    <xf numFmtId="0" fontId="47" fillId="0" borderId="21" xfId="0" applyFont="1" applyBorder="1" applyAlignment="1">
      <alignment horizontal="center"/>
    </xf>
    <xf numFmtId="0" fontId="47" fillId="0" borderId="72" xfId="0" applyFont="1" applyBorder="1" applyAlignment="1">
      <alignment horizontal="center" wrapText="1"/>
    </xf>
    <xf numFmtId="0" fontId="47" fillId="0" borderId="73" xfId="0" applyFont="1" applyBorder="1" applyAlignment="1">
      <alignment horizontal="center" wrapText="1"/>
    </xf>
    <xf numFmtId="0" fontId="47" fillId="3" borderId="72" xfId="0" applyFont="1" applyFill="1" applyBorder="1" applyAlignment="1">
      <alignment horizontal="center" wrapText="1"/>
    </xf>
    <xf numFmtId="0" fontId="47" fillId="3" borderId="73" xfId="0" applyFont="1" applyFill="1" applyBorder="1" applyAlignment="1">
      <alignment horizontal="center" wrapText="1"/>
    </xf>
    <xf numFmtId="0" fontId="46" fillId="0" borderId="4" xfId="0" applyFont="1" applyBorder="1" applyAlignment="1">
      <alignment horizontal="center" wrapText="1"/>
    </xf>
    <xf numFmtId="0" fontId="46" fillId="0" borderId="7" xfId="0" applyFont="1" applyBorder="1" applyAlignment="1">
      <alignment horizontal="center" wrapText="1"/>
    </xf>
    <xf numFmtId="0" fontId="46" fillId="0" borderId="5" xfId="0" applyFont="1" applyBorder="1" applyAlignment="1">
      <alignment horizontal="center" wrapText="1"/>
    </xf>
    <xf numFmtId="0" fontId="47" fillId="2" borderId="81" xfId="0" applyFont="1" applyFill="1" applyBorder="1" applyAlignment="1">
      <alignment horizontal="center" wrapText="1"/>
    </xf>
    <xf numFmtId="0" fontId="47" fillId="2" borderId="6" xfId="0" applyFont="1" applyFill="1" applyBorder="1" applyAlignment="1">
      <alignment horizontal="center" wrapText="1"/>
    </xf>
    <xf numFmtId="0" fontId="47" fillId="2" borderId="72" xfId="0" applyFont="1" applyFill="1" applyBorder="1" applyAlignment="1">
      <alignment horizontal="center" wrapText="1"/>
    </xf>
    <xf numFmtId="0" fontId="47" fillId="2" borderId="75" xfId="0" applyFont="1" applyFill="1" applyBorder="1" applyAlignment="1">
      <alignment horizontal="center" wrapText="1"/>
    </xf>
    <xf numFmtId="0" fontId="45" fillId="0" borderId="0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/>
    </xf>
    <xf numFmtId="0" fontId="74" fillId="2" borderId="105" xfId="0" applyFont="1" applyFill="1" applyBorder="1" applyAlignment="1">
      <alignment horizontal="center" wrapText="1"/>
    </xf>
    <xf numFmtId="0" fontId="74" fillId="2" borderId="6" xfId="0" applyFont="1" applyFill="1" applyBorder="1" applyAlignment="1">
      <alignment horizontal="center" wrapText="1"/>
    </xf>
    <xf numFmtId="0" fontId="46" fillId="0" borderId="54" xfId="0" applyFont="1" applyBorder="1" applyAlignment="1">
      <alignment horizontal="center" wrapText="1"/>
    </xf>
    <xf numFmtId="0" fontId="46" fillId="0" borderId="55" xfId="0" applyFont="1" applyBorder="1" applyAlignment="1">
      <alignment horizontal="center" wrapText="1"/>
    </xf>
    <xf numFmtId="0" fontId="46" fillId="0" borderId="56" xfId="0" applyFont="1" applyBorder="1" applyAlignment="1">
      <alignment horizontal="center" wrapText="1"/>
    </xf>
    <xf numFmtId="0" fontId="39" fillId="0" borderId="0" xfId="0" applyFont="1" applyAlignment="1">
      <alignment horizontal="center" vertical="center"/>
    </xf>
    <xf numFmtId="0" fontId="74" fillId="2" borderId="72" xfId="0" applyFont="1" applyFill="1" applyBorder="1" applyAlignment="1">
      <alignment horizontal="center" wrapText="1"/>
    </xf>
    <xf numFmtId="0" fontId="74" fillId="2" borderId="73" xfId="0" applyFont="1" applyFill="1" applyBorder="1" applyAlignment="1">
      <alignment horizontal="center" wrapText="1"/>
    </xf>
    <xf numFmtId="0" fontId="74" fillId="2" borderId="76" xfId="0" applyFont="1" applyFill="1" applyBorder="1" applyAlignment="1">
      <alignment horizontal="center" wrapText="1"/>
    </xf>
    <xf numFmtId="0" fontId="74" fillId="2" borderId="75" xfId="0" applyFont="1" applyFill="1" applyBorder="1" applyAlignment="1">
      <alignment horizontal="center" wrapText="1"/>
    </xf>
    <xf numFmtId="0" fontId="90" fillId="0" borderId="0" xfId="0" applyFont="1" applyAlignment="1">
      <alignment horizontal="center"/>
    </xf>
    <xf numFmtId="0" fontId="89" fillId="0" borderId="35" xfId="0" applyFont="1" applyBorder="1" applyAlignment="1">
      <alignment horizontal="center"/>
    </xf>
    <xf numFmtId="0" fontId="89" fillId="0" borderId="51" xfId="0" applyFont="1" applyBorder="1" applyAlignment="1">
      <alignment horizontal="center"/>
    </xf>
    <xf numFmtId="0" fontId="64" fillId="0" borderId="0" xfId="3" applyFont="1" applyFill="1" applyAlignment="1">
      <alignment horizontal="center" vertical="center"/>
    </xf>
    <xf numFmtId="0" fontId="51" fillId="0" borderId="0" xfId="3" applyFont="1" applyFill="1" applyAlignment="1">
      <alignment horizontal="center" vertical="center"/>
    </xf>
    <xf numFmtId="0" fontId="89" fillId="0" borderId="69" xfId="0" applyFont="1" applyBorder="1" applyAlignment="1">
      <alignment horizontal="center"/>
    </xf>
    <xf numFmtId="0" fontId="91" fillId="0" borderId="0" xfId="0" applyFont="1" applyAlignment="1">
      <alignment horizontal="center" vertical="center"/>
    </xf>
    <xf numFmtId="0" fontId="85" fillId="0" borderId="0" xfId="0" applyFont="1" applyAlignment="1">
      <alignment horizontal="right"/>
    </xf>
    <xf numFmtId="165" fontId="96" fillId="2" borderId="4" xfId="1" applyNumberFormat="1" applyFont="1" applyFill="1" applyBorder="1" applyAlignment="1">
      <alignment horizontal="center" wrapText="1"/>
    </xf>
    <xf numFmtId="165" fontId="96" fillId="2" borderId="7" xfId="1" applyNumberFormat="1" applyFont="1" applyFill="1" applyBorder="1" applyAlignment="1">
      <alignment horizontal="center" wrapText="1"/>
    </xf>
    <xf numFmtId="165" fontId="96" fillId="2" borderId="5" xfId="1" applyNumberFormat="1" applyFont="1" applyFill="1" applyBorder="1" applyAlignment="1">
      <alignment horizontal="center" wrapText="1"/>
    </xf>
    <xf numFmtId="9" fontId="7" fillId="0" borderId="0" xfId="4" applyFont="1" applyAlignment="1">
      <alignment horizontal="center"/>
    </xf>
    <xf numFmtId="9" fontId="2" fillId="0" borderId="0" xfId="4" applyFont="1" applyAlignment="1">
      <alignment horizontal="center"/>
    </xf>
    <xf numFmtId="0" fontId="30" fillId="0" borderId="27" xfId="0" applyFont="1" applyBorder="1" applyAlignment="1">
      <alignment horizontal="center" vertical="center"/>
    </xf>
    <xf numFmtId="9" fontId="30" fillId="0" borderId="51" xfId="4" applyFont="1" applyBorder="1" applyAlignment="1">
      <alignment horizontal="center"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3" fillId="0" borderId="29" xfId="0" applyFont="1" applyBorder="1" applyAlignment="1">
      <alignment horizontal="left" vertical="center"/>
    </xf>
    <xf numFmtId="0" fontId="33" fillId="0" borderId="1" xfId="0" applyFont="1" applyBorder="1" applyAlignment="1">
      <alignment horizontal="left" vertical="center"/>
    </xf>
    <xf numFmtId="0" fontId="99" fillId="0" borderId="4" xfId="0" applyFont="1" applyBorder="1" applyAlignment="1">
      <alignment horizontal="center"/>
    </xf>
    <xf numFmtId="0" fontId="99" fillId="0" borderId="7" xfId="0" applyFont="1" applyBorder="1" applyAlignment="1">
      <alignment horizontal="center"/>
    </xf>
    <xf numFmtId="0" fontId="99" fillId="0" borderId="5" xfId="0" applyFont="1" applyBorder="1" applyAlignment="1">
      <alignment horizontal="center"/>
    </xf>
    <xf numFmtId="0" fontId="99" fillId="0" borderId="0" xfId="0" applyFont="1" applyAlignment="1">
      <alignment horizontal="center"/>
    </xf>
    <xf numFmtId="0" fontId="42" fillId="0" borderId="28" xfId="0" applyFont="1" applyBorder="1" applyAlignment="1">
      <alignment horizontal="center" vertical="center"/>
    </xf>
    <xf numFmtId="0" fontId="100" fillId="0" borderId="83" xfId="0" applyFont="1" applyBorder="1" applyAlignment="1">
      <alignment horizontal="center"/>
    </xf>
    <xf numFmtId="0" fontId="100" fillId="0" borderId="84" xfId="0" applyFont="1" applyBorder="1" applyAlignment="1">
      <alignment horizontal="center"/>
    </xf>
    <xf numFmtId="0" fontId="100" fillId="0" borderId="45" xfId="0" applyFont="1" applyBorder="1" applyAlignment="1">
      <alignment horizontal="center"/>
    </xf>
    <xf numFmtId="0" fontId="89" fillId="0" borderId="21" xfId="0" applyFont="1" applyBorder="1" applyAlignment="1">
      <alignment horizontal="center"/>
    </xf>
    <xf numFmtId="0" fontId="99" fillId="0" borderId="34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16" fontId="21" fillId="0" borderId="4" xfId="0" quotePrefix="1" applyNumberFormat="1" applyFont="1" applyBorder="1" applyAlignment="1">
      <alignment horizontal="center"/>
    </xf>
    <xf numFmtId="16" fontId="21" fillId="0" borderId="5" xfId="0" quotePrefix="1" applyNumberFormat="1" applyFont="1" applyBorder="1" applyAlignment="1">
      <alignment horizontal="center"/>
    </xf>
    <xf numFmtId="0" fontId="99" fillId="0" borderId="20" xfId="0" applyFont="1" applyBorder="1" applyAlignment="1">
      <alignment horizontal="center"/>
    </xf>
    <xf numFmtId="0" fontId="99" fillId="0" borderId="21" xfId="0" applyFont="1" applyBorder="1" applyAlignment="1">
      <alignment horizontal="center"/>
    </xf>
    <xf numFmtId="0" fontId="14" fillId="0" borderId="54" xfId="0" applyFont="1" applyBorder="1" applyAlignment="1">
      <alignment horizontal="center"/>
    </xf>
    <xf numFmtId="0" fontId="14" fillId="0" borderId="56" xfId="0" applyFont="1" applyBorder="1" applyAlignment="1">
      <alignment horizontal="center"/>
    </xf>
    <xf numFmtId="0" fontId="64" fillId="0" borderId="78" xfId="3" applyFont="1" applyFill="1" applyBorder="1" applyAlignment="1">
      <alignment horizontal="center" vertical="center"/>
    </xf>
    <xf numFmtId="0" fontId="57" fillId="0" borderId="48" xfId="0" applyFont="1" applyBorder="1" applyAlignment="1">
      <alignment horizontal="center"/>
    </xf>
    <xf numFmtId="0" fontId="57" fillId="0" borderId="55" xfId="0" applyFont="1" applyBorder="1" applyAlignment="1">
      <alignment horizontal="center"/>
    </xf>
    <xf numFmtId="0" fontId="57" fillId="0" borderId="56" xfId="0" applyFont="1" applyBorder="1" applyAlignment="1">
      <alignment horizontal="center"/>
    </xf>
    <xf numFmtId="0" fontId="37" fillId="0" borderId="97" xfId="0" applyFont="1" applyBorder="1" applyAlignment="1">
      <alignment horizontal="center" wrapText="1"/>
    </xf>
    <xf numFmtId="0" fontId="37" fillId="0" borderId="98" xfId="0" applyFont="1" applyBorder="1" applyAlignment="1">
      <alignment horizontal="center" wrapText="1"/>
    </xf>
    <xf numFmtId="0" fontId="37" fillId="0" borderId="80" xfId="0" applyFont="1" applyBorder="1" applyAlignment="1">
      <alignment horizontal="center" wrapText="1"/>
    </xf>
    <xf numFmtId="0" fontId="13" fillId="0" borderId="0" xfId="0" applyFont="1" applyAlignment="1"/>
    <xf numFmtId="0" fontId="3" fillId="0" borderId="3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/>
    </xf>
    <xf numFmtId="0" fontId="25" fillId="0" borderId="80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0" borderId="76" xfId="0" applyFont="1" applyBorder="1" applyAlignment="1">
      <alignment horizontal="center"/>
    </xf>
    <xf numFmtId="0" fontId="25" fillId="0" borderId="75" xfId="0" applyFont="1" applyBorder="1" applyAlignment="1">
      <alignment horizontal="center"/>
    </xf>
    <xf numFmtId="0" fontId="25" fillId="0" borderId="73" xfId="0" applyFont="1" applyBorder="1" applyAlignment="1">
      <alignment horizontal="center"/>
    </xf>
    <xf numFmtId="0" fontId="25" fillId="0" borderId="60" xfId="0" applyFont="1" applyBorder="1" applyAlignment="1">
      <alignment horizontal="center"/>
    </xf>
    <xf numFmtId="0" fontId="25" fillId="0" borderId="61" xfId="0" applyFont="1" applyBorder="1" applyAlignment="1">
      <alignment horizontal="center"/>
    </xf>
    <xf numFmtId="0" fontId="37" fillId="0" borderId="76" xfId="0" applyFont="1" applyBorder="1" applyAlignment="1">
      <alignment horizontal="center"/>
    </xf>
    <xf numFmtId="0" fontId="37" fillId="0" borderId="75" xfId="0" applyFont="1" applyBorder="1" applyAlignment="1">
      <alignment horizontal="center"/>
    </xf>
    <xf numFmtId="0" fontId="37" fillId="0" borderId="73" xfId="0" applyFont="1" applyBorder="1" applyAlignment="1">
      <alignment horizontal="center"/>
    </xf>
    <xf numFmtId="0" fontId="26" fillId="0" borderId="76" xfId="0" quotePrefix="1" applyFont="1" applyBorder="1" applyAlignment="1">
      <alignment horizontal="center"/>
    </xf>
    <xf numFmtId="0" fontId="26" fillId="0" borderId="75" xfId="0" quotePrefix="1" applyFont="1" applyBorder="1" applyAlignment="1">
      <alignment horizontal="center"/>
    </xf>
    <xf numFmtId="0" fontId="26" fillId="0" borderId="73" xfId="0" quotePrefix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1" fillId="9" borderId="0" xfId="0" applyFont="1" applyFill="1" applyAlignment="1">
      <alignment horizontal="center" vertical="center" wrapText="1"/>
    </xf>
    <xf numFmtId="0" fontId="45" fillId="2" borderId="0" xfId="0" applyFont="1" applyFill="1" applyAlignment="1">
      <alignment horizontal="center" vertical="center"/>
    </xf>
    <xf numFmtId="0" fontId="46" fillId="2" borderId="2" xfId="0" applyFont="1" applyFill="1" applyBorder="1" applyAlignment="1">
      <alignment horizontal="center" vertical="center" wrapText="1"/>
    </xf>
    <xf numFmtId="0" fontId="46" fillId="2" borderId="40" xfId="0" applyFont="1" applyFill="1" applyBorder="1" applyAlignment="1">
      <alignment horizontal="center" vertical="center" wrapText="1"/>
    </xf>
    <xf numFmtId="0" fontId="46" fillId="2" borderId="3" xfId="0" applyFont="1" applyFill="1" applyBorder="1" applyAlignment="1">
      <alignment horizontal="center" vertical="center" wrapText="1"/>
    </xf>
    <xf numFmtId="0" fontId="46" fillId="2" borderId="4" xfId="0" applyFont="1" applyFill="1" applyBorder="1" applyAlignment="1">
      <alignment horizontal="center" vertical="center"/>
    </xf>
    <xf numFmtId="0" fontId="46" fillId="2" borderId="7" xfId="0" applyFont="1" applyFill="1" applyBorder="1" applyAlignment="1">
      <alignment horizontal="center" vertical="center"/>
    </xf>
    <xf numFmtId="0" fontId="46" fillId="0" borderId="4" xfId="0" applyFont="1" applyBorder="1" applyAlignment="1">
      <alignment horizontal="center" vertical="center" shrinkToFit="1"/>
    </xf>
    <xf numFmtId="0" fontId="46" fillId="0" borderId="5" xfId="0" applyFont="1" applyBorder="1" applyAlignment="1">
      <alignment horizontal="center" vertical="center" shrinkToFit="1"/>
    </xf>
    <xf numFmtId="2" fontId="44" fillId="0" borderId="0" xfId="0" applyNumberFormat="1" applyFont="1" applyBorder="1" applyAlignment="1">
      <alignment horizontal="center" vertical="center"/>
    </xf>
    <xf numFmtId="3" fontId="44" fillId="0" borderId="0" xfId="0" applyNumberFormat="1" applyFont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wrapText="1"/>
    </xf>
    <xf numFmtId="0" fontId="37" fillId="2" borderId="4" xfId="0" applyFont="1" applyFill="1" applyBorder="1" applyAlignment="1">
      <alignment horizontal="center" wrapText="1"/>
    </xf>
    <xf numFmtId="0" fontId="37" fillId="2" borderId="5" xfId="0" applyFont="1" applyFill="1" applyBorder="1" applyAlignment="1">
      <alignment horizontal="center" wrapText="1"/>
    </xf>
    <xf numFmtId="3" fontId="71" fillId="0" borderId="33" xfId="3" applyNumberFormat="1" applyFont="1" applyFill="1" applyBorder="1" applyAlignment="1">
      <alignment horizontal="center" vertical="center" wrapText="1"/>
    </xf>
    <xf numFmtId="3" fontId="71" fillId="0" borderId="3" xfId="3" applyNumberFormat="1" applyFont="1" applyFill="1" applyBorder="1" applyAlignment="1">
      <alignment horizontal="center" vertical="center" wrapText="1"/>
    </xf>
    <xf numFmtId="3" fontId="71" fillId="0" borderId="28" xfId="3" applyNumberFormat="1" applyFont="1" applyFill="1" applyBorder="1" applyAlignment="1">
      <alignment horizontal="center" vertical="center" wrapText="1"/>
    </xf>
    <xf numFmtId="3" fontId="71" fillId="0" borderId="30" xfId="3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65" fillId="0" borderId="34" xfId="0" applyNumberFormat="1" applyFont="1" applyFill="1" applyBorder="1" applyAlignment="1">
      <alignment horizontal="center" vertical="center"/>
    </xf>
    <xf numFmtId="168" fontId="71" fillId="0" borderId="26" xfId="3" applyNumberFormat="1" applyFont="1" applyFill="1" applyBorder="1" applyAlignment="1">
      <alignment horizontal="center" vertical="center"/>
    </xf>
    <xf numFmtId="168" fontId="71" fillId="0" borderId="29" xfId="3" applyNumberFormat="1" applyFont="1" applyFill="1" applyBorder="1" applyAlignment="1">
      <alignment horizontal="center" vertical="center"/>
    </xf>
    <xf numFmtId="0" fontId="71" fillId="0" borderId="27" xfId="3" applyFont="1" applyFill="1" applyBorder="1" applyAlignment="1">
      <alignment horizontal="center" vertical="center"/>
    </xf>
    <xf numFmtId="0" fontId="71" fillId="0" borderId="1" xfId="3" applyFont="1" applyFill="1" applyBorder="1" applyAlignment="1">
      <alignment horizontal="center" vertical="center"/>
    </xf>
    <xf numFmtId="0" fontId="71" fillId="0" borderId="27" xfId="3" applyFont="1" applyFill="1" applyBorder="1" applyAlignment="1">
      <alignment horizontal="center" vertical="center" wrapText="1"/>
    </xf>
    <xf numFmtId="3" fontId="71" fillId="0" borderId="27" xfId="3" applyNumberFormat="1" applyFont="1" applyFill="1" applyBorder="1" applyAlignment="1">
      <alignment horizontal="center" vertical="center" wrapText="1"/>
    </xf>
    <xf numFmtId="3" fontId="71" fillId="0" borderId="1" xfId="3" applyNumberFormat="1" applyFont="1" applyFill="1" applyBorder="1" applyAlignment="1">
      <alignment horizontal="center" vertical="center"/>
    </xf>
    <xf numFmtId="3" fontId="71" fillId="0" borderId="1" xfId="3" applyNumberFormat="1" applyFont="1" applyFill="1" applyBorder="1" applyAlignment="1">
      <alignment horizontal="center" vertical="center" wrapText="1"/>
    </xf>
    <xf numFmtId="3" fontId="87" fillId="0" borderId="33" xfId="3" applyNumberFormat="1" applyFont="1" applyFill="1" applyBorder="1" applyAlignment="1">
      <alignment horizontal="center" vertical="center" wrapText="1"/>
    </xf>
    <xf numFmtId="3" fontId="87" fillId="0" borderId="3" xfId="3" applyNumberFormat="1" applyFont="1" applyFill="1" applyBorder="1" applyAlignment="1">
      <alignment horizontal="center" vertical="center" wrapText="1"/>
    </xf>
    <xf numFmtId="168" fontId="134" fillId="0" borderId="0" xfId="0" applyNumberFormat="1" applyFont="1" applyFill="1" applyAlignment="1">
      <alignment horizontal="center" vertical="center"/>
    </xf>
    <xf numFmtId="168" fontId="87" fillId="0" borderId="26" xfId="3" applyNumberFormat="1" applyFont="1" applyFill="1" applyBorder="1" applyAlignment="1">
      <alignment horizontal="center" vertical="center"/>
    </xf>
    <xf numFmtId="168" fontId="87" fillId="0" borderId="29" xfId="3" applyNumberFormat="1" applyFont="1" applyFill="1" applyBorder="1" applyAlignment="1">
      <alignment horizontal="center" vertical="center"/>
    </xf>
    <xf numFmtId="0" fontId="87" fillId="0" borderId="27" xfId="3" applyFont="1" applyFill="1" applyBorder="1" applyAlignment="1">
      <alignment horizontal="center" vertical="center"/>
    </xf>
    <xf numFmtId="0" fontId="87" fillId="0" borderId="1" xfId="3" applyFont="1" applyFill="1" applyBorder="1" applyAlignment="1">
      <alignment horizontal="center" vertical="center"/>
    </xf>
    <xf numFmtId="0" fontId="87" fillId="0" borderId="27" xfId="3" applyFont="1" applyFill="1" applyBorder="1" applyAlignment="1">
      <alignment horizontal="center" vertical="center" wrapText="1"/>
    </xf>
    <xf numFmtId="3" fontId="87" fillId="0" borderId="27" xfId="3" applyNumberFormat="1" applyFont="1" applyFill="1" applyBorder="1" applyAlignment="1">
      <alignment horizontal="center" vertical="center" wrapText="1"/>
    </xf>
    <xf numFmtId="3" fontId="87" fillId="0" borderId="1" xfId="3" applyNumberFormat="1" applyFont="1" applyFill="1" applyBorder="1" applyAlignment="1">
      <alignment horizontal="center" vertical="center" wrapText="1"/>
    </xf>
    <xf numFmtId="3" fontId="87" fillId="0" borderId="35" xfId="3" applyNumberFormat="1" applyFont="1" applyFill="1" applyBorder="1" applyAlignment="1">
      <alignment horizontal="center" vertical="center"/>
    </xf>
    <xf numFmtId="3" fontId="87" fillId="0" borderId="50" xfId="3" applyNumberFormat="1" applyFont="1" applyFill="1" applyBorder="1" applyAlignment="1">
      <alignment horizontal="center" vertical="center"/>
    </xf>
    <xf numFmtId="3" fontId="87" fillId="0" borderId="51" xfId="3" applyNumberFormat="1" applyFont="1" applyFill="1" applyBorder="1" applyAlignment="1">
      <alignment horizontal="center" vertical="center"/>
    </xf>
    <xf numFmtId="3" fontId="87" fillId="0" borderId="0" xfId="3" applyNumberFormat="1" applyFont="1" applyFill="1" applyAlignment="1">
      <alignment horizontal="center" vertical="center"/>
    </xf>
    <xf numFmtId="3" fontId="139" fillId="0" borderId="0" xfId="0" applyNumberFormat="1" applyFont="1" applyFill="1" applyAlignment="1">
      <alignment horizontal="center" vertical="center"/>
    </xf>
    <xf numFmtId="0" fontId="138" fillId="0" borderId="0" xfId="3" applyFont="1" applyFill="1" applyAlignment="1">
      <alignment horizontal="center" vertical="center"/>
    </xf>
    <xf numFmtId="3" fontId="87" fillId="0" borderId="31" xfId="3" applyNumberFormat="1" applyFont="1" applyFill="1" applyBorder="1" applyAlignment="1">
      <alignment horizontal="center" vertical="center" wrapText="1"/>
    </xf>
    <xf numFmtId="3" fontId="87" fillId="0" borderId="32" xfId="3" applyNumberFormat="1" applyFont="1" applyFill="1" applyBorder="1" applyAlignment="1">
      <alignment horizontal="center" vertical="center" wrapText="1"/>
    </xf>
    <xf numFmtId="0" fontId="47" fillId="0" borderId="0" xfId="3" applyFont="1" applyFill="1" applyAlignment="1">
      <alignment horizontal="center" vertical="center"/>
    </xf>
    <xf numFmtId="168" fontId="65" fillId="0" borderId="0" xfId="0" applyNumberFormat="1" applyFont="1" applyFill="1" applyAlignment="1">
      <alignment horizontal="center" vertical="center"/>
    </xf>
    <xf numFmtId="3" fontId="71" fillId="0" borderId="35" xfId="3" applyNumberFormat="1" applyFont="1" applyFill="1" applyBorder="1" applyAlignment="1">
      <alignment horizontal="center" vertical="center" wrapText="1"/>
    </xf>
    <xf numFmtId="3" fontId="71" fillId="0" borderId="50" xfId="3" applyNumberFormat="1" applyFont="1" applyFill="1" applyBorder="1" applyAlignment="1">
      <alignment horizontal="center" vertical="center" wrapText="1"/>
    </xf>
    <xf numFmtId="3" fontId="71" fillId="0" borderId="51" xfId="3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3" fontId="71" fillId="0" borderId="27" xfId="3" applyNumberFormat="1" applyFont="1" applyFill="1" applyBorder="1" applyAlignment="1">
      <alignment horizontal="center" vertical="center"/>
    </xf>
    <xf numFmtId="3" fontId="71" fillId="0" borderId="2" xfId="3" applyNumberFormat="1" applyFont="1" applyFill="1" applyBorder="1" applyAlignment="1">
      <alignment horizontal="center" vertical="center"/>
    </xf>
    <xf numFmtId="3" fontId="71" fillId="0" borderId="3" xfId="3" applyNumberFormat="1" applyFont="1" applyFill="1" applyBorder="1" applyAlignment="1">
      <alignment horizontal="center" vertical="center"/>
    </xf>
    <xf numFmtId="168" fontId="71" fillId="0" borderId="1" xfId="3" applyNumberFormat="1" applyFont="1" applyFill="1" applyBorder="1" applyAlignment="1">
      <alignment horizontal="center" vertical="center"/>
    </xf>
    <xf numFmtId="0" fontId="71" fillId="0" borderId="2" xfId="3" applyFont="1" applyFill="1" applyBorder="1" applyAlignment="1">
      <alignment horizontal="center" vertical="center" wrapText="1"/>
    </xf>
    <xf numFmtId="0" fontId="71" fillId="0" borderId="3" xfId="3" applyFont="1" applyFill="1" applyBorder="1" applyAlignment="1">
      <alignment horizontal="center" vertical="center"/>
    </xf>
    <xf numFmtId="3" fontId="71" fillId="0" borderId="2" xfId="3" applyNumberFormat="1" applyFont="1" applyFill="1" applyBorder="1" applyAlignment="1">
      <alignment horizontal="center" vertical="center" wrapText="1"/>
    </xf>
    <xf numFmtId="0" fontId="46" fillId="10" borderId="21" xfId="3" applyFont="1" applyFill="1" applyBorder="1" applyAlignment="1">
      <alignment horizontal="center" vertical="center"/>
    </xf>
    <xf numFmtId="3" fontId="66" fillId="0" borderId="67" xfId="3" applyNumberFormat="1" applyFont="1" applyFill="1" applyBorder="1" applyAlignment="1">
      <alignment horizontal="center" vertical="center" wrapText="1"/>
    </xf>
    <xf numFmtId="3" fontId="66" fillId="0" borderId="61" xfId="3" applyNumberFormat="1" applyFont="1" applyFill="1" applyBorder="1" applyAlignment="1">
      <alignment horizontal="center" vertical="center" wrapText="1"/>
    </xf>
    <xf numFmtId="3" fontId="66" fillId="0" borderId="68" xfId="3" applyNumberFormat="1" applyFont="1" applyFill="1" applyBorder="1" applyAlignment="1">
      <alignment horizontal="center" vertical="center" wrapText="1"/>
    </xf>
    <xf numFmtId="3" fontId="66" fillId="0" borderId="62" xfId="3" applyNumberFormat="1" applyFont="1" applyFill="1" applyBorder="1" applyAlignment="1">
      <alignment horizontal="center" vertical="center"/>
    </xf>
    <xf numFmtId="0" fontId="50" fillId="0" borderId="0" xfId="3" applyFont="1" applyFill="1" applyAlignment="1">
      <alignment horizontal="center" vertical="center"/>
    </xf>
    <xf numFmtId="168" fontId="72" fillId="0" borderId="0" xfId="0" applyNumberFormat="1" applyFont="1" applyFill="1" applyAlignment="1">
      <alignment horizontal="center" vertical="center"/>
    </xf>
    <xf numFmtId="168" fontId="66" fillId="0" borderId="10" xfId="3" applyNumberFormat="1" applyFont="1" applyFill="1" applyBorder="1" applyAlignment="1">
      <alignment horizontal="center" vertical="center"/>
    </xf>
    <xf numFmtId="168" fontId="66" fillId="0" borderId="60" xfId="3" applyNumberFormat="1" applyFont="1" applyFill="1" applyBorder="1" applyAlignment="1">
      <alignment horizontal="center" vertical="center"/>
    </xf>
    <xf numFmtId="0" fontId="66" fillId="0" borderId="67" xfId="3" applyFont="1" applyFill="1" applyBorder="1" applyAlignment="1">
      <alignment horizontal="center" vertical="center"/>
    </xf>
    <xf numFmtId="0" fontId="66" fillId="0" borderId="61" xfId="3" applyFont="1" applyFill="1" applyBorder="1" applyAlignment="1">
      <alignment horizontal="center" vertical="center"/>
    </xf>
    <xf numFmtId="0" fontId="66" fillId="0" borderId="67" xfId="3" applyFont="1" applyFill="1" applyBorder="1" applyAlignment="1">
      <alignment horizontal="center" vertical="center" wrapText="1"/>
    </xf>
    <xf numFmtId="3" fontId="34" fillId="2" borderId="67" xfId="3" applyNumberFormat="1" applyFont="1" applyFill="1" applyBorder="1" applyAlignment="1">
      <alignment horizontal="center" vertical="center" wrapText="1"/>
    </xf>
    <xf numFmtId="3" fontId="34" fillId="2" borderId="61" xfId="3" applyNumberFormat="1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71" fillId="2" borderId="33" xfId="1" applyNumberFormat="1" applyFont="1" applyFill="1" applyBorder="1" applyAlignment="1">
      <alignment horizontal="center" vertical="center" wrapText="1"/>
    </xf>
    <xf numFmtId="165" fontId="71" fillId="2" borderId="3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165" fontId="75" fillId="2" borderId="33" xfId="1" applyNumberFormat="1" applyFont="1" applyFill="1" applyBorder="1" applyAlignment="1">
      <alignment horizontal="center" vertical="center" wrapText="1"/>
    </xf>
    <xf numFmtId="165" fontId="75" fillId="2" borderId="3" xfId="1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[0]" xfId="6" builtinId="6"/>
    <cellStyle name="Excel Built-in Normal" xfId="5"/>
    <cellStyle name="Hyperlink" xfId="7" builtinId="8"/>
    <cellStyle name="Normal" xfId="0" builtinId="0"/>
    <cellStyle name="Normal 2" xfId="3"/>
    <cellStyle name="Normal 5" xfId="2"/>
    <cellStyle name="Percent" xfId="4" builtinId="5"/>
  </cellStyles>
  <dxfs count="0"/>
  <tableStyles count="0" defaultTableStyle="TableStyleMedium2" defaultPivotStyle="PivotStyleLight16"/>
  <colors>
    <mruColors>
      <color rgb="FF00FD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&#7870;%20TO&#193;N/TH&#193;NG%207+8+9/Doanh%20s&#7889;%20a%20S&#417;n%20CTV%20V&#297;nh%20Ph&#250;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&#7843;ng%20t&#7893;ng%20h&#7907;p%20Doanh%20Thu,%20Chi%20Ph&#237;%20Nanomilk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án lẻ T10"/>
      <sheetName val="ĐLý T10"/>
      <sheetName val="Sheet3"/>
    </sheetNames>
    <sheetDataSet>
      <sheetData sheetId="0">
        <row r="25">
          <cell r="J25">
            <v>77575000</v>
          </cell>
        </row>
      </sheetData>
      <sheetData sheetId="1">
        <row r="32">
          <cell r="J32">
            <v>250020000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T1"/>
      <sheetName val="DTT2"/>
      <sheetName val="DTT3"/>
      <sheetName val="Khách trả lại hàng T1"/>
      <sheetName val="Khách trả lại hàng T2"/>
      <sheetName val="Nhập hàng"/>
      <sheetName val="Thu Chi T1"/>
      <sheetName val="Lương T1"/>
      <sheetName val="Tiền hàng Tâm T1"/>
      <sheetName val="Lương T2"/>
      <sheetName val="Tiền hàng Tâm T2"/>
      <sheetName val="Tiền hàng Sơn CTV T2"/>
      <sheetName val="Tổng hợp tiền góp vốn cổ phần"/>
      <sheetName val="Tổng hợp Thu Chi"/>
      <sheetName val="Thu Chi Năm 2020"/>
      <sheetName val="Theo dõi áo cốc Nanomilk"/>
      <sheetName val="Sheet3"/>
      <sheetName val="Sheet4"/>
    </sheetNames>
    <sheetDataSet>
      <sheetData sheetId="0">
        <row r="116">
          <cell r="H116">
            <v>1788</v>
          </cell>
          <cell r="L116">
            <v>484501800.00000006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nanomilk@gmail.com" TargetMode="External"/><Relationship Id="rId3" Type="http://schemas.openxmlformats.org/officeDocument/2006/relationships/hyperlink" Target="mailto:longnanomilk@gmail.com" TargetMode="External"/><Relationship Id="rId7" Type="http://schemas.openxmlformats.org/officeDocument/2006/relationships/hyperlink" Target="mailto:hungnanomilk@gmail.com" TargetMode="External"/><Relationship Id="rId2" Type="http://schemas.openxmlformats.org/officeDocument/2006/relationships/hyperlink" Target="mailto:thinhnanomilk@gmail.com" TargetMode="External"/><Relationship Id="rId1" Type="http://schemas.openxmlformats.org/officeDocument/2006/relationships/hyperlink" Target="mailto:lamsuanano@gmail.com" TargetMode="External"/><Relationship Id="rId6" Type="http://schemas.openxmlformats.org/officeDocument/2006/relationships/hyperlink" Target="mailto:namnanomilk@gmail.com" TargetMode="External"/><Relationship Id="rId5" Type="http://schemas.openxmlformats.org/officeDocument/2006/relationships/hyperlink" Target="mailto:tamnanomilk@gmail.com" TargetMode="External"/><Relationship Id="rId10" Type="http://schemas.openxmlformats.org/officeDocument/2006/relationships/hyperlink" Target="mailto:long13nanomilk@gmail.com" TargetMode="External"/><Relationship Id="rId4" Type="http://schemas.openxmlformats.org/officeDocument/2006/relationships/hyperlink" Target="mailto:sonnanomilk@gmail.com" TargetMode="External"/><Relationship Id="rId9" Type="http://schemas.openxmlformats.org/officeDocument/2006/relationships/hyperlink" Target="mailto:lannanomilk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ANANO.VN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7" workbookViewId="0">
      <selection activeCell="B18" sqref="B18"/>
    </sheetView>
  </sheetViews>
  <sheetFormatPr defaultColWidth="9.109375" defaultRowHeight="13.8" x14ac:dyDescent="0.25"/>
  <cols>
    <col min="1" max="1" width="5" style="1" customWidth="1"/>
    <col min="2" max="2" width="16.44140625" style="1" customWidth="1"/>
    <col min="3" max="3" width="24.109375" style="1" customWidth="1"/>
    <col min="4" max="4" width="12.44140625" style="13" customWidth="1"/>
    <col min="5" max="5" width="23.5546875" style="13" customWidth="1"/>
    <col min="6" max="6" width="15.109375" style="1" customWidth="1"/>
    <col min="7" max="7" width="11.44140625" style="1" customWidth="1"/>
    <col min="8" max="8" width="19.88671875" style="1" customWidth="1"/>
    <col min="9" max="16384" width="9.109375" style="1"/>
  </cols>
  <sheetData>
    <row r="1" spans="1:9" ht="16.8" x14ac:dyDescent="0.3">
      <c r="A1" s="5" t="s">
        <v>3</v>
      </c>
      <c r="B1" s="5"/>
      <c r="C1" s="8"/>
      <c r="D1" s="11"/>
      <c r="E1" s="11"/>
      <c r="F1" s="8"/>
      <c r="G1" s="95"/>
      <c r="H1" s="95"/>
    </row>
    <row r="2" spans="1:9" ht="15.6" x14ac:dyDescent="0.25">
      <c r="A2" s="7" t="s">
        <v>5</v>
      </c>
      <c r="B2" s="7"/>
      <c r="C2" s="9"/>
      <c r="D2" s="12"/>
      <c r="E2" s="12"/>
      <c r="F2" s="9"/>
      <c r="G2" s="203"/>
      <c r="H2" s="203"/>
    </row>
    <row r="3" spans="1:9" ht="15.6" x14ac:dyDescent="0.25">
      <c r="A3" s="7" t="s">
        <v>7</v>
      </c>
      <c r="G3" s="10"/>
      <c r="H3" s="10"/>
    </row>
    <row r="4" spans="1:9" x14ac:dyDescent="0.25">
      <c r="A4" s="7" t="s">
        <v>8</v>
      </c>
    </row>
    <row r="5" spans="1:9" x14ac:dyDescent="0.25">
      <c r="A5" s="2" t="s">
        <v>324</v>
      </c>
    </row>
    <row r="6" spans="1:9" x14ac:dyDescent="0.25">
      <c r="A6" s="20" t="s">
        <v>325</v>
      </c>
      <c r="G6" s="202"/>
      <c r="H6" s="202"/>
    </row>
    <row r="7" spans="1:9" x14ac:dyDescent="0.25">
      <c r="A7" s="20" t="s">
        <v>326</v>
      </c>
      <c r="G7" s="202"/>
      <c r="H7" s="202"/>
    </row>
    <row r="8" spans="1:9" x14ac:dyDescent="0.25">
      <c r="A8" s="20" t="s">
        <v>327</v>
      </c>
      <c r="G8" s="202"/>
      <c r="H8" s="202"/>
    </row>
    <row r="9" spans="1:9" ht="30" x14ac:dyDescent="0.5">
      <c r="A9" s="2100" t="s">
        <v>328</v>
      </c>
      <c r="B9" s="2100"/>
      <c r="C9" s="2100"/>
      <c r="D9" s="2100"/>
      <c r="E9" s="2100"/>
      <c r="F9" s="2100"/>
      <c r="G9" s="2100"/>
      <c r="H9" s="2100"/>
    </row>
    <row r="10" spans="1:9" x14ac:dyDescent="0.25">
      <c r="A10" s="2101"/>
      <c r="B10" s="2101"/>
      <c r="C10" s="2101"/>
      <c r="D10" s="2101"/>
      <c r="E10" s="2101"/>
      <c r="F10" s="2101"/>
      <c r="G10" s="2101"/>
      <c r="H10" s="2101"/>
    </row>
    <row r="12" spans="1:9" s="279" customFormat="1" ht="31.2" x14ac:dyDescent="0.3">
      <c r="A12" s="276" t="s">
        <v>0</v>
      </c>
      <c r="B12" s="276" t="s">
        <v>329</v>
      </c>
      <c r="C12" s="276" t="s">
        <v>330</v>
      </c>
      <c r="D12" s="277" t="s">
        <v>27</v>
      </c>
      <c r="E12" s="278" t="s">
        <v>247</v>
      </c>
      <c r="F12" s="276" t="s">
        <v>248</v>
      </c>
      <c r="G12" s="276" t="s">
        <v>331</v>
      </c>
      <c r="H12" s="276" t="s">
        <v>332</v>
      </c>
      <c r="I12" s="286" t="s">
        <v>1</v>
      </c>
    </row>
    <row r="13" spans="1:9" s="279" customFormat="1" ht="31.2" x14ac:dyDescent="0.3">
      <c r="A13" s="280">
        <v>1</v>
      </c>
      <c r="B13" s="281" t="s">
        <v>291</v>
      </c>
      <c r="C13" s="282" t="s">
        <v>333</v>
      </c>
      <c r="D13" s="283" t="s">
        <v>334</v>
      </c>
      <c r="E13" s="284" t="s">
        <v>335</v>
      </c>
      <c r="F13" s="293" t="s">
        <v>726</v>
      </c>
      <c r="G13" s="286" t="s">
        <v>336</v>
      </c>
      <c r="H13" s="287"/>
      <c r="I13" s="286"/>
    </row>
    <row r="14" spans="1:9" s="279" customFormat="1" ht="31.2" x14ac:dyDescent="0.3">
      <c r="A14" s="280">
        <v>2</v>
      </c>
      <c r="B14" s="288" t="s">
        <v>298</v>
      </c>
      <c r="C14" s="289" t="s">
        <v>337</v>
      </c>
      <c r="D14" s="283" t="s">
        <v>338</v>
      </c>
      <c r="E14" s="290" t="s">
        <v>339</v>
      </c>
      <c r="F14" s="285"/>
      <c r="G14" s="291"/>
      <c r="H14" s="287"/>
      <c r="I14" s="286" t="s">
        <v>383</v>
      </c>
    </row>
    <row r="15" spans="1:9" s="279" customFormat="1" ht="31.2" x14ac:dyDescent="0.3">
      <c r="A15" s="280">
        <v>3</v>
      </c>
      <c r="B15" s="347" t="s">
        <v>294</v>
      </c>
      <c r="C15" s="289" t="s">
        <v>340</v>
      </c>
      <c r="D15" s="283" t="s">
        <v>341</v>
      </c>
      <c r="E15" s="284" t="s">
        <v>342</v>
      </c>
      <c r="F15" s="293" t="s">
        <v>343</v>
      </c>
      <c r="G15" s="291" t="s">
        <v>344</v>
      </c>
      <c r="H15" s="287" t="s">
        <v>345</v>
      </c>
      <c r="I15" s="286" t="s">
        <v>376</v>
      </c>
    </row>
    <row r="16" spans="1:9" s="279" customFormat="1" ht="48" customHeight="1" x14ac:dyDescent="0.3">
      <c r="A16" s="280">
        <v>4</v>
      </c>
      <c r="B16" s="292" t="s">
        <v>299</v>
      </c>
      <c r="C16" s="289" t="s">
        <v>346</v>
      </c>
      <c r="D16" s="283" t="s">
        <v>347</v>
      </c>
      <c r="E16" s="290" t="s">
        <v>348</v>
      </c>
      <c r="F16" s="285"/>
      <c r="G16" s="291"/>
      <c r="H16" s="287"/>
      <c r="I16" s="286" t="s">
        <v>383</v>
      </c>
    </row>
    <row r="17" spans="1:9" s="279" customFormat="1" ht="31.2" x14ac:dyDescent="0.3">
      <c r="A17" s="280">
        <v>5</v>
      </c>
      <c r="B17" s="288" t="s">
        <v>295</v>
      </c>
      <c r="C17" s="289" t="s">
        <v>349</v>
      </c>
      <c r="D17" s="283" t="s">
        <v>350</v>
      </c>
      <c r="E17" s="284" t="s">
        <v>351</v>
      </c>
      <c r="F17" s="293" t="s">
        <v>352</v>
      </c>
      <c r="G17" s="291" t="s">
        <v>353</v>
      </c>
      <c r="H17" s="287" t="s">
        <v>354</v>
      </c>
      <c r="I17" s="286" t="s">
        <v>412</v>
      </c>
    </row>
    <row r="18" spans="1:9" s="279" customFormat="1" ht="40.5" customHeight="1" x14ac:dyDescent="0.3">
      <c r="A18" s="280">
        <v>6</v>
      </c>
      <c r="B18" s="288" t="s">
        <v>296</v>
      </c>
      <c r="C18" s="289" t="s">
        <v>355</v>
      </c>
      <c r="D18" s="283" t="s">
        <v>356</v>
      </c>
      <c r="E18" s="290" t="s">
        <v>357</v>
      </c>
      <c r="F18" s="294" t="s">
        <v>358</v>
      </c>
      <c r="G18" s="286" t="s">
        <v>336</v>
      </c>
      <c r="H18" s="287" t="s">
        <v>359</v>
      </c>
      <c r="I18" s="294"/>
    </row>
    <row r="19" spans="1:9" s="279" customFormat="1" ht="32.25" customHeight="1" x14ac:dyDescent="0.3">
      <c r="A19" s="280">
        <v>7</v>
      </c>
      <c r="B19" s="295" t="s">
        <v>292</v>
      </c>
      <c r="C19" s="296" t="s">
        <v>360</v>
      </c>
      <c r="D19" s="283" t="s">
        <v>361</v>
      </c>
      <c r="E19" s="284" t="s">
        <v>362</v>
      </c>
      <c r="F19" s="285">
        <v>19034588522</v>
      </c>
      <c r="G19" s="291" t="s">
        <v>363</v>
      </c>
      <c r="H19" s="287" t="s">
        <v>364</v>
      </c>
      <c r="I19" s="286" t="s">
        <v>383</v>
      </c>
    </row>
    <row r="20" spans="1:9" s="279" customFormat="1" ht="31.2" x14ac:dyDescent="0.3">
      <c r="A20" s="280">
        <v>8</v>
      </c>
      <c r="B20" s="297" t="s">
        <v>365</v>
      </c>
      <c r="C20" s="289" t="s">
        <v>366</v>
      </c>
      <c r="D20" s="283" t="s">
        <v>1340</v>
      </c>
      <c r="E20" s="290" t="s">
        <v>367</v>
      </c>
      <c r="F20" s="293" t="s">
        <v>368</v>
      </c>
      <c r="G20" s="291" t="s">
        <v>344</v>
      </c>
      <c r="H20" s="287" t="s">
        <v>369</v>
      </c>
      <c r="I20" s="286"/>
    </row>
    <row r="21" spans="1:9" s="279" customFormat="1" ht="19.5" customHeight="1" x14ac:dyDescent="0.3">
      <c r="A21" s="280">
        <v>9</v>
      </c>
      <c r="B21" s="288" t="s">
        <v>370</v>
      </c>
      <c r="C21" s="289" t="s">
        <v>371</v>
      </c>
      <c r="D21" s="283" t="s">
        <v>372</v>
      </c>
      <c r="E21" s="290" t="s">
        <v>373</v>
      </c>
      <c r="F21" s="293" t="s">
        <v>374</v>
      </c>
      <c r="G21" s="291" t="s">
        <v>353</v>
      </c>
      <c r="H21" s="287" t="s">
        <v>375</v>
      </c>
      <c r="I21" s="286"/>
    </row>
    <row r="22" spans="1:9" s="279" customFormat="1" ht="19.5" customHeight="1" x14ac:dyDescent="0.3">
      <c r="A22" s="280">
        <v>10</v>
      </c>
      <c r="B22" s="288" t="s">
        <v>384</v>
      </c>
      <c r="C22" s="289" t="s">
        <v>355</v>
      </c>
      <c r="D22" s="283"/>
      <c r="E22" s="290"/>
      <c r="F22" s="293" t="s">
        <v>431</v>
      </c>
      <c r="G22" s="286" t="s">
        <v>336</v>
      </c>
      <c r="H22" s="287"/>
      <c r="I22" s="286"/>
    </row>
    <row r="23" spans="1:9" s="598" customFormat="1" ht="28.8" x14ac:dyDescent="0.3">
      <c r="A23" s="595">
        <v>11</v>
      </c>
      <c r="B23" s="596" t="s">
        <v>885</v>
      </c>
      <c r="C23" s="596" t="s">
        <v>179</v>
      </c>
      <c r="D23" s="597" t="s">
        <v>886</v>
      </c>
      <c r="E23" s="1047" t="s">
        <v>1159</v>
      </c>
      <c r="F23" s="596"/>
      <c r="G23" s="596"/>
      <c r="H23" s="596"/>
      <c r="I23" s="596"/>
    </row>
    <row r="24" spans="1:9" s="298" customFormat="1" ht="18" x14ac:dyDescent="0.35">
      <c r="A24" s="1048">
        <v>12</v>
      </c>
      <c r="B24" s="1048" t="s">
        <v>1160</v>
      </c>
      <c r="C24" s="1048" t="s">
        <v>1161</v>
      </c>
      <c r="D24" s="1049"/>
      <c r="E24" s="1049"/>
      <c r="F24" s="1048"/>
      <c r="G24" s="1048"/>
      <c r="H24" s="1048"/>
      <c r="I24" s="1048"/>
    </row>
    <row r="25" spans="1:9" s="298" customFormat="1" ht="18" x14ac:dyDescent="0.35">
      <c r="A25" s="1048"/>
      <c r="B25" s="1048"/>
      <c r="C25" s="1048"/>
      <c r="D25" s="1049"/>
      <c r="E25" s="1049"/>
      <c r="F25" s="1048"/>
      <c r="G25" s="1048"/>
      <c r="H25" s="1048"/>
      <c r="I25" s="1048"/>
    </row>
    <row r="26" spans="1:9" s="298" customFormat="1" ht="18" x14ac:dyDescent="0.35">
      <c r="A26" s="1048"/>
      <c r="B26" s="1048"/>
      <c r="C26" s="1048"/>
      <c r="D26" s="1048"/>
      <c r="E26" s="1048"/>
      <c r="F26" s="1048"/>
      <c r="G26" s="1048"/>
      <c r="H26" s="1048"/>
      <c r="I26" s="1048"/>
    </row>
    <row r="27" spans="1:9" s="298" customFormat="1" ht="18" x14ac:dyDescent="0.35"/>
    <row r="28" spans="1:9" s="298" customFormat="1" ht="18" x14ac:dyDescent="0.35"/>
    <row r="29" spans="1:9" s="298" customFormat="1" ht="18" x14ac:dyDescent="0.35"/>
    <row r="30" spans="1:9" s="298" customFormat="1" ht="18" x14ac:dyDescent="0.35"/>
    <row r="31" spans="1:9" s="298" customFormat="1" ht="18" x14ac:dyDescent="0.35"/>
    <row r="32" spans="1:9" s="298" customFormat="1" ht="18" x14ac:dyDescent="0.35"/>
    <row r="33" spans="4:5" s="298" customFormat="1" ht="18" x14ac:dyDescent="0.35"/>
    <row r="34" spans="4:5" s="298" customFormat="1" ht="18" x14ac:dyDescent="0.35"/>
    <row r="35" spans="4:5" s="298" customFormat="1" ht="18" x14ac:dyDescent="0.35"/>
    <row r="36" spans="4:5" s="298" customFormat="1" ht="18" x14ac:dyDescent="0.35"/>
    <row r="37" spans="4:5" s="298" customFormat="1" ht="18" x14ac:dyDescent="0.35"/>
    <row r="38" spans="4:5" s="298" customFormat="1" ht="18" x14ac:dyDescent="0.35"/>
    <row r="39" spans="4:5" s="298" customFormat="1" ht="18" x14ac:dyDescent="0.35"/>
    <row r="40" spans="4:5" s="298" customFormat="1" ht="18" x14ac:dyDescent="0.35"/>
    <row r="41" spans="4:5" s="298" customFormat="1" ht="18" x14ac:dyDescent="0.35"/>
    <row r="42" spans="4:5" s="298" customFormat="1" ht="18" x14ac:dyDescent="0.35"/>
    <row r="43" spans="4:5" s="298" customFormat="1" ht="18" x14ac:dyDescent="0.35"/>
    <row r="44" spans="4:5" s="298" customFormat="1" ht="18" x14ac:dyDescent="0.35"/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</sheetData>
  <mergeCells count="2">
    <mergeCell ref="A9:H9"/>
    <mergeCell ref="A10:H10"/>
  </mergeCells>
  <hyperlinks>
    <hyperlink ref="E13" r:id="rId1"/>
    <hyperlink ref="E14" r:id="rId2" display="thinhnanomilk@gmail.com"/>
    <hyperlink ref="E19" r:id="rId3"/>
    <hyperlink ref="E18" r:id="rId4"/>
    <hyperlink ref="E20" r:id="rId5"/>
    <hyperlink ref="E16" r:id="rId6"/>
    <hyperlink ref="E17" r:id="rId7"/>
    <hyperlink ref="E15" r:id="rId8"/>
    <hyperlink ref="E21" r:id="rId9"/>
    <hyperlink ref="E23" r:id="rId10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7"/>
  <sheetViews>
    <sheetView topLeftCell="A169" zoomScaleNormal="100" workbookViewId="0">
      <selection activeCell="E40" sqref="E40"/>
    </sheetView>
  </sheetViews>
  <sheetFormatPr defaultColWidth="9.109375" defaultRowHeight="13.8" x14ac:dyDescent="0.25"/>
  <cols>
    <col min="1" max="1" width="3.109375" style="511" customWidth="1"/>
    <col min="2" max="2" width="4.109375" style="606" customWidth="1"/>
    <col min="3" max="3" width="7" style="511" customWidth="1"/>
    <col min="4" max="4" width="5.88671875" style="658" customWidth="1"/>
    <col min="5" max="5" width="9.5546875" style="658" customWidth="1"/>
    <col min="6" max="6" width="7.44140625" style="658" customWidth="1"/>
    <col min="7" max="7" width="5.109375" style="511" customWidth="1"/>
    <col min="8" max="8" width="6.44140625" style="606" customWidth="1"/>
    <col min="9" max="9" width="7.109375" style="511" customWidth="1"/>
    <col min="10" max="10" width="14.109375" style="511" customWidth="1"/>
    <col min="11" max="11" width="4.44140625" style="652" customWidth="1"/>
    <col min="12" max="12" width="12.44140625" style="511" customWidth="1"/>
    <col min="13" max="13" width="4.5546875" style="511" customWidth="1"/>
    <col min="14" max="14" width="10.44140625" style="511" customWidth="1"/>
    <col min="15" max="15" width="4.5546875" style="511" customWidth="1"/>
    <col min="16" max="16" width="10.5546875" style="511" customWidth="1"/>
    <col min="17" max="17" width="5" style="511" customWidth="1"/>
    <col min="18" max="18" width="11.44140625" style="511" customWidth="1"/>
    <col min="19" max="19" width="8.88671875" style="511" customWidth="1"/>
    <col min="20" max="16384" width="9.109375" style="511"/>
  </cols>
  <sheetData>
    <row r="1" spans="1:19" ht="16.8" x14ac:dyDescent="0.3">
      <c r="A1" s="649" t="s">
        <v>3</v>
      </c>
      <c r="B1" s="736"/>
      <c r="C1" s="650"/>
      <c r="D1" s="651"/>
      <c r="E1" s="651"/>
      <c r="F1" s="651"/>
      <c r="I1" s="509"/>
      <c r="J1" s="509"/>
      <c r="K1" s="653"/>
      <c r="L1" s="509"/>
      <c r="M1" s="509"/>
      <c r="N1" s="509"/>
      <c r="O1" s="650"/>
      <c r="R1" s="509" t="s">
        <v>4</v>
      </c>
      <c r="S1" s="509"/>
    </row>
    <row r="2" spans="1:19" ht="15.6" x14ac:dyDescent="0.25">
      <c r="A2" s="654" t="s">
        <v>5</v>
      </c>
      <c r="B2" s="738"/>
      <c r="C2" s="655"/>
      <c r="D2" s="656"/>
      <c r="E2" s="656"/>
      <c r="F2" s="656"/>
      <c r="I2" s="510"/>
      <c r="J2" s="510"/>
      <c r="K2" s="657"/>
      <c r="L2" s="510"/>
      <c r="M2" s="510"/>
      <c r="N2" s="510"/>
      <c r="O2" s="655"/>
      <c r="R2" s="510" t="s">
        <v>6</v>
      </c>
      <c r="S2" s="510"/>
    </row>
    <row r="3" spans="1:19" ht="20.399999999999999" x14ac:dyDescent="0.35">
      <c r="A3" s="2220" t="s">
        <v>615</v>
      </c>
      <c r="B3" s="2220"/>
      <c r="C3" s="2220"/>
      <c r="D3" s="2220"/>
      <c r="E3" s="2220"/>
      <c r="F3" s="2220"/>
      <c r="G3" s="2220"/>
      <c r="H3" s="2220"/>
      <c r="I3" s="2220"/>
      <c r="J3" s="2220"/>
      <c r="K3" s="2221"/>
      <c r="L3" s="2220"/>
      <c r="M3" s="2220"/>
      <c r="N3" s="2220"/>
      <c r="O3" s="2220"/>
      <c r="P3" s="2220"/>
      <c r="Q3" s="2220"/>
      <c r="R3" s="2220"/>
      <c r="S3" s="2220"/>
    </row>
    <row r="4" spans="1:19" ht="15" customHeight="1" thickBot="1" x14ac:dyDescent="0.3">
      <c r="A4" s="2242" t="s">
        <v>1020</v>
      </c>
      <c r="B4" s="2242"/>
      <c r="C4" s="2242"/>
      <c r="D4" s="2242"/>
      <c r="E4" s="2242"/>
      <c r="F4" s="2242"/>
      <c r="G4" s="2242"/>
      <c r="H4" s="2242"/>
      <c r="I4" s="2242"/>
      <c r="J4" s="2242"/>
      <c r="K4" s="2243"/>
      <c r="L4" s="2242"/>
      <c r="M4" s="2242"/>
      <c r="N4" s="2242"/>
      <c r="O4" s="2242"/>
      <c r="P4" s="2242"/>
      <c r="Q4" s="2242"/>
      <c r="R4" s="2242"/>
      <c r="S4" s="2242"/>
    </row>
    <row r="5" spans="1:19" s="197" customFormat="1" ht="31.5" customHeight="1" thickTop="1" x14ac:dyDescent="0.15">
      <c r="A5" s="2224" t="s">
        <v>0</v>
      </c>
      <c r="B5" s="2244" t="s">
        <v>103</v>
      </c>
      <c r="C5" s="2226" t="s">
        <v>613</v>
      </c>
      <c r="D5" s="2226" t="s">
        <v>105</v>
      </c>
      <c r="E5" s="2226"/>
      <c r="F5" s="2226"/>
      <c r="G5" s="2248" t="s">
        <v>130</v>
      </c>
      <c r="H5" s="2248"/>
      <c r="I5" s="2248"/>
      <c r="J5" s="2248"/>
      <c r="K5" s="2249"/>
      <c r="L5" s="2126" t="s">
        <v>966</v>
      </c>
      <c r="M5" s="2248" t="s">
        <v>182</v>
      </c>
      <c r="N5" s="2248"/>
      <c r="O5" s="2248"/>
      <c r="P5" s="2248"/>
      <c r="Q5" s="2248"/>
      <c r="R5" s="2248"/>
      <c r="S5" s="2218" t="s">
        <v>1</v>
      </c>
    </row>
    <row r="6" spans="1:19" s="197" customFormat="1" ht="31.5" customHeight="1" x14ac:dyDescent="0.15">
      <c r="A6" s="2225"/>
      <c r="B6" s="2245"/>
      <c r="C6" s="2227"/>
      <c r="D6" s="662" t="s">
        <v>23</v>
      </c>
      <c r="E6" s="506" t="s">
        <v>25</v>
      </c>
      <c r="F6" s="506" t="s">
        <v>27</v>
      </c>
      <c r="G6" s="506" t="s">
        <v>29</v>
      </c>
      <c r="H6" s="1093" t="s">
        <v>87</v>
      </c>
      <c r="I6" s="506" t="s">
        <v>49</v>
      </c>
      <c r="J6" s="806" t="s">
        <v>209</v>
      </c>
      <c r="K6" s="663" t="s">
        <v>22</v>
      </c>
      <c r="L6" s="2121"/>
      <c r="M6" s="506" t="s">
        <v>131</v>
      </c>
      <c r="N6" s="506" t="s">
        <v>149</v>
      </c>
      <c r="O6" s="506" t="s">
        <v>132</v>
      </c>
      <c r="P6" s="506" t="s">
        <v>149</v>
      </c>
      <c r="Q6" s="506" t="s">
        <v>133</v>
      </c>
      <c r="R6" s="506" t="s">
        <v>149</v>
      </c>
      <c r="S6" s="2219"/>
    </row>
    <row r="7" spans="1:19" s="924" customFormat="1" ht="16.8" x14ac:dyDescent="0.15">
      <c r="A7" s="920">
        <v>1</v>
      </c>
      <c r="B7" s="580" t="s">
        <v>783</v>
      </c>
      <c r="C7" s="890" t="s">
        <v>918</v>
      </c>
      <c r="D7" s="718" t="s">
        <v>127</v>
      </c>
      <c r="E7" s="718" t="s">
        <v>911</v>
      </c>
      <c r="F7" s="890"/>
      <c r="G7" s="921" t="s">
        <v>31</v>
      </c>
      <c r="H7" s="921">
        <v>9</v>
      </c>
      <c r="I7" s="443">
        <v>255000</v>
      </c>
      <c r="J7" s="443">
        <f>H7*I7</f>
        <v>2295000</v>
      </c>
      <c r="K7" s="922">
        <v>0.35</v>
      </c>
      <c r="L7" s="713">
        <f t="shared" ref="L7:L70" si="0">H7*I7*(1-K7)</f>
        <v>1491750</v>
      </c>
      <c r="M7" s="443"/>
      <c r="N7" s="443"/>
      <c r="O7" s="443"/>
      <c r="P7" s="443"/>
      <c r="Q7" s="443">
        <v>131</v>
      </c>
      <c r="R7" s="443">
        <f>SUM(L7:L18)</f>
        <v>31619250</v>
      </c>
      <c r="S7" s="923"/>
    </row>
    <row r="8" spans="1:19" s="924" customFormat="1" ht="8.4" x14ac:dyDescent="0.15">
      <c r="A8" s="853"/>
      <c r="B8" s="580" t="s">
        <v>783</v>
      </c>
      <c r="C8" s="890" t="s">
        <v>918</v>
      </c>
      <c r="D8" s="718" t="s">
        <v>127</v>
      </c>
      <c r="E8" s="718"/>
      <c r="F8" s="851"/>
      <c r="G8" s="878" t="s">
        <v>33</v>
      </c>
      <c r="H8" s="878">
        <v>4</v>
      </c>
      <c r="I8" s="332">
        <v>455000</v>
      </c>
      <c r="J8" s="443">
        <f t="shared" ref="J8:J74" si="1">H8*I8</f>
        <v>1820000</v>
      </c>
      <c r="K8" s="922">
        <v>0.35</v>
      </c>
      <c r="L8" s="332">
        <f t="shared" si="0"/>
        <v>1183000</v>
      </c>
      <c r="M8" s="332"/>
      <c r="N8" s="332"/>
      <c r="O8" s="332"/>
      <c r="P8" s="332"/>
      <c r="Q8" s="443"/>
      <c r="R8" s="332"/>
      <c r="S8" s="925"/>
    </row>
    <row r="9" spans="1:19" s="924" customFormat="1" ht="8.4" x14ac:dyDescent="0.15">
      <c r="A9" s="853"/>
      <c r="B9" s="580" t="s">
        <v>783</v>
      </c>
      <c r="C9" s="890" t="s">
        <v>918</v>
      </c>
      <c r="D9" s="718" t="s">
        <v>127</v>
      </c>
      <c r="E9" s="718"/>
      <c r="F9" s="851"/>
      <c r="G9" s="878" t="s">
        <v>34</v>
      </c>
      <c r="H9" s="878">
        <v>23</v>
      </c>
      <c r="I9" s="332">
        <v>265000</v>
      </c>
      <c r="J9" s="443">
        <f t="shared" si="1"/>
        <v>6095000</v>
      </c>
      <c r="K9" s="922">
        <v>0.35</v>
      </c>
      <c r="L9" s="332">
        <f t="shared" si="0"/>
        <v>3961750</v>
      </c>
      <c r="M9" s="332"/>
      <c r="N9" s="332"/>
      <c r="O9" s="332"/>
      <c r="P9" s="332"/>
      <c r="Q9" s="443"/>
      <c r="R9" s="332"/>
      <c r="S9" s="925"/>
    </row>
    <row r="10" spans="1:19" s="924" customFormat="1" ht="8.4" x14ac:dyDescent="0.15">
      <c r="A10" s="853"/>
      <c r="B10" s="580" t="s">
        <v>783</v>
      </c>
      <c r="C10" s="890" t="s">
        <v>918</v>
      </c>
      <c r="D10" s="718" t="s">
        <v>127</v>
      </c>
      <c r="E10" s="718"/>
      <c r="F10" s="884"/>
      <c r="G10" s="878" t="s">
        <v>35</v>
      </c>
      <c r="H10" s="878">
        <v>7</v>
      </c>
      <c r="I10" s="332">
        <v>465000</v>
      </c>
      <c r="J10" s="443">
        <f t="shared" si="1"/>
        <v>3255000</v>
      </c>
      <c r="K10" s="922">
        <v>0.35</v>
      </c>
      <c r="L10" s="332">
        <f t="shared" si="0"/>
        <v>2115750</v>
      </c>
      <c r="M10" s="332"/>
      <c r="N10" s="332"/>
      <c r="O10" s="332"/>
      <c r="P10" s="332"/>
      <c r="Q10" s="443"/>
      <c r="R10" s="332"/>
      <c r="S10" s="925"/>
    </row>
    <row r="11" spans="1:19" s="924" customFormat="1" ht="8.4" x14ac:dyDescent="0.15">
      <c r="A11" s="853"/>
      <c r="B11" s="580" t="s">
        <v>783</v>
      </c>
      <c r="C11" s="890" t="s">
        <v>918</v>
      </c>
      <c r="D11" s="718" t="s">
        <v>127</v>
      </c>
      <c r="E11" s="718"/>
      <c r="F11" s="884"/>
      <c r="G11" s="878" t="s">
        <v>36</v>
      </c>
      <c r="H11" s="878">
        <v>4</v>
      </c>
      <c r="I11" s="332">
        <v>275000</v>
      </c>
      <c r="J11" s="443">
        <f t="shared" si="1"/>
        <v>1100000</v>
      </c>
      <c r="K11" s="922">
        <v>0.35</v>
      </c>
      <c r="L11" s="332">
        <f t="shared" si="0"/>
        <v>715000</v>
      </c>
      <c r="M11" s="332"/>
      <c r="N11" s="332"/>
      <c r="O11" s="332"/>
      <c r="P11" s="332"/>
      <c r="Q11" s="443"/>
      <c r="R11" s="332"/>
      <c r="S11" s="925"/>
    </row>
    <row r="12" spans="1:19" s="924" customFormat="1" ht="8.4" x14ac:dyDescent="0.15">
      <c r="A12" s="853"/>
      <c r="B12" s="580" t="s">
        <v>783</v>
      </c>
      <c r="C12" s="890" t="s">
        <v>918</v>
      </c>
      <c r="D12" s="718" t="s">
        <v>127</v>
      </c>
      <c r="E12" s="718"/>
      <c r="F12" s="884"/>
      <c r="G12" s="878" t="s">
        <v>37</v>
      </c>
      <c r="H12" s="878">
        <v>4</v>
      </c>
      <c r="I12" s="332">
        <v>475000</v>
      </c>
      <c r="J12" s="443">
        <f t="shared" si="1"/>
        <v>1900000</v>
      </c>
      <c r="K12" s="922">
        <v>0.35</v>
      </c>
      <c r="L12" s="332">
        <f t="shared" si="0"/>
        <v>1235000</v>
      </c>
      <c r="M12" s="332"/>
      <c r="N12" s="332"/>
      <c r="O12" s="332"/>
      <c r="P12" s="332"/>
      <c r="Q12" s="443"/>
      <c r="R12" s="332"/>
      <c r="S12" s="926"/>
    </row>
    <row r="13" spans="1:19" s="924" customFormat="1" ht="25.2" x14ac:dyDescent="0.15">
      <c r="A13" s="853"/>
      <c r="B13" s="580" t="s">
        <v>783</v>
      </c>
      <c r="C13" s="890" t="s">
        <v>918</v>
      </c>
      <c r="D13" s="718" t="s">
        <v>127</v>
      </c>
      <c r="E13" s="718"/>
      <c r="F13" s="884"/>
      <c r="G13" s="878" t="s">
        <v>39</v>
      </c>
      <c r="H13" s="878">
        <v>8</v>
      </c>
      <c r="I13" s="332">
        <v>285000</v>
      </c>
      <c r="J13" s="443">
        <f t="shared" si="1"/>
        <v>2280000</v>
      </c>
      <c r="K13" s="922">
        <v>0.35</v>
      </c>
      <c r="L13" s="332">
        <f t="shared" si="0"/>
        <v>1482000</v>
      </c>
      <c r="M13" s="332"/>
      <c r="N13" s="332"/>
      <c r="O13" s="332"/>
      <c r="P13" s="332"/>
      <c r="Q13" s="443"/>
      <c r="R13" s="332"/>
      <c r="S13" s="926" t="s">
        <v>978</v>
      </c>
    </row>
    <row r="14" spans="1:19" s="924" customFormat="1" ht="8.4" x14ac:dyDescent="0.15">
      <c r="A14" s="853"/>
      <c r="B14" s="580" t="s">
        <v>783</v>
      </c>
      <c r="C14" s="890" t="s">
        <v>918</v>
      </c>
      <c r="D14" s="718" t="s">
        <v>127</v>
      </c>
      <c r="E14" s="718"/>
      <c r="F14" s="884"/>
      <c r="G14" s="878" t="s">
        <v>60</v>
      </c>
      <c r="H14" s="878">
        <v>7</v>
      </c>
      <c r="I14" s="332">
        <v>485000</v>
      </c>
      <c r="J14" s="443">
        <f t="shared" si="1"/>
        <v>3395000</v>
      </c>
      <c r="K14" s="922">
        <v>0.35</v>
      </c>
      <c r="L14" s="332">
        <f t="shared" si="0"/>
        <v>2206750</v>
      </c>
      <c r="M14" s="332"/>
      <c r="N14" s="332"/>
      <c r="O14" s="332"/>
      <c r="P14" s="332"/>
      <c r="Q14" s="443"/>
      <c r="R14" s="332"/>
      <c r="S14" s="925"/>
    </row>
    <row r="15" spans="1:19" s="924" customFormat="1" ht="8.4" x14ac:dyDescent="0.15">
      <c r="A15" s="853"/>
      <c r="B15" s="580" t="s">
        <v>783</v>
      </c>
      <c r="C15" s="890" t="s">
        <v>918</v>
      </c>
      <c r="D15" s="718" t="s">
        <v>127</v>
      </c>
      <c r="E15" s="718"/>
      <c r="F15" s="884"/>
      <c r="G15" s="878" t="s">
        <v>41</v>
      </c>
      <c r="H15" s="878">
        <v>17</v>
      </c>
      <c r="I15" s="332">
        <v>550000</v>
      </c>
      <c r="J15" s="443">
        <f t="shared" si="1"/>
        <v>9350000</v>
      </c>
      <c r="K15" s="922">
        <v>0.35</v>
      </c>
      <c r="L15" s="332">
        <f t="shared" si="0"/>
        <v>6077500</v>
      </c>
      <c r="M15" s="332"/>
      <c r="N15" s="332"/>
      <c r="O15" s="332"/>
      <c r="P15" s="332"/>
      <c r="Q15" s="443"/>
      <c r="R15" s="332"/>
      <c r="S15" s="925"/>
    </row>
    <row r="16" spans="1:19" s="924" customFormat="1" ht="8.4" x14ac:dyDescent="0.15">
      <c r="A16" s="853"/>
      <c r="B16" s="580" t="s">
        <v>783</v>
      </c>
      <c r="C16" s="890" t="s">
        <v>918</v>
      </c>
      <c r="D16" s="718" t="s">
        <v>127</v>
      </c>
      <c r="E16" s="718"/>
      <c r="F16" s="884"/>
      <c r="G16" s="878" t="s">
        <v>46</v>
      </c>
      <c r="H16" s="878">
        <v>27</v>
      </c>
      <c r="I16" s="332">
        <v>450000</v>
      </c>
      <c r="J16" s="443">
        <f t="shared" si="1"/>
        <v>12150000</v>
      </c>
      <c r="K16" s="922">
        <v>0.35</v>
      </c>
      <c r="L16" s="332">
        <f t="shared" si="0"/>
        <v>7897500</v>
      </c>
      <c r="M16" s="332"/>
      <c r="N16" s="332"/>
      <c r="O16" s="332"/>
      <c r="P16" s="332"/>
      <c r="Q16" s="443"/>
      <c r="R16" s="332"/>
      <c r="S16" s="925"/>
    </row>
    <row r="17" spans="1:19" s="924" customFormat="1" ht="8.4" x14ac:dyDescent="0.15">
      <c r="A17" s="853"/>
      <c r="B17" s="580" t="s">
        <v>783</v>
      </c>
      <c r="C17" s="890" t="s">
        <v>918</v>
      </c>
      <c r="D17" s="718" t="s">
        <v>127</v>
      </c>
      <c r="E17" s="718"/>
      <c r="F17" s="884"/>
      <c r="G17" s="878" t="s">
        <v>44</v>
      </c>
      <c r="H17" s="878">
        <v>3</v>
      </c>
      <c r="I17" s="332">
        <v>455000</v>
      </c>
      <c r="J17" s="443">
        <f t="shared" si="1"/>
        <v>1365000</v>
      </c>
      <c r="K17" s="922">
        <v>0.35</v>
      </c>
      <c r="L17" s="332">
        <f t="shared" si="0"/>
        <v>887250</v>
      </c>
      <c r="M17" s="332"/>
      <c r="N17" s="332"/>
      <c r="O17" s="332"/>
      <c r="P17" s="332"/>
      <c r="Q17" s="443"/>
      <c r="R17" s="332"/>
      <c r="S17" s="925"/>
    </row>
    <row r="18" spans="1:19" s="924" customFormat="1" ht="8.4" x14ac:dyDescent="0.15">
      <c r="A18" s="699"/>
      <c r="B18" s="580" t="s">
        <v>783</v>
      </c>
      <c r="C18" s="890" t="s">
        <v>918</v>
      </c>
      <c r="D18" s="718" t="s">
        <v>127</v>
      </c>
      <c r="E18" s="718"/>
      <c r="F18" s="927"/>
      <c r="G18" s="702" t="s">
        <v>42</v>
      </c>
      <c r="H18" s="702">
        <v>8</v>
      </c>
      <c r="I18" s="445">
        <v>455000</v>
      </c>
      <c r="J18" s="687">
        <f t="shared" si="1"/>
        <v>3640000</v>
      </c>
      <c r="K18" s="703">
        <v>0.35</v>
      </c>
      <c r="L18" s="445">
        <f t="shared" si="0"/>
        <v>2366000</v>
      </c>
      <c r="M18" s="445"/>
      <c r="N18" s="445"/>
      <c r="O18" s="445"/>
      <c r="P18" s="445"/>
      <c r="Q18" s="443"/>
      <c r="R18" s="445"/>
      <c r="S18" s="928"/>
    </row>
    <row r="19" spans="1:19" s="924" customFormat="1" ht="8.4" x14ac:dyDescent="0.15">
      <c r="A19" s="677">
        <v>2</v>
      </c>
      <c r="B19" s="583" t="s">
        <v>783</v>
      </c>
      <c r="C19" s="678" t="s">
        <v>186</v>
      </c>
      <c r="D19" s="679" t="s">
        <v>127</v>
      </c>
      <c r="E19" s="679"/>
      <c r="F19" s="888"/>
      <c r="G19" s="680" t="s">
        <v>44</v>
      </c>
      <c r="H19" s="680">
        <v>1</v>
      </c>
      <c r="I19" s="446">
        <v>455000</v>
      </c>
      <c r="J19" s="446">
        <f t="shared" si="1"/>
        <v>455000</v>
      </c>
      <c r="K19" s="681">
        <v>0.41</v>
      </c>
      <c r="L19" s="446">
        <f t="shared" si="0"/>
        <v>268450.00000000006</v>
      </c>
      <c r="M19" s="446"/>
      <c r="N19" s="446"/>
      <c r="O19" s="446">
        <v>112</v>
      </c>
      <c r="P19" s="446">
        <f>L19</f>
        <v>268450.00000000006</v>
      </c>
      <c r="Q19" s="446"/>
      <c r="R19" s="446"/>
      <c r="S19" s="724" t="s">
        <v>731</v>
      </c>
    </row>
    <row r="20" spans="1:19" s="924" customFormat="1" ht="42" x14ac:dyDescent="0.15">
      <c r="A20" s="920">
        <v>3</v>
      </c>
      <c r="B20" s="580" t="s">
        <v>764</v>
      </c>
      <c r="C20" s="890" t="s">
        <v>12</v>
      </c>
      <c r="D20" s="718" t="s">
        <v>916</v>
      </c>
      <c r="E20" s="718" t="s">
        <v>784</v>
      </c>
      <c r="F20" s="929"/>
      <c r="G20" s="921" t="s">
        <v>33</v>
      </c>
      <c r="H20" s="921">
        <v>12</v>
      </c>
      <c r="I20" s="443">
        <v>455000</v>
      </c>
      <c r="J20" s="443">
        <f t="shared" si="1"/>
        <v>5460000</v>
      </c>
      <c r="K20" s="922">
        <v>0.41</v>
      </c>
      <c r="L20" s="443">
        <f t="shared" si="0"/>
        <v>3221400.0000000005</v>
      </c>
      <c r="M20" s="443"/>
      <c r="N20" s="443"/>
      <c r="O20" s="443"/>
      <c r="P20" s="443"/>
      <c r="Q20" s="443">
        <v>131</v>
      </c>
      <c r="R20" s="443">
        <f>SUM(L20:L23)</f>
        <v>13310400.000000002</v>
      </c>
      <c r="S20" s="946" t="s">
        <v>800</v>
      </c>
    </row>
    <row r="21" spans="1:19" s="924" customFormat="1" ht="8.4" x14ac:dyDescent="0.15">
      <c r="A21" s="853"/>
      <c r="B21" s="580" t="s">
        <v>764</v>
      </c>
      <c r="C21" s="890" t="s">
        <v>12</v>
      </c>
      <c r="D21" s="718" t="s">
        <v>916</v>
      </c>
      <c r="E21" s="720"/>
      <c r="F21" s="884"/>
      <c r="G21" s="878" t="s">
        <v>35</v>
      </c>
      <c r="H21" s="878">
        <v>12</v>
      </c>
      <c r="I21" s="332">
        <v>465000</v>
      </c>
      <c r="J21" s="443">
        <f t="shared" si="1"/>
        <v>5580000</v>
      </c>
      <c r="K21" s="930">
        <v>0.41</v>
      </c>
      <c r="L21" s="332">
        <f t="shared" si="0"/>
        <v>3292200.0000000005</v>
      </c>
      <c r="M21" s="332"/>
      <c r="N21" s="332"/>
      <c r="O21" s="332"/>
      <c r="P21" s="332"/>
      <c r="Q21" s="332"/>
      <c r="R21" s="332"/>
      <c r="S21" s="925"/>
    </row>
    <row r="22" spans="1:19" s="924" customFormat="1" ht="8.4" x14ac:dyDescent="0.15">
      <c r="A22" s="853"/>
      <c r="B22" s="580" t="s">
        <v>764</v>
      </c>
      <c r="C22" s="851" t="s">
        <v>12</v>
      </c>
      <c r="D22" s="720" t="s">
        <v>916</v>
      </c>
      <c r="E22" s="720"/>
      <c r="F22" s="884"/>
      <c r="G22" s="878" t="s">
        <v>37</v>
      </c>
      <c r="H22" s="878">
        <v>12</v>
      </c>
      <c r="I22" s="332">
        <v>475000</v>
      </c>
      <c r="J22" s="443">
        <f t="shared" si="1"/>
        <v>5700000</v>
      </c>
      <c r="K22" s="930">
        <v>0.41</v>
      </c>
      <c r="L22" s="332">
        <f t="shared" si="0"/>
        <v>3363000.0000000005</v>
      </c>
      <c r="M22" s="332"/>
      <c r="N22" s="332"/>
      <c r="O22" s="332"/>
      <c r="P22" s="332"/>
      <c r="Q22" s="332"/>
      <c r="R22" s="332"/>
      <c r="S22" s="925"/>
    </row>
    <row r="23" spans="1:19" s="924" customFormat="1" ht="8.4" x14ac:dyDescent="0.15">
      <c r="A23" s="699"/>
      <c r="B23" s="580" t="s">
        <v>764</v>
      </c>
      <c r="C23" s="673" t="s">
        <v>12</v>
      </c>
      <c r="D23" s="700" t="s">
        <v>916</v>
      </c>
      <c r="E23" s="701"/>
      <c r="F23" s="927"/>
      <c r="G23" s="702" t="s">
        <v>40</v>
      </c>
      <c r="H23" s="702">
        <v>12</v>
      </c>
      <c r="I23" s="445">
        <v>485000</v>
      </c>
      <c r="J23" s="445">
        <f t="shared" si="1"/>
        <v>5820000</v>
      </c>
      <c r="K23" s="703">
        <v>0.41</v>
      </c>
      <c r="L23" s="445">
        <f t="shared" si="0"/>
        <v>3433800.0000000005</v>
      </c>
      <c r="M23" s="445"/>
      <c r="N23" s="445"/>
      <c r="O23" s="445"/>
      <c r="P23" s="445"/>
      <c r="Q23" s="445"/>
      <c r="R23" s="445"/>
      <c r="S23" s="705"/>
    </row>
    <row r="24" spans="1:19" s="924" customFormat="1" ht="25.2" x14ac:dyDescent="0.15">
      <c r="A24" s="920">
        <v>4</v>
      </c>
      <c r="B24" s="585" t="s">
        <v>764</v>
      </c>
      <c r="C24" s="889" t="s">
        <v>12</v>
      </c>
      <c r="D24" s="718" t="s">
        <v>928</v>
      </c>
      <c r="E24" s="718" t="s">
        <v>929</v>
      </c>
      <c r="F24" s="929"/>
      <c r="G24" s="921" t="s">
        <v>44</v>
      </c>
      <c r="H24" s="921">
        <v>10</v>
      </c>
      <c r="I24" s="443">
        <v>455000</v>
      </c>
      <c r="J24" s="443">
        <f>H24*I24</f>
        <v>4550000</v>
      </c>
      <c r="K24" s="922">
        <v>1</v>
      </c>
      <c r="L24" s="443">
        <f t="shared" ref="L24" si="2">H24*I24*(1-K24)</f>
        <v>0</v>
      </c>
      <c r="M24" s="443"/>
      <c r="N24" s="443"/>
      <c r="O24" s="443"/>
      <c r="P24" s="443"/>
      <c r="Q24" s="443"/>
      <c r="R24" s="443"/>
      <c r="S24" s="923"/>
    </row>
    <row r="25" spans="1:19" s="924" customFormat="1" ht="8.4" x14ac:dyDescent="0.15">
      <c r="A25" s="699"/>
      <c r="B25" s="582" t="s">
        <v>764</v>
      </c>
      <c r="C25" s="931" t="s">
        <v>12</v>
      </c>
      <c r="D25" s="701" t="s">
        <v>928</v>
      </c>
      <c r="E25" s="701"/>
      <c r="F25" s="927"/>
      <c r="G25" s="702" t="s">
        <v>33</v>
      </c>
      <c r="H25" s="702">
        <v>1</v>
      </c>
      <c r="I25" s="445">
        <v>455000</v>
      </c>
      <c r="J25" s="445">
        <f>H25*I25</f>
        <v>455000</v>
      </c>
      <c r="K25" s="703">
        <v>1</v>
      </c>
      <c r="L25" s="445">
        <f>H25*I25*(1-K25)</f>
        <v>0</v>
      </c>
      <c r="M25" s="445"/>
      <c r="N25" s="445"/>
      <c r="O25" s="445"/>
      <c r="P25" s="445"/>
      <c r="Q25" s="445"/>
      <c r="R25" s="445"/>
      <c r="S25" s="705"/>
    </row>
    <row r="26" spans="1:19" s="924" customFormat="1" ht="16.8" x14ac:dyDescent="0.15">
      <c r="A26" s="920">
        <v>5</v>
      </c>
      <c r="B26" s="580" t="s">
        <v>764</v>
      </c>
      <c r="C26" s="890" t="s">
        <v>12</v>
      </c>
      <c r="D26" s="718" t="s">
        <v>992</v>
      </c>
      <c r="E26" s="718" t="s">
        <v>986</v>
      </c>
      <c r="F26" s="929"/>
      <c r="G26" s="921" t="s">
        <v>33</v>
      </c>
      <c r="H26" s="921">
        <v>1</v>
      </c>
      <c r="I26" s="443">
        <v>455000</v>
      </c>
      <c r="J26" s="443">
        <f t="shared" si="1"/>
        <v>455000</v>
      </c>
      <c r="K26" s="922">
        <v>0.5</v>
      </c>
      <c r="L26" s="443">
        <f t="shared" si="0"/>
        <v>227500</v>
      </c>
      <c r="M26" s="443"/>
      <c r="N26" s="443"/>
      <c r="O26" s="443"/>
      <c r="P26" s="443"/>
      <c r="Q26" s="443">
        <v>131</v>
      </c>
      <c r="R26" s="443">
        <f>SUM(L26:L35)</f>
        <v>2165000</v>
      </c>
      <c r="S26" s="923"/>
    </row>
    <row r="27" spans="1:19" s="924" customFormat="1" ht="16.8" x14ac:dyDescent="0.15">
      <c r="A27" s="853"/>
      <c r="B27" s="580" t="s">
        <v>764</v>
      </c>
      <c r="C27" s="890" t="s">
        <v>12</v>
      </c>
      <c r="D27" s="718" t="s">
        <v>992</v>
      </c>
      <c r="E27" s="720"/>
      <c r="F27" s="884"/>
      <c r="G27" s="878" t="s">
        <v>34</v>
      </c>
      <c r="H27" s="878">
        <v>1</v>
      </c>
      <c r="I27" s="332">
        <v>265000</v>
      </c>
      <c r="J27" s="443">
        <f t="shared" si="1"/>
        <v>265000</v>
      </c>
      <c r="K27" s="930">
        <v>0.5</v>
      </c>
      <c r="L27" s="332">
        <f t="shared" si="0"/>
        <v>132500</v>
      </c>
      <c r="M27" s="332"/>
      <c r="N27" s="332"/>
      <c r="O27" s="332"/>
      <c r="P27" s="332"/>
      <c r="Q27" s="332"/>
      <c r="R27" s="332"/>
      <c r="S27" s="925"/>
    </row>
    <row r="28" spans="1:19" s="924" customFormat="1" ht="16.8" x14ac:dyDescent="0.15">
      <c r="A28" s="853"/>
      <c r="B28" s="580" t="s">
        <v>764</v>
      </c>
      <c r="C28" s="890" t="s">
        <v>12</v>
      </c>
      <c r="D28" s="718" t="s">
        <v>992</v>
      </c>
      <c r="E28" s="720"/>
      <c r="F28" s="884"/>
      <c r="G28" s="878" t="s">
        <v>35</v>
      </c>
      <c r="H28" s="878">
        <v>1</v>
      </c>
      <c r="I28" s="332">
        <v>465000</v>
      </c>
      <c r="J28" s="443">
        <f t="shared" si="1"/>
        <v>465000</v>
      </c>
      <c r="K28" s="930">
        <v>0.5</v>
      </c>
      <c r="L28" s="332">
        <f t="shared" si="0"/>
        <v>232500</v>
      </c>
      <c r="M28" s="332"/>
      <c r="N28" s="332"/>
      <c r="O28" s="332"/>
      <c r="P28" s="332"/>
      <c r="Q28" s="332"/>
      <c r="R28" s="332"/>
      <c r="S28" s="925"/>
    </row>
    <row r="29" spans="1:19" s="924" customFormat="1" ht="16.8" x14ac:dyDescent="0.15">
      <c r="A29" s="853"/>
      <c r="B29" s="580" t="s">
        <v>764</v>
      </c>
      <c r="C29" s="890" t="s">
        <v>12</v>
      </c>
      <c r="D29" s="718" t="s">
        <v>992</v>
      </c>
      <c r="E29" s="720"/>
      <c r="F29" s="884"/>
      <c r="G29" s="878" t="s">
        <v>36</v>
      </c>
      <c r="H29" s="878">
        <v>1</v>
      </c>
      <c r="I29" s="332">
        <v>275000</v>
      </c>
      <c r="J29" s="443">
        <f t="shared" si="1"/>
        <v>275000</v>
      </c>
      <c r="K29" s="930">
        <v>0.5</v>
      </c>
      <c r="L29" s="332">
        <f t="shared" si="0"/>
        <v>137500</v>
      </c>
      <c r="M29" s="332"/>
      <c r="N29" s="332"/>
      <c r="O29" s="332"/>
      <c r="P29" s="332"/>
      <c r="Q29" s="332"/>
      <c r="R29" s="332"/>
      <c r="S29" s="925"/>
    </row>
    <row r="30" spans="1:19" s="924" customFormat="1" ht="16.8" x14ac:dyDescent="0.15">
      <c r="A30" s="853"/>
      <c r="B30" s="580" t="s">
        <v>764</v>
      </c>
      <c r="C30" s="890" t="s">
        <v>12</v>
      </c>
      <c r="D30" s="718" t="s">
        <v>992</v>
      </c>
      <c r="E30" s="720"/>
      <c r="F30" s="884"/>
      <c r="G30" s="878" t="s">
        <v>37</v>
      </c>
      <c r="H30" s="878">
        <v>1</v>
      </c>
      <c r="I30" s="332">
        <v>475000</v>
      </c>
      <c r="J30" s="443">
        <f t="shared" si="1"/>
        <v>475000</v>
      </c>
      <c r="K30" s="930">
        <v>0.5</v>
      </c>
      <c r="L30" s="332">
        <f t="shared" si="0"/>
        <v>237500</v>
      </c>
      <c r="M30" s="332"/>
      <c r="N30" s="332"/>
      <c r="O30" s="332"/>
      <c r="P30" s="332"/>
      <c r="Q30" s="332"/>
      <c r="R30" s="332"/>
      <c r="S30" s="925"/>
    </row>
    <row r="31" spans="1:19" s="924" customFormat="1" ht="16.8" x14ac:dyDescent="0.15">
      <c r="A31" s="853"/>
      <c r="B31" s="580" t="s">
        <v>764</v>
      </c>
      <c r="C31" s="890" t="s">
        <v>12</v>
      </c>
      <c r="D31" s="718" t="s">
        <v>992</v>
      </c>
      <c r="E31" s="720"/>
      <c r="F31" s="884"/>
      <c r="G31" s="878" t="s">
        <v>40</v>
      </c>
      <c r="H31" s="878">
        <v>1</v>
      </c>
      <c r="I31" s="332">
        <v>485000</v>
      </c>
      <c r="J31" s="443">
        <f t="shared" si="1"/>
        <v>485000</v>
      </c>
      <c r="K31" s="930">
        <v>0.5</v>
      </c>
      <c r="L31" s="332">
        <f t="shared" si="0"/>
        <v>242500</v>
      </c>
      <c r="M31" s="332"/>
      <c r="N31" s="332"/>
      <c r="O31" s="332"/>
      <c r="P31" s="332"/>
      <c r="Q31" s="332"/>
      <c r="R31" s="332"/>
      <c r="S31" s="925"/>
    </row>
    <row r="32" spans="1:19" s="924" customFormat="1" ht="16.8" x14ac:dyDescent="0.15">
      <c r="A32" s="853"/>
      <c r="B32" s="580" t="s">
        <v>764</v>
      </c>
      <c r="C32" s="890" t="s">
        <v>12</v>
      </c>
      <c r="D32" s="718" t="s">
        <v>992</v>
      </c>
      <c r="E32" s="720"/>
      <c r="F32" s="884"/>
      <c r="G32" s="878" t="s">
        <v>41</v>
      </c>
      <c r="H32" s="878">
        <v>1</v>
      </c>
      <c r="I32" s="332">
        <v>550000</v>
      </c>
      <c r="J32" s="443">
        <f t="shared" si="1"/>
        <v>550000</v>
      </c>
      <c r="K32" s="930">
        <v>0.5</v>
      </c>
      <c r="L32" s="332">
        <f t="shared" si="0"/>
        <v>275000</v>
      </c>
      <c r="M32" s="332"/>
      <c r="N32" s="332"/>
      <c r="O32" s="332"/>
      <c r="P32" s="332"/>
      <c r="Q32" s="332"/>
      <c r="R32" s="332"/>
      <c r="S32" s="925"/>
    </row>
    <row r="33" spans="1:19" s="924" customFormat="1" ht="16.8" x14ac:dyDescent="0.15">
      <c r="A33" s="853"/>
      <c r="B33" s="580" t="s">
        <v>764</v>
      </c>
      <c r="C33" s="890" t="s">
        <v>12</v>
      </c>
      <c r="D33" s="718" t="s">
        <v>992</v>
      </c>
      <c r="E33" s="720"/>
      <c r="F33" s="884"/>
      <c r="G33" s="878" t="s">
        <v>46</v>
      </c>
      <c r="H33" s="878">
        <v>1</v>
      </c>
      <c r="I33" s="332">
        <v>450000</v>
      </c>
      <c r="J33" s="443">
        <f t="shared" si="1"/>
        <v>450000</v>
      </c>
      <c r="K33" s="930">
        <v>0.5</v>
      </c>
      <c r="L33" s="332">
        <f t="shared" si="0"/>
        <v>225000</v>
      </c>
      <c r="M33" s="332"/>
      <c r="N33" s="332"/>
      <c r="O33" s="332"/>
      <c r="P33" s="332"/>
      <c r="Q33" s="332"/>
      <c r="R33" s="332"/>
      <c r="S33" s="925"/>
    </row>
    <row r="34" spans="1:19" s="924" customFormat="1" ht="16.8" x14ac:dyDescent="0.15">
      <c r="A34" s="853"/>
      <c r="B34" s="580" t="s">
        <v>764</v>
      </c>
      <c r="C34" s="890" t="s">
        <v>12</v>
      </c>
      <c r="D34" s="718" t="s">
        <v>992</v>
      </c>
      <c r="E34" s="720"/>
      <c r="F34" s="884"/>
      <c r="G34" s="878" t="s">
        <v>44</v>
      </c>
      <c r="H34" s="878">
        <v>1</v>
      </c>
      <c r="I34" s="332">
        <v>455000</v>
      </c>
      <c r="J34" s="443">
        <f t="shared" si="1"/>
        <v>455000</v>
      </c>
      <c r="K34" s="930">
        <v>0.5</v>
      </c>
      <c r="L34" s="332">
        <f t="shared" si="0"/>
        <v>227500</v>
      </c>
      <c r="M34" s="332"/>
      <c r="N34" s="332"/>
      <c r="O34" s="332"/>
      <c r="P34" s="332"/>
      <c r="Q34" s="332"/>
      <c r="R34" s="332"/>
      <c r="S34" s="926"/>
    </row>
    <row r="35" spans="1:19" s="924" customFormat="1" ht="16.8" x14ac:dyDescent="0.15">
      <c r="A35" s="699"/>
      <c r="B35" s="580" t="s">
        <v>764</v>
      </c>
      <c r="C35" s="890" t="s">
        <v>12</v>
      </c>
      <c r="D35" s="718" t="s">
        <v>992</v>
      </c>
      <c r="E35" s="701"/>
      <c r="F35" s="927"/>
      <c r="G35" s="702" t="s">
        <v>42</v>
      </c>
      <c r="H35" s="702">
        <v>1</v>
      </c>
      <c r="I35" s="445">
        <v>455000</v>
      </c>
      <c r="J35" s="687">
        <f t="shared" si="1"/>
        <v>455000</v>
      </c>
      <c r="K35" s="703">
        <v>0.5</v>
      </c>
      <c r="L35" s="445">
        <f t="shared" si="0"/>
        <v>227500</v>
      </c>
      <c r="M35" s="445"/>
      <c r="N35" s="445"/>
      <c r="O35" s="445"/>
      <c r="P35" s="445"/>
      <c r="Q35" s="445"/>
      <c r="R35" s="445"/>
      <c r="S35" s="705"/>
    </row>
    <row r="36" spans="1:19" s="924" customFormat="1" ht="8.4" x14ac:dyDescent="0.15">
      <c r="A36" s="677">
        <v>6</v>
      </c>
      <c r="B36" s="583" t="s">
        <v>742</v>
      </c>
      <c r="C36" s="678" t="s">
        <v>61</v>
      </c>
      <c r="D36" s="679" t="s">
        <v>127</v>
      </c>
      <c r="E36" s="679"/>
      <c r="F36" s="888"/>
      <c r="G36" s="680" t="s">
        <v>40</v>
      </c>
      <c r="H36" s="680">
        <v>6</v>
      </c>
      <c r="I36" s="446">
        <v>485000</v>
      </c>
      <c r="J36" s="446">
        <f t="shared" si="1"/>
        <v>2910000</v>
      </c>
      <c r="K36" s="681">
        <v>0.41</v>
      </c>
      <c r="L36" s="446">
        <f t="shared" si="0"/>
        <v>1716900.0000000002</v>
      </c>
      <c r="M36" s="446">
        <v>111</v>
      </c>
      <c r="N36" s="446">
        <v>1700000</v>
      </c>
      <c r="O36" s="446"/>
      <c r="P36" s="446"/>
      <c r="Q36" s="446"/>
      <c r="R36" s="446"/>
      <c r="S36" s="683"/>
    </row>
    <row r="37" spans="1:19" s="924" customFormat="1" ht="16.8" x14ac:dyDescent="0.15">
      <c r="A37" s="677">
        <v>7</v>
      </c>
      <c r="B37" s="583" t="s">
        <v>742</v>
      </c>
      <c r="C37" s="678" t="s">
        <v>61</v>
      </c>
      <c r="D37" s="679" t="s">
        <v>785</v>
      </c>
      <c r="E37" s="679" t="s">
        <v>786</v>
      </c>
      <c r="F37" s="888"/>
      <c r="G37" s="680" t="s">
        <v>39</v>
      </c>
      <c r="H37" s="680">
        <v>1</v>
      </c>
      <c r="I37" s="446">
        <v>285000</v>
      </c>
      <c r="J37" s="446">
        <f t="shared" si="1"/>
        <v>285000</v>
      </c>
      <c r="K37" s="681">
        <v>1</v>
      </c>
      <c r="L37" s="446">
        <f t="shared" si="0"/>
        <v>0</v>
      </c>
      <c r="M37" s="446"/>
      <c r="N37" s="446"/>
      <c r="O37" s="446"/>
      <c r="P37" s="446"/>
      <c r="Q37" s="446"/>
      <c r="R37" s="446"/>
      <c r="S37" s="683" t="s">
        <v>787</v>
      </c>
    </row>
    <row r="38" spans="1:19" s="924" customFormat="1" ht="25.2" x14ac:dyDescent="0.15">
      <c r="A38" s="677">
        <v>8</v>
      </c>
      <c r="B38" s="583" t="s">
        <v>742</v>
      </c>
      <c r="C38" s="932" t="s">
        <v>917</v>
      </c>
      <c r="D38" s="679" t="s">
        <v>743</v>
      </c>
      <c r="E38" s="679" t="s">
        <v>744</v>
      </c>
      <c r="F38" s="678"/>
      <c r="G38" s="680" t="s">
        <v>44</v>
      </c>
      <c r="H38" s="680">
        <v>84</v>
      </c>
      <c r="I38" s="446">
        <v>455000</v>
      </c>
      <c r="J38" s="446">
        <f t="shared" si="1"/>
        <v>38220000</v>
      </c>
      <c r="K38" s="681">
        <v>0.5</v>
      </c>
      <c r="L38" s="446">
        <f>H38*I38*(1-K38)</f>
        <v>19110000</v>
      </c>
      <c r="M38" s="446"/>
      <c r="N38" s="446"/>
      <c r="O38" s="446"/>
      <c r="P38" s="446"/>
      <c r="Q38" s="446">
        <v>131</v>
      </c>
      <c r="R38" s="446">
        <f>L38</f>
        <v>19110000</v>
      </c>
      <c r="S38" s="683"/>
    </row>
    <row r="39" spans="1:19" s="924" customFormat="1" ht="8.4" x14ac:dyDescent="0.15">
      <c r="A39" s="677">
        <v>9</v>
      </c>
      <c r="B39" s="583" t="s">
        <v>742</v>
      </c>
      <c r="C39" s="678" t="s">
        <v>12</v>
      </c>
      <c r="D39" s="679"/>
      <c r="E39" s="679"/>
      <c r="F39" s="888"/>
      <c r="G39" s="680" t="s">
        <v>37</v>
      </c>
      <c r="H39" s="680">
        <v>3</v>
      </c>
      <c r="I39" s="446">
        <v>475000</v>
      </c>
      <c r="J39" s="446">
        <f t="shared" si="1"/>
        <v>1425000</v>
      </c>
      <c r="K39" s="681">
        <v>1</v>
      </c>
      <c r="L39" s="446">
        <f t="shared" si="0"/>
        <v>0</v>
      </c>
      <c r="M39" s="446"/>
      <c r="N39" s="446"/>
      <c r="O39" s="446"/>
      <c r="P39" s="446"/>
      <c r="Q39" s="446"/>
      <c r="R39" s="446"/>
      <c r="S39" s="683" t="s">
        <v>89</v>
      </c>
    </row>
    <row r="40" spans="1:19" s="924" customFormat="1" ht="8.4" x14ac:dyDescent="0.15">
      <c r="A40" s="885">
        <v>10</v>
      </c>
      <c r="B40" s="708" t="s">
        <v>761</v>
      </c>
      <c r="C40" s="933" t="s">
        <v>12</v>
      </c>
      <c r="D40" s="711" t="s">
        <v>788</v>
      </c>
      <c r="E40" s="710" t="s">
        <v>146</v>
      </c>
      <c r="F40" s="886"/>
      <c r="G40" s="887" t="s">
        <v>35</v>
      </c>
      <c r="H40" s="887">
        <v>12</v>
      </c>
      <c r="I40" s="444">
        <v>465000</v>
      </c>
      <c r="J40" s="443">
        <f t="shared" si="1"/>
        <v>5580000</v>
      </c>
      <c r="K40" s="934">
        <v>1</v>
      </c>
      <c r="L40" s="444">
        <f t="shared" si="0"/>
        <v>0</v>
      </c>
      <c r="M40" s="444"/>
      <c r="N40" s="444"/>
      <c r="O40" s="444"/>
      <c r="P40" s="444"/>
      <c r="Q40" s="444"/>
      <c r="R40" s="444">
        <f>SUM(L40:L42)</f>
        <v>0</v>
      </c>
      <c r="S40" s="935"/>
    </row>
    <row r="41" spans="1:19" s="924" customFormat="1" ht="8.4" x14ac:dyDescent="0.15">
      <c r="A41" s="853"/>
      <c r="B41" s="453" t="s">
        <v>761</v>
      </c>
      <c r="C41" s="851" t="s">
        <v>12</v>
      </c>
      <c r="D41" s="720" t="s">
        <v>788</v>
      </c>
      <c r="E41" s="718"/>
      <c r="F41" s="884"/>
      <c r="G41" s="878" t="s">
        <v>40</v>
      </c>
      <c r="H41" s="878">
        <v>3</v>
      </c>
      <c r="I41" s="332">
        <v>485000</v>
      </c>
      <c r="J41" s="443">
        <f t="shared" si="1"/>
        <v>1455000</v>
      </c>
      <c r="K41" s="930">
        <v>1</v>
      </c>
      <c r="L41" s="332">
        <f t="shared" si="0"/>
        <v>0</v>
      </c>
      <c r="M41" s="332"/>
      <c r="N41" s="332"/>
      <c r="O41" s="332"/>
      <c r="P41" s="332"/>
      <c r="Q41" s="332"/>
      <c r="R41" s="332"/>
      <c r="S41" s="926"/>
    </row>
    <row r="42" spans="1:19" s="924" customFormat="1" ht="8.4" x14ac:dyDescent="0.15">
      <c r="A42" s="699"/>
      <c r="B42" s="582" t="s">
        <v>761</v>
      </c>
      <c r="C42" s="717" t="s">
        <v>12</v>
      </c>
      <c r="D42" s="701" t="s">
        <v>788</v>
      </c>
      <c r="E42" s="700"/>
      <c r="F42" s="927"/>
      <c r="G42" s="702" t="s">
        <v>46</v>
      </c>
      <c r="H42" s="702">
        <v>10</v>
      </c>
      <c r="I42" s="445">
        <v>450000</v>
      </c>
      <c r="J42" s="445">
        <f t="shared" si="1"/>
        <v>4500000</v>
      </c>
      <c r="K42" s="703">
        <v>1</v>
      </c>
      <c r="L42" s="445">
        <f t="shared" si="0"/>
        <v>0</v>
      </c>
      <c r="M42" s="445"/>
      <c r="N42" s="445"/>
      <c r="O42" s="445"/>
      <c r="P42" s="445"/>
      <c r="Q42" s="445"/>
      <c r="R42" s="445"/>
      <c r="S42" s="705"/>
    </row>
    <row r="43" spans="1:19" s="924" customFormat="1" ht="16.8" x14ac:dyDescent="0.15">
      <c r="A43" s="920">
        <v>11</v>
      </c>
      <c r="B43" s="580" t="s">
        <v>742</v>
      </c>
      <c r="C43" s="890" t="s">
        <v>12</v>
      </c>
      <c r="D43" s="718" t="s">
        <v>789</v>
      </c>
      <c r="E43" s="718" t="s">
        <v>794</v>
      </c>
      <c r="F43" s="929"/>
      <c r="G43" s="921" t="s">
        <v>44</v>
      </c>
      <c r="H43" s="921">
        <v>11</v>
      </c>
      <c r="I43" s="443">
        <v>455000</v>
      </c>
      <c r="J43" s="443">
        <f t="shared" si="1"/>
        <v>5005000</v>
      </c>
      <c r="K43" s="922">
        <v>1</v>
      </c>
      <c r="L43" s="443">
        <f t="shared" si="0"/>
        <v>0</v>
      </c>
      <c r="M43" s="443"/>
      <c r="N43" s="443"/>
      <c r="O43" s="443"/>
      <c r="P43" s="443"/>
      <c r="Q43" s="443"/>
      <c r="R43" s="443"/>
      <c r="S43" s="923"/>
    </row>
    <row r="44" spans="1:19" s="924" customFormat="1" ht="16.8" x14ac:dyDescent="0.15">
      <c r="A44" s="699"/>
      <c r="B44" s="582" t="s">
        <v>742</v>
      </c>
      <c r="C44" s="717" t="s">
        <v>12</v>
      </c>
      <c r="D44" s="701" t="s">
        <v>789</v>
      </c>
      <c r="E44" s="701"/>
      <c r="F44" s="927"/>
      <c r="G44" s="702" t="s">
        <v>42</v>
      </c>
      <c r="H44" s="702">
        <v>11</v>
      </c>
      <c r="I44" s="445">
        <v>455000</v>
      </c>
      <c r="J44" s="445">
        <f t="shared" si="1"/>
        <v>5005000</v>
      </c>
      <c r="K44" s="703">
        <v>1</v>
      </c>
      <c r="L44" s="445">
        <f t="shared" si="0"/>
        <v>0</v>
      </c>
      <c r="M44" s="445"/>
      <c r="N44" s="445"/>
      <c r="O44" s="445"/>
      <c r="P44" s="445"/>
      <c r="Q44" s="445"/>
      <c r="R44" s="445"/>
      <c r="S44" s="705"/>
    </row>
    <row r="45" spans="1:19" s="924" customFormat="1" ht="16.8" x14ac:dyDescent="0.15">
      <c r="A45" s="677">
        <v>12</v>
      </c>
      <c r="B45" s="583" t="s">
        <v>761</v>
      </c>
      <c r="C45" s="678" t="s">
        <v>918</v>
      </c>
      <c r="D45" s="679" t="s">
        <v>127</v>
      </c>
      <c r="E45" s="679" t="s">
        <v>911</v>
      </c>
      <c r="F45" s="888"/>
      <c r="G45" s="680" t="s">
        <v>44</v>
      </c>
      <c r="H45" s="680">
        <v>2</v>
      </c>
      <c r="I45" s="446">
        <v>455000</v>
      </c>
      <c r="J45" s="446">
        <f t="shared" si="1"/>
        <v>910000</v>
      </c>
      <c r="K45" s="681">
        <v>0.35</v>
      </c>
      <c r="L45" s="446">
        <f t="shared" si="0"/>
        <v>591500</v>
      </c>
      <c r="M45" s="446"/>
      <c r="N45" s="446"/>
      <c r="O45" s="446"/>
      <c r="P45" s="446"/>
      <c r="Q45" s="446">
        <v>131</v>
      </c>
      <c r="R45" s="446">
        <f>L45</f>
        <v>591500</v>
      </c>
      <c r="S45" s="683"/>
    </row>
    <row r="46" spans="1:19" s="924" customFormat="1" ht="16.8" x14ac:dyDescent="0.15">
      <c r="A46" s="677">
        <v>13</v>
      </c>
      <c r="B46" s="583" t="s">
        <v>761</v>
      </c>
      <c r="C46" s="678" t="s">
        <v>12</v>
      </c>
      <c r="D46" s="679" t="s">
        <v>790</v>
      </c>
      <c r="E46" s="679" t="s">
        <v>791</v>
      </c>
      <c r="F46" s="888"/>
      <c r="G46" s="680" t="s">
        <v>44</v>
      </c>
      <c r="H46" s="680">
        <v>1</v>
      </c>
      <c r="I46" s="446">
        <v>455000</v>
      </c>
      <c r="J46" s="446">
        <f t="shared" si="1"/>
        <v>455000</v>
      </c>
      <c r="K46" s="681">
        <v>0.41</v>
      </c>
      <c r="L46" s="446">
        <f t="shared" si="0"/>
        <v>268450.00000000006</v>
      </c>
      <c r="M46" s="446">
        <v>111</v>
      </c>
      <c r="N46" s="446">
        <f>L46</f>
        <v>268450.00000000006</v>
      </c>
      <c r="O46" s="446"/>
      <c r="P46" s="446"/>
      <c r="Q46" s="446"/>
      <c r="R46" s="446"/>
      <c r="S46" s="724"/>
    </row>
    <row r="47" spans="1:19" s="924" customFormat="1" ht="8.4" x14ac:dyDescent="0.15">
      <c r="A47" s="677">
        <v>14</v>
      </c>
      <c r="B47" s="583" t="s">
        <v>792</v>
      </c>
      <c r="C47" s="678" t="s">
        <v>186</v>
      </c>
      <c r="D47" s="679" t="s">
        <v>127</v>
      </c>
      <c r="E47" s="679"/>
      <c r="F47" s="888"/>
      <c r="G47" s="680" t="s">
        <v>44</v>
      </c>
      <c r="H47" s="680">
        <v>1</v>
      </c>
      <c r="I47" s="446">
        <v>455000</v>
      </c>
      <c r="J47" s="446">
        <f t="shared" si="1"/>
        <v>455000</v>
      </c>
      <c r="K47" s="681">
        <v>0.41</v>
      </c>
      <c r="L47" s="446">
        <f t="shared" si="0"/>
        <v>268450.00000000006</v>
      </c>
      <c r="M47" s="446"/>
      <c r="N47" s="446"/>
      <c r="O47" s="446">
        <v>112</v>
      </c>
      <c r="P47" s="446">
        <f>L47</f>
        <v>268450.00000000006</v>
      </c>
      <c r="Q47" s="446"/>
      <c r="R47" s="446"/>
      <c r="S47" s="724" t="s">
        <v>731</v>
      </c>
    </row>
    <row r="48" spans="1:19" s="924" customFormat="1" ht="25.2" x14ac:dyDescent="0.15">
      <c r="A48" s="920">
        <v>15</v>
      </c>
      <c r="B48" s="580" t="s">
        <v>792</v>
      </c>
      <c r="C48" s="890" t="s">
        <v>12</v>
      </c>
      <c r="D48" s="718" t="s">
        <v>1115</v>
      </c>
      <c r="E48" s="718" t="s">
        <v>1116</v>
      </c>
      <c r="F48" s="929"/>
      <c r="G48" s="921" t="s">
        <v>33</v>
      </c>
      <c r="H48" s="921">
        <v>1</v>
      </c>
      <c r="I48" s="443">
        <v>455000</v>
      </c>
      <c r="J48" s="443">
        <f t="shared" si="1"/>
        <v>455000</v>
      </c>
      <c r="K48" s="922">
        <v>0.3</v>
      </c>
      <c r="L48" s="443">
        <f t="shared" si="0"/>
        <v>318500</v>
      </c>
      <c r="M48" s="443"/>
      <c r="N48" s="443"/>
      <c r="O48" s="443"/>
      <c r="P48" s="443"/>
      <c r="Q48" s="443">
        <v>131</v>
      </c>
      <c r="R48" s="443">
        <f>SUM(L48:L52)</f>
        <v>1288000</v>
      </c>
      <c r="S48" s="923"/>
    </row>
    <row r="49" spans="1:19" s="924" customFormat="1" ht="25.2" x14ac:dyDescent="0.15">
      <c r="A49" s="853"/>
      <c r="B49" s="580" t="s">
        <v>792</v>
      </c>
      <c r="C49" s="890" t="s">
        <v>12</v>
      </c>
      <c r="D49" s="718" t="s">
        <v>1115</v>
      </c>
      <c r="E49" s="718"/>
      <c r="F49" s="884"/>
      <c r="G49" s="878" t="s">
        <v>36</v>
      </c>
      <c r="H49" s="878">
        <v>1</v>
      </c>
      <c r="I49" s="332">
        <v>275000</v>
      </c>
      <c r="J49" s="443">
        <f t="shared" si="1"/>
        <v>275000</v>
      </c>
      <c r="K49" s="922">
        <v>1</v>
      </c>
      <c r="L49" s="332">
        <f t="shared" si="0"/>
        <v>0</v>
      </c>
      <c r="M49" s="332"/>
      <c r="N49" s="332"/>
      <c r="O49" s="332"/>
      <c r="P49" s="332"/>
      <c r="Q49" s="332"/>
      <c r="R49" s="332"/>
      <c r="S49" s="925"/>
    </row>
    <row r="50" spans="1:19" s="924" customFormat="1" ht="25.2" x14ac:dyDescent="0.15">
      <c r="A50" s="853"/>
      <c r="B50" s="580" t="s">
        <v>792</v>
      </c>
      <c r="C50" s="890" t="s">
        <v>12</v>
      </c>
      <c r="D50" s="718" t="s">
        <v>1115</v>
      </c>
      <c r="E50" s="718"/>
      <c r="F50" s="884"/>
      <c r="G50" s="878" t="s">
        <v>37</v>
      </c>
      <c r="H50" s="878">
        <v>1</v>
      </c>
      <c r="I50" s="332">
        <v>475000</v>
      </c>
      <c r="J50" s="443">
        <f t="shared" si="1"/>
        <v>475000</v>
      </c>
      <c r="K50" s="922">
        <v>0.3</v>
      </c>
      <c r="L50" s="332">
        <f t="shared" si="0"/>
        <v>332500</v>
      </c>
      <c r="M50" s="332"/>
      <c r="N50" s="332"/>
      <c r="O50" s="332"/>
      <c r="P50" s="332"/>
      <c r="Q50" s="332"/>
      <c r="R50" s="332"/>
      <c r="S50" s="925"/>
    </row>
    <row r="51" spans="1:19" s="924" customFormat="1" ht="25.2" x14ac:dyDescent="0.15">
      <c r="A51" s="853"/>
      <c r="B51" s="580" t="s">
        <v>792</v>
      </c>
      <c r="C51" s="890" t="s">
        <v>12</v>
      </c>
      <c r="D51" s="718" t="s">
        <v>1115</v>
      </c>
      <c r="E51" s="718"/>
      <c r="F51" s="884"/>
      <c r="G51" s="878" t="s">
        <v>44</v>
      </c>
      <c r="H51" s="878">
        <v>1</v>
      </c>
      <c r="I51" s="332">
        <v>455000</v>
      </c>
      <c r="J51" s="443">
        <f t="shared" si="1"/>
        <v>455000</v>
      </c>
      <c r="K51" s="922">
        <v>0.3</v>
      </c>
      <c r="L51" s="332">
        <f t="shared" si="0"/>
        <v>318500</v>
      </c>
      <c r="M51" s="332"/>
      <c r="N51" s="332"/>
      <c r="O51" s="332"/>
      <c r="P51" s="332"/>
      <c r="Q51" s="332"/>
      <c r="R51" s="332"/>
      <c r="S51" s="925"/>
    </row>
    <row r="52" spans="1:19" s="924" customFormat="1" ht="25.2" x14ac:dyDescent="0.15">
      <c r="A52" s="699"/>
      <c r="B52" s="582" t="s">
        <v>792</v>
      </c>
      <c r="C52" s="717" t="s">
        <v>12</v>
      </c>
      <c r="D52" s="701" t="s">
        <v>1115</v>
      </c>
      <c r="E52" s="701"/>
      <c r="F52" s="927"/>
      <c r="G52" s="702" t="s">
        <v>42</v>
      </c>
      <c r="H52" s="702">
        <v>1</v>
      </c>
      <c r="I52" s="445">
        <v>455000</v>
      </c>
      <c r="J52" s="445">
        <f t="shared" si="1"/>
        <v>455000</v>
      </c>
      <c r="K52" s="703">
        <v>0.3</v>
      </c>
      <c r="L52" s="445">
        <f t="shared" si="0"/>
        <v>318500</v>
      </c>
      <c r="M52" s="445"/>
      <c r="N52" s="445"/>
      <c r="O52" s="445"/>
      <c r="P52" s="445"/>
      <c r="Q52" s="445"/>
      <c r="R52" s="445"/>
      <c r="S52" s="705"/>
    </row>
    <row r="53" spans="1:19" s="924" customFormat="1" ht="16.8" x14ac:dyDescent="0.15">
      <c r="A53" s="920">
        <v>16</v>
      </c>
      <c r="B53" s="580" t="s">
        <v>792</v>
      </c>
      <c r="C53" s="890" t="s">
        <v>12</v>
      </c>
      <c r="D53" s="718" t="s">
        <v>908</v>
      </c>
      <c r="E53" s="718" t="s">
        <v>793</v>
      </c>
      <c r="F53" s="929"/>
      <c r="G53" s="921" t="s">
        <v>33</v>
      </c>
      <c r="H53" s="921">
        <v>7</v>
      </c>
      <c r="I53" s="443">
        <v>455000</v>
      </c>
      <c r="J53" s="443">
        <f t="shared" si="1"/>
        <v>3185000</v>
      </c>
      <c r="K53" s="922">
        <v>0.25</v>
      </c>
      <c r="L53" s="443">
        <f t="shared" si="0"/>
        <v>2388750</v>
      </c>
      <c r="M53" s="443"/>
      <c r="N53" s="443"/>
      <c r="O53" s="443">
        <v>112</v>
      </c>
      <c r="P53" s="443">
        <f>SUM(L53:L54)</f>
        <v>3213750</v>
      </c>
      <c r="Q53" s="443"/>
      <c r="R53" s="443"/>
      <c r="S53" s="923"/>
    </row>
    <row r="54" spans="1:19" s="924" customFormat="1" ht="8.4" x14ac:dyDescent="0.15">
      <c r="A54" s="699"/>
      <c r="B54" s="580" t="s">
        <v>792</v>
      </c>
      <c r="C54" s="890" t="s">
        <v>12</v>
      </c>
      <c r="D54" s="718" t="s">
        <v>908</v>
      </c>
      <c r="E54" s="701"/>
      <c r="F54" s="927"/>
      <c r="G54" s="702" t="s">
        <v>41</v>
      </c>
      <c r="H54" s="702">
        <v>2</v>
      </c>
      <c r="I54" s="445">
        <v>550000</v>
      </c>
      <c r="J54" s="687">
        <f t="shared" si="1"/>
        <v>1100000</v>
      </c>
      <c r="K54" s="703">
        <v>0.25</v>
      </c>
      <c r="L54" s="445">
        <f t="shared" si="0"/>
        <v>825000</v>
      </c>
      <c r="M54" s="445"/>
      <c r="N54" s="445"/>
      <c r="O54" s="445"/>
      <c r="P54" s="445"/>
      <c r="Q54" s="445"/>
      <c r="R54" s="445"/>
      <c r="S54" s="705"/>
    </row>
    <row r="55" spans="1:19" s="924" customFormat="1" ht="8.4" x14ac:dyDescent="0.15">
      <c r="A55" s="677">
        <v>17</v>
      </c>
      <c r="B55" s="583" t="s">
        <v>792</v>
      </c>
      <c r="C55" s="932" t="s">
        <v>61</v>
      </c>
      <c r="D55" s="679" t="s">
        <v>127</v>
      </c>
      <c r="E55" s="679"/>
      <c r="F55" s="888"/>
      <c r="G55" s="680" t="s">
        <v>31</v>
      </c>
      <c r="H55" s="680">
        <v>1</v>
      </c>
      <c r="I55" s="446">
        <v>255000</v>
      </c>
      <c r="J55" s="446">
        <f>H55*I55</f>
        <v>255000</v>
      </c>
      <c r="K55" s="681">
        <v>0.41</v>
      </c>
      <c r="L55" s="446">
        <f>H55*I55*(1-K55)</f>
        <v>150450.00000000003</v>
      </c>
      <c r="M55" s="446"/>
      <c r="N55" s="446"/>
      <c r="O55" s="446">
        <v>112</v>
      </c>
      <c r="P55" s="446">
        <f>L55</f>
        <v>150450.00000000003</v>
      </c>
      <c r="Q55" s="446"/>
      <c r="R55" s="446"/>
      <c r="S55" s="683" t="s">
        <v>731</v>
      </c>
    </row>
    <row r="56" spans="1:19" s="924" customFormat="1" ht="16.8" x14ac:dyDescent="0.15">
      <c r="A56" s="677">
        <v>18</v>
      </c>
      <c r="B56" s="583" t="s">
        <v>792</v>
      </c>
      <c r="C56" s="932" t="s">
        <v>917</v>
      </c>
      <c r="D56" s="679" t="s">
        <v>845</v>
      </c>
      <c r="E56" s="679" t="s">
        <v>819</v>
      </c>
      <c r="F56" s="888"/>
      <c r="G56" s="680" t="s">
        <v>40</v>
      </c>
      <c r="H56" s="680">
        <v>24</v>
      </c>
      <c r="I56" s="446">
        <v>485000</v>
      </c>
      <c r="J56" s="446">
        <f t="shared" si="1"/>
        <v>11640000</v>
      </c>
      <c r="K56" s="681">
        <v>1</v>
      </c>
      <c r="L56" s="446">
        <f>H56*I56*(1-K56)</f>
        <v>0</v>
      </c>
      <c r="M56" s="446"/>
      <c r="N56" s="446"/>
      <c r="O56" s="446"/>
      <c r="P56" s="446"/>
      <c r="Q56" s="446">
        <v>131</v>
      </c>
      <c r="R56" s="446">
        <f>L56</f>
        <v>0</v>
      </c>
      <c r="S56" s="683"/>
    </row>
    <row r="57" spans="1:19" s="924" customFormat="1" ht="8.4" x14ac:dyDescent="0.15">
      <c r="A57" s="677">
        <v>19</v>
      </c>
      <c r="B57" s="583" t="s">
        <v>792</v>
      </c>
      <c r="C57" s="932" t="s">
        <v>61</v>
      </c>
      <c r="D57" s="679" t="s">
        <v>127</v>
      </c>
      <c r="E57" s="679"/>
      <c r="F57" s="888"/>
      <c r="G57" s="680" t="s">
        <v>46</v>
      </c>
      <c r="H57" s="680">
        <v>1</v>
      </c>
      <c r="I57" s="446">
        <v>450000</v>
      </c>
      <c r="J57" s="446">
        <f t="shared" si="1"/>
        <v>450000</v>
      </c>
      <c r="K57" s="681">
        <v>0.41</v>
      </c>
      <c r="L57" s="446">
        <f t="shared" si="0"/>
        <v>265500.00000000006</v>
      </c>
      <c r="M57" s="446"/>
      <c r="N57" s="446"/>
      <c r="O57" s="446">
        <v>112</v>
      </c>
      <c r="P57" s="446">
        <f>L57</f>
        <v>265500.00000000006</v>
      </c>
      <c r="Q57" s="446"/>
      <c r="R57" s="446"/>
      <c r="S57" s="683" t="s">
        <v>731</v>
      </c>
    </row>
    <row r="58" spans="1:19" s="924" customFormat="1" ht="33.6" x14ac:dyDescent="0.15">
      <c r="A58" s="920">
        <v>19</v>
      </c>
      <c r="B58" s="580" t="s">
        <v>795</v>
      </c>
      <c r="C58" s="718" t="s">
        <v>12</v>
      </c>
      <c r="D58" s="718" t="s">
        <v>1204</v>
      </c>
      <c r="E58" s="718" t="s">
        <v>796</v>
      </c>
      <c r="F58" s="929" t="s">
        <v>907</v>
      </c>
      <c r="G58" s="921" t="s">
        <v>33</v>
      </c>
      <c r="H58" s="921">
        <v>3</v>
      </c>
      <c r="I58" s="443">
        <v>455000</v>
      </c>
      <c r="J58" s="443">
        <f t="shared" si="1"/>
        <v>1365000</v>
      </c>
      <c r="K58" s="922">
        <v>0.41</v>
      </c>
      <c r="L58" s="443">
        <f t="shared" si="0"/>
        <v>805350.00000000012</v>
      </c>
      <c r="M58" s="443"/>
      <c r="N58" s="443"/>
      <c r="O58" s="443"/>
      <c r="P58" s="443"/>
      <c r="Q58" s="443">
        <v>131</v>
      </c>
      <c r="R58" s="443">
        <f>SUM(L58:L69)</f>
        <v>9027000.0000000019</v>
      </c>
      <c r="S58" s="923"/>
    </row>
    <row r="59" spans="1:19" s="924" customFormat="1" ht="33.6" x14ac:dyDescent="0.15">
      <c r="A59" s="853"/>
      <c r="B59" s="580" t="s">
        <v>795</v>
      </c>
      <c r="C59" s="718" t="s">
        <v>12</v>
      </c>
      <c r="D59" s="718" t="s">
        <v>1204</v>
      </c>
      <c r="E59" s="718"/>
      <c r="F59" s="884"/>
      <c r="G59" s="878" t="s">
        <v>34</v>
      </c>
      <c r="H59" s="878">
        <v>3</v>
      </c>
      <c r="I59" s="332">
        <v>265000</v>
      </c>
      <c r="J59" s="443">
        <f t="shared" si="1"/>
        <v>795000</v>
      </c>
      <c r="K59" s="930">
        <v>0.41</v>
      </c>
      <c r="L59" s="332">
        <f t="shared" si="0"/>
        <v>469050.00000000006</v>
      </c>
      <c r="M59" s="332"/>
      <c r="N59" s="332"/>
      <c r="O59" s="332"/>
      <c r="P59" s="332"/>
      <c r="Q59" s="332"/>
      <c r="R59" s="332"/>
      <c r="S59" s="925"/>
    </row>
    <row r="60" spans="1:19" s="924" customFormat="1" ht="33.6" x14ac:dyDescent="0.15">
      <c r="A60" s="853"/>
      <c r="B60" s="580" t="s">
        <v>795</v>
      </c>
      <c r="C60" s="718" t="s">
        <v>12</v>
      </c>
      <c r="D60" s="718" t="s">
        <v>1204</v>
      </c>
      <c r="E60" s="718"/>
      <c r="F60" s="884"/>
      <c r="G60" s="878" t="s">
        <v>35</v>
      </c>
      <c r="H60" s="878">
        <v>3</v>
      </c>
      <c r="I60" s="332">
        <v>465000</v>
      </c>
      <c r="J60" s="443">
        <f t="shared" si="1"/>
        <v>1395000</v>
      </c>
      <c r="K60" s="930">
        <v>0.41</v>
      </c>
      <c r="L60" s="332">
        <f t="shared" si="0"/>
        <v>823050.00000000012</v>
      </c>
      <c r="M60" s="332"/>
      <c r="N60" s="332"/>
      <c r="O60" s="332"/>
      <c r="P60" s="332"/>
      <c r="Q60" s="332"/>
      <c r="R60" s="332"/>
      <c r="S60" s="925"/>
    </row>
    <row r="61" spans="1:19" s="924" customFormat="1" ht="33.6" x14ac:dyDescent="0.15">
      <c r="A61" s="853"/>
      <c r="B61" s="580" t="s">
        <v>795</v>
      </c>
      <c r="C61" s="718" t="s">
        <v>12</v>
      </c>
      <c r="D61" s="718" t="s">
        <v>1204</v>
      </c>
      <c r="E61" s="718"/>
      <c r="F61" s="884"/>
      <c r="G61" s="878" t="s">
        <v>36</v>
      </c>
      <c r="H61" s="878">
        <v>3</v>
      </c>
      <c r="I61" s="332">
        <v>275000</v>
      </c>
      <c r="J61" s="443">
        <f t="shared" si="1"/>
        <v>825000</v>
      </c>
      <c r="K61" s="930">
        <v>0.41</v>
      </c>
      <c r="L61" s="332">
        <f t="shared" si="0"/>
        <v>486750.00000000006</v>
      </c>
      <c r="M61" s="332"/>
      <c r="N61" s="332"/>
      <c r="O61" s="332"/>
      <c r="P61" s="332"/>
      <c r="Q61" s="332"/>
      <c r="R61" s="332"/>
      <c r="S61" s="925"/>
    </row>
    <row r="62" spans="1:19" s="924" customFormat="1" ht="33.6" x14ac:dyDescent="0.15">
      <c r="A62" s="853"/>
      <c r="B62" s="580" t="s">
        <v>795</v>
      </c>
      <c r="C62" s="718" t="s">
        <v>12</v>
      </c>
      <c r="D62" s="718" t="s">
        <v>1204</v>
      </c>
      <c r="E62" s="718"/>
      <c r="F62" s="884"/>
      <c r="G62" s="878" t="s">
        <v>37</v>
      </c>
      <c r="H62" s="878">
        <v>3</v>
      </c>
      <c r="I62" s="332">
        <v>475000</v>
      </c>
      <c r="J62" s="443">
        <f t="shared" si="1"/>
        <v>1425000</v>
      </c>
      <c r="K62" s="930">
        <v>0.41</v>
      </c>
      <c r="L62" s="332">
        <f t="shared" si="0"/>
        <v>840750.00000000012</v>
      </c>
      <c r="M62" s="332"/>
      <c r="N62" s="332"/>
      <c r="O62" s="332"/>
      <c r="P62" s="332"/>
      <c r="Q62" s="332"/>
      <c r="R62" s="332"/>
      <c r="S62" s="925"/>
    </row>
    <row r="63" spans="1:19" s="924" customFormat="1" ht="33.6" x14ac:dyDescent="0.15">
      <c r="A63" s="853"/>
      <c r="B63" s="580" t="s">
        <v>795</v>
      </c>
      <c r="C63" s="718" t="s">
        <v>12</v>
      </c>
      <c r="D63" s="718" t="s">
        <v>1204</v>
      </c>
      <c r="E63" s="718"/>
      <c r="F63" s="884"/>
      <c r="G63" s="878" t="s">
        <v>40</v>
      </c>
      <c r="H63" s="878">
        <v>3</v>
      </c>
      <c r="I63" s="332">
        <v>485000</v>
      </c>
      <c r="J63" s="443">
        <f t="shared" si="1"/>
        <v>1455000</v>
      </c>
      <c r="K63" s="930">
        <v>0.41</v>
      </c>
      <c r="L63" s="332">
        <f t="shared" si="0"/>
        <v>858450.00000000012</v>
      </c>
      <c r="M63" s="332"/>
      <c r="N63" s="332"/>
      <c r="O63" s="332"/>
      <c r="P63" s="332"/>
      <c r="Q63" s="332"/>
      <c r="R63" s="332"/>
      <c r="S63" s="925"/>
    </row>
    <row r="64" spans="1:19" s="924" customFormat="1" ht="33.6" x14ac:dyDescent="0.15">
      <c r="A64" s="853"/>
      <c r="B64" s="580" t="s">
        <v>795</v>
      </c>
      <c r="C64" s="718" t="s">
        <v>12</v>
      </c>
      <c r="D64" s="718" t="s">
        <v>1204</v>
      </c>
      <c r="E64" s="718"/>
      <c r="F64" s="884"/>
      <c r="G64" s="878" t="s">
        <v>38</v>
      </c>
      <c r="H64" s="878">
        <v>3</v>
      </c>
      <c r="I64" s="332">
        <v>285000</v>
      </c>
      <c r="J64" s="443">
        <f t="shared" si="1"/>
        <v>855000</v>
      </c>
      <c r="K64" s="930">
        <v>0.41</v>
      </c>
      <c r="L64" s="332">
        <f t="shared" si="0"/>
        <v>504450.00000000006</v>
      </c>
      <c r="M64" s="332"/>
      <c r="N64" s="332"/>
      <c r="O64" s="332"/>
      <c r="P64" s="332"/>
      <c r="Q64" s="332"/>
      <c r="R64" s="332"/>
      <c r="S64" s="925"/>
    </row>
    <row r="65" spans="1:19" s="924" customFormat="1" ht="33.6" x14ac:dyDescent="0.15">
      <c r="A65" s="853"/>
      <c r="B65" s="580" t="s">
        <v>795</v>
      </c>
      <c r="C65" s="718" t="s">
        <v>12</v>
      </c>
      <c r="D65" s="718" t="s">
        <v>1204</v>
      </c>
      <c r="E65" s="718"/>
      <c r="F65" s="884"/>
      <c r="G65" s="878" t="s">
        <v>60</v>
      </c>
      <c r="H65" s="878">
        <v>3</v>
      </c>
      <c r="I65" s="332">
        <v>485000</v>
      </c>
      <c r="J65" s="443">
        <f t="shared" si="1"/>
        <v>1455000</v>
      </c>
      <c r="K65" s="930">
        <v>0.41</v>
      </c>
      <c r="L65" s="332">
        <f t="shared" si="0"/>
        <v>858450.00000000012</v>
      </c>
      <c r="M65" s="332"/>
      <c r="N65" s="332"/>
      <c r="O65" s="332"/>
      <c r="P65" s="332"/>
      <c r="Q65" s="332"/>
      <c r="R65" s="332"/>
      <c r="S65" s="925"/>
    </row>
    <row r="66" spans="1:19" s="924" customFormat="1" ht="33.6" x14ac:dyDescent="0.15">
      <c r="A66" s="853"/>
      <c r="B66" s="580" t="s">
        <v>795</v>
      </c>
      <c r="C66" s="718" t="s">
        <v>12</v>
      </c>
      <c r="D66" s="718" t="s">
        <v>1204</v>
      </c>
      <c r="E66" s="718"/>
      <c r="F66" s="884"/>
      <c r="G66" s="878" t="s">
        <v>41</v>
      </c>
      <c r="H66" s="878">
        <v>3</v>
      </c>
      <c r="I66" s="332">
        <v>550000</v>
      </c>
      <c r="J66" s="443">
        <f t="shared" si="1"/>
        <v>1650000</v>
      </c>
      <c r="K66" s="930">
        <v>0.41</v>
      </c>
      <c r="L66" s="332">
        <f t="shared" si="0"/>
        <v>973500.00000000012</v>
      </c>
      <c r="M66" s="332"/>
      <c r="N66" s="332"/>
      <c r="O66" s="332"/>
      <c r="P66" s="332"/>
      <c r="Q66" s="332"/>
      <c r="R66" s="332"/>
      <c r="S66" s="925"/>
    </row>
    <row r="67" spans="1:19" s="924" customFormat="1" ht="33.6" x14ac:dyDescent="0.15">
      <c r="A67" s="853"/>
      <c r="B67" s="580" t="s">
        <v>795</v>
      </c>
      <c r="C67" s="718" t="s">
        <v>12</v>
      </c>
      <c r="D67" s="718" t="s">
        <v>1204</v>
      </c>
      <c r="E67" s="718"/>
      <c r="F67" s="884"/>
      <c r="G67" s="878" t="s">
        <v>46</v>
      </c>
      <c r="H67" s="878">
        <v>3</v>
      </c>
      <c r="I67" s="332">
        <v>450000</v>
      </c>
      <c r="J67" s="443">
        <f t="shared" si="1"/>
        <v>1350000</v>
      </c>
      <c r="K67" s="930">
        <v>0.41</v>
      </c>
      <c r="L67" s="332">
        <f t="shared" si="0"/>
        <v>796500.00000000012</v>
      </c>
      <c r="M67" s="332"/>
      <c r="N67" s="332"/>
      <c r="O67" s="332"/>
      <c r="P67" s="332"/>
      <c r="Q67" s="332"/>
      <c r="R67" s="332"/>
      <c r="S67" s="925"/>
    </row>
    <row r="68" spans="1:19" s="924" customFormat="1" ht="33.6" x14ac:dyDescent="0.15">
      <c r="A68" s="853"/>
      <c r="B68" s="580" t="s">
        <v>795</v>
      </c>
      <c r="C68" s="718" t="s">
        <v>12</v>
      </c>
      <c r="D68" s="718" t="s">
        <v>1204</v>
      </c>
      <c r="E68" s="718"/>
      <c r="F68" s="884"/>
      <c r="G68" s="878" t="s">
        <v>44</v>
      </c>
      <c r="H68" s="878">
        <v>3</v>
      </c>
      <c r="I68" s="332">
        <v>455000</v>
      </c>
      <c r="J68" s="443">
        <f t="shared" si="1"/>
        <v>1365000</v>
      </c>
      <c r="K68" s="930">
        <v>0.41</v>
      </c>
      <c r="L68" s="332">
        <f t="shared" si="0"/>
        <v>805350.00000000012</v>
      </c>
      <c r="M68" s="332"/>
      <c r="N68" s="332"/>
      <c r="O68" s="332"/>
      <c r="P68" s="332"/>
      <c r="Q68" s="332"/>
      <c r="R68" s="332"/>
      <c r="S68" s="925"/>
    </row>
    <row r="69" spans="1:19" s="924" customFormat="1" ht="33.6" x14ac:dyDescent="0.15">
      <c r="A69" s="699"/>
      <c r="B69" s="582" t="s">
        <v>795</v>
      </c>
      <c r="C69" s="701" t="s">
        <v>12</v>
      </c>
      <c r="D69" s="701" t="s">
        <v>1204</v>
      </c>
      <c r="E69" s="701"/>
      <c r="F69" s="927"/>
      <c r="G69" s="702" t="s">
        <v>42</v>
      </c>
      <c r="H69" s="702">
        <v>3</v>
      </c>
      <c r="I69" s="445">
        <v>455000</v>
      </c>
      <c r="J69" s="687">
        <f t="shared" si="1"/>
        <v>1365000</v>
      </c>
      <c r="K69" s="703">
        <v>0.41</v>
      </c>
      <c r="L69" s="445">
        <f t="shared" si="0"/>
        <v>805350.00000000012</v>
      </c>
      <c r="M69" s="445"/>
      <c r="N69" s="445"/>
      <c r="O69" s="445"/>
      <c r="P69" s="445"/>
      <c r="Q69" s="445"/>
      <c r="R69" s="445"/>
      <c r="S69" s="705"/>
    </row>
    <row r="70" spans="1:19" s="924" customFormat="1" ht="16.8" x14ac:dyDescent="0.15">
      <c r="A70" s="677">
        <v>20</v>
      </c>
      <c r="B70" s="583" t="s">
        <v>828</v>
      </c>
      <c r="C70" s="932" t="s">
        <v>918</v>
      </c>
      <c r="D70" s="679" t="s">
        <v>127</v>
      </c>
      <c r="E70" s="679" t="s">
        <v>912</v>
      </c>
      <c r="F70" s="888"/>
      <c r="G70" s="680" t="s">
        <v>40</v>
      </c>
      <c r="H70" s="680">
        <v>12</v>
      </c>
      <c r="I70" s="446">
        <v>485000</v>
      </c>
      <c r="J70" s="446">
        <f t="shared" si="1"/>
        <v>5820000</v>
      </c>
      <c r="K70" s="703">
        <v>0.35</v>
      </c>
      <c r="L70" s="446">
        <f t="shared" si="0"/>
        <v>3783000</v>
      </c>
      <c r="M70" s="446"/>
      <c r="N70" s="446"/>
      <c r="O70" s="446"/>
      <c r="P70" s="446"/>
      <c r="Q70" s="446">
        <v>131</v>
      </c>
      <c r="R70" s="446">
        <f>L70</f>
        <v>3783000</v>
      </c>
      <c r="S70" s="683"/>
    </row>
    <row r="71" spans="1:19" s="924" customFormat="1" ht="25.2" x14ac:dyDescent="0.15">
      <c r="A71" s="677">
        <v>21</v>
      </c>
      <c r="B71" s="583" t="s">
        <v>795</v>
      </c>
      <c r="C71" s="932" t="s">
        <v>12</v>
      </c>
      <c r="D71" s="679" t="s">
        <v>797</v>
      </c>
      <c r="E71" s="679" t="s">
        <v>798</v>
      </c>
      <c r="F71" s="888"/>
      <c r="G71" s="680" t="s">
        <v>33</v>
      </c>
      <c r="H71" s="680">
        <v>2</v>
      </c>
      <c r="I71" s="446">
        <v>455000</v>
      </c>
      <c r="J71" s="936">
        <f t="shared" si="1"/>
        <v>910000</v>
      </c>
      <c r="K71" s="681">
        <v>0.2</v>
      </c>
      <c r="L71" s="446">
        <f t="shared" ref="L71:L94" si="3">H71*I71*(1-K71)</f>
        <v>728000</v>
      </c>
      <c r="M71" s="446"/>
      <c r="N71" s="446"/>
      <c r="O71" s="446"/>
      <c r="P71" s="446"/>
      <c r="Q71" s="446">
        <v>131</v>
      </c>
      <c r="R71" s="446">
        <f>L71</f>
        <v>728000</v>
      </c>
      <c r="S71" s="683"/>
    </row>
    <row r="72" spans="1:19" s="924" customFormat="1" ht="8.4" x14ac:dyDescent="0.15">
      <c r="A72" s="920">
        <v>22</v>
      </c>
      <c r="B72" s="580" t="s">
        <v>795</v>
      </c>
      <c r="C72" s="889" t="s">
        <v>61</v>
      </c>
      <c r="D72" s="718" t="s">
        <v>127</v>
      </c>
      <c r="E72" s="718"/>
      <c r="F72" s="929"/>
      <c r="G72" s="921" t="s">
        <v>34</v>
      </c>
      <c r="H72" s="921">
        <v>1</v>
      </c>
      <c r="I72" s="443">
        <v>265000</v>
      </c>
      <c r="J72" s="443">
        <f t="shared" si="1"/>
        <v>265000</v>
      </c>
      <c r="K72" s="922">
        <v>0.41</v>
      </c>
      <c r="L72" s="443">
        <f t="shared" si="3"/>
        <v>156350.00000000003</v>
      </c>
      <c r="M72" s="443"/>
      <c r="N72" s="443"/>
      <c r="O72" s="443">
        <v>112</v>
      </c>
      <c r="P72" s="443">
        <f>L72+L73</f>
        <v>728650.00000000012</v>
      </c>
      <c r="Q72" s="443"/>
      <c r="R72" s="443"/>
      <c r="S72" s="923" t="s">
        <v>731</v>
      </c>
    </row>
    <row r="73" spans="1:19" s="924" customFormat="1" ht="8.4" x14ac:dyDescent="0.15">
      <c r="A73" s="699"/>
      <c r="B73" s="582" t="s">
        <v>795</v>
      </c>
      <c r="C73" s="931" t="s">
        <v>61</v>
      </c>
      <c r="D73" s="701" t="s">
        <v>127</v>
      </c>
      <c r="E73" s="701"/>
      <c r="F73" s="927"/>
      <c r="G73" s="702" t="s">
        <v>40</v>
      </c>
      <c r="H73" s="702">
        <v>2</v>
      </c>
      <c r="I73" s="445">
        <v>485000</v>
      </c>
      <c r="J73" s="445">
        <f t="shared" si="1"/>
        <v>970000</v>
      </c>
      <c r="K73" s="703">
        <v>0.41</v>
      </c>
      <c r="L73" s="445">
        <f t="shared" si="3"/>
        <v>572300.00000000012</v>
      </c>
      <c r="M73" s="445"/>
      <c r="N73" s="445"/>
      <c r="O73" s="445"/>
      <c r="P73" s="445"/>
      <c r="Q73" s="445"/>
      <c r="R73" s="445"/>
      <c r="S73" s="705"/>
    </row>
    <row r="74" spans="1:19" s="924" customFormat="1" ht="25.2" x14ac:dyDescent="0.15">
      <c r="A74" s="920">
        <v>23</v>
      </c>
      <c r="B74" s="580" t="s">
        <v>765</v>
      </c>
      <c r="C74" s="889" t="s">
        <v>1102</v>
      </c>
      <c r="D74" s="718" t="s">
        <v>817</v>
      </c>
      <c r="E74" s="718" t="s">
        <v>818</v>
      </c>
      <c r="F74" s="929"/>
      <c r="G74" s="921" t="s">
        <v>33</v>
      </c>
      <c r="H74" s="921">
        <v>36</v>
      </c>
      <c r="I74" s="443">
        <v>455000</v>
      </c>
      <c r="J74" s="443">
        <f t="shared" si="1"/>
        <v>16380000</v>
      </c>
      <c r="K74" s="922">
        <v>0.35</v>
      </c>
      <c r="L74" s="443">
        <f t="shared" ref="L74:L93" si="4">H74*I74*(1-K74)</f>
        <v>10647000</v>
      </c>
      <c r="M74" s="443"/>
      <c r="N74" s="443"/>
      <c r="O74" s="443"/>
      <c r="P74" s="443"/>
      <c r="Q74" s="443">
        <v>131</v>
      </c>
      <c r="R74" s="443">
        <f>SUM(L74:L81)</f>
        <v>82836000</v>
      </c>
      <c r="S74" s="2232" t="s">
        <v>2351</v>
      </c>
    </row>
    <row r="75" spans="1:19" s="924" customFormat="1" ht="16.8" x14ac:dyDescent="0.15">
      <c r="A75" s="853"/>
      <c r="B75" s="580" t="s">
        <v>765</v>
      </c>
      <c r="C75" s="889" t="s">
        <v>1102</v>
      </c>
      <c r="D75" s="718" t="s">
        <v>817</v>
      </c>
      <c r="E75" s="718"/>
      <c r="F75" s="929"/>
      <c r="G75" s="878" t="s">
        <v>35</v>
      </c>
      <c r="H75" s="878">
        <v>24</v>
      </c>
      <c r="I75" s="332">
        <v>465000</v>
      </c>
      <c r="J75" s="443">
        <f t="shared" ref="J75:J137" si="5">H75*I75</f>
        <v>11160000</v>
      </c>
      <c r="K75" s="922">
        <v>0.35</v>
      </c>
      <c r="L75" s="332">
        <f t="shared" si="4"/>
        <v>7254000</v>
      </c>
      <c r="M75" s="332"/>
      <c r="N75" s="332"/>
      <c r="O75" s="332"/>
      <c r="P75" s="332"/>
      <c r="Q75" s="332"/>
      <c r="R75" s="332"/>
      <c r="S75" s="2253"/>
    </row>
    <row r="76" spans="1:19" s="924" customFormat="1" ht="16.8" x14ac:dyDescent="0.15">
      <c r="A76" s="853"/>
      <c r="B76" s="580" t="s">
        <v>765</v>
      </c>
      <c r="C76" s="889" t="s">
        <v>1102</v>
      </c>
      <c r="D76" s="718" t="s">
        <v>817</v>
      </c>
      <c r="E76" s="718"/>
      <c r="F76" s="929"/>
      <c r="G76" s="878" t="s">
        <v>37</v>
      </c>
      <c r="H76" s="878">
        <v>36</v>
      </c>
      <c r="I76" s="332">
        <v>475000</v>
      </c>
      <c r="J76" s="443">
        <f t="shared" si="5"/>
        <v>17100000</v>
      </c>
      <c r="K76" s="922">
        <v>0.35</v>
      </c>
      <c r="L76" s="332">
        <f t="shared" si="4"/>
        <v>11115000</v>
      </c>
      <c r="M76" s="332"/>
      <c r="N76" s="332"/>
      <c r="O76" s="332"/>
      <c r="P76" s="332"/>
      <c r="Q76" s="332"/>
      <c r="R76" s="332"/>
      <c r="S76" s="2253"/>
    </row>
    <row r="77" spans="1:19" s="924" customFormat="1" ht="16.8" x14ac:dyDescent="0.15">
      <c r="A77" s="853"/>
      <c r="B77" s="580" t="s">
        <v>765</v>
      </c>
      <c r="C77" s="889" t="s">
        <v>1102</v>
      </c>
      <c r="D77" s="718" t="s">
        <v>817</v>
      </c>
      <c r="E77" s="718"/>
      <c r="F77" s="929"/>
      <c r="G77" s="878" t="s">
        <v>40</v>
      </c>
      <c r="H77" s="878">
        <v>36</v>
      </c>
      <c r="I77" s="332">
        <v>485000</v>
      </c>
      <c r="J77" s="443">
        <f t="shared" si="5"/>
        <v>17460000</v>
      </c>
      <c r="K77" s="922">
        <v>0.35</v>
      </c>
      <c r="L77" s="332">
        <f t="shared" si="4"/>
        <v>11349000</v>
      </c>
      <c r="M77" s="332"/>
      <c r="N77" s="332"/>
      <c r="O77" s="332"/>
      <c r="P77" s="332"/>
      <c r="Q77" s="332"/>
      <c r="R77" s="332"/>
      <c r="S77" s="2253"/>
    </row>
    <row r="78" spans="1:19" s="924" customFormat="1" ht="16.8" x14ac:dyDescent="0.15">
      <c r="A78" s="853"/>
      <c r="B78" s="580" t="s">
        <v>765</v>
      </c>
      <c r="C78" s="889" t="s">
        <v>1102</v>
      </c>
      <c r="D78" s="718" t="s">
        <v>817</v>
      </c>
      <c r="E78" s="718"/>
      <c r="F78" s="929"/>
      <c r="G78" s="878" t="s">
        <v>60</v>
      </c>
      <c r="H78" s="878">
        <v>24</v>
      </c>
      <c r="I78" s="332">
        <v>485000</v>
      </c>
      <c r="J78" s="443">
        <f t="shared" si="5"/>
        <v>11640000</v>
      </c>
      <c r="K78" s="922">
        <v>0.35</v>
      </c>
      <c r="L78" s="332">
        <f t="shared" si="4"/>
        <v>7566000</v>
      </c>
      <c r="M78" s="332"/>
      <c r="N78" s="332"/>
      <c r="O78" s="332"/>
      <c r="P78" s="332"/>
      <c r="Q78" s="332"/>
      <c r="R78" s="332"/>
      <c r="S78" s="2253"/>
    </row>
    <row r="79" spans="1:19" s="924" customFormat="1" ht="16.8" x14ac:dyDescent="0.15">
      <c r="A79" s="853"/>
      <c r="B79" s="580" t="s">
        <v>765</v>
      </c>
      <c r="C79" s="889" t="s">
        <v>1102</v>
      </c>
      <c r="D79" s="718" t="s">
        <v>817</v>
      </c>
      <c r="E79" s="718"/>
      <c r="F79" s="929"/>
      <c r="G79" s="878" t="s">
        <v>41</v>
      </c>
      <c r="H79" s="878">
        <v>48</v>
      </c>
      <c r="I79" s="332">
        <v>550000</v>
      </c>
      <c r="J79" s="443">
        <f t="shared" si="5"/>
        <v>26400000</v>
      </c>
      <c r="K79" s="922">
        <v>0.35</v>
      </c>
      <c r="L79" s="332">
        <f t="shared" si="4"/>
        <v>17160000</v>
      </c>
      <c r="M79" s="332"/>
      <c r="N79" s="332"/>
      <c r="O79" s="332"/>
      <c r="P79" s="332"/>
      <c r="Q79" s="332"/>
      <c r="R79" s="332"/>
      <c r="S79" s="2253"/>
    </row>
    <row r="80" spans="1:19" s="924" customFormat="1" ht="16.8" x14ac:dyDescent="0.15">
      <c r="A80" s="853"/>
      <c r="B80" s="453" t="s">
        <v>765</v>
      </c>
      <c r="C80" s="889" t="s">
        <v>1102</v>
      </c>
      <c r="D80" s="720" t="s">
        <v>817</v>
      </c>
      <c r="E80" s="718"/>
      <c r="F80" s="929"/>
      <c r="G80" s="878" t="s">
        <v>44</v>
      </c>
      <c r="H80" s="878">
        <v>36</v>
      </c>
      <c r="I80" s="332">
        <v>455000</v>
      </c>
      <c r="J80" s="443">
        <f t="shared" si="5"/>
        <v>16380000</v>
      </c>
      <c r="K80" s="922">
        <v>0.35</v>
      </c>
      <c r="L80" s="332">
        <f t="shared" ref="L80:L85" si="6">H80*I80*(1-K80)</f>
        <v>10647000</v>
      </c>
      <c r="M80" s="332"/>
      <c r="N80" s="332"/>
      <c r="O80" s="332"/>
      <c r="P80" s="332"/>
      <c r="Q80" s="332"/>
      <c r="R80" s="332"/>
      <c r="S80" s="2253"/>
    </row>
    <row r="81" spans="1:19" s="924" customFormat="1" ht="16.8" x14ac:dyDescent="0.15">
      <c r="A81" s="699"/>
      <c r="B81" s="744" t="s">
        <v>765</v>
      </c>
      <c r="C81" s="931" t="s">
        <v>1102</v>
      </c>
      <c r="D81" s="700" t="s">
        <v>817</v>
      </c>
      <c r="E81" s="701"/>
      <c r="F81" s="927"/>
      <c r="G81" s="702" t="s">
        <v>42</v>
      </c>
      <c r="H81" s="702">
        <v>24</v>
      </c>
      <c r="I81" s="445">
        <v>455000</v>
      </c>
      <c r="J81" s="445">
        <f t="shared" si="5"/>
        <v>10920000</v>
      </c>
      <c r="K81" s="703">
        <v>0.35</v>
      </c>
      <c r="L81" s="445">
        <f t="shared" si="6"/>
        <v>7098000</v>
      </c>
      <c r="M81" s="445"/>
      <c r="N81" s="445"/>
      <c r="O81" s="445"/>
      <c r="P81" s="445"/>
      <c r="Q81" s="445"/>
      <c r="R81" s="445"/>
      <c r="S81" s="2254"/>
    </row>
    <row r="82" spans="1:19" s="924" customFormat="1" ht="42" x14ac:dyDescent="0.15">
      <c r="A82" s="677">
        <v>25</v>
      </c>
      <c r="B82" s="583" t="s">
        <v>765</v>
      </c>
      <c r="C82" s="932"/>
      <c r="D82" s="679" t="s">
        <v>910</v>
      </c>
      <c r="E82" s="679"/>
      <c r="F82" s="888"/>
      <c r="G82" s="680" t="s">
        <v>41</v>
      </c>
      <c r="H82" s="680">
        <v>2</v>
      </c>
      <c r="I82" s="446">
        <v>550000</v>
      </c>
      <c r="J82" s="446">
        <f t="shared" si="5"/>
        <v>1100000</v>
      </c>
      <c r="K82" s="681">
        <v>1</v>
      </c>
      <c r="L82" s="446">
        <f t="shared" si="6"/>
        <v>0</v>
      </c>
      <c r="M82" s="446"/>
      <c r="N82" s="446"/>
      <c r="O82" s="446"/>
      <c r="P82" s="446"/>
      <c r="Q82" s="446"/>
      <c r="R82" s="446"/>
      <c r="S82" s="683"/>
    </row>
    <row r="83" spans="1:19" s="924" customFormat="1" ht="16.8" x14ac:dyDescent="0.15">
      <c r="A83" s="920">
        <v>26</v>
      </c>
      <c r="B83" s="580" t="s">
        <v>765</v>
      </c>
      <c r="C83" s="937" t="s">
        <v>917</v>
      </c>
      <c r="D83" s="718" t="s">
        <v>845</v>
      </c>
      <c r="E83" s="718" t="s">
        <v>827</v>
      </c>
      <c r="F83" s="929"/>
      <c r="G83" s="921" t="s">
        <v>31</v>
      </c>
      <c r="H83" s="921">
        <v>2</v>
      </c>
      <c r="I83" s="443">
        <v>255000</v>
      </c>
      <c r="J83" s="443">
        <f t="shared" si="5"/>
        <v>510000</v>
      </c>
      <c r="K83" s="922">
        <v>1</v>
      </c>
      <c r="L83" s="443">
        <f t="shared" si="6"/>
        <v>0</v>
      </c>
      <c r="M83" s="443"/>
      <c r="N83" s="443"/>
      <c r="O83" s="443"/>
      <c r="P83" s="443"/>
      <c r="Q83" s="443"/>
      <c r="R83" s="443">
        <f>SUM(L83:L84)</f>
        <v>0</v>
      </c>
      <c r="S83" s="923"/>
    </row>
    <row r="84" spans="1:19" s="924" customFormat="1" ht="16.8" x14ac:dyDescent="0.15">
      <c r="A84" s="699"/>
      <c r="B84" s="580" t="s">
        <v>765</v>
      </c>
      <c r="C84" s="937" t="s">
        <v>917</v>
      </c>
      <c r="D84" s="718" t="s">
        <v>845</v>
      </c>
      <c r="E84" s="701"/>
      <c r="F84" s="927"/>
      <c r="G84" s="702" t="s">
        <v>40</v>
      </c>
      <c r="H84" s="702">
        <v>6</v>
      </c>
      <c r="I84" s="445">
        <v>485000</v>
      </c>
      <c r="J84" s="687">
        <f t="shared" si="5"/>
        <v>2910000</v>
      </c>
      <c r="K84" s="922">
        <v>1</v>
      </c>
      <c r="L84" s="445">
        <f t="shared" si="6"/>
        <v>0</v>
      </c>
      <c r="M84" s="445"/>
      <c r="N84" s="445"/>
      <c r="O84" s="445"/>
      <c r="P84" s="445"/>
      <c r="Q84" s="445"/>
      <c r="R84" s="445"/>
      <c r="S84" s="705"/>
    </row>
    <row r="85" spans="1:19" s="924" customFormat="1" ht="8.4" x14ac:dyDescent="0.15">
      <c r="A85" s="677">
        <v>27</v>
      </c>
      <c r="B85" s="583" t="s">
        <v>765</v>
      </c>
      <c r="C85" s="932" t="s">
        <v>12</v>
      </c>
      <c r="D85" s="679" t="s">
        <v>908</v>
      </c>
      <c r="E85" s="679" t="s">
        <v>909</v>
      </c>
      <c r="F85" s="888"/>
      <c r="G85" s="680" t="s">
        <v>31</v>
      </c>
      <c r="H85" s="680">
        <v>1</v>
      </c>
      <c r="I85" s="446">
        <v>255000</v>
      </c>
      <c r="J85" s="446">
        <f t="shared" si="5"/>
        <v>255000</v>
      </c>
      <c r="K85" s="681">
        <v>0.25</v>
      </c>
      <c r="L85" s="938">
        <f t="shared" si="6"/>
        <v>191250</v>
      </c>
      <c r="M85" s="446"/>
      <c r="N85" s="446"/>
      <c r="O85" s="446"/>
      <c r="P85" s="446"/>
      <c r="Q85" s="446">
        <v>131</v>
      </c>
      <c r="R85" s="446">
        <f>SUM(L85:L85)</f>
        <v>191250</v>
      </c>
      <c r="S85" s="683"/>
    </row>
    <row r="86" spans="1:19" s="924" customFormat="1" ht="8.4" x14ac:dyDescent="0.15">
      <c r="A86" s="885">
        <v>28</v>
      </c>
      <c r="B86" s="585" t="s">
        <v>765</v>
      </c>
      <c r="C86" s="939" t="s">
        <v>186</v>
      </c>
      <c r="D86" s="711" t="s">
        <v>127</v>
      </c>
      <c r="E86" s="710"/>
      <c r="F86" s="886"/>
      <c r="G86" s="887" t="s">
        <v>34</v>
      </c>
      <c r="H86" s="887">
        <v>1</v>
      </c>
      <c r="I86" s="444">
        <v>265000</v>
      </c>
      <c r="J86" s="443">
        <f t="shared" si="5"/>
        <v>265000</v>
      </c>
      <c r="K86" s="934">
        <v>0.41</v>
      </c>
      <c r="L86" s="940">
        <f t="shared" ref="L86:L90" si="7">H86*I86*(1-K86)</f>
        <v>156350.00000000003</v>
      </c>
      <c r="M86" s="444"/>
      <c r="N86" s="444"/>
      <c r="O86" s="444">
        <v>112</v>
      </c>
      <c r="P86" s="444">
        <f>L86+L87</f>
        <v>480850.00000000012</v>
      </c>
      <c r="Q86" s="444"/>
      <c r="R86" s="444"/>
      <c r="S86" s="935" t="s">
        <v>731</v>
      </c>
    </row>
    <row r="87" spans="1:19" s="924" customFormat="1" ht="8.4" x14ac:dyDescent="0.15">
      <c r="A87" s="699"/>
      <c r="B87" s="582" t="s">
        <v>765</v>
      </c>
      <c r="C87" s="931" t="s">
        <v>186</v>
      </c>
      <c r="D87" s="701" t="s">
        <v>127</v>
      </c>
      <c r="E87" s="700"/>
      <c r="F87" s="927"/>
      <c r="G87" s="702" t="s">
        <v>41</v>
      </c>
      <c r="H87" s="702">
        <v>1</v>
      </c>
      <c r="I87" s="445">
        <v>550000</v>
      </c>
      <c r="J87" s="445">
        <f t="shared" si="5"/>
        <v>550000</v>
      </c>
      <c r="K87" s="703">
        <v>0.41</v>
      </c>
      <c r="L87" s="445">
        <f t="shared" si="7"/>
        <v>324500.00000000006</v>
      </c>
      <c r="M87" s="445"/>
      <c r="N87" s="445"/>
      <c r="O87" s="445"/>
      <c r="P87" s="445"/>
      <c r="Q87" s="445"/>
      <c r="R87" s="445"/>
      <c r="S87" s="705"/>
    </row>
    <row r="88" spans="1:19" s="924" customFormat="1" ht="33.6" x14ac:dyDescent="0.15">
      <c r="A88" s="920">
        <v>29</v>
      </c>
      <c r="B88" s="580" t="s">
        <v>828</v>
      </c>
      <c r="C88" s="889" t="s">
        <v>917</v>
      </c>
      <c r="D88" s="718" t="s">
        <v>831</v>
      </c>
      <c r="E88" s="718" t="s">
        <v>829</v>
      </c>
      <c r="F88" s="929"/>
      <c r="G88" s="921" t="s">
        <v>33</v>
      </c>
      <c r="H88" s="921">
        <v>1</v>
      </c>
      <c r="I88" s="443">
        <v>455000</v>
      </c>
      <c r="J88" s="443">
        <f t="shared" si="5"/>
        <v>455000</v>
      </c>
      <c r="K88" s="922">
        <v>0.3</v>
      </c>
      <c r="L88" s="443">
        <f t="shared" si="7"/>
        <v>318500</v>
      </c>
      <c r="M88" s="443"/>
      <c r="N88" s="443"/>
      <c r="O88" s="443"/>
      <c r="P88" s="443"/>
      <c r="Q88" s="443">
        <v>131</v>
      </c>
      <c r="R88" s="443">
        <f>SUM(L88:L95)</f>
        <v>2677500</v>
      </c>
      <c r="S88" s="923" t="s">
        <v>830</v>
      </c>
    </row>
    <row r="89" spans="1:19" s="924" customFormat="1" ht="33.6" x14ac:dyDescent="0.15">
      <c r="A89" s="853"/>
      <c r="B89" s="580" t="s">
        <v>828</v>
      </c>
      <c r="C89" s="889" t="s">
        <v>917</v>
      </c>
      <c r="D89" s="718" t="s">
        <v>831</v>
      </c>
      <c r="E89" s="720"/>
      <c r="F89" s="884"/>
      <c r="G89" s="878" t="s">
        <v>35</v>
      </c>
      <c r="H89" s="878">
        <v>1</v>
      </c>
      <c r="I89" s="332">
        <v>465000</v>
      </c>
      <c r="J89" s="443">
        <f t="shared" si="5"/>
        <v>465000</v>
      </c>
      <c r="K89" s="930">
        <v>0.3</v>
      </c>
      <c r="L89" s="332">
        <f t="shared" si="7"/>
        <v>325500</v>
      </c>
      <c r="M89" s="332"/>
      <c r="N89" s="332"/>
      <c r="O89" s="332"/>
      <c r="P89" s="332"/>
      <c r="Q89" s="332"/>
      <c r="R89" s="332"/>
      <c r="S89" s="925"/>
    </row>
    <row r="90" spans="1:19" s="924" customFormat="1" ht="33.6" x14ac:dyDescent="0.15">
      <c r="A90" s="853"/>
      <c r="B90" s="580" t="s">
        <v>828</v>
      </c>
      <c r="C90" s="889" t="s">
        <v>917</v>
      </c>
      <c r="D90" s="718" t="s">
        <v>831</v>
      </c>
      <c r="E90" s="720"/>
      <c r="F90" s="884"/>
      <c r="G90" s="878" t="s">
        <v>37</v>
      </c>
      <c r="H90" s="878">
        <v>1</v>
      </c>
      <c r="I90" s="332">
        <v>475000</v>
      </c>
      <c r="J90" s="443">
        <f t="shared" si="5"/>
        <v>475000</v>
      </c>
      <c r="K90" s="930">
        <v>0.3</v>
      </c>
      <c r="L90" s="332">
        <f t="shared" si="7"/>
        <v>332500</v>
      </c>
      <c r="M90" s="332"/>
      <c r="N90" s="332"/>
      <c r="O90" s="332"/>
      <c r="P90" s="332"/>
      <c r="Q90" s="332"/>
      <c r="R90" s="332"/>
      <c r="S90" s="925"/>
    </row>
    <row r="91" spans="1:19" s="924" customFormat="1" ht="33.6" x14ac:dyDescent="0.15">
      <c r="A91" s="853"/>
      <c r="B91" s="580" t="s">
        <v>828</v>
      </c>
      <c r="C91" s="889" t="s">
        <v>917</v>
      </c>
      <c r="D91" s="718" t="s">
        <v>831</v>
      </c>
      <c r="E91" s="720"/>
      <c r="F91" s="884"/>
      <c r="G91" s="878" t="s">
        <v>40</v>
      </c>
      <c r="H91" s="878">
        <v>1</v>
      </c>
      <c r="I91" s="332">
        <v>485000</v>
      </c>
      <c r="J91" s="443">
        <f t="shared" si="5"/>
        <v>485000</v>
      </c>
      <c r="K91" s="930">
        <v>0.3</v>
      </c>
      <c r="L91" s="332">
        <f t="shared" si="4"/>
        <v>339500</v>
      </c>
      <c r="M91" s="332"/>
      <c r="N91" s="332"/>
      <c r="O91" s="332"/>
      <c r="P91" s="332"/>
      <c r="Q91" s="332"/>
      <c r="R91" s="332"/>
      <c r="S91" s="925"/>
    </row>
    <row r="92" spans="1:19" s="924" customFormat="1" ht="33.6" x14ac:dyDescent="0.15">
      <c r="A92" s="853"/>
      <c r="B92" s="580" t="s">
        <v>828</v>
      </c>
      <c r="C92" s="889" t="s">
        <v>917</v>
      </c>
      <c r="D92" s="718" t="s">
        <v>831</v>
      </c>
      <c r="E92" s="720"/>
      <c r="F92" s="884"/>
      <c r="G92" s="878" t="s">
        <v>60</v>
      </c>
      <c r="H92" s="878">
        <v>1</v>
      </c>
      <c r="I92" s="332">
        <v>485000</v>
      </c>
      <c r="J92" s="443">
        <f t="shared" si="5"/>
        <v>485000</v>
      </c>
      <c r="K92" s="930">
        <v>0.3</v>
      </c>
      <c r="L92" s="332">
        <f t="shared" si="4"/>
        <v>339500</v>
      </c>
      <c r="M92" s="332"/>
      <c r="N92" s="332"/>
      <c r="O92" s="332"/>
      <c r="P92" s="332"/>
      <c r="Q92" s="332"/>
      <c r="R92" s="332"/>
      <c r="S92" s="925"/>
    </row>
    <row r="93" spans="1:19" s="924" customFormat="1" ht="33.6" x14ac:dyDescent="0.15">
      <c r="A93" s="853"/>
      <c r="B93" s="580" t="s">
        <v>828</v>
      </c>
      <c r="C93" s="889" t="s">
        <v>917</v>
      </c>
      <c r="D93" s="718" t="s">
        <v>831</v>
      </c>
      <c r="E93" s="720"/>
      <c r="F93" s="884"/>
      <c r="G93" s="878" t="s">
        <v>41</v>
      </c>
      <c r="H93" s="878">
        <v>1</v>
      </c>
      <c r="I93" s="332">
        <v>550000</v>
      </c>
      <c r="J93" s="443">
        <f t="shared" si="5"/>
        <v>550000</v>
      </c>
      <c r="K93" s="930">
        <v>0.3</v>
      </c>
      <c r="L93" s="332">
        <f t="shared" si="4"/>
        <v>385000</v>
      </c>
      <c r="M93" s="332"/>
      <c r="N93" s="332"/>
      <c r="O93" s="332"/>
      <c r="P93" s="332"/>
      <c r="Q93" s="332"/>
      <c r="R93" s="332"/>
      <c r="S93" s="925"/>
    </row>
    <row r="94" spans="1:19" s="924" customFormat="1" ht="33.6" x14ac:dyDescent="0.15">
      <c r="A94" s="853"/>
      <c r="B94" s="580" t="s">
        <v>828</v>
      </c>
      <c r="C94" s="889" t="s">
        <v>917</v>
      </c>
      <c r="D94" s="718" t="s">
        <v>831</v>
      </c>
      <c r="E94" s="720"/>
      <c r="F94" s="884"/>
      <c r="G94" s="878" t="s">
        <v>44</v>
      </c>
      <c r="H94" s="878">
        <v>1</v>
      </c>
      <c r="I94" s="332">
        <v>455000</v>
      </c>
      <c r="J94" s="443">
        <f t="shared" si="5"/>
        <v>455000</v>
      </c>
      <c r="K94" s="930">
        <v>0.3</v>
      </c>
      <c r="L94" s="332">
        <f t="shared" si="3"/>
        <v>318500</v>
      </c>
      <c r="M94" s="332"/>
      <c r="N94" s="332"/>
      <c r="O94" s="332"/>
      <c r="P94" s="332"/>
      <c r="Q94" s="332"/>
      <c r="R94" s="332"/>
      <c r="S94" s="925"/>
    </row>
    <row r="95" spans="1:19" s="924" customFormat="1" ht="33.6" x14ac:dyDescent="0.15">
      <c r="A95" s="699"/>
      <c r="B95" s="580" t="s">
        <v>828</v>
      </c>
      <c r="C95" s="889" t="s">
        <v>917</v>
      </c>
      <c r="D95" s="718" t="s">
        <v>831</v>
      </c>
      <c r="E95" s="701"/>
      <c r="F95" s="927"/>
      <c r="G95" s="702" t="s">
        <v>42</v>
      </c>
      <c r="H95" s="702">
        <v>1</v>
      </c>
      <c r="I95" s="445">
        <v>455000</v>
      </c>
      <c r="J95" s="687">
        <f t="shared" si="5"/>
        <v>455000</v>
      </c>
      <c r="K95" s="930">
        <v>0.3</v>
      </c>
      <c r="L95" s="445">
        <f t="shared" ref="L95:L162" si="8">H95*I95*(1-K95)</f>
        <v>318500</v>
      </c>
      <c r="M95" s="445"/>
      <c r="N95" s="445"/>
      <c r="O95" s="445"/>
      <c r="P95" s="445"/>
      <c r="Q95" s="445"/>
      <c r="R95" s="445"/>
      <c r="S95" s="705"/>
    </row>
    <row r="96" spans="1:19" s="924" customFormat="1" ht="16.8" x14ac:dyDescent="0.15">
      <c r="A96" s="677">
        <v>30</v>
      </c>
      <c r="B96" s="583" t="s">
        <v>846</v>
      </c>
      <c r="C96" s="932" t="s">
        <v>917</v>
      </c>
      <c r="D96" s="679" t="s">
        <v>832</v>
      </c>
      <c r="E96" s="679" t="s">
        <v>833</v>
      </c>
      <c r="F96" s="888"/>
      <c r="G96" s="680" t="s">
        <v>44</v>
      </c>
      <c r="H96" s="680">
        <v>1</v>
      </c>
      <c r="I96" s="446">
        <v>455000</v>
      </c>
      <c r="J96" s="446">
        <f t="shared" si="5"/>
        <v>455000</v>
      </c>
      <c r="K96" s="681">
        <v>0.3</v>
      </c>
      <c r="L96" s="446">
        <f t="shared" si="8"/>
        <v>318500</v>
      </c>
      <c r="M96" s="446">
        <v>111</v>
      </c>
      <c r="N96" s="446">
        <f>L96</f>
        <v>318500</v>
      </c>
      <c r="O96" s="446"/>
      <c r="P96" s="446"/>
      <c r="Q96" s="446"/>
      <c r="R96" s="446"/>
      <c r="S96" s="683"/>
    </row>
    <row r="97" spans="1:20" s="924" customFormat="1" ht="16.8" x14ac:dyDescent="0.15">
      <c r="A97" s="920">
        <v>31</v>
      </c>
      <c r="B97" s="580" t="s">
        <v>846</v>
      </c>
      <c r="C97" s="889" t="s">
        <v>917</v>
      </c>
      <c r="D97" s="718" t="s">
        <v>834</v>
      </c>
      <c r="E97" s="711" t="s">
        <v>833</v>
      </c>
      <c r="F97" s="929"/>
      <c r="G97" s="921" t="s">
        <v>41</v>
      </c>
      <c r="H97" s="921">
        <v>1</v>
      </c>
      <c r="I97" s="443">
        <v>550000</v>
      </c>
      <c r="J97" s="443">
        <f t="shared" si="5"/>
        <v>550000</v>
      </c>
      <c r="K97" s="922">
        <v>1</v>
      </c>
      <c r="L97" s="443">
        <f t="shared" si="8"/>
        <v>0</v>
      </c>
      <c r="M97" s="443">
        <v>111</v>
      </c>
      <c r="N97" s="443">
        <v>700000</v>
      </c>
      <c r="O97" s="443"/>
      <c r="P97" s="443"/>
      <c r="Q97" s="443"/>
      <c r="R97" s="443"/>
      <c r="S97" s="1100" t="s">
        <v>914</v>
      </c>
    </row>
    <row r="98" spans="1:20" s="924" customFormat="1" ht="16.8" x14ac:dyDescent="0.15">
      <c r="A98" s="851"/>
      <c r="B98" s="580" t="s">
        <v>846</v>
      </c>
      <c r="C98" s="889" t="s">
        <v>917</v>
      </c>
      <c r="D98" s="718" t="s">
        <v>834</v>
      </c>
      <c r="E98" s="720"/>
      <c r="F98" s="884"/>
      <c r="G98" s="878" t="s">
        <v>46</v>
      </c>
      <c r="H98" s="878">
        <v>1</v>
      </c>
      <c r="I98" s="332">
        <v>450000</v>
      </c>
      <c r="J98" s="443">
        <f t="shared" si="5"/>
        <v>450000</v>
      </c>
      <c r="K98" s="930">
        <v>0.2</v>
      </c>
      <c r="L98" s="332">
        <f t="shared" si="8"/>
        <v>360000</v>
      </c>
      <c r="M98" s="332"/>
      <c r="N98" s="332"/>
      <c r="O98" s="332"/>
      <c r="P98" s="332"/>
      <c r="Q98" s="332"/>
      <c r="R98" s="332"/>
      <c r="S98" s="925"/>
    </row>
    <row r="99" spans="1:20" s="924" customFormat="1" ht="16.8" x14ac:dyDescent="0.15">
      <c r="A99" s="717"/>
      <c r="B99" s="582" t="s">
        <v>846</v>
      </c>
      <c r="C99" s="931" t="s">
        <v>917</v>
      </c>
      <c r="D99" s="701" t="s">
        <v>834</v>
      </c>
      <c r="E99" s="701"/>
      <c r="F99" s="927"/>
      <c r="G99" s="702" t="s">
        <v>44</v>
      </c>
      <c r="H99" s="702">
        <v>1</v>
      </c>
      <c r="I99" s="445">
        <v>455000</v>
      </c>
      <c r="J99" s="445">
        <f t="shared" si="5"/>
        <v>455000</v>
      </c>
      <c r="K99" s="703">
        <v>0.2</v>
      </c>
      <c r="L99" s="445">
        <f t="shared" si="8"/>
        <v>364000</v>
      </c>
      <c r="M99" s="445"/>
      <c r="N99" s="445"/>
      <c r="O99" s="445"/>
      <c r="P99" s="445"/>
      <c r="Q99" s="445"/>
      <c r="R99" s="445"/>
      <c r="S99" s="705"/>
    </row>
    <row r="100" spans="1:20" s="924" customFormat="1" ht="25.2" x14ac:dyDescent="0.15">
      <c r="A100" s="920">
        <v>32</v>
      </c>
      <c r="B100" s="580" t="s">
        <v>846</v>
      </c>
      <c r="C100" s="889" t="s">
        <v>12</v>
      </c>
      <c r="D100" s="718" t="s">
        <v>1109</v>
      </c>
      <c r="E100" s="718" t="s">
        <v>835</v>
      </c>
      <c r="F100" s="929"/>
      <c r="G100" s="921" t="s">
        <v>33</v>
      </c>
      <c r="H100" s="921">
        <v>1</v>
      </c>
      <c r="I100" s="443">
        <v>455000</v>
      </c>
      <c r="J100" s="443">
        <f t="shared" si="5"/>
        <v>455000</v>
      </c>
      <c r="K100" s="922">
        <v>0.41</v>
      </c>
      <c r="L100" s="443">
        <f t="shared" si="8"/>
        <v>268450.00000000006</v>
      </c>
      <c r="M100" s="443">
        <v>111</v>
      </c>
      <c r="N100" s="443">
        <v>1412000</v>
      </c>
      <c r="O100" s="443"/>
      <c r="P100" s="443"/>
      <c r="Q100" s="443"/>
      <c r="R100" s="443"/>
      <c r="S100" s="1399" t="s">
        <v>913</v>
      </c>
      <c r="T100" s="941"/>
    </row>
    <row r="101" spans="1:20" s="924" customFormat="1" ht="25.2" x14ac:dyDescent="0.15">
      <c r="A101" s="853"/>
      <c r="B101" s="580" t="s">
        <v>846</v>
      </c>
      <c r="C101" s="889" t="s">
        <v>12</v>
      </c>
      <c r="D101" s="718" t="s">
        <v>1109</v>
      </c>
      <c r="E101" s="718"/>
      <c r="F101" s="884"/>
      <c r="G101" s="878" t="s">
        <v>35</v>
      </c>
      <c r="H101" s="878">
        <v>1</v>
      </c>
      <c r="I101" s="332">
        <v>465000</v>
      </c>
      <c r="J101" s="443">
        <f t="shared" si="5"/>
        <v>465000</v>
      </c>
      <c r="K101" s="922">
        <v>0.41</v>
      </c>
      <c r="L101" s="332">
        <f t="shared" si="8"/>
        <v>274350.00000000006</v>
      </c>
      <c r="M101" s="332"/>
      <c r="N101" s="332"/>
      <c r="O101" s="332"/>
      <c r="P101" s="332"/>
      <c r="Q101" s="332"/>
      <c r="R101" s="332"/>
      <c r="S101" s="925"/>
    </row>
    <row r="102" spans="1:20" s="924" customFormat="1" ht="25.2" x14ac:dyDescent="0.15">
      <c r="A102" s="853"/>
      <c r="B102" s="580" t="s">
        <v>846</v>
      </c>
      <c r="C102" s="889" t="s">
        <v>12</v>
      </c>
      <c r="D102" s="718" t="s">
        <v>1109</v>
      </c>
      <c r="E102" s="718"/>
      <c r="F102" s="884"/>
      <c r="G102" s="878" t="s">
        <v>37</v>
      </c>
      <c r="H102" s="878">
        <v>1</v>
      </c>
      <c r="I102" s="332">
        <v>475000</v>
      </c>
      <c r="J102" s="443">
        <f t="shared" si="5"/>
        <v>475000</v>
      </c>
      <c r="K102" s="922">
        <v>0.41</v>
      </c>
      <c r="L102" s="332">
        <f t="shared" si="8"/>
        <v>280250.00000000006</v>
      </c>
      <c r="M102" s="332"/>
      <c r="N102" s="332"/>
      <c r="O102" s="332"/>
      <c r="P102" s="332"/>
      <c r="Q102" s="332"/>
      <c r="R102" s="332"/>
      <c r="S102" s="925"/>
    </row>
    <row r="103" spans="1:20" s="924" customFormat="1" ht="25.2" x14ac:dyDescent="0.15">
      <c r="A103" s="853"/>
      <c r="B103" s="580" t="s">
        <v>846</v>
      </c>
      <c r="C103" s="889" t="s">
        <v>12</v>
      </c>
      <c r="D103" s="718" t="s">
        <v>1109</v>
      </c>
      <c r="E103" s="718"/>
      <c r="F103" s="884"/>
      <c r="G103" s="878" t="s">
        <v>40</v>
      </c>
      <c r="H103" s="878">
        <v>1</v>
      </c>
      <c r="I103" s="332">
        <v>485000</v>
      </c>
      <c r="J103" s="443">
        <f t="shared" si="5"/>
        <v>485000</v>
      </c>
      <c r="K103" s="922">
        <v>0.41</v>
      </c>
      <c r="L103" s="332">
        <f t="shared" si="8"/>
        <v>286150.00000000006</v>
      </c>
      <c r="M103" s="332"/>
      <c r="N103" s="332"/>
      <c r="O103" s="332"/>
      <c r="P103" s="332"/>
      <c r="Q103" s="332"/>
      <c r="R103" s="332"/>
      <c r="S103" s="925"/>
    </row>
    <row r="104" spans="1:20" s="924" customFormat="1" ht="25.2" x14ac:dyDescent="0.15">
      <c r="A104" s="853"/>
      <c r="B104" s="580" t="s">
        <v>846</v>
      </c>
      <c r="C104" s="889" t="s">
        <v>12</v>
      </c>
      <c r="D104" s="718" t="s">
        <v>1109</v>
      </c>
      <c r="E104" s="718"/>
      <c r="F104" s="884"/>
      <c r="G104" s="878" t="s">
        <v>60</v>
      </c>
      <c r="H104" s="878">
        <v>1</v>
      </c>
      <c r="I104" s="332">
        <v>485000</v>
      </c>
      <c r="J104" s="443">
        <f t="shared" si="5"/>
        <v>485000</v>
      </c>
      <c r="K104" s="688">
        <v>0.41</v>
      </c>
      <c r="L104" s="332">
        <f t="shared" si="8"/>
        <v>286150.00000000006</v>
      </c>
      <c r="M104" s="332"/>
      <c r="N104" s="332"/>
      <c r="O104" s="332"/>
      <c r="P104" s="332"/>
      <c r="Q104" s="332"/>
      <c r="R104" s="332"/>
      <c r="S104" s="925"/>
    </row>
    <row r="105" spans="1:20" s="924" customFormat="1" ht="25.2" x14ac:dyDescent="0.15">
      <c r="A105" s="691"/>
      <c r="B105" s="580" t="s">
        <v>846</v>
      </c>
      <c r="C105" s="889" t="s">
        <v>12</v>
      </c>
      <c r="D105" s="718" t="s">
        <v>1109</v>
      </c>
      <c r="E105" s="685"/>
      <c r="F105" s="942"/>
      <c r="G105" s="694" t="s">
        <v>44</v>
      </c>
      <c r="H105" s="694">
        <v>1</v>
      </c>
      <c r="I105" s="695">
        <v>455000</v>
      </c>
      <c r="J105" s="687">
        <f t="shared" si="5"/>
        <v>455000</v>
      </c>
      <c r="K105" s="688">
        <v>1</v>
      </c>
      <c r="L105" s="695">
        <f t="shared" si="8"/>
        <v>0</v>
      </c>
      <c r="M105" s="695"/>
      <c r="N105" s="695"/>
      <c r="O105" s="695"/>
      <c r="P105" s="695"/>
      <c r="Q105" s="695"/>
      <c r="R105" s="695"/>
      <c r="S105" s="698"/>
    </row>
    <row r="106" spans="1:20" s="924" customFormat="1" ht="25.2" x14ac:dyDescent="0.15">
      <c r="A106" s="699"/>
      <c r="B106" s="582" t="s">
        <v>846</v>
      </c>
      <c r="C106" s="931" t="s">
        <v>12</v>
      </c>
      <c r="D106" s="701" t="s">
        <v>1109</v>
      </c>
      <c r="E106" s="701"/>
      <c r="F106" s="927"/>
      <c r="G106" s="702" t="s">
        <v>42</v>
      </c>
      <c r="H106" s="702">
        <v>1</v>
      </c>
      <c r="I106" s="445">
        <v>455000</v>
      </c>
      <c r="J106" s="687">
        <f t="shared" si="5"/>
        <v>455000</v>
      </c>
      <c r="K106" s="703">
        <v>0.41</v>
      </c>
      <c r="L106" s="445">
        <f t="shared" si="8"/>
        <v>268450.00000000006</v>
      </c>
      <c r="M106" s="445"/>
      <c r="N106" s="445"/>
      <c r="O106" s="445"/>
      <c r="P106" s="445"/>
      <c r="Q106" s="445"/>
      <c r="R106" s="445"/>
      <c r="S106" s="705"/>
    </row>
    <row r="107" spans="1:20" s="924" customFormat="1" ht="8.4" x14ac:dyDescent="0.15">
      <c r="A107" s="699">
        <v>33</v>
      </c>
      <c r="B107" s="744" t="s">
        <v>846</v>
      </c>
      <c r="C107" s="879" t="s">
        <v>61</v>
      </c>
      <c r="D107" s="700" t="s">
        <v>127</v>
      </c>
      <c r="E107" s="700" t="s">
        <v>584</v>
      </c>
      <c r="F107" s="927"/>
      <c r="G107" s="702" t="s">
        <v>46</v>
      </c>
      <c r="H107" s="702">
        <v>4</v>
      </c>
      <c r="I107" s="445">
        <v>450000</v>
      </c>
      <c r="J107" s="446">
        <f t="shared" si="5"/>
        <v>1800000</v>
      </c>
      <c r="K107" s="681">
        <v>0.41</v>
      </c>
      <c r="L107" s="445">
        <f t="shared" si="8"/>
        <v>1062000.0000000002</v>
      </c>
      <c r="M107" s="445"/>
      <c r="N107" s="445"/>
      <c r="O107" s="445">
        <v>112</v>
      </c>
      <c r="P107" s="445">
        <f>L107</f>
        <v>1062000.0000000002</v>
      </c>
      <c r="Q107" s="445"/>
      <c r="R107" s="445"/>
      <c r="S107" s="705" t="s">
        <v>731</v>
      </c>
    </row>
    <row r="108" spans="1:20" s="924" customFormat="1" ht="16.8" x14ac:dyDescent="0.15">
      <c r="A108" s="684">
        <v>34</v>
      </c>
      <c r="B108" s="584" t="s">
        <v>846</v>
      </c>
      <c r="C108" s="882" t="s">
        <v>12</v>
      </c>
      <c r="D108" s="685" t="s">
        <v>840</v>
      </c>
      <c r="E108" s="685" t="s">
        <v>836</v>
      </c>
      <c r="F108" s="883"/>
      <c r="G108" s="686" t="s">
        <v>33</v>
      </c>
      <c r="H108" s="686">
        <v>5</v>
      </c>
      <c r="I108" s="687">
        <v>455000</v>
      </c>
      <c r="J108" s="443">
        <f t="shared" si="5"/>
        <v>2275000</v>
      </c>
      <c r="K108" s="922">
        <v>0.41</v>
      </c>
      <c r="L108" s="687">
        <f t="shared" si="8"/>
        <v>1342250.0000000002</v>
      </c>
      <c r="M108" s="687"/>
      <c r="N108" s="687"/>
      <c r="O108" s="687">
        <v>112</v>
      </c>
      <c r="P108" s="687">
        <v>8577000</v>
      </c>
      <c r="Q108" s="687"/>
      <c r="R108" s="687"/>
      <c r="S108" s="690"/>
    </row>
    <row r="109" spans="1:20" s="924" customFormat="1" ht="8.4" x14ac:dyDescent="0.15">
      <c r="A109" s="853"/>
      <c r="B109" s="453" t="s">
        <v>846</v>
      </c>
      <c r="C109" s="943" t="s">
        <v>12</v>
      </c>
      <c r="D109" s="720" t="s">
        <v>840</v>
      </c>
      <c r="E109" s="693"/>
      <c r="F109" s="884"/>
      <c r="G109" s="878" t="s">
        <v>35</v>
      </c>
      <c r="H109" s="878">
        <v>9</v>
      </c>
      <c r="I109" s="332">
        <v>465000</v>
      </c>
      <c r="J109" s="443">
        <f t="shared" si="5"/>
        <v>4185000</v>
      </c>
      <c r="K109" s="922">
        <v>0.41</v>
      </c>
      <c r="L109" s="332">
        <f t="shared" si="8"/>
        <v>2469150.0000000005</v>
      </c>
      <c r="M109" s="332"/>
      <c r="N109" s="332"/>
      <c r="O109" s="332"/>
      <c r="P109" s="332"/>
      <c r="Q109" s="332"/>
      <c r="R109" s="332"/>
      <c r="S109" s="925"/>
    </row>
    <row r="110" spans="1:20" s="924" customFormat="1" ht="8.4" x14ac:dyDescent="0.15">
      <c r="A110" s="853"/>
      <c r="B110" s="453" t="s">
        <v>846</v>
      </c>
      <c r="C110" s="943" t="s">
        <v>12</v>
      </c>
      <c r="D110" s="720" t="s">
        <v>840</v>
      </c>
      <c r="E110" s="693"/>
      <c r="F110" s="884"/>
      <c r="G110" s="878" t="s">
        <v>37</v>
      </c>
      <c r="H110" s="878">
        <v>10</v>
      </c>
      <c r="I110" s="332">
        <v>475000</v>
      </c>
      <c r="J110" s="443">
        <f t="shared" si="5"/>
        <v>4750000</v>
      </c>
      <c r="K110" s="922">
        <v>0.41</v>
      </c>
      <c r="L110" s="332">
        <f t="shared" si="8"/>
        <v>2802500.0000000005</v>
      </c>
      <c r="M110" s="332"/>
      <c r="N110" s="332"/>
      <c r="O110" s="332"/>
      <c r="P110" s="332"/>
      <c r="Q110" s="332"/>
      <c r="R110" s="332"/>
      <c r="S110" s="925"/>
    </row>
    <row r="111" spans="1:20" s="924" customFormat="1" ht="8.4" x14ac:dyDescent="0.15">
      <c r="A111" s="699"/>
      <c r="B111" s="582" t="s">
        <v>846</v>
      </c>
      <c r="C111" s="931" t="s">
        <v>12</v>
      </c>
      <c r="D111" s="700" t="s">
        <v>840</v>
      </c>
      <c r="E111" s="701"/>
      <c r="F111" s="927"/>
      <c r="G111" s="702" t="s">
        <v>40</v>
      </c>
      <c r="H111" s="702">
        <v>7</v>
      </c>
      <c r="I111" s="445">
        <v>485000</v>
      </c>
      <c r="J111" s="445">
        <f t="shared" si="5"/>
        <v>3395000</v>
      </c>
      <c r="K111" s="703">
        <v>0.41</v>
      </c>
      <c r="L111" s="445">
        <f t="shared" si="8"/>
        <v>2003050.0000000002</v>
      </c>
      <c r="M111" s="445"/>
      <c r="N111" s="445"/>
      <c r="O111" s="445"/>
      <c r="P111" s="445"/>
      <c r="Q111" s="445"/>
      <c r="R111" s="445"/>
      <c r="S111" s="705"/>
    </row>
    <row r="112" spans="1:20" s="924" customFormat="1" ht="25.2" x14ac:dyDescent="0.15">
      <c r="A112" s="920">
        <v>35</v>
      </c>
      <c r="B112" s="580" t="s">
        <v>846</v>
      </c>
      <c r="C112" s="889" t="s">
        <v>1102</v>
      </c>
      <c r="D112" s="718" t="s">
        <v>817</v>
      </c>
      <c r="E112" s="718" t="s">
        <v>818</v>
      </c>
      <c r="F112" s="929"/>
      <c r="G112" s="921" t="s">
        <v>33</v>
      </c>
      <c r="H112" s="921">
        <v>12</v>
      </c>
      <c r="I112" s="443">
        <v>455000</v>
      </c>
      <c r="J112" s="443">
        <f t="shared" si="5"/>
        <v>5460000</v>
      </c>
      <c r="K112" s="922">
        <v>0.35</v>
      </c>
      <c r="L112" s="443">
        <f>H112*I112*(1-K112)</f>
        <v>3549000</v>
      </c>
      <c r="M112" s="443"/>
      <c r="N112" s="443"/>
      <c r="O112" s="443"/>
      <c r="P112" s="443"/>
      <c r="Q112" s="443">
        <v>131</v>
      </c>
      <c r="R112" s="443">
        <f>SUM(L112:L120)</f>
        <v>38512500</v>
      </c>
      <c r="S112" s="2232" t="s">
        <v>2352</v>
      </c>
    </row>
    <row r="113" spans="1:19" s="924" customFormat="1" ht="16.8" x14ac:dyDescent="0.15">
      <c r="A113" s="853"/>
      <c r="B113" s="580" t="s">
        <v>846</v>
      </c>
      <c r="C113" s="889" t="s">
        <v>1102</v>
      </c>
      <c r="D113" s="718" t="s">
        <v>817</v>
      </c>
      <c r="E113" s="720"/>
      <c r="F113" s="884"/>
      <c r="G113" s="878" t="s">
        <v>35</v>
      </c>
      <c r="H113" s="878">
        <v>12</v>
      </c>
      <c r="I113" s="332">
        <v>465000</v>
      </c>
      <c r="J113" s="443">
        <f t="shared" si="5"/>
        <v>5580000</v>
      </c>
      <c r="K113" s="922">
        <v>0.35</v>
      </c>
      <c r="L113" s="332">
        <f>H113*I113*(1-K113)</f>
        <v>3627000</v>
      </c>
      <c r="M113" s="332"/>
      <c r="N113" s="332"/>
      <c r="O113" s="332"/>
      <c r="P113" s="332"/>
      <c r="Q113" s="332"/>
      <c r="R113" s="332"/>
      <c r="S113" s="2253"/>
    </row>
    <row r="114" spans="1:19" s="924" customFormat="1" ht="16.8" x14ac:dyDescent="0.15">
      <c r="A114" s="853"/>
      <c r="B114" s="580" t="s">
        <v>846</v>
      </c>
      <c r="C114" s="889" t="s">
        <v>1102</v>
      </c>
      <c r="D114" s="718" t="s">
        <v>817</v>
      </c>
      <c r="E114" s="720"/>
      <c r="F114" s="884"/>
      <c r="G114" s="878" t="s">
        <v>37</v>
      </c>
      <c r="H114" s="878">
        <v>12</v>
      </c>
      <c r="I114" s="332">
        <v>475000</v>
      </c>
      <c r="J114" s="443">
        <f t="shared" si="5"/>
        <v>5700000</v>
      </c>
      <c r="K114" s="922">
        <v>0.35</v>
      </c>
      <c r="L114" s="332">
        <f>H114*I114*(1-K114)</f>
        <v>3705000</v>
      </c>
      <c r="M114" s="332"/>
      <c r="N114" s="332"/>
      <c r="O114" s="332"/>
      <c r="P114" s="332"/>
      <c r="Q114" s="332"/>
      <c r="R114" s="332"/>
      <c r="S114" s="2253"/>
    </row>
    <row r="115" spans="1:19" s="924" customFormat="1" ht="16.8" x14ac:dyDescent="0.15">
      <c r="A115" s="853"/>
      <c r="B115" s="580" t="s">
        <v>846</v>
      </c>
      <c r="C115" s="889" t="s">
        <v>1102</v>
      </c>
      <c r="D115" s="718" t="s">
        <v>817</v>
      </c>
      <c r="E115" s="720"/>
      <c r="F115" s="884"/>
      <c r="G115" s="878" t="s">
        <v>40</v>
      </c>
      <c r="H115" s="878">
        <v>12</v>
      </c>
      <c r="I115" s="332">
        <v>485000</v>
      </c>
      <c r="J115" s="443">
        <f t="shared" si="5"/>
        <v>5820000</v>
      </c>
      <c r="K115" s="922">
        <v>0.35</v>
      </c>
      <c r="L115" s="332">
        <f>H115*I115*(1-K115)</f>
        <v>3783000</v>
      </c>
      <c r="M115" s="332"/>
      <c r="N115" s="332"/>
      <c r="O115" s="332"/>
      <c r="P115" s="332"/>
      <c r="Q115" s="332"/>
      <c r="R115" s="332"/>
      <c r="S115" s="2253"/>
    </row>
    <row r="116" spans="1:19" s="924" customFormat="1" ht="16.8" x14ac:dyDescent="0.15">
      <c r="A116" s="853"/>
      <c r="B116" s="580" t="s">
        <v>846</v>
      </c>
      <c r="C116" s="889" t="s">
        <v>1102</v>
      </c>
      <c r="D116" s="718" t="s">
        <v>817</v>
      </c>
      <c r="E116" s="720"/>
      <c r="F116" s="884"/>
      <c r="G116" s="878" t="s">
        <v>60</v>
      </c>
      <c r="H116" s="878">
        <v>12</v>
      </c>
      <c r="I116" s="332">
        <v>485000</v>
      </c>
      <c r="J116" s="443">
        <f t="shared" si="5"/>
        <v>5820000</v>
      </c>
      <c r="K116" s="922">
        <v>0.35</v>
      </c>
      <c r="L116" s="332">
        <f t="shared" ref="L116:L119" si="9">H116*I116*(1-K116)</f>
        <v>3783000</v>
      </c>
      <c r="M116" s="332"/>
      <c r="N116" s="332"/>
      <c r="O116" s="332"/>
      <c r="P116" s="332"/>
      <c r="Q116" s="332"/>
      <c r="R116" s="332"/>
      <c r="S116" s="2253"/>
    </row>
    <row r="117" spans="1:19" s="924" customFormat="1" ht="16.8" x14ac:dyDescent="0.15">
      <c r="A117" s="853"/>
      <c r="B117" s="580" t="s">
        <v>846</v>
      </c>
      <c r="C117" s="889" t="s">
        <v>1102</v>
      </c>
      <c r="D117" s="718" t="s">
        <v>817</v>
      </c>
      <c r="E117" s="720"/>
      <c r="F117" s="884"/>
      <c r="G117" s="878" t="s">
        <v>41</v>
      </c>
      <c r="H117" s="878">
        <v>24</v>
      </c>
      <c r="I117" s="332">
        <v>550000</v>
      </c>
      <c r="J117" s="443">
        <f t="shared" si="5"/>
        <v>13200000</v>
      </c>
      <c r="K117" s="922">
        <v>0.35</v>
      </c>
      <c r="L117" s="332">
        <f t="shared" si="9"/>
        <v>8580000</v>
      </c>
      <c r="M117" s="332"/>
      <c r="N117" s="332"/>
      <c r="O117" s="332"/>
      <c r="P117" s="332"/>
      <c r="Q117" s="332"/>
      <c r="R117" s="332"/>
      <c r="S117" s="2253"/>
    </row>
    <row r="118" spans="1:19" s="924" customFormat="1" ht="16.8" x14ac:dyDescent="0.15">
      <c r="A118" s="853"/>
      <c r="B118" s="580" t="s">
        <v>846</v>
      </c>
      <c r="C118" s="889" t="s">
        <v>1102</v>
      </c>
      <c r="D118" s="718" t="s">
        <v>817</v>
      </c>
      <c r="E118" s="720"/>
      <c r="F118" s="884"/>
      <c r="G118" s="878" t="s">
        <v>46</v>
      </c>
      <c r="H118" s="878">
        <v>15</v>
      </c>
      <c r="I118" s="332">
        <v>450000</v>
      </c>
      <c r="J118" s="443">
        <f t="shared" si="5"/>
        <v>6750000</v>
      </c>
      <c r="K118" s="922">
        <v>0.35</v>
      </c>
      <c r="L118" s="332">
        <f t="shared" si="9"/>
        <v>4387500</v>
      </c>
      <c r="M118" s="332"/>
      <c r="N118" s="332"/>
      <c r="O118" s="332"/>
      <c r="P118" s="332"/>
      <c r="Q118" s="332"/>
      <c r="R118" s="332"/>
      <c r="S118" s="2253"/>
    </row>
    <row r="119" spans="1:19" s="924" customFormat="1" ht="16.8" x14ac:dyDescent="0.15">
      <c r="A119" s="853"/>
      <c r="B119" s="580" t="s">
        <v>846</v>
      </c>
      <c r="C119" s="889" t="s">
        <v>1102</v>
      </c>
      <c r="D119" s="718" t="s">
        <v>817</v>
      </c>
      <c r="E119" s="720"/>
      <c r="F119" s="884"/>
      <c r="G119" s="878" t="s">
        <v>44</v>
      </c>
      <c r="H119" s="878">
        <v>12</v>
      </c>
      <c r="I119" s="332">
        <v>455000</v>
      </c>
      <c r="J119" s="443">
        <f t="shared" si="5"/>
        <v>5460000</v>
      </c>
      <c r="K119" s="922">
        <v>0.35</v>
      </c>
      <c r="L119" s="332">
        <f t="shared" si="9"/>
        <v>3549000</v>
      </c>
      <c r="M119" s="332"/>
      <c r="N119" s="332"/>
      <c r="O119" s="332"/>
      <c r="P119" s="332"/>
      <c r="Q119" s="332"/>
      <c r="R119" s="332"/>
      <c r="S119" s="2253"/>
    </row>
    <row r="120" spans="1:19" s="924" customFormat="1" ht="16.8" x14ac:dyDescent="0.15">
      <c r="A120" s="699"/>
      <c r="B120" s="582" t="s">
        <v>846</v>
      </c>
      <c r="C120" s="931" t="s">
        <v>1102</v>
      </c>
      <c r="D120" s="701" t="s">
        <v>817</v>
      </c>
      <c r="E120" s="701"/>
      <c r="F120" s="927"/>
      <c r="G120" s="702" t="s">
        <v>42</v>
      </c>
      <c r="H120" s="702">
        <v>12</v>
      </c>
      <c r="I120" s="445">
        <v>455000</v>
      </c>
      <c r="J120" s="445">
        <f t="shared" si="5"/>
        <v>5460000</v>
      </c>
      <c r="K120" s="703">
        <v>0.35</v>
      </c>
      <c r="L120" s="445">
        <f>H120*I120*(1-K120)</f>
        <v>3549000</v>
      </c>
      <c r="M120" s="445"/>
      <c r="N120" s="445"/>
      <c r="O120" s="445"/>
      <c r="P120" s="445"/>
      <c r="Q120" s="445"/>
      <c r="R120" s="445"/>
      <c r="S120" s="2254"/>
    </row>
    <row r="121" spans="1:19" s="924" customFormat="1" ht="42" x14ac:dyDescent="0.15">
      <c r="A121" s="852">
        <v>36</v>
      </c>
      <c r="B121" s="744" t="s">
        <v>846</v>
      </c>
      <c r="C121" s="879" t="s">
        <v>61</v>
      </c>
      <c r="D121" s="700" t="s">
        <v>915</v>
      </c>
      <c r="E121" s="700"/>
      <c r="F121" s="880"/>
      <c r="G121" s="881" t="s">
        <v>41</v>
      </c>
      <c r="H121" s="881">
        <v>1</v>
      </c>
      <c r="I121" s="936">
        <v>550000</v>
      </c>
      <c r="J121" s="446">
        <f t="shared" si="5"/>
        <v>550000</v>
      </c>
      <c r="K121" s="688">
        <v>1</v>
      </c>
      <c r="L121" s="936">
        <f>H121*I121*(1-K121)</f>
        <v>0</v>
      </c>
      <c r="M121" s="936"/>
      <c r="N121" s="936"/>
      <c r="O121" s="936"/>
      <c r="P121" s="936"/>
      <c r="Q121" s="936"/>
      <c r="R121" s="936"/>
      <c r="S121" s="944"/>
    </row>
    <row r="122" spans="1:19" s="924" customFormat="1" ht="16.8" x14ac:dyDescent="0.15">
      <c r="A122" s="677">
        <v>37</v>
      </c>
      <c r="B122" s="583" t="s">
        <v>837</v>
      </c>
      <c r="C122" s="932" t="s">
        <v>917</v>
      </c>
      <c r="D122" s="679" t="s">
        <v>838</v>
      </c>
      <c r="E122" s="679" t="s">
        <v>392</v>
      </c>
      <c r="F122" s="888"/>
      <c r="G122" s="680" t="s">
        <v>44</v>
      </c>
      <c r="H122" s="680">
        <v>59</v>
      </c>
      <c r="I122" s="446">
        <v>455000</v>
      </c>
      <c r="J122" s="446">
        <f t="shared" si="5"/>
        <v>26845000</v>
      </c>
      <c r="K122" s="681">
        <v>0.62</v>
      </c>
      <c r="L122" s="446">
        <f t="shared" si="8"/>
        <v>10201100</v>
      </c>
      <c r="M122" s="446"/>
      <c r="N122" s="446"/>
      <c r="O122" s="446"/>
      <c r="P122" s="446"/>
      <c r="Q122" s="446">
        <v>131</v>
      </c>
      <c r="R122" s="446">
        <f>L122</f>
        <v>10201100</v>
      </c>
      <c r="S122" s="683"/>
    </row>
    <row r="123" spans="1:19" s="924" customFormat="1" ht="25.2" x14ac:dyDescent="0.15">
      <c r="A123" s="677">
        <v>38</v>
      </c>
      <c r="B123" s="583" t="s">
        <v>847</v>
      </c>
      <c r="C123" s="932" t="s">
        <v>917</v>
      </c>
      <c r="D123" s="679" t="s">
        <v>743</v>
      </c>
      <c r="E123" s="679" t="s">
        <v>744</v>
      </c>
      <c r="F123" s="888"/>
      <c r="G123" s="680" t="s">
        <v>44</v>
      </c>
      <c r="H123" s="680">
        <v>84</v>
      </c>
      <c r="I123" s="446">
        <v>455000</v>
      </c>
      <c r="J123" s="446">
        <f t="shared" si="5"/>
        <v>38220000</v>
      </c>
      <c r="K123" s="681">
        <v>0.5</v>
      </c>
      <c r="L123" s="446">
        <f>H123*I123*(1-K123)</f>
        <v>19110000</v>
      </c>
      <c r="M123" s="446"/>
      <c r="N123" s="446"/>
      <c r="O123" s="446"/>
      <c r="P123" s="446"/>
      <c r="Q123" s="446">
        <v>131</v>
      </c>
      <c r="R123" s="446">
        <f>19110000+300000</f>
        <v>19410000</v>
      </c>
      <c r="S123" s="724" t="s">
        <v>965</v>
      </c>
    </row>
    <row r="124" spans="1:19" s="924" customFormat="1" ht="25.2" x14ac:dyDescent="0.15">
      <c r="A124" s="920">
        <v>39</v>
      </c>
      <c r="B124" s="580" t="s">
        <v>847</v>
      </c>
      <c r="C124" s="889" t="s">
        <v>1102</v>
      </c>
      <c r="D124" s="718" t="s">
        <v>817</v>
      </c>
      <c r="E124" s="718" t="s">
        <v>818</v>
      </c>
      <c r="F124" s="929"/>
      <c r="G124" s="921" t="s">
        <v>33</v>
      </c>
      <c r="H124" s="921">
        <v>12</v>
      </c>
      <c r="I124" s="443">
        <v>455000</v>
      </c>
      <c r="J124" s="443">
        <f t="shared" si="5"/>
        <v>5460000</v>
      </c>
      <c r="K124" s="922">
        <v>0.35</v>
      </c>
      <c r="L124" s="443">
        <f>H124*I124*(1-K124)</f>
        <v>3549000</v>
      </c>
      <c r="M124" s="443"/>
      <c r="N124" s="443"/>
      <c r="O124" s="443"/>
      <c r="P124" s="443"/>
      <c r="Q124" s="443">
        <v>131</v>
      </c>
      <c r="R124" s="443">
        <f>SUM(L124:L131)</f>
        <v>30927000</v>
      </c>
      <c r="S124" s="923"/>
    </row>
    <row r="125" spans="1:19" s="924" customFormat="1" ht="16.8" x14ac:dyDescent="0.15">
      <c r="A125" s="920"/>
      <c r="B125" s="580" t="s">
        <v>847</v>
      </c>
      <c r="C125" s="889" t="s">
        <v>1102</v>
      </c>
      <c r="D125" s="718" t="s">
        <v>817</v>
      </c>
      <c r="E125" s="718"/>
      <c r="F125" s="929"/>
      <c r="G125" s="921" t="s">
        <v>34</v>
      </c>
      <c r="H125" s="921">
        <v>24</v>
      </c>
      <c r="I125" s="443">
        <v>265000</v>
      </c>
      <c r="J125" s="443">
        <f t="shared" si="5"/>
        <v>6360000</v>
      </c>
      <c r="K125" s="922">
        <v>0.35</v>
      </c>
      <c r="L125" s="443">
        <f t="shared" ref="L125:L131" si="10">H125*I125*(1-K125)</f>
        <v>4134000</v>
      </c>
      <c r="M125" s="443"/>
      <c r="N125" s="443"/>
      <c r="O125" s="443"/>
      <c r="P125" s="443"/>
      <c r="Q125" s="443"/>
      <c r="R125" s="443"/>
      <c r="S125" s="923"/>
    </row>
    <row r="126" spans="1:19" s="924" customFormat="1" ht="16.8" x14ac:dyDescent="0.15">
      <c r="A126" s="920"/>
      <c r="B126" s="580" t="s">
        <v>847</v>
      </c>
      <c r="C126" s="889" t="s">
        <v>1102</v>
      </c>
      <c r="D126" s="718" t="s">
        <v>817</v>
      </c>
      <c r="E126" s="718"/>
      <c r="F126" s="929"/>
      <c r="G126" s="921" t="s">
        <v>35</v>
      </c>
      <c r="H126" s="921">
        <v>12</v>
      </c>
      <c r="I126" s="443">
        <v>465000</v>
      </c>
      <c r="J126" s="443">
        <f t="shared" si="5"/>
        <v>5580000</v>
      </c>
      <c r="K126" s="922">
        <v>0.35</v>
      </c>
      <c r="L126" s="443">
        <f t="shared" si="10"/>
        <v>3627000</v>
      </c>
      <c r="M126" s="443"/>
      <c r="N126" s="443"/>
      <c r="O126" s="443"/>
      <c r="P126" s="443"/>
      <c r="Q126" s="443"/>
      <c r="R126" s="443"/>
      <c r="S126" s="923"/>
    </row>
    <row r="127" spans="1:19" s="924" customFormat="1" ht="16.8" x14ac:dyDescent="0.15">
      <c r="A127" s="920"/>
      <c r="B127" s="580" t="s">
        <v>847</v>
      </c>
      <c r="C127" s="889" t="s">
        <v>1102</v>
      </c>
      <c r="D127" s="718" t="s">
        <v>817</v>
      </c>
      <c r="E127" s="718"/>
      <c r="F127" s="929"/>
      <c r="G127" s="921" t="s">
        <v>37</v>
      </c>
      <c r="H127" s="921">
        <v>12</v>
      </c>
      <c r="I127" s="443">
        <v>475000</v>
      </c>
      <c r="J127" s="443">
        <f t="shared" si="5"/>
        <v>5700000</v>
      </c>
      <c r="K127" s="922">
        <v>0.35</v>
      </c>
      <c r="L127" s="443">
        <f t="shared" si="10"/>
        <v>3705000</v>
      </c>
      <c r="M127" s="443"/>
      <c r="N127" s="443"/>
      <c r="O127" s="443"/>
      <c r="P127" s="443"/>
      <c r="Q127" s="443"/>
      <c r="R127" s="443"/>
      <c r="S127" s="923"/>
    </row>
    <row r="128" spans="1:19" s="924" customFormat="1" ht="16.8" x14ac:dyDescent="0.15">
      <c r="A128" s="920"/>
      <c r="B128" s="580" t="s">
        <v>847</v>
      </c>
      <c r="C128" s="889" t="s">
        <v>1102</v>
      </c>
      <c r="D128" s="718" t="s">
        <v>817</v>
      </c>
      <c r="E128" s="718"/>
      <c r="F128" s="929"/>
      <c r="G128" s="921" t="s">
        <v>40</v>
      </c>
      <c r="H128" s="921">
        <v>12</v>
      </c>
      <c r="I128" s="443">
        <v>485000</v>
      </c>
      <c r="J128" s="443">
        <f t="shared" si="5"/>
        <v>5820000</v>
      </c>
      <c r="K128" s="922">
        <v>0.35</v>
      </c>
      <c r="L128" s="443">
        <f t="shared" si="10"/>
        <v>3783000</v>
      </c>
      <c r="M128" s="443"/>
      <c r="N128" s="443"/>
      <c r="O128" s="443"/>
      <c r="P128" s="443"/>
      <c r="Q128" s="443"/>
      <c r="R128" s="443"/>
      <c r="S128" s="923"/>
    </row>
    <row r="129" spans="1:19" s="924" customFormat="1" ht="16.8" x14ac:dyDescent="0.15">
      <c r="A129" s="920"/>
      <c r="B129" s="580" t="s">
        <v>847</v>
      </c>
      <c r="C129" s="889" t="s">
        <v>1102</v>
      </c>
      <c r="D129" s="718" t="s">
        <v>817</v>
      </c>
      <c r="E129" s="718"/>
      <c r="F129" s="929"/>
      <c r="G129" s="921" t="s">
        <v>41</v>
      </c>
      <c r="H129" s="921">
        <v>24</v>
      </c>
      <c r="I129" s="443">
        <v>550000</v>
      </c>
      <c r="J129" s="443">
        <f t="shared" si="5"/>
        <v>13200000</v>
      </c>
      <c r="K129" s="922">
        <v>0.35</v>
      </c>
      <c r="L129" s="443">
        <f t="shared" si="10"/>
        <v>8580000</v>
      </c>
      <c r="M129" s="443"/>
      <c r="N129" s="443"/>
      <c r="O129" s="443"/>
      <c r="P129" s="443"/>
      <c r="Q129" s="443"/>
      <c r="R129" s="443"/>
      <c r="S129" s="923"/>
    </row>
    <row r="130" spans="1:19" s="924" customFormat="1" ht="16.8" x14ac:dyDescent="0.15">
      <c r="A130" s="853"/>
      <c r="B130" s="580" t="s">
        <v>847</v>
      </c>
      <c r="C130" s="889" t="s">
        <v>1102</v>
      </c>
      <c r="D130" s="718" t="s">
        <v>817</v>
      </c>
      <c r="E130" s="720"/>
      <c r="F130" s="884"/>
      <c r="G130" s="878" t="s">
        <v>44</v>
      </c>
      <c r="H130" s="878">
        <v>0</v>
      </c>
      <c r="I130" s="332">
        <v>455000</v>
      </c>
      <c r="J130" s="443">
        <f t="shared" si="5"/>
        <v>0</v>
      </c>
      <c r="K130" s="930">
        <v>0.35</v>
      </c>
      <c r="L130" s="332">
        <f t="shared" si="10"/>
        <v>0</v>
      </c>
      <c r="M130" s="332"/>
      <c r="N130" s="332"/>
      <c r="O130" s="332"/>
      <c r="P130" s="332"/>
      <c r="Q130" s="332"/>
      <c r="R130" s="332"/>
      <c r="S130" s="925"/>
    </row>
    <row r="131" spans="1:19" s="924" customFormat="1" ht="16.8" x14ac:dyDescent="0.15">
      <c r="A131" s="699"/>
      <c r="B131" s="582" t="s">
        <v>847</v>
      </c>
      <c r="C131" s="931" t="s">
        <v>1102</v>
      </c>
      <c r="D131" s="701" t="s">
        <v>817</v>
      </c>
      <c r="E131" s="700"/>
      <c r="F131" s="927"/>
      <c r="G131" s="702" t="s">
        <v>42</v>
      </c>
      <c r="H131" s="702">
        <v>12</v>
      </c>
      <c r="I131" s="445">
        <v>455000</v>
      </c>
      <c r="J131" s="445">
        <f t="shared" si="5"/>
        <v>5460000</v>
      </c>
      <c r="K131" s="945">
        <v>0.35</v>
      </c>
      <c r="L131" s="936">
        <f t="shared" si="10"/>
        <v>3549000</v>
      </c>
      <c r="M131" s="445"/>
      <c r="N131" s="445"/>
      <c r="O131" s="445"/>
      <c r="P131" s="445"/>
      <c r="Q131" s="445"/>
      <c r="R131" s="445"/>
      <c r="S131" s="705"/>
    </row>
    <row r="132" spans="1:19" s="924" customFormat="1" ht="42" x14ac:dyDescent="0.15">
      <c r="A132" s="920">
        <v>40</v>
      </c>
      <c r="B132" s="580" t="s">
        <v>847</v>
      </c>
      <c r="C132" s="718" t="s">
        <v>77</v>
      </c>
      <c r="D132" s="718" t="s">
        <v>664</v>
      </c>
      <c r="E132" s="718" t="s">
        <v>719</v>
      </c>
      <c r="F132" s="929"/>
      <c r="G132" s="921" t="s">
        <v>44</v>
      </c>
      <c r="H132" s="921">
        <v>10</v>
      </c>
      <c r="I132" s="443">
        <v>455000</v>
      </c>
      <c r="J132" s="443">
        <f t="shared" si="5"/>
        <v>4550000</v>
      </c>
      <c r="K132" s="922">
        <v>1</v>
      </c>
      <c r="L132" s="443">
        <f>H132*I132*(1-K132)</f>
        <v>0</v>
      </c>
      <c r="M132" s="443"/>
      <c r="N132" s="443"/>
      <c r="O132" s="443"/>
      <c r="P132" s="443"/>
      <c r="Q132" s="443"/>
      <c r="R132" s="443">
        <f>SUM(L132:L135)</f>
        <v>0</v>
      </c>
      <c r="S132" s="946" t="s">
        <v>741</v>
      </c>
    </row>
    <row r="133" spans="1:19" s="924" customFormat="1" ht="25.2" x14ac:dyDescent="0.15">
      <c r="A133" s="853"/>
      <c r="B133" s="580" t="s">
        <v>847</v>
      </c>
      <c r="C133" s="718" t="s">
        <v>77</v>
      </c>
      <c r="D133" s="718" t="s">
        <v>664</v>
      </c>
      <c r="E133" s="718"/>
      <c r="F133" s="884"/>
      <c r="G133" s="878" t="s">
        <v>37</v>
      </c>
      <c r="H133" s="878">
        <v>11</v>
      </c>
      <c r="I133" s="332">
        <v>475000</v>
      </c>
      <c r="J133" s="443">
        <f t="shared" si="5"/>
        <v>5225000</v>
      </c>
      <c r="K133" s="930">
        <v>1</v>
      </c>
      <c r="L133" s="443">
        <f>H133*I133*(1-K133)</f>
        <v>0</v>
      </c>
      <c r="M133" s="332"/>
      <c r="N133" s="332"/>
      <c r="O133" s="332"/>
      <c r="P133" s="332"/>
      <c r="Q133" s="332"/>
      <c r="R133" s="332"/>
      <c r="S133" s="925"/>
    </row>
    <row r="134" spans="1:19" s="924" customFormat="1" ht="25.2" x14ac:dyDescent="0.15">
      <c r="A134" s="853"/>
      <c r="B134" s="580" t="s">
        <v>847</v>
      </c>
      <c r="C134" s="718" t="s">
        <v>77</v>
      </c>
      <c r="D134" s="718" t="s">
        <v>664</v>
      </c>
      <c r="E134" s="718"/>
      <c r="F134" s="884"/>
      <c r="G134" s="878" t="s">
        <v>41</v>
      </c>
      <c r="H134" s="878">
        <v>7</v>
      </c>
      <c r="I134" s="332">
        <v>550000</v>
      </c>
      <c r="J134" s="443">
        <f t="shared" si="5"/>
        <v>3850000</v>
      </c>
      <c r="K134" s="930">
        <v>1</v>
      </c>
      <c r="L134" s="443">
        <f>H134*I134*(1-K134)</f>
        <v>0</v>
      </c>
      <c r="M134" s="332"/>
      <c r="N134" s="332"/>
      <c r="O134" s="332"/>
      <c r="P134" s="332"/>
      <c r="Q134" s="332"/>
      <c r="R134" s="332"/>
      <c r="S134" s="925"/>
    </row>
    <row r="135" spans="1:19" s="924" customFormat="1" ht="25.2" x14ac:dyDescent="0.15">
      <c r="A135" s="699"/>
      <c r="B135" s="580" t="s">
        <v>847</v>
      </c>
      <c r="C135" s="718" t="s">
        <v>77</v>
      </c>
      <c r="D135" s="718" t="s">
        <v>664</v>
      </c>
      <c r="E135" s="701"/>
      <c r="F135" s="927"/>
      <c r="G135" s="702" t="s">
        <v>46</v>
      </c>
      <c r="H135" s="702">
        <v>2</v>
      </c>
      <c r="I135" s="445">
        <v>450000</v>
      </c>
      <c r="J135" s="687">
        <f t="shared" si="5"/>
        <v>900000</v>
      </c>
      <c r="K135" s="703">
        <v>1</v>
      </c>
      <c r="L135" s="445">
        <f>H135*I135*(1-K135)</f>
        <v>0</v>
      </c>
      <c r="M135" s="445"/>
      <c r="N135" s="445"/>
      <c r="O135" s="445"/>
      <c r="P135" s="445"/>
      <c r="Q135" s="445"/>
      <c r="R135" s="445"/>
      <c r="S135" s="705"/>
    </row>
    <row r="136" spans="1:19" s="924" customFormat="1" ht="8.4" x14ac:dyDescent="0.15">
      <c r="A136" s="677">
        <v>41</v>
      </c>
      <c r="B136" s="583" t="s">
        <v>839</v>
      </c>
      <c r="C136" s="932" t="s">
        <v>12</v>
      </c>
      <c r="D136" s="679" t="s">
        <v>840</v>
      </c>
      <c r="E136" s="679" t="s">
        <v>75</v>
      </c>
      <c r="F136" s="888"/>
      <c r="G136" s="680" t="s">
        <v>33</v>
      </c>
      <c r="H136" s="680">
        <v>24</v>
      </c>
      <c r="I136" s="446">
        <v>455000</v>
      </c>
      <c r="J136" s="446">
        <f t="shared" si="5"/>
        <v>10920000</v>
      </c>
      <c r="K136" s="681">
        <v>0.41</v>
      </c>
      <c r="L136" s="446">
        <f t="shared" si="8"/>
        <v>6442800.0000000009</v>
      </c>
      <c r="M136" s="446"/>
      <c r="N136" s="446"/>
      <c r="O136" s="446">
        <v>112</v>
      </c>
      <c r="P136" s="446">
        <f>L136</f>
        <v>6442800.0000000009</v>
      </c>
      <c r="Q136" s="446"/>
      <c r="R136" s="446"/>
      <c r="S136" s="683"/>
    </row>
    <row r="137" spans="1:19" s="924" customFormat="1" ht="33.6" x14ac:dyDescent="0.15">
      <c r="A137" s="707">
        <v>42</v>
      </c>
      <c r="B137" s="708" t="s">
        <v>839</v>
      </c>
      <c r="C137" s="939" t="s">
        <v>12</v>
      </c>
      <c r="D137" s="711" t="s">
        <v>1203</v>
      </c>
      <c r="E137" s="711" t="s">
        <v>581</v>
      </c>
      <c r="F137" s="947"/>
      <c r="G137" s="712" t="s">
        <v>33</v>
      </c>
      <c r="H137" s="712">
        <v>0</v>
      </c>
      <c r="I137" s="713">
        <v>455000</v>
      </c>
      <c r="J137" s="443">
        <f t="shared" si="5"/>
        <v>0</v>
      </c>
      <c r="K137" s="714">
        <v>0.5</v>
      </c>
      <c r="L137" s="713">
        <f t="shared" si="8"/>
        <v>0</v>
      </c>
      <c r="M137" s="713"/>
      <c r="N137" s="713"/>
      <c r="O137" s="713"/>
      <c r="P137" s="713"/>
      <c r="Q137" s="713">
        <v>131</v>
      </c>
      <c r="R137" s="713">
        <f>SUM(L137:L140)</f>
        <v>242500</v>
      </c>
      <c r="S137" s="727" t="s">
        <v>1117</v>
      </c>
    </row>
    <row r="138" spans="1:19" s="924" customFormat="1" ht="33.6" x14ac:dyDescent="0.15">
      <c r="A138" s="853"/>
      <c r="B138" s="453" t="s">
        <v>839</v>
      </c>
      <c r="C138" s="943" t="s">
        <v>12</v>
      </c>
      <c r="D138" s="720" t="s">
        <v>1203</v>
      </c>
      <c r="E138" s="720"/>
      <c r="F138" s="884"/>
      <c r="G138" s="878" t="s">
        <v>35</v>
      </c>
      <c r="H138" s="878">
        <v>0</v>
      </c>
      <c r="I138" s="332">
        <v>465000</v>
      </c>
      <c r="J138" s="443">
        <f t="shared" ref="J138:J180" si="11">H138*I138</f>
        <v>0</v>
      </c>
      <c r="K138" s="930">
        <v>0.5</v>
      </c>
      <c r="L138" s="332">
        <f t="shared" si="8"/>
        <v>0</v>
      </c>
      <c r="M138" s="332"/>
      <c r="N138" s="332"/>
      <c r="O138" s="332"/>
      <c r="P138" s="332"/>
      <c r="Q138" s="332"/>
      <c r="R138" s="332"/>
      <c r="S138" s="948" t="s">
        <v>1117</v>
      </c>
    </row>
    <row r="139" spans="1:19" s="924" customFormat="1" ht="33.6" x14ac:dyDescent="0.15">
      <c r="A139" s="853"/>
      <c r="B139" s="453" t="s">
        <v>839</v>
      </c>
      <c r="C139" s="943" t="s">
        <v>12</v>
      </c>
      <c r="D139" s="720" t="s">
        <v>1203</v>
      </c>
      <c r="E139" s="720"/>
      <c r="F139" s="884"/>
      <c r="G139" s="878" t="s">
        <v>37</v>
      </c>
      <c r="H139" s="878">
        <v>0</v>
      </c>
      <c r="I139" s="332">
        <v>475000</v>
      </c>
      <c r="J139" s="443">
        <f t="shared" si="11"/>
        <v>0</v>
      </c>
      <c r="K139" s="930">
        <v>0.5</v>
      </c>
      <c r="L139" s="332">
        <f t="shared" si="8"/>
        <v>0</v>
      </c>
      <c r="M139" s="332"/>
      <c r="N139" s="332"/>
      <c r="O139" s="332"/>
      <c r="P139" s="332"/>
      <c r="Q139" s="332"/>
      <c r="R139" s="332"/>
      <c r="S139" s="926" t="s">
        <v>1118</v>
      </c>
    </row>
    <row r="140" spans="1:19" s="924" customFormat="1" ht="33.6" x14ac:dyDescent="0.15">
      <c r="A140" s="852"/>
      <c r="B140" s="582" t="s">
        <v>839</v>
      </c>
      <c r="C140" s="931" t="s">
        <v>12</v>
      </c>
      <c r="D140" s="701" t="s">
        <v>1203</v>
      </c>
      <c r="E140" s="700"/>
      <c r="F140" s="880"/>
      <c r="G140" s="881" t="s">
        <v>40</v>
      </c>
      <c r="H140" s="881">
        <v>1</v>
      </c>
      <c r="I140" s="936">
        <v>485000</v>
      </c>
      <c r="J140" s="445">
        <f t="shared" si="11"/>
        <v>485000</v>
      </c>
      <c r="K140" s="945">
        <v>0.5</v>
      </c>
      <c r="L140" s="936">
        <f t="shared" si="8"/>
        <v>242500</v>
      </c>
      <c r="M140" s="936"/>
      <c r="N140" s="936"/>
      <c r="O140" s="936"/>
      <c r="P140" s="936"/>
      <c r="Q140" s="936"/>
      <c r="R140" s="936"/>
      <c r="S140" s="1038" t="s">
        <v>1114</v>
      </c>
    </row>
    <row r="141" spans="1:19" s="924" customFormat="1" ht="33.6" x14ac:dyDescent="0.15">
      <c r="A141" s="852">
        <v>43</v>
      </c>
      <c r="B141" s="744" t="s">
        <v>875</v>
      </c>
      <c r="C141" s="879" t="s">
        <v>77</v>
      </c>
      <c r="D141" s="700" t="s">
        <v>920</v>
      </c>
      <c r="E141" s="700" t="s">
        <v>146</v>
      </c>
      <c r="F141" s="880"/>
      <c r="G141" s="881" t="s">
        <v>39</v>
      </c>
      <c r="H141" s="881">
        <v>5</v>
      </c>
      <c r="I141" s="936">
        <v>285000</v>
      </c>
      <c r="J141" s="446">
        <f t="shared" si="11"/>
        <v>1425000</v>
      </c>
      <c r="K141" s="945">
        <v>1</v>
      </c>
      <c r="L141" s="936">
        <f t="shared" si="8"/>
        <v>0</v>
      </c>
      <c r="M141" s="936"/>
      <c r="N141" s="936"/>
      <c r="O141" s="936"/>
      <c r="P141" s="936"/>
      <c r="Q141" s="936"/>
      <c r="R141" s="936"/>
      <c r="S141" s="944"/>
    </row>
    <row r="142" spans="1:19" s="924" customFormat="1" ht="33.6" x14ac:dyDescent="0.15">
      <c r="A142" s="684">
        <v>44</v>
      </c>
      <c r="B142" s="584" t="s">
        <v>875</v>
      </c>
      <c r="C142" s="882" t="s">
        <v>77</v>
      </c>
      <c r="D142" s="685" t="s">
        <v>920</v>
      </c>
      <c r="E142" s="685" t="s">
        <v>146</v>
      </c>
      <c r="F142" s="883"/>
      <c r="G142" s="686" t="s">
        <v>33</v>
      </c>
      <c r="H142" s="686">
        <v>1</v>
      </c>
      <c r="I142" s="687">
        <v>455000</v>
      </c>
      <c r="J142" s="443">
        <f t="shared" si="11"/>
        <v>455000</v>
      </c>
      <c r="K142" s="688">
        <v>1</v>
      </c>
      <c r="L142" s="687">
        <f t="shared" si="8"/>
        <v>0</v>
      </c>
      <c r="M142" s="687"/>
      <c r="N142" s="687"/>
      <c r="O142" s="687"/>
      <c r="P142" s="687"/>
      <c r="Q142" s="687"/>
      <c r="R142" s="687"/>
      <c r="S142" s="690"/>
    </row>
    <row r="143" spans="1:19" s="924" customFormat="1" ht="33.6" x14ac:dyDescent="0.15">
      <c r="A143" s="853"/>
      <c r="B143" s="453" t="s">
        <v>875</v>
      </c>
      <c r="C143" s="943" t="s">
        <v>77</v>
      </c>
      <c r="D143" s="720" t="s">
        <v>920</v>
      </c>
      <c r="E143" s="720" t="s">
        <v>146</v>
      </c>
      <c r="F143" s="884"/>
      <c r="G143" s="878" t="s">
        <v>35</v>
      </c>
      <c r="H143" s="878">
        <v>1</v>
      </c>
      <c r="I143" s="332">
        <v>465000</v>
      </c>
      <c r="J143" s="443">
        <f t="shared" si="11"/>
        <v>465000</v>
      </c>
      <c r="K143" s="930">
        <v>1</v>
      </c>
      <c r="L143" s="332">
        <f t="shared" si="8"/>
        <v>0</v>
      </c>
      <c r="M143" s="332"/>
      <c r="N143" s="332"/>
      <c r="O143" s="332"/>
      <c r="P143" s="332"/>
      <c r="Q143" s="332"/>
      <c r="R143" s="332"/>
      <c r="S143" s="925"/>
    </row>
    <row r="144" spans="1:19" s="924" customFormat="1" ht="33.6" x14ac:dyDescent="0.15">
      <c r="A144" s="853"/>
      <c r="B144" s="453" t="s">
        <v>875</v>
      </c>
      <c r="C144" s="943" t="s">
        <v>77</v>
      </c>
      <c r="D144" s="720" t="s">
        <v>920</v>
      </c>
      <c r="E144" s="720" t="s">
        <v>146</v>
      </c>
      <c r="F144" s="884"/>
      <c r="G144" s="878" t="s">
        <v>39</v>
      </c>
      <c r="H144" s="878">
        <v>1</v>
      </c>
      <c r="I144" s="332">
        <v>285000</v>
      </c>
      <c r="J144" s="443">
        <f t="shared" si="11"/>
        <v>285000</v>
      </c>
      <c r="K144" s="930">
        <v>1</v>
      </c>
      <c r="L144" s="332">
        <f t="shared" ref="L144" si="12">H144*I144*(1-K144)</f>
        <v>0</v>
      </c>
      <c r="M144" s="332"/>
      <c r="N144" s="332"/>
      <c r="O144" s="332"/>
      <c r="P144" s="332"/>
      <c r="Q144" s="332"/>
      <c r="R144" s="332"/>
      <c r="S144" s="925"/>
    </row>
    <row r="145" spans="1:20" s="924" customFormat="1" ht="33.6" x14ac:dyDescent="0.15">
      <c r="A145" s="853"/>
      <c r="B145" s="453" t="s">
        <v>875</v>
      </c>
      <c r="C145" s="943" t="s">
        <v>77</v>
      </c>
      <c r="D145" s="720" t="s">
        <v>920</v>
      </c>
      <c r="E145" s="720" t="s">
        <v>146</v>
      </c>
      <c r="F145" s="884"/>
      <c r="G145" s="878" t="s">
        <v>40</v>
      </c>
      <c r="H145" s="878">
        <v>1</v>
      </c>
      <c r="I145" s="332">
        <v>485000</v>
      </c>
      <c r="J145" s="443">
        <f t="shared" si="11"/>
        <v>485000</v>
      </c>
      <c r="K145" s="930">
        <v>1</v>
      </c>
      <c r="L145" s="332">
        <f t="shared" si="8"/>
        <v>0</v>
      </c>
      <c r="M145" s="332"/>
      <c r="N145" s="332"/>
      <c r="O145" s="332"/>
      <c r="P145" s="332"/>
      <c r="Q145" s="332"/>
      <c r="R145" s="332"/>
      <c r="S145" s="925"/>
    </row>
    <row r="146" spans="1:20" s="924" customFormat="1" ht="33.6" x14ac:dyDescent="0.15">
      <c r="A146" s="853"/>
      <c r="B146" s="453" t="s">
        <v>875</v>
      </c>
      <c r="C146" s="943" t="s">
        <v>77</v>
      </c>
      <c r="D146" s="720" t="s">
        <v>920</v>
      </c>
      <c r="E146" s="720" t="s">
        <v>146</v>
      </c>
      <c r="F146" s="884"/>
      <c r="G146" s="878" t="s">
        <v>60</v>
      </c>
      <c r="H146" s="878">
        <v>1</v>
      </c>
      <c r="I146" s="332">
        <v>485000</v>
      </c>
      <c r="J146" s="443">
        <f t="shared" si="11"/>
        <v>485000</v>
      </c>
      <c r="K146" s="930">
        <v>1</v>
      </c>
      <c r="L146" s="332">
        <f t="shared" si="8"/>
        <v>0</v>
      </c>
      <c r="M146" s="332"/>
      <c r="N146" s="332"/>
      <c r="O146" s="332"/>
      <c r="P146" s="332"/>
      <c r="Q146" s="332"/>
      <c r="R146" s="332"/>
      <c r="S146" s="925"/>
    </row>
    <row r="147" spans="1:20" s="924" customFormat="1" ht="33.6" x14ac:dyDescent="0.15">
      <c r="A147" s="853"/>
      <c r="B147" s="453" t="s">
        <v>875</v>
      </c>
      <c r="C147" s="943" t="s">
        <v>77</v>
      </c>
      <c r="D147" s="720" t="s">
        <v>920</v>
      </c>
      <c r="E147" s="720" t="s">
        <v>146</v>
      </c>
      <c r="F147" s="884"/>
      <c r="G147" s="878" t="s">
        <v>41</v>
      </c>
      <c r="H147" s="878">
        <v>6</v>
      </c>
      <c r="I147" s="332">
        <v>550000</v>
      </c>
      <c r="J147" s="443">
        <f t="shared" si="11"/>
        <v>3300000</v>
      </c>
      <c r="K147" s="930">
        <v>1</v>
      </c>
      <c r="L147" s="332">
        <f t="shared" si="8"/>
        <v>0</v>
      </c>
      <c r="M147" s="332"/>
      <c r="N147" s="332"/>
      <c r="O147" s="332"/>
      <c r="P147" s="332"/>
      <c r="Q147" s="332"/>
      <c r="R147" s="332"/>
      <c r="S147" s="925"/>
    </row>
    <row r="148" spans="1:20" s="924" customFormat="1" ht="33.6" x14ac:dyDescent="0.15">
      <c r="A148" s="853"/>
      <c r="B148" s="453" t="s">
        <v>875</v>
      </c>
      <c r="C148" s="943" t="s">
        <v>77</v>
      </c>
      <c r="D148" s="720" t="s">
        <v>920</v>
      </c>
      <c r="E148" s="720" t="s">
        <v>146</v>
      </c>
      <c r="F148" s="884"/>
      <c r="G148" s="878" t="s">
        <v>44</v>
      </c>
      <c r="H148" s="878">
        <v>2</v>
      </c>
      <c r="I148" s="332">
        <v>455000</v>
      </c>
      <c r="J148" s="443">
        <f t="shared" si="11"/>
        <v>910000</v>
      </c>
      <c r="K148" s="930">
        <v>1</v>
      </c>
      <c r="L148" s="332">
        <f t="shared" si="8"/>
        <v>0</v>
      </c>
      <c r="M148" s="332"/>
      <c r="N148" s="332"/>
      <c r="O148" s="332"/>
      <c r="P148" s="332"/>
      <c r="Q148" s="332"/>
      <c r="R148" s="332"/>
      <c r="S148" s="925"/>
    </row>
    <row r="149" spans="1:20" s="924" customFormat="1" ht="33.6" x14ac:dyDescent="0.15">
      <c r="A149" s="852"/>
      <c r="B149" s="744" t="s">
        <v>875</v>
      </c>
      <c r="C149" s="879" t="s">
        <v>77</v>
      </c>
      <c r="D149" s="700" t="s">
        <v>920</v>
      </c>
      <c r="E149" s="700" t="s">
        <v>146</v>
      </c>
      <c r="F149" s="880"/>
      <c r="G149" s="881" t="s">
        <v>42</v>
      </c>
      <c r="H149" s="881">
        <v>1</v>
      </c>
      <c r="I149" s="936">
        <v>455000</v>
      </c>
      <c r="J149" s="687">
        <f t="shared" si="11"/>
        <v>455000</v>
      </c>
      <c r="K149" s="945">
        <v>1</v>
      </c>
      <c r="L149" s="936">
        <f t="shared" si="8"/>
        <v>0</v>
      </c>
      <c r="M149" s="936"/>
      <c r="N149" s="936"/>
      <c r="O149" s="936"/>
      <c r="P149" s="936"/>
      <c r="Q149" s="936"/>
      <c r="R149" s="936"/>
      <c r="S149" s="944"/>
    </row>
    <row r="150" spans="1:20" s="924" customFormat="1" ht="33.6" x14ac:dyDescent="0.15">
      <c r="A150" s="852">
        <v>45</v>
      </c>
      <c r="B150" s="744" t="s">
        <v>875</v>
      </c>
      <c r="C150" s="879" t="s">
        <v>77</v>
      </c>
      <c r="D150" s="700" t="s">
        <v>920</v>
      </c>
      <c r="E150" s="700"/>
      <c r="F150" s="880"/>
      <c r="G150" s="881" t="s">
        <v>37</v>
      </c>
      <c r="H150" s="881">
        <v>8</v>
      </c>
      <c r="I150" s="936">
        <v>475000</v>
      </c>
      <c r="J150" s="446">
        <f t="shared" si="11"/>
        <v>3800000</v>
      </c>
      <c r="K150" s="945">
        <v>1</v>
      </c>
      <c r="L150" s="936">
        <f t="shared" si="8"/>
        <v>0</v>
      </c>
      <c r="M150" s="936"/>
      <c r="N150" s="936"/>
      <c r="O150" s="936"/>
      <c r="P150" s="936"/>
      <c r="Q150" s="936"/>
      <c r="R150" s="936"/>
      <c r="S150" s="944"/>
    </row>
    <row r="151" spans="1:20" s="924" customFormat="1" ht="33.6" x14ac:dyDescent="0.15">
      <c r="A151" s="677">
        <v>46</v>
      </c>
      <c r="B151" s="583" t="s">
        <v>823</v>
      </c>
      <c r="C151" s="932" t="s">
        <v>12</v>
      </c>
      <c r="D151" s="679" t="s">
        <v>841</v>
      </c>
      <c r="E151" s="679" t="s">
        <v>842</v>
      </c>
      <c r="F151" s="888"/>
      <c r="G151" s="680" t="s">
        <v>35</v>
      </c>
      <c r="H151" s="680">
        <v>1</v>
      </c>
      <c r="I151" s="446">
        <v>465000</v>
      </c>
      <c r="J151" s="446">
        <f t="shared" si="11"/>
        <v>465000</v>
      </c>
      <c r="K151" s="681">
        <v>0.41</v>
      </c>
      <c r="L151" s="446">
        <f t="shared" si="8"/>
        <v>274350.00000000006</v>
      </c>
      <c r="M151" s="446"/>
      <c r="N151" s="446"/>
      <c r="O151" s="446">
        <v>112</v>
      </c>
      <c r="P151" s="446">
        <v>332000</v>
      </c>
      <c r="Q151" s="446"/>
      <c r="R151" s="446"/>
      <c r="S151" s="683"/>
      <c r="T151" s="941"/>
    </row>
    <row r="152" spans="1:20" s="924" customFormat="1" ht="33.6" x14ac:dyDescent="0.15">
      <c r="A152" s="920">
        <v>47</v>
      </c>
      <c r="B152" s="580" t="s">
        <v>891</v>
      </c>
      <c r="C152" s="889" t="s">
        <v>918</v>
      </c>
      <c r="D152" s="718" t="s">
        <v>127</v>
      </c>
      <c r="E152" s="718"/>
      <c r="F152" s="929"/>
      <c r="G152" s="921" t="s">
        <v>33</v>
      </c>
      <c r="H152" s="921">
        <v>12</v>
      </c>
      <c r="I152" s="443">
        <v>455000</v>
      </c>
      <c r="J152" s="443">
        <f t="shared" si="11"/>
        <v>5460000</v>
      </c>
      <c r="K152" s="922">
        <v>0.41</v>
      </c>
      <c r="L152" s="443">
        <f t="shared" ref="L152:L154" si="13">H152*I152*(1-K152)</f>
        <v>3221400.0000000005</v>
      </c>
      <c r="M152" s="443"/>
      <c r="N152" s="443"/>
      <c r="O152" s="443"/>
      <c r="P152" s="443"/>
      <c r="Q152" s="443">
        <v>131</v>
      </c>
      <c r="R152" s="443">
        <f>SUM(L152:L156)</f>
        <v>13098000.000000002</v>
      </c>
      <c r="S152" s="1100" t="s">
        <v>921</v>
      </c>
    </row>
    <row r="153" spans="1:20" s="924" customFormat="1" ht="16.8" x14ac:dyDescent="0.15">
      <c r="A153" s="853"/>
      <c r="B153" s="580" t="s">
        <v>891</v>
      </c>
      <c r="C153" s="889" t="s">
        <v>918</v>
      </c>
      <c r="D153" s="718" t="s">
        <v>127</v>
      </c>
      <c r="E153" s="720"/>
      <c r="F153" s="884"/>
      <c r="G153" s="878" t="s">
        <v>35</v>
      </c>
      <c r="H153" s="878">
        <v>12</v>
      </c>
      <c r="I153" s="332">
        <v>465000</v>
      </c>
      <c r="J153" s="443">
        <f t="shared" si="11"/>
        <v>5580000</v>
      </c>
      <c r="K153" s="930">
        <v>0.41</v>
      </c>
      <c r="L153" s="332">
        <f t="shared" si="13"/>
        <v>3292200.0000000005</v>
      </c>
      <c r="M153" s="332"/>
      <c r="N153" s="332"/>
      <c r="O153" s="332"/>
      <c r="P153" s="332"/>
      <c r="Q153" s="332"/>
      <c r="R153" s="332"/>
      <c r="S153" s="925"/>
    </row>
    <row r="154" spans="1:20" s="924" customFormat="1" ht="16.8" x14ac:dyDescent="0.15">
      <c r="A154" s="853"/>
      <c r="B154" s="580" t="s">
        <v>891</v>
      </c>
      <c r="C154" s="889" t="s">
        <v>918</v>
      </c>
      <c r="D154" s="718" t="s">
        <v>127</v>
      </c>
      <c r="E154" s="720"/>
      <c r="F154" s="884"/>
      <c r="G154" s="878" t="s">
        <v>37</v>
      </c>
      <c r="H154" s="878">
        <v>12</v>
      </c>
      <c r="I154" s="332">
        <v>475000</v>
      </c>
      <c r="J154" s="443">
        <f t="shared" si="11"/>
        <v>5700000</v>
      </c>
      <c r="K154" s="930">
        <v>0.41</v>
      </c>
      <c r="L154" s="332">
        <f t="shared" si="13"/>
        <v>3363000.0000000005</v>
      </c>
      <c r="M154" s="332"/>
      <c r="N154" s="332"/>
      <c r="O154" s="332"/>
      <c r="P154" s="332"/>
      <c r="Q154" s="332"/>
      <c r="R154" s="332"/>
      <c r="S154" s="925"/>
    </row>
    <row r="155" spans="1:20" s="924" customFormat="1" ht="16.8" x14ac:dyDescent="0.15">
      <c r="A155" s="920"/>
      <c r="B155" s="580" t="s">
        <v>891</v>
      </c>
      <c r="C155" s="889" t="s">
        <v>918</v>
      </c>
      <c r="D155" s="718" t="s">
        <v>127</v>
      </c>
      <c r="E155" s="718"/>
      <c r="F155" s="929"/>
      <c r="G155" s="921" t="s">
        <v>44</v>
      </c>
      <c r="H155" s="921">
        <v>0</v>
      </c>
      <c r="I155" s="443">
        <v>455000</v>
      </c>
      <c r="J155" s="443">
        <f t="shared" si="11"/>
        <v>0</v>
      </c>
      <c r="K155" s="922">
        <v>0.41</v>
      </c>
      <c r="L155" s="443">
        <f t="shared" ref="L155:L157" si="14">H155*I155*(1-K155)</f>
        <v>0</v>
      </c>
      <c r="M155" s="443"/>
      <c r="N155" s="443"/>
      <c r="O155" s="443"/>
      <c r="P155" s="443"/>
      <c r="Q155" s="443"/>
      <c r="R155" s="443"/>
      <c r="S155" s="923"/>
    </row>
    <row r="156" spans="1:20" s="924" customFormat="1" ht="16.8" x14ac:dyDescent="0.15">
      <c r="A156" s="699"/>
      <c r="B156" s="582" t="s">
        <v>891</v>
      </c>
      <c r="C156" s="931" t="s">
        <v>918</v>
      </c>
      <c r="D156" s="701" t="s">
        <v>127</v>
      </c>
      <c r="E156" s="701"/>
      <c r="F156" s="927"/>
      <c r="G156" s="702" t="s">
        <v>42</v>
      </c>
      <c r="H156" s="702">
        <v>12</v>
      </c>
      <c r="I156" s="445">
        <v>455000</v>
      </c>
      <c r="J156" s="445">
        <f t="shared" si="11"/>
        <v>5460000</v>
      </c>
      <c r="K156" s="703">
        <v>0.41</v>
      </c>
      <c r="L156" s="445">
        <f t="shared" si="14"/>
        <v>3221400.0000000005</v>
      </c>
      <c r="M156" s="445"/>
      <c r="N156" s="445"/>
      <c r="O156" s="445"/>
      <c r="P156" s="445"/>
      <c r="Q156" s="445"/>
      <c r="R156" s="445"/>
      <c r="S156" s="705"/>
    </row>
    <row r="157" spans="1:20" s="924" customFormat="1" ht="33.6" x14ac:dyDescent="0.15">
      <c r="A157" s="677">
        <v>48</v>
      </c>
      <c r="B157" s="583" t="s">
        <v>891</v>
      </c>
      <c r="C157" s="932" t="s">
        <v>12</v>
      </c>
      <c r="D157" s="679" t="s">
        <v>892</v>
      </c>
      <c r="E157" s="679"/>
      <c r="F157" s="888"/>
      <c r="G157" s="680" t="s">
        <v>40</v>
      </c>
      <c r="H157" s="680">
        <v>9</v>
      </c>
      <c r="I157" s="446">
        <v>485000</v>
      </c>
      <c r="J157" s="446">
        <f t="shared" si="11"/>
        <v>4365000</v>
      </c>
      <c r="K157" s="681">
        <v>0.41</v>
      </c>
      <c r="L157" s="446">
        <f t="shared" si="14"/>
        <v>2575350.0000000005</v>
      </c>
      <c r="M157" s="446">
        <v>111</v>
      </c>
      <c r="N157" s="446">
        <f>L157</f>
        <v>2575350.0000000005</v>
      </c>
      <c r="O157" s="446"/>
      <c r="P157" s="446"/>
      <c r="Q157" s="446"/>
      <c r="R157" s="446"/>
      <c r="S157" s="724" t="s">
        <v>905</v>
      </c>
    </row>
    <row r="158" spans="1:20" s="924" customFormat="1" ht="16.8" x14ac:dyDescent="0.15">
      <c r="A158" s="677">
        <v>49</v>
      </c>
      <c r="B158" s="583" t="s">
        <v>891</v>
      </c>
      <c r="C158" s="932" t="s">
        <v>12</v>
      </c>
      <c r="D158" s="679" t="s">
        <v>590</v>
      </c>
      <c r="E158" s="679"/>
      <c r="F158" s="888"/>
      <c r="G158" s="680" t="s">
        <v>42</v>
      </c>
      <c r="H158" s="680">
        <v>2</v>
      </c>
      <c r="I158" s="446">
        <v>455000</v>
      </c>
      <c r="J158" s="446">
        <f t="shared" si="11"/>
        <v>910000</v>
      </c>
      <c r="K158" s="681">
        <v>0.41</v>
      </c>
      <c r="L158" s="446">
        <f t="shared" si="8"/>
        <v>536900.00000000012</v>
      </c>
      <c r="M158" s="446"/>
      <c r="N158" s="446"/>
      <c r="O158" s="446"/>
      <c r="P158" s="446"/>
      <c r="Q158" s="446">
        <v>131</v>
      </c>
      <c r="R158" s="446">
        <f>L158</f>
        <v>536900.00000000012</v>
      </c>
      <c r="S158" s="683"/>
    </row>
    <row r="159" spans="1:20" s="924" customFormat="1" ht="8.4" x14ac:dyDescent="0.15">
      <c r="A159" s="677">
        <v>50</v>
      </c>
      <c r="B159" s="583" t="s">
        <v>891</v>
      </c>
      <c r="C159" s="932" t="s">
        <v>61</v>
      </c>
      <c r="D159" s="679" t="s">
        <v>127</v>
      </c>
      <c r="E159" s="679"/>
      <c r="F159" s="888"/>
      <c r="G159" s="680" t="s">
        <v>36</v>
      </c>
      <c r="H159" s="680">
        <v>1</v>
      </c>
      <c r="I159" s="446">
        <v>275000</v>
      </c>
      <c r="J159" s="446">
        <f t="shared" si="11"/>
        <v>275000</v>
      </c>
      <c r="K159" s="681">
        <v>0.41</v>
      </c>
      <c r="L159" s="446">
        <f t="shared" si="8"/>
        <v>162250.00000000003</v>
      </c>
      <c r="M159" s="446"/>
      <c r="N159" s="446"/>
      <c r="O159" s="446">
        <v>112</v>
      </c>
      <c r="P159" s="446">
        <f>L159</f>
        <v>162250.00000000003</v>
      </c>
      <c r="Q159" s="446"/>
      <c r="R159" s="446"/>
      <c r="S159" s="683" t="s">
        <v>731</v>
      </c>
    </row>
    <row r="160" spans="1:20" s="924" customFormat="1" ht="8.4" x14ac:dyDescent="0.15">
      <c r="A160" s="684">
        <v>51</v>
      </c>
      <c r="B160" s="584" t="s">
        <v>891</v>
      </c>
      <c r="C160" s="882" t="s">
        <v>17</v>
      </c>
      <c r="D160" s="685" t="s">
        <v>947</v>
      </c>
      <c r="E160" s="685" t="s">
        <v>948</v>
      </c>
      <c r="F160" s="883"/>
      <c r="G160" s="686" t="s">
        <v>35</v>
      </c>
      <c r="H160" s="686">
        <v>1</v>
      </c>
      <c r="I160" s="687">
        <v>465000</v>
      </c>
      <c r="J160" s="443">
        <f t="shared" ref="J160:J161" si="15">H160*I160</f>
        <v>465000</v>
      </c>
      <c r="K160" s="688">
        <v>0.41</v>
      </c>
      <c r="L160" s="687">
        <f t="shared" ref="L160:L161" si="16">H160*I160*(1-K160)</f>
        <v>274350.00000000006</v>
      </c>
      <c r="M160" s="687"/>
      <c r="N160" s="687"/>
      <c r="O160" s="687">
        <v>112</v>
      </c>
      <c r="P160" s="687">
        <f>L160+L161+L162</f>
        <v>828950.00000000023</v>
      </c>
      <c r="Q160" s="687"/>
      <c r="R160" s="687"/>
      <c r="S160" s="690" t="s">
        <v>731</v>
      </c>
    </row>
    <row r="161" spans="1:19" s="924" customFormat="1" ht="8.4" x14ac:dyDescent="0.15">
      <c r="A161" s="684"/>
      <c r="B161" s="584" t="s">
        <v>891</v>
      </c>
      <c r="C161" s="882" t="s">
        <v>17</v>
      </c>
      <c r="D161" s="685" t="s">
        <v>947</v>
      </c>
      <c r="E161" s="685" t="s">
        <v>948</v>
      </c>
      <c r="F161" s="883"/>
      <c r="G161" s="686" t="s">
        <v>40</v>
      </c>
      <c r="H161" s="686">
        <v>1</v>
      </c>
      <c r="I161" s="687">
        <v>485000</v>
      </c>
      <c r="J161" s="443">
        <f t="shared" si="15"/>
        <v>485000</v>
      </c>
      <c r="K161" s="688">
        <v>0.41</v>
      </c>
      <c r="L161" s="687">
        <f t="shared" si="16"/>
        <v>286150.00000000006</v>
      </c>
      <c r="M161" s="687"/>
      <c r="N161" s="687"/>
      <c r="O161" s="687"/>
      <c r="P161" s="687"/>
      <c r="Q161" s="687"/>
      <c r="R161" s="687"/>
      <c r="S161" s="690"/>
    </row>
    <row r="162" spans="1:19" s="924" customFormat="1" ht="8.4" x14ac:dyDescent="0.15">
      <c r="A162" s="684"/>
      <c r="B162" s="584" t="s">
        <v>891</v>
      </c>
      <c r="C162" s="882" t="s">
        <v>17</v>
      </c>
      <c r="D162" s="685" t="s">
        <v>947</v>
      </c>
      <c r="E162" s="685" t="s">
        <v>948</v>
      </c>
      <c r="F162" s="883"/>
      <c r="G162" s="686" t="s">
        <v>44</v>
      </c>
      <c r="H162" s="686">
        <v>1</v>
      </c>
      <c r="I162" s="687">
        <v>455000</v>
      </c>
      <c r="J162" s="443">
        <f t="shared" si="11"/>
        <v>455000</v>
      </c>
      <c r="K162" s="688">
        <v>0.41</v>
      </c>
      <c r="L162" s="687">
        <f t="shared" si="8"/>
        <v>268450.00000000006</v>
      </c>
      <c r="M162" s="687"/>
      <c r="N162" s="687"/>
      <c r="O162" s="687"/>
      <c r="P162" s="687"/>
      <c r="Q162" s="687"/>
      <c r="R162" s="687"/>
      <c r="S162" s="690"/>
    </row>
    <row r="163" spans="1:19" s="924" customFormat="1" ht="16.8" x14ac:dyDescent="0.15">
      <c r="A163" s="677">
        <v>52</v>
      </c>
      <c r="B163" s="583" t="s">
        <v>902</v>
      </c>
      <c r="C163" s="932" t="s">
        <v>12</v>
      </c>
      <c r="D163" s="679" t="s">
        <v>949</v>
      </c>
      <c r="E163" s="679" t="s">
        <v>657</v>
      </c>
      <c r="F163" s="888" t="s">
        <v>950</v>
      </c>
      <c r="G163" s="680" t="s">
        <v>35</v>
      </c>
      <c r="H163" s="680">
        <v>12</v>
      </c>
      <c r="I163" s="446">
        <v>465000</v>
      </c>
      <c r="J163" s="446">
        <f t="shared" si="11"/>
        <v>5580000</v>
      </c>
      <c r="K163" s="681">
        <v>0.41</v>
      </c>
      <c r="L163" s="446">
        <f t="shared" ref="L163:L180" si="17">H163*I163*(1-K163)</f>
        <v>3292200.0000000005</v>
      </c>
      <c r="M163" s="446"/>
      <c r="N163" s="446"/>
      <c r="O163" s="446"/>
      <c r="P163" s="446"/>
      <c r="Q163" s="446">
        <v>131</v>
      </c>
      <c r="R163" s="446">
        <f>L163</f>
        <v>3292200.0000000005</v>
      </c>
      <c r="S163" s="683"/>
    </row>
    <row r="164" spans="1:19" s="924" customFormat="1" ht="16.8" x14ac:dyDescent="0.15">
      <c r="A164" s="677">
        <v>53</v>
      </c>
      <c r="B164" s="583" t="s">
        <v>902</v>
      </c>
      <c r="C164" s="932" t="s">
        <v>12</v>
      </c>
      <c r="D164" s="679" t="s">
        <v>797</v>
      </c>
      <c r="E164" s="679" t="s">
        <v>951</v>
      </c>
      <c r="F164" s="888" t="s">
        <v>262</v>
      </c>
      <c r="G164" s="680" t="s">
        <v>44</v>
      </c>
      <c r="H164" s="680">
        <v>60</v>
      </c>
      <c r="I164" s="446">
        <v>455000</v>
      </c>
      <c r="J164" s="446">
        <f t="shared" si="11"/>
        <v>27300000</v>
      </c>
      <c r="K164" s="681">
        <v>0.41</v>
      </c>
      <c r="L164" s="446">
        <f t="shared" si="17"/>
        <v>16107000.000000002</v>
      </c>
      <c r="M164" s="446"/>
      <c r="N164" s="446"/>
      <c r="O164" s="446"/>
      <c r="P164" s="446"/>
      <c r="Q164" s="446">
        <v>131</v>
      </c>
      <c r="R164" s="446">
        <f>L164</f>
        <v>16107000.000000002</v>
      </c>
      <c r="S164" s="683"/>
    </row>
    <row r="165" spans="1:19" s="924" customFormat="1" ht="16.8" x14ac:dyDescent="0.15">
      <c r="A165" s="677">
        <v>54</v>
      </c>
      <c r="B165" s="583" t="s">
        <v>952</v>
      </c>
      <c r="C165" s="932" t="s">
        <v>61</v>
      </c>
      <c r="D165" s="679" t="s">
        <v>953</v>
      </c>
      <c r="E165" s="679" t="s">
        <v>954</v>
      </c>
      <c r="F165" s="888"/>
      <c r="G165" s="680" t="s">
        <v>44</v>
      </c>
      <c r="H165" s="680">
        <v>1</v>
      </c>
      <c r="I165" s="446">
        <v>455000</v>
      </c>
      <c r="J165" s="687">
        <f t="shared" si="11"/>
        <v>455000</v>
      </c>
      <c r="K165" s="681">
        <v>0.41</v>
      </c>
      <c r="L165" s="446">
        <f t="shared" si="17"/>
        <v>268450.00000000006</v>
      </c>
      <c r="M165" s="446"/>
      <c r="N165" s="446"/>
      <c r="O165" s="446">
        <v>112</v>
      </c>
      <c r="P165" s="446">
        <f>L165</f>
        <v>268450.00000000006</v>
      </c>
      <c r="Q165" s="446"/>
      <c r="R165" s="446"/>
      <c r="S165" s="683" t="s">
        <v>731</v>
      </c>
    </row>
    <row r="166" spans="1:19" s="924" customFormat="1" ht="42" x14ac:dyDescent="0.15">
      <c r="A166" s="684">
        <v>55</v>
      </c>
      <c r="B166" s="584" t="s">
        <v>952</v>
      </c>
      <c r="C166" s="685" t="s">
        <v>955</v>
      </c>
      <c r="D166" s="685" t="s">
        <v>955</v>
      </c>
      <c r="E166" s="685"/>
      <c r="F166" s="883"/>
      <c r="G166" s="686" t="s">
        <v>41</v>
      </c>
      <c r="H166" s="686">
        <v>1</v>
      </c>
      <c r="I166" s="687">
        <v>550000</v>
      </c>
      <c r="J166" s="444">
        <f t="shared" si="11"/>
        <v>550000</v>
      </c>
      <c r="K166" s="688">
        <v>1</v>
      </c>
      <c r="L166" s="687">
        <f t="shared" si="17"/>
        <v>0</v>
      </c>
      <c r="M166" s="687"/>
      <c r="N166" s="687"/>
      <c r="O166" s="687"/>
      <c r="P166" s="687"/>
      <c r="Q166" s="687"/>
      <c r="R166" s="687"/>
      <c r="S166" s="1100" t="s">
        <v>976</v>
      </c>
    </row>
    <row r="167" spans="1:19" s="924" customFormat="1" ht="25.2" x14ac:dyDescent="0.15">
      <c r="A167" s="853"/>
      <c r="B167" s="453" t="s">
        <v>952</v>
      </c>
      <c r="C167" s="685" t="s">
        <v>955</v>
      </c>
      <c r="D167" s="685" t="s">
        <v>955</v>
      </c>
      <c r="E167" s="720"/>
      <c r="F167" s="884"/>
      <c r="G167" s="878" t="s">
        <v>40</v>
      </c>
      <c r="H167" s="878">
        <v>1</v>
      </c>
      <c r="I167" s="332">
        <v>485000</v>
      </c>
      <c r="J167" s="443">
        <f t="shared" si="11"/>
        <v>485000</v>
      </c>
      <c r="K167" s="930">
        <v>1</v>
      </c>
      <c r="L167" s="332">
        <f t="shared" si="17"/>
        <v>0</v>
      </c>
      <c r="M167" s="332"/>
      <c r="N167" s="332"/>
      <c r="O167" s="332"/>
      <c r="P167" s="332"/>
      <c r="Q167" s="332"/>
      <c r="R167" s="332"/>
      <c r="S167" s="925"/>
    </row>
    <row r="168" spans="1:19" s="924" customFormat="1" ht="25.2" x14ac:dyDescent="0.15">
      <c r="A168" s="852"/>
      <c r="B168" s="582" t="s">
        <v>952</v>
      </c>
      <c r="C168" s="700" t="s">
        <v>955</v>
      </c>
      <c r="D168" s="700" t="s">
        <v>955</v>
      </c>
      <c r="E168" s="700"/>
      <c r="F168" s="880"/>
      <c r="G168" s="881" t="s">
        <v>37</v>
      </c>
      <c r="H168" s="881">
        <v>3</v>
      </c>
      <c r="I168" s="936">
        <v>475000</v>
      </c>
      <c r="J168" s="445">
        <f t="shared" si="11"/>
        <v>1425000</v>
      </c>
      <c r="K168" s="945">
        <v>1</v>
      </c>
      <c r="L168" s="936">
        <f t="shared" si="17"/>
        <v>0</v>
      </c>
      <c r="M168" s="936"/>
      <c r="N168" s="936"/>
      <c r="O168" s="936"/>
      <c r="P168" s="936"/>
      <c r="Q168" s="936"/>
      <c r="R168" s="936"/>
      <c r="S168" s="944"/>
    </row>
    <row r="169" spans="1:19" s="924" customFormat="1" ht="8.4" x14ac:dyDescent="0.15">
      <c r="A169" s="684">
        <v>56</v>
      </c>
      <c r="B169" s="584" t="s">
        <v>981</v>
      </c>
      <c r="C169" s="882" t="s">
        <v>12</v>
      </c>
      <c r="D169" s="685" t="s">
        <v>908</v>
      </c>
      <c r="E169" s="685" t="s">
        <v>982</v>
      </c>
      <c r="F169" s="883">
        <v>961437868</v>
      </c>
      <c r="G169" s="686" t="s">
        <v>33</v>
      </c>
      <c r="H169" s="686">
        <v>7</v>
      </c>
      <c r="I169" s="687">
        <v>455000</v>
      </c>
      <c r="J169" s="687">
        <f t="shared" si="11"/>
        <v>3185000</v>
      </c>
      <c r="K169" s="688">
        <v>0.25</v>
      </c>
      <c r="L169" s="687">
        <f t="shared" si="17"/>
        <v>2388750</v>
      </c>
      <c r="M169" s="687"/>
      <c r="N169" s="687"/>
      <c r="O169" s="687">
        <v>112</v>
      </c>
      <c r="P169" s="687">
        <f>SUM(L169:L171)</f>
        <v>3142500</v>
      </c>
      <c r="Q169" s="687"/>
      <c r="R169" s="687"/>
      <c r="S169" s="690"/>
    </row>
    <row r="170" spans="1:19" s="924" customFormat="1" ht="8.4" x14ac:dyDescent="0.15">
      <c r="A170" s="853"/>
      <c r="B170" s="584" t="s">
        <v>981</v>
      </c>
      <c r="C170" s="882" t="s">
        <v>12</v>
      </c>
      <c r="D170" s="685" t="s">
        <v>908</v>
      </c>
      <c r="E170" s="720"/>
      <c r="F170" s="884"/>
      <c r="G170" s="878" t="s">
        <v>41</v>
      </c>
      <c r="H170" s="878">
        <v>1</v>
      </c>
      <c r="I170" s="332">
        <v>550000</v>
      </c>
      <c r="J170" s="332">
        <f t="shared" si="11"/>
        <v>550000</v>
      </c>
      <c r="K170" s="930">
        <v>0.25</v>
      </c>
      <c r="L170" s="332">
        <f t="shared" si="17"/>
        <v>412500</v>
      </c>
      <c r="M170" s="332"/>
      <c r="N170" s="332"/>
      <c r="O170" s="332"/>
      <c r="P170" s="332"/>
      <c r="Q170" s="332"/>
      <c r="R170" s="332"/>
      <c r="S170" s="925"/>
    </row>
    <row r="171" spans="1:19" s="924" customFormat="1" ht="8.4" x14ac:dyDescent="0.15">
      <c r="A171" s="852"/>
      <c r="B171" s="584" t="s">
        <v>981</v>
      </c>
      <c r="C171" s="879" t="s">
        <v>12</v>
      </c>
      <c r="D171" s="700" t="s">
        <v>908</v>
      </c>
      <c r="E171" s="700"/>
      <c r="F171" s="880"/>
      <c r="G171" s="881" t="s">
        <v>42</v>
      </c>
      <c r="H171" s="881">
        <v>1</v>
      </c>
      <c r="I171" s="936">
        <v>455000</v>
      </c>
      <c r="J171" s="936">
        <f t="shared" si="11"/>
        <v>455000</v>
      </c>
      <c r="K171" s="945">
        <v>0.25</v>
      </c>
      <c r="L171" s="936">
        <f t="shared" si="17"/>
        <v>341250</v>
      </c>
      <c r="M171" s="936"/>
      <c r="N171" s="936"/>
      <c r="O171" s="936"/>
      <c r="P171" s="936"/>
      <c r="Q171" s="936"/>
      <c r="R171" s="936"/>
      <c r="S171" s="944"/>
    </row>
    <row r="172" spans="1:19" s="924" customFormat="1" ht="8.4" x14ac:dyDescent="0.15">
      <c r="A172" s="885">
        <v>57</v>
      </c>
      <c r="B172" s="585" t="s">
        <v>983</v>
      </c>
      <c r="C172" s="889" t="s">
        <v>17</v>
      </c>
      <c r="D172" s="718" t="s">
        <v>484</v>
      </c>
      <c r="E172" s="710"/>
      <c r="F172" s="886"/>
      <c r="G172" s="887" t="s">
        <v>37</v>
      </c>
      <c r="H172" s="887">
        <v>1</v>
      </c>
      <c r="I172" s="444">
        <v>475000</v>
      </c>
      <c r="J172" s="444">
        <f t="shared" si="11"/>
        <v>475000</v>
      </c>
      <c r="K172" s="934">
        <v>1</v>
      </c>
      <c r="L172" s="444">
        <f t="shared" si="17"/>
        <v>0</v>
      </c>
      <c r="M172" s="444"/>
      <c r="N172" s="444"/>
      <c r="O172" s="444"/>
      <c r="P172" s="444"/>
      <c r="Q172" s="444"/>
      <c r="R172" s="444"/>
      <c r="S172" s="935"/>
    </row>
    <row r="173" spans="1:19" s="924" customFormat="1" ht="8.4" x14ac:dyDescent="0.15">
      <c r="A173" s="852"/>
      <c r="B173" s="580" t="s">
        <v>983</v>
      </c>
      <c r="C173" s="889" t="s">
        <v>17</v>
      </c>
      <c r="D173" s="718" t="s">
        <v>484</v>
      </c>
      <c r="E173" s="700"/>
      <c r="F173" s="880"/>
      <c r="G173" s="881" t="s">
        <v>41</v>
      </c>
      <c r="H173" s="881">
        <v>1</v>
      </c>
      <c r="I173" s="936">
        <v>550000</v>
      </c>
      <c r="J173" s="936">
        <f t="shared" si="11"/>
        <v>550000</v>
      </c>
      <c r="K173" s="945">
        <v>1</v>
      </c>
      <c r="L173" s="936">
        <f t="shared" si="17"/>
        <v>0</v>
      </c>
      <c r="M173" s="936"/>
      <c r="N173" s="936"/>
      <c r="O173" s="936"/>
      <c r="P173" s="936"/>
      <c r="Q173" s="936"/>
      <c r="R173" s="936"/>
      <c r="S173" s="944"/>
    </row>
    <row r="174" spans="1:19" s="924" customFormat="1" ht="33.6" x14ac:dyDescent="0.15">
      <c r="A174" s="677">
        <v>58</v>
      </c>
      <c r="B174" s="583" t="s">
        <v>980</v>
      </c>
      <c r="C174" s="679" t="s">
        <v>955</v>
      </c>
      <c r="D174" s="679" t="s">
        <v>955</v>
      </c>
      <c r="E174" s="679"/>
      <c r="F174" s="888"/>
      <c r="G174" s="680" t="s">
        <v>39</v>
      </c>
      <c r="H174" s="680">
        <v>3</v>
      </c>
      <c r="I174" s="446">
        <v>285000</v>
      </c>
      <c r="J174" s="446">
        <f t="shared" si="11"/>
        <v>855000</v>
      </c>
      <c r="K174" s="681">
        <v>1</v>
      </c>
      <c r="L174" s="446">
        <f t="shared" si="17"/>
        <v>0</v>
      </c>
      <c r="M174" s="446"/>
      <c r="N174" s="446"/>
      <c r="O174" s="446"/>
      <c r="P174" s="446"/>
      <c r="Q174" s="446"/>
      <c r="R174" s="446"/>
      <c r="S174" s="724" t="s">
        <v>977</v>
      </c>
    </row>
    <row r="175" spans="1:19" s="924" customFormat="1" ht="16.8" x14ac:dyDescent="0.15">
      <c r="A175" s="684">
        <v>59</v>
      </c>
      <c r="B175" s="584" t="s">
        <v>984</v>
      </c>
      <c r="C175" s="882" t="s">
        <v>12</v>
      </c>
      <c r="D175" s="685" t="s">
        <v>985</v>
      </c>
      <c r="E175" s="685" t="s">
        <v>986</v>
      </c>
      <c r="F175" s="883"/>
      <c r="G175" s="686" t="s">
        <v>40</v>
      </c>
      <c r="H175" s="686">
        <v>12</v>
      </c>
      <c r="I175" s="687">
        <v>485000</v>
      </c>
      <c r="J175" s="687">
        <f t="shared" si="11"/>
        <v>5820000</v>
      </c>
      <c r="K175" s="688">
        <v>0.5</v>
      </c>
      <c r="L175" s="687">
        <f t="shared" si="17"/>
        <v>2910000</v>
      </c>
      <c r="M175" s="687"/>
      <c r="N175" s="687"/>
      <c r="O175" s="687"/>
      <c r="P175" s="687"/>
      <c r="Q175" s="687">
        <v>131</v>
      </c>
      <c r="R175" s="687">
        <f>SUM(L175:L179)</f>
        <v>11195000</v>
      </c>
      <c r="S175" s="690"/>
    </row>
    <row r="176" spans="1:19" s="924" customFormat="1" ht="16.8" x14ac:dyDescent="0.15">
      <c r="A176" s="853"/>
      <c r="B176" s="453" t="s">
        <v>984</v>
      </c>
      <c r="C176" s="943" t="s">
        <v>12</v>
      </c>
      <c r="D176" s="720" t="s">
        <v>985</v>
      </c>
      <c r="E176" s="720"/>
      <c r="F176" s="884"/>
      <c r="G176" s="878" t="s">
        <v>38</v>
      </c>
      <c r="H176" s="878">
        <v>18</v>
      </c>
      <c r="I176" s="332">
        <v>285000</v>
      </c>
      <c r="J176" s="332">
        <f t="shared" si="11"/>
        <v>5130000</v>
      </c>
      <c r="K176" s="930">
        <v>0.5</v>
      </c>
      <c r="L176" s="332">
        <f t="shared" si="17"/>
        <v>2565000</v>
      </c>
      <c r="M176" s="332"/>
      <c r="N176" s="332"/>
      <c r="O176" s="332"/>
      <c r="P176" s="332"/>
      <c r="Q176" s="332"/>
      <c r="R176" s="332"/>
      <c r="S176" s="925"/>
    </row>
    <row r="177" spans="1:20" s="924" customFormat="1" ht="16.8" x14ac:dyDescent="0.15">
      <c r="A177" s="853"/>
      <c r="B177" s="453" t="s">
        <v>984</v>
      </c>
      <c r="C177" s="943" t="s">
        <v>12</v>
      </c>
      <c r="D177" s="720" t="s">
        <v>985</v>
      </c>
      <c r="E177" s="720"/>
      <c r="F177" s="884"/>
      <c r="G177" s="878" t="s">
        <v>60</v>
      </c>
      <c r="H177" s="878">
        <v>3</v>
      </c>
      <c r="I177" s="332">
        <v>485000</v>
      </c>
      <c r="J177" s="332">
        <f t="shared" si="11"/>
        <v>1455000</v>
      </c>
      <c r="K177" s="930">
        <v>0.5</v>
      </c>
      <c r="L177" s="332">
        <f t="shared" si="17"/>
        <v>727500</v>
      </c>
      <c r="M177" s="332"/>
      <c r="N177" s="332"/>
      <c r="O177" s="332"/>
      <c r="P177" s="332"/>
      <c r="Q177" s="332"/>
      <c r="R177" s="332"/>
      <c r="S177" s="925"/>
    </row>
    <row r="178" spans="1:20" s="924" customFormat="1" ht="16.8" x14ac:dyDescent="0.15">
      <c r="A178" s="853"/>
      <c r="B178" s="453" t="s">
        <v>984</v>
      </c>
      <c r="C178" s="943" t="s">
        <v>12</v>
      </c>
      <c r="D178" s="720" t="s">
        <v>985</v>
      </c>
      <c r="E178" s="720"/>
      <c r="F178" s="884"/>
      <c r="G178" s="878" t="s">
        <v>46</v>
      </c>
      <c r="H178" s="878">
        <v>5</v>
      </c>
      <c r="I178" s="332">
        <v>450000</v>
      </c>
      <c r="J178" s="332">
        <f t="shared" si="11"/>
        <v>2250000</v>
      </c>
      <c r="K178" s="930">
        <v>0.5</v>
      </c>
      <c r="L178" s="332">
        <f t="shared" si="17"/>
        <v>1125000</v>
      </c>
      <c r="M178" s="332"/>
      <c r="N178" s="332"/>
      <c r="O178" s="332"/>
      <c r="P178" s="332"/>
      <c r="Q178" s="332"/>
      <c r="R178" s="332"/>
      <c r="S178" s="925"/>
    </row>
    <row r="179" spans="1:20" s="924" customFormat="1" ht="16.8" x14ac:dyDescent="0.15">
      <c r="A179" s="852"/>
      <c r="B179" s="582" t="s">
        <v>984</v>
      </c>
      <c r="C179" s="879" t="s">
        <v>12</v>
      </c>
      <c r="D179" s="700" t="s">
        <v>985</v>
      </c>
      <c r="E179" s="700"/>
      <c r="F179" s="880"/>
      <c r="G179" s="881" t="s">
        <v>44</v>
      </c>
      <c r="H179" s="881">
        <v>17</v>
      </c>
      <c r="I179" s="936">
        <v>455000</v>
      </c>
      <c r="J179" s="936">
        <f t="shared" si="11"/>
        <v>7735000</v>
      </c>
      <c r="K179" s="945">
        <v>0.5</v>
      </c>
      <c r="L179" s="936">
        <f t="shared" si="17"/>
        <v>3867500</v>
      </c>
      <c r="M179" s="936"/>
      <c r="N179" s="936"/>
      <c r="O179" s="936"/>
      <c r="P179" s="936"/>
      <c r="Q179" s="936"/>
      <c r="R179" s="936"/>
      <c r="S179" s="944"/>
    </row>
    <row r="180" spans="1:20" s="924" customFormat="1" ht="8.4" x14ac:dyDescent="0.15">
      <c r="A180" s="684">
        <v>60</v>
      </c>
      <c r="B180" s="584" t="s">
        <v>984</v>
      </c>
      <c r="C180" s="882" t="s">
        <v>12</v>
      </c>
      <c r="D180" s="685" t="s">
        <v>127</v>
      </c>
      <c r="E180" s="685"/>
      <c r="F180" s="883"/>
      <c r="G180" s="686" t="s">
        <v>46</v>
      </c>
      <c r="H180" s="686">
        <v>5</v>
      </c>
      <c r="I180" s="687">
        <v>450000</v>
      </c>
      <c r="J180" s="687">
        <f t="shared" si="11"/>
        <v>2250000</v>
      </c>
      <c r="K180" s="688">
        <v>0.41</v>
      </c>
      <c r="L180" s="687">
        <f t="shared" si="17"/>
        <v>1327500.0000000002</v>
      </c>
      <c r="M180" s="687"/>
      <c r="N180" s="687"/>
      <c r="O180" s="687"/>
      <c r="P180" s="687"/>
      <c r="Q180" s="687">
        <v>131</v>
      </c>
      <c r="R180" s="687">
        <f>L180</f>
        <v>1327500.0000000002</v>
      </c>
      <c r="S180" s="690"/>
    </row>
    <row r="181" spans="1:20" s="1364" customFormat="1" ht="11.4" x14ac:dyDescent="0.3">
      <c r="A181" s="2206" t="s">
        <v>2</v>
      </c>
      <c r="B181" s="2207"/>
      <c r="C181" s="2207"/>
      <c r="D181" s="2207"/>
      <c r="E181" s="2207"/>
      <c r="F181" s="2207"/>
      <c r="G181" s="2207"/>
      <c r="H181" s="1384">
        <f>SUM(H7:H180)</f>
        <v>1433</v>
      </c>
      <c r="I181" s="1361"/>
      <c r="J181" s="1360">
        <f>SUM(J7:J180)</f>
        <v>654220000</v>
      </c>
      <c r="K181" s="1361"/>
      <c r="L181" s="1360">
        <f>SUM(L7:L180)</f>
        <v>345317950</v>
      </c>
      <c r="M181" s="1360"/>
      <c r="N181" s="1360">
        <f>SUM(N7:N180)</f>
        <v>6974300</v>
      </c>
      <c r="O181" s="1360"/>
      <c r="P181" s="1360">
        <f>SUM(P7:P180)</f>
        <v>26192050</v>
      </c>
      <c r="Q181" s="1360"/>
      <c r="R181" s="1360">
        <f>SUM(R7:R180)</f>
        <v>312176600</v>
      </c>
      <c r="S181" s="1385"/>
      <c r="T181" s="1363"/>
    </row>
    <row r="182" spans="1:20" s="1395" customFormat="1" ht="11.4" x14ac:dyDescent="0.3">
      <c r="A182" s="2257" t="s">
        <v>993</v>
      </c>
      <c r="B182" s="2258"/>
      <c r="C182" s="2258"/>
      <c r="D182" s="2258"/>
      <c r="E182" s="2258"/>
      <c r="F182" s="2258"/>
      <c r="G182" s="2258"/>
      <c r="H182" s="1386">
        <f>H181</f>
        <v>1433</v>
      </c>
      <c r="I182" s="1392"/>
      <c r="J182" s="1392"/>
      <c r="K182" s="1392"/>
      <c r="L182" s="1386">
        <f>L181</f>
        <v>345317950</v>
      </c>
      <c r="M182" s="1386"/>
      <c r="N182" s="1386"/>
      <c r="O182" s="1386"/>
      <c r="P182" s="1386"/>
      <c r="Q182" s="1386"/>
      <c r="R182" s="1386"/>
      <c r="S182" s="1393"/>
      <c r="T182" s="1394"/>
    </row>
    <row r="183" spans="1:20" s="1395" customFormat="1" ht="11.4" x14ac:dyDescent="0.3">
      <c r="A183" s="2257" t="s">
        <v>995</v>
      </c>
      <c r="B183" s="2258"/>
      <c r="C183" s="2258"/>
      <c r="D183" s="2258"/>
      <c r="E183" s="2258"/>
      <c r="F183" s="2258"/>
      <c r="G183" s="2258"/>
      <c r="H183" s="1386"/>
      <c r="I183" s="1392"/>
      <c r="J183" s="1392"/>
      <c r="K183" s="1392"/>
      <c r="L183" s="1386">
        <f>N181</f>
        <v>6974300</v>
      </c>
      <c r="M183" s="1386"/>
      <c r="N183" s="1386"/>
      <c r="O183" s="1386"/>
      <c r="P183" s="1386"/>
      <c r="Q183" s="1386"/>
      <c r="R183" s="1386"/>
      <c r="S183" s="1393"/>
      <c r="T183" s="1394"/>
    </row>
    <row r="184" spans="1:20" s="1395" customFormat="1" ht="11.4" x14ac:dyDescent="0.3">
      <c r="A184" s="2257" t="s">
        <v>996</v>
      </c>
      <c r="B184" s="2258"/>
      <c r="C184" s="2258"/>
      <c r="D184" s="2258"/>
      <c r="E184" s="2258"/>
      <c r="F184" s="2258"/>
      <c r="G184" s="2258"/>
      <c r="H184" s="1386"/>
      <c r="I184" s="1392"/>
      <c r="J184" s="1392"/>
      <c r="K184" s="1392"/>
      <c r="L184" s="1386">
        <f>P181</f>
        <v>26192050</v>
      </c>
      <c r="M184" s="1386"/>
      <c r="N184" s="1386"/>
      <c r="O184" s="1386"/>
      <c r="P184" s="1386"/>
      <c r="Q184" s="1386"/>
      <c r="R184" s="1386"/>
      <c r="S184" s="1393"/>
    </row>
    <row r="185" spans="1:20" s="1395" customFormat="1" ht="11.4" x14ac:dyDescent="0.3">
      <c r="A185" s="2257" t="s">
        <v>997</v>
      </c>
      <c r="B185" s="2258"/>
      <c r="C185" s="2258"/>
      <c r="D185" s="2258"/>
      <c r="E185" s="2258"/>
      <c r="F185" s="2258"/>
      <c r="G185" s="2258"/>
      <c r="H185" s="1386"/>
      <c r="I185" s="1392"/>
      <c r="J185" s="1392"/>
      <c r="K185" s="1392"/>
      <c r="L185" s="1386">
        <f>R181</f>
        <v>312176600</v>
      </c>
      <c r="M185" s="1386"/>
      <c r="N185" s="1386"/>
      <c r="O185" s="1386"/>
      <c r="P185" s="1386"/>
      <c r="Q185" s="1386"/>
      <c r="R185" s="1386"/>
      <c r="S185" s="1393"/>
    </row>
    <row r="186" spans="1:20" s="1398" customFormat="1" ht="12" x14ac:dyDescent="0.25">
      <c r="A186" s="2255" t="s">
        <v>994</v>
      </c>
      <c r="B186" s="2256"/>
      <c r="C186" s="2256"/>
      <c r="D186" s="2256"/>
      <c r="E186" s="2256"/>
      <c r="F186" s="2256"/>
      <c r="G186" s="2256"/>
      <c r="H186" s="1390"/>
      <c r="I186" s="1390"/>
      <c r="J186" s="1390"/>
      <c r="K186" s="1390"/>
      <c r="L186" s="1396">
        <v>85608700</v>
      </c>
      <c r="M186" s="1390"/>
      <c r="N186" s="1390"/>
      <c r="O186" s="1390"/>
      <c r="P186" s="1390"/>
      <c r="Q186" s="1390"/>
      <c r="R186" s="1390"/>
      <c r="S186" s="1397"/>
    </row>
    <row r="187" spans="1:20" s="1398" customFormat="1" ht="12" x14ac:dyDescent="0.25">
      <c r="A187" s="2255" t="s">
        <v>999</v>
      </c>
      <c r="B187" s="2256"/>
      <c r="C187" s="2256"/>
      <c r="D187" s="2256"/>
      <c r="E187" s="2256"/>
      <c r="F187" s="2256"/>
      <c r="G187" s="2256"/>
      <c r="H187" s="1390"/>
      <c r="I187" s="1390"/>
      <c r="J187" s="1390"/>
      <c r="K187" s="1390"/>
      <c r="L187" s="1396">
        <v>71251100</v>
      </c>
      <c r="M187" s="1390"/>
      <c r="N187" s="1390"/>
      <c r="O187" s="1390"/>
      <c r="P187" s="1390"/>
      <c r="Q187" s="1390"/>
      <c r="R187" s="1390"/>
      <c r="S187" s="1397"/>
    </row>
    <row r="188" spans="1:20" s="1398" customFormat="1" ht="12" x14ac:dyDescent="0.25">
      <c r="A188" s="2255" t="s">
        <v>998</v>
      </c>
      <c r="B188" s="2256"/>
      <c r="C188" s="2256"/>
      <c r="D188" s="2256"/>
      <c r="E188" s="2256"/>
      <c r="F188" s="2256"/>
      <c r="G188" s="2256"/>
      <c r="H188" s="1390"/>
      <c r="I188" s="1390"/>
      <c r="J188" s="1390"/>
      <c r="K188" s="1390"/>
      <c r="L188" s="1396">
        <v>211604750</v>
      </c>
      <c r="M188" s="1390"/>
      <c r="N188" s="1390"/>
      <c r="O188" s="1390"/>
      <c r="P188" s="1390"/>
      <c r="Q188" s="1390"/>
      <c r="R188" s="1390"/>
      <c r="S188" s="1397"/>
    </row>
    <row r="189" spans="1:20" s="1398" customFormat="1" ht="12" x14ac:dyDescent="0.25">
      <c r="A189" s="2255" t="s">
        <v>732</v>
      </c>
      <c r="B189" s="2256"/>
      <c r="C189" s="2256"/>
      <c r="D189" s="2256"/>
      <c r="E189" s="2256"/>
      <c r="F189" s="2256"/>
      <c r="G189" s="2256"/>
      <c r="H189" s="1390"/>
      <c r="I189" s="1390"/>
      <c r="J189" s="1390"/>
      <c r="K189" s="1390"/>
      <c r="L189" s="1396">
        <v>828950</v>
      </c>
      <c r="M189" s="1390"/>
      <c r="N189" s="1390"/>
      <c r="O189" s="1390"/>
      <c r="P189" s="1390"/>
      <c r="Q189" s="1390"/>
      <c r="R189" s="1390"/>
      <c r="S189" s="1397"/>
    </row>
    <row r="190" spans="1:20" s="1398" customFormat="1" ht="12" x14ac:dyDescent="0.25">
      <c r="A190" s="2255" t="s">
        <v>736</v>
      </c>
      <c r="B190" s="2256"/>
      <c r="C190" s="2256"/>
      <c r="D190" s="2256"/>
      <c r="E190" s="2256"/>
      <c r="F190" s="2256"/>
      <c r="G190" s="2256"/>
      <c r="H190" s="1390"/>
      <c r="I190" s="1390"/>
      <c r="J190" s="1390"/>
      <c r="K190" s="1390"/>
      <c r="L190" s="1396">
        <v>4354200</v>
      </c>
      <c r="M190" s="1390"/>
      <c r="N190" s="1390"/>
      <c r="O190" s="1390"/>
      <c r="P190" s="1390"/>
      <c r="Q190" s="1390"/>
      <c r="R190" s="1390"/>
      <c r="S190" s="1397"/>
    </row>
    <row r="191" spans="1:20" s="1398" customFormat="1" ht="12" x14ac:dyDescent="0.25">
      <c r="A191" s="2255" t="s">
        <v>733</v>
      </c>
      <c r="B191" s="2256"/>
      <c r="C191" s="2256"/>
      <c r="D191" s="2256"/>
      <c r="E191" s="2256"/>
      <c r="F191" s="2256"/>
      <c r="G191" s="2256"/>
      <c r="H191" s="1390"/>
      <c r="I191" s="1390"/>
      <c r="J191" s="1390"/>
      <c r="K191" s="1390"/>
      <c r="L191" s="1396">
        <v>1017750</v>
      </c>
      <c r="M191" s="1390"/>
      <c r="N191" s="1390"/>
      <c r="O191" s="1390"/>
      <c r="P191" s="1390"/>
      <c r="Q191" s="1390"/>
      <c r="R191" s="1390"/>
      <c r="S191" s="1397"/>
    </row>
    <row r="193" spans="2:12" x14ac:dyDescent="0.25">
      <c r="L193" s="748"/>
    </row>
    <row r="199" spans="2:12" x14ac:dyDescent="0.25">
      <c r="D199" s="511"/>
      <c r="E199" s="511"/>
      <c r="F199" s="511"/>
    </row>
    <row r="200" spans="2:12" x14ac:dyDescent="0.25">
      <c r="D200" s="511"/>
      <c r="E200" s="511"/>
      <c r="F200" s="511"/>
    </row>
    <row r="201" spans="2:12" x14ac:dyDescent="0.25">
      <c r="B201" s="511"/>
      <c r="D201" s="511"/>
      <c r="E201" s="511"/>
      <c r="F201" s="511"/>
      <c r="K201" s="511"/>
    </row>
    <row r="202" spans="2:12" x14ac:dyDescent="0.25">
      <c r="B202" s="511"/>
      <c r="D202" s="511"/>
      <c r="E202" s="511"/>
      <c r="F202" s="511"/>
      <c r="K202" s="511"/>
    </row>
    <row r="203" spans="2:12" x14ac:dyDescent="0.25">
      <c r="B203" s="511"/>
      <c r="D203" s="511"/>
      <c r="E203" s="511"/>
      <c r="F203" s="511"/>
      <c r="K203" s="511"/>
    </row>
    <row r="204" spans="2:12" x14ac:dyDescent="0.25">
      <c r="B204" s="511"/>
      <c r="D204" s="511"/>
      <c r="E204" s="511"/>
      <c r="F204" s="511"/>
      <c r="K204" s="511"/>
    </row>
    <row r="205" spans="2:12" x14ac:dyDescent="0.25">
      <c r="B205" s="511"/>
      <c r="D205" s="511"/>
      <c r="E205" s="511"/>
      <c r="F205" s="511"/>
      <c r="K205" s="511"/>
    </row>
    <row r="206" spans="2:12" x14ac:dyDescent="0.25">
      <c r="B206" s="511"/>
      <c r="D206" s="511"/>
      <c r="E206" s="511"/>
      <c r="F206" s="511"/>
      <c r="K206" s="511"/>
    </row>
    <row r="207" spans="2:12" x14ac:dyDescent="0.25">
      <c r="B207" s="511"/>
      <c r="D207" s="511"/>
      <c r="E207" s="511"/>
      <c r="F207" s="511"/>
      <c r="K207" s="511"/>
    </row>
    <row r="208" spans="2:12" x14ac:dyDescent="0.25">
      <c r="B208" s="511"/>
      <c r="D208" s="511"/>
      <c r="E208" s="511"/>
      <c r="F208" s="511"/>
      <c r="K208" s="511"/>
    </row>
    <row r="209" spans="2:11" x14ac:dyDescent="0.25">
      <c r="B209" s="511"/>
      <c r="D209" s="511"/>
      <c r="E209" s="511"/>
      <c r="F209" s="511"/>
      <c r="K209" s="511"/>
    </row>
    <row r="210" spans="2:11" x14ac:dyDescent="0.25">
      <c r="B210" s="511"/>
      <c r="D210" s="511"/>
      <c r="E210" s="511"/>
      <c r="F210" s="511"/>
      <c r="K210" s="511"/>
    </row>
    <row r="211" spans="2:11" x14ac:dyDescent="0.25">
      <c r="B211" s="511"/>
      <c r="D211" s="511"/>
      <c r="E211" s="511"/>
      <c r="F211" s="511"/>
      <c r="K211" s="511"/>
    </row>
    <row r="212" spans="2:11" x14ac:dyDescent="0.25">
      <c r="B212" s="511"/>
      <c r="D212" s="511"/>
      <c r="E212" s="511"/>
      <c r="F212" s="511"/>
      <c r="K212" s="511"/>
    </row>
    <row r="213" spans="2:11" x14ac:dyDescent="0.25">
      <c r="B213" s="511"/>
      <c r="D213" s="511"/>
      <c r="E213" s="511"/>
      <c r="F213" s="511"/>
      <c r="K213" s="511"/>
    </row>
    <row r="214" spans="2:11" x14ac:dyDescent="0.25">
      <c r="B214" s="511"/>
      <c r="D214" s="511"/>
      <c r="E214" s="511"/>
      <c r="F214" s="511"/>
      <c r="K214" s="511"/>
    </row>
    <row r="215" spans="2:11" x14ac:dyDescent="0.25">
      <c r="B215" s="511"/>
      <c r="D215" s="511"/>
      <c r="E215" s="511"/>
      <c r="F215" s="511"/>
      <c r="K215" s="511"/>
    </row>
    <row r="216" spans="2:11" x14ac:dyDescent="0.25">
      <c r="B216" s="511"/>
      <c r="D216" s="511"/>
      <c r="E216" s="511"/>
      <c r="F216" s="511"/>
      <c r="K216" s="511"/>
    </row>
    <row r="217" spans="2:11" x14ac:dyDescent="0.25">
      <c r="B217" s="511"/>
      <c r="D217" s="511"/>
      <c r="E217" s="511"/>
      <c r="F217" s="511"/>
      <c r="K217" s="511"/>
    </row>
    <row r="218" spans="2:11" x14ac:dyDescent="0.25">
      <c r="B218" s="511"/>
      <c r="D218" s="511"/>
      <c r="E218" s="511"/>
      <c r="F218" s="511"/>
      <c r="K218" s="511"/>
    </row>
    <row r="219" spans="2:11" x14ac:dyDescent="0.25">
      <c r="B219" s="511"/>
      <c r="D219" s="511"/>
      <c r="E219" s="511"/>
      <c r="F219" s="511"/>
      <c r="K219" s="511"/>
    </row>
    <row r="220" spans="2:11" x14ac:dyDescent="0.25">
      <c r="B220" s="511"/>
      <c r="D220" s="511"/>
      <c r="E220" s="511"/>
      <c r="F220" s="511"/>
      <c r="K220" s="511"/>
    </row>
    <row r="221" spans="2:11" x14ac:dyDescent="0.25">
      <c r="B221" s="511"/>
      <c r="D221" s="511"/>
      <c r="E221" s="511"/>
      <c r="F221" s="511"/>
      <c r="K221" s="511"/>
    </row>
    <row r="222" spans="2:11" x14ac:dyDescent="0.25">
      <c r="B222" s="511"/>
      <c r="D222" s="511"/>
      <c r="E222" s="511"/>
      <c r="F222" s="511"/>
      <c r="K222" s="511"/>
    </row>
    <row r="223" spans="2:11" x14ac:dyDescent="0.25">
      <c r="B223" s="511"/>
      <c r="D223" s="511"/>
      <c r="E223" s="511"/>
      <c r="F223" s="511"/>
      <c r="K223" s="511"/>
    </row>
    <row r="224" spans="2:11" x14ac:dyDescent="0.25">
      <c r="B224" s="511"/>
      <c r="D224" s="511"/>
      <c r="E224" s="511"/>
      <c r="F224" s="511"/>
      <c r="K224" s="511"/>
    </row>
    <row r="225" spans="2:11" x14ac:dyDescent="0.25">
      <c r="B225" s="511"/>
      <c r="D225" s="511"/>
      <c r="E225" s="511"/>
      <c r="F225" s="511"/>
      <c r="K225" s="511"/>
    </row>
    <row r="226" spans="2:11" x14ac:dyDescent="0.25">
      <c r="B226" s="511"/>
      <c r="D226" s="511"/>
      <c r="E226" s="511"/>
      <c r="F226" s="511"/>
      <c r="K226" s="511"/>
    </row>
    <row r="227" spans="2:11" x14ac:dyDescent="0.25">
      <c r="B227" s="511"/>
      <c r="D227" s="511"/>
      <c r="E227" s="511"/>
      <c r="F227" s="511"/>
      <c r="K227" s="511"/>
    </row>
    <row r="228" spans="2:11" x14ac:dyDescent="0.25">
      <c r="B228" s="511"/>
      <c r="D228" s="511"/>
      <c r="E228" s="511"/>
      <c r="F228" s="511"/>
      <c r="K228" s="511"/>
    </row>
    <row r="229" spans="2:11" x14ac:dyDescent="0.25">
      <c r="B229" s="511"/>
      <c r="D229" s="511"/>
      <c r="E229" s="511"/>
      <c r="F229" s="511"/>
      <c r="K229" s="511"/>
    </row>
    <row r="230" spans="2:11" x14ac:dyDescent="0.25">
      <c r="B230" s="511"/>
      <c r="D230" s="511"/>
      <c r="E230" s="511"/>
      <c r="F230" s="511"/>
      <c r="K230" s="511"/>
    </row>
    <row r="231" spans="2:11" x14ac:dyDescent="0.25">
      <c r="B231" s="511"/>
      <c r="D231" s="511"/>
      <c r="E231" s="511"/>
      <c r="F231" s="511"/>
      <c r="K231" s="511"/>
    </row>
    <row r="232" spans="2:11" x14ac:dyDescent="0.25">
      <c r="B232" s="511"/>
      <c r="D232" s="511"/>
      <c r="E232" s="511"/>
      <c r="F232" s="511"/>
      <c r="K232" s="511"/>
    </row>
    <row r="233" spans="2:11" x14ac:dyDescent="0.25">
      <c r="B233" s="511"/>
      <c r="D233" s="511"/>
      <c r="E233" s="511"/>
      <c r="F233" s="511"/>
      <c r="K233" s="511"/>
    </row>
    <row r="234" spans="2:11" x14ac:dyDescent="0.25">
      <c r="B234" s="511"/>
      <c r="D234" s="511"/>
      <c r="E234" s="511"/>
      <c r="F234" s="511"/>
      <c r="K234" s="511"/>
    </row>
    <row r="235" spans="2:11" x14ac:dyDescent="0.25">
      <c r="B235" s="511"/>
      <c r="D235" s="511"/>
      <c r="E235" s="511"/>
      <c r="F235" s="511"/>
      <c r="K235" s="511"/>
    </row>
    <row r="237" spans="2:11" x14ac:dyDescent="0.25">
      <c r="J237" s="749"/>
    </row>
  </sheetData>
  <mergeCells count="23"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S74:S81"/>
    <mergeCell ref="S112:S120"/>
    <mergeCell ref="A189:G189"/>
    <mergeCell ref="A190:G190"/>
    <mergeCell ref="A191:G191"/>
    <mergeCell ref="A187:G187"/>
    <mergeCell ref="A188:G188"/>
    <mergeCell ref="A181:G181"/>
    <mergeCell ref="A182:G182"/>
    <mergeCell ref="A183:G183"/>
    <mergeCell ref="A184:G184"/>
    <mergeCell ref="A185:G185"/>
    <mergeCell ref="A186:G186"/>
  </mergeCells>
  <pageMargins left="0.39370078740157483" right="0" top="0" bottom="0" header="0.31496062992125984" footer="0.31496062992125984"/>
  <pageSetup paperSize="9" scale="99" orientation="landscape" horizontalDpi="4294967293" verticalDpi="0" r:id="rId1"/>
  <colBreaks count="1" manualBreakCount="1"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"/>
  <sheetViews>
    <sheetView workbookViewId="0">
      <pane ySplit="6" topLeftCell="A148" activePane="bottomLeft" state="frozen"/>
      <selection pane="bottomLeft" activeCell="A45" sqref="A45:S46"/>
    </sheetView>
  </sheetViews>
  <sheetFormatPr defaultColWidth="9.109375" defaultRowHeight="13.8" x14ac:dyDescent="0.25"/>
  <cols>
    <col min="1" max="1" width="3.109375" style="511" customWidth="1"/>
    <col min="2" max="2" width="4.109375" style="606" customWidth="1"/>
    <col min="3" max="3" width="8.109375" style="511" customWidth="1"/>
    <col min="4" max="4" width="14.33203125" style="658" customWidth="1"/>
    <col min="5" max="5" width="9.5546875" style="658" customWidth="1"/>
    <col min="6" max="6" width="7.44140625" style="658" customWidth="1"/>
    <col min="7" max="7" width="6" style="511" customWidth="1"/>
    <col min="8" max="8" width="5.88671875" style="511" customWidth="1"/>
    <col min="9" max="9" width="6.6640625" style="511" customWidth="1"/>
    <col min="10" max="10" width="11.5546875" style="511" customWidth="1"/>
    <col min="11" max="11" width="4.44140625" style="652" customWidth="1"/>
    <col min="12" max="12" width="11.5546875" style="511" customWidth="1"/>
    <col min="13" max="13" width="8.44140625" style="511" customWidth="1"/>
    <col min="14" max="14" width="9.109375" style="511" customWidth="1"/>
    <col min="15" max="15" width="6.88671875" style="511" customWidth="1"/>
    <col min="16" max="16" width="10" style="511" customWidth="1"/>
    <col min="17" max="17" width="5" style="511" customWidth="1"/>
    <col min="18" max="18" width="12.33203125" style="511" customWidth="1"/>
    <col min="19" max="19" width="8.88671875" style="511" customWidth="1"/>
    <col min="20" max="16384" width="9.109375" style="511"/>
  </cols>
  <sheetData>
    <row r="1" spans="1:19" ht="16.8" x14ac:dyDescent="0.3">
      <c r="A1" s="649" t="s">
        <v>3</v>
      </c>
      <c r="B1" s="736"/>
      <c r="C1" s="650"/>
      <c r="D1" s="651"/>
      <c r="E1" s="651"/>
      <c r="F1" s="651"/>
      <c r="I1" s="509"/>
      <c r="J1" s="509"/>
      <c r="K1" s="653"/>
      <c r="L1" s="509"/>
      <c r="M1" s="509"/>
      <c r="N1" s="509"/>
      <c r="O1" s="650"/>
      <c r="R1" s="509"/>
      <c r="S1" s="509"/>
    </row>
    <row r="2" spans="1:19" ht="15.75" customHeight="1" x14ac:dyDescent="0.25">
      <c r="A2" s="654" t="s">
        <v>5</v>
      </c>
      <c r="B2" s="738"/>
      <c r="C2" s="655"/>
      <c r="D2" s="656"/>
      <c r="E2" s="656"/>
      <c r="F2" s="656"/>
      <c r="I2" s="510"/>
      <c r="J2" s="510"/>
      <c r="K2" s="657"/>
      <c r="L2" s="510"/>
      <c r="M2" s="510"/>
      <c r="N2" s="510"/>
      <c r="O2" s="655"/>
      <c r="R2" s="510"/>
      <c r="S2" s="510"/>
    </row>
    <row r="3" spans="1:19" ht="20.25" customHeight="1" x14ac:dyDescent="0.35">
      <c r="A3" s="2220" t="s">
        <v>615</v>
      </c>
      <c r="B3" s="2220"/>
      <c r="C3" s="2220"/>
      <c r="D3" s="2220"/>
      <c r="E3" s="2220"/>
      <c r="F3" s="2220"/>
      <c r="G3" s="2220"/>
      <c r="H3" s="2220"/>
      <c r="I3" s="2220"/>
      <c r="J3" s="2220"/>
      <c r="K3" s="2221"/>
      <c r="L3" s="2220"/>
      <c r="M3" s="2220"/>
      <c r="N3" s="2220"/>
      <c r="O3" s="2220"/>
      <c r="P3" s="2220"/>
      <c r="Q3" s="2220"/>
      <c r="R3" s="2220"/>
      <c r="S3" s="2220"/>
    </row>
    <row r="4" spans="1:19" ht="15" customHeight="1" thickBot="1" x14ac:dyDescent="0.3">
      <c r="A4" s="2242" t="s">
        <v>2321</v>
      </c>
      <c r="B4" s="2242"/>
      <c r="C4" s="2242"/>
      <c r="D4" s="2242"/>
      <c r="E4" s="2242"/>
      <c r="F4" s="2242"/>
      <c r="G4" s="2242"/>
      <c r="H4" s="2242"/>
      <c r="I4" s="2242"/>
      <c r="J4" s="2242"/>
      <c r="K4" s="2243"/>
      <c r="L4" s="2242"/>
      <c r="M4" s="2242"/>
      <c r="N4" s="2242"/>
      <c r="O4" s="2242"/>
      <c r="P4" s="2242"/>
      <c r="Q4" s="2242"/>
      <c r="R4" s="2242"/>
      <c r="S4" s="2242"/>
    </row>
    <row r="5" spans="1:19" s="197" customFormat="1" ht="31.5" customHeight="1" thickTop="1" x14ac:dyDescent="0.15">
      <c r="A5" s="2224" t="s">
        <v>0</v>
      </c>
      <c r="B5" s="2244" t="s">
        <v>103</v>
      </c>
      <c r="C5" s="2226" t="s">
        <v>613</v>
      </c>
      <c r="D5" s="2226" t="s">
        <v>105</v>
      </c>
      <c r="E5" s="2226"/>
      <c r="F5" s="2226"/>
      <c r="G5" s="2248" t="s">
        <v>130</v>
      </c>
      <c r="H5" s="2248"/>
      <c r="I5" s="2248"/>
      <c r="J5" s="2248"/>
      <c r="K5" s="2249"/>
      <c r="L5" s="2126" t="s">
        <v>966</v>
      </c>
      <c r="M5" s="2248" t="s">
        <v>182</v>
      </c>
      <c r="N5" s="2248"/>
      <c r="O5" s="2248"/>
      <c r="P5" s="2248"/>
      <c r="Q5" s="2248"/>
      <c r="R5" s="2248"/>
      <c r="S5" s="2218" t="s">
        <v>1</v>
      </c>
    </row>
    <row r="6" spans="1:19" s="197" customFormat="1" ht="31.5" customHeight="1" x14ac:dyDescent="0.15">
      <c r="A6" s="2225"/>
      <c r="B6" s="2245"/>
      <c r="C6" s="2227"/>
      <c r="D6" s="662" t="s">
        <v>23</v>
      </c>
      <c r="E6" s="1012" t="s">
        <v>25</v>
      </c>
      <c r="F6" s="1012" t="s">
        <v>27</v>
      </c>
      <c r="G6" s="1012" t="s">
        <v>29</v>
      </c>
      <c r="H6" s="1012" t="s">
        <v>87</v>
      </c>
      <c r="I6" s="1012" t="s">
        <v>49</v>
      </c>
      <c r="J6" s="1010" t="s">
        <v>209</v>
      </c>
      <c r="K6" s="663" t="s">
        <v>22</v>
      </c>
      <c r="L6" s="2121"/>
      <c r="M6" s="1012" t="s">
        <v>131</v>
      </c>
      <c r="N6" s="1012" t="s">
        <v>149</v>
      </c>
      <c r="O6" s="1012" t="s">
        <v>132</v>
      </c>
      <c r="P6" s="1012" t="s">
        <v>149</v>
      </c>
      <c r="Q6" s="1012" t="s">
        <v>133</v>
      </c>
      <c r="R6" s="1012" t="s">
        <v>149</v>
      </c>
      <c r="S6" s="2219"/>
    </row>
    <row r="7" spans="1:19" s="924" customFormat="1" ht="9" customHeight="1" x14ac:dyDescent="0.15">
      <c r="A7" s="677">
        <v>1</v>
      </c>
      <c r="B7" s="583" t="s">
        <v>1105</v>
      </c>
      <c r="C7" s="678" t="s">
        <v>17</v>
      </c>
      <c r="D7" s="679" t="s">
        <v>127</v>
      </c>
      <c r="E7" s="679"/>
      <c r="F7" s="678"/>
      <c r="G7" s="680" t="s">
        <v>60</v>
      </c>
      <c r="H7" s="1698">
        <v>1</v>
      </c>
      <c r="I7" s="446">
        <v>485000</v>
      </c>
      <c r="J7" s="446">
        <f>H7*I7</f>
        <v>485000</v>
      </c>
      <c r="K7" s="681">
        <v>0.41</v>
      </c>
      <c r="L7" s="446">
        <f t="shared" ref="L7:L72" si="0">H7*I7*(1-K7)</f>
        <v>286150.00000000006</v>
      </c>
      <c r="M7" s="446"/>
      <c r="N7" s="446"/>
      <c r="O7" s="446"/>
      <c r="P7" s="446"/>
      <c r="Q7" s="446">
        <v>131</v>
      </c>
      <c r="R7" s="446">
        <f>L7</f>
        <v>286150.00000000006</v>
      </c>
      <c r="S7" s="683"/>
    </row>
    <row r="8" spans="1:19" s="924" customFormat="1" ht="18" customHeight="1" x14ac:dyDescent="0.15">
      <c r="A8" s="920">
        <v>2</v>
      </c>
      <c r="B8" s="580" t="s">
        <v>1105</v>
      </c>
      <c r="C8" s="1037" t="s">
        <v>1269</v>
      </c>
      <c r="D8" s="718" t="s">
        <v>1119</v>
      </c>
      <c r="E8" s="718" t="s">
        <v>827</v>
      </c>
      <c r="F8" s="890"/>
      <c r="G8" s="921" t="s">
        <v>33</v>
      </c>
      <c r="H8" s="1051">
        <v>24</v>
      </c>
      <c r="I8" s="443">
        <v>455000</v>
      </c>
      <c r="J8" s="443">
        <f t="shared" ref="J8:J60" si="1">H8*I8</f>
        <v>10920000</v>
      </c>
      <c r="K8" s="922">
        <v>0.35</v>
      </c>
      <c r="L8" s="443">
        <f t="shared" si="0"/>
        <v>7098000</v>
      </c>
      <c r="M8" s="443"/>
      <c r="N8" s="443"/>
      <c r="O8" s="443"/>
      <c r="P8" s="443"/>
      <c r="Q8" s="443">
        <v>131</v>
      </c>
      <c r="R8" s="443">
        <f>SUM(L8:L15)</f>
        <v>59163000</v>
      </c>
      <c r="S8" s="2232" t="s">
        <v>2319</v>
      </c>
    </row>
    <row r="9" spans="1:19" s="924" customFormat="1" ht="18" customHeight="1" x14ac:dyDescent="0.15">
      <c r="A9" s="853"/>
      <c r="B9" s="580" t="s">
        <v>1105</v>
      </c>
      <c r="C9" s="1037" t="s">
        <v>1269</v>
      </c>
      <c r="D9" s="718" t="s">
        <v>1119</v>
      </c>
      <c r="E9" s="718" t="s">
        <v>827</v>
      </c>
      <c r="F9" s="851"/>
      <c r="G9" s="878" t="s">
        <v>35</v>
      </c>
      <c r="H9" s="1052">
        <v>36</v>
      </c>
      <c r="I9" s="332">
        <v>465000</v>
      </c>
      <c r="J9" s="443">
        <f t="shared" si="1"/>
        <v>16740000</v>
      </c>
      <c r="K9" s="922">
        <v>0.35</v>
      </c>
      <c r="L9" s="332">
        <f t="shared" si="0"/>
        <v>10881000</v>
      </c>
      <c r="M9" s="332"/>
      <c r="N9" s="332"/>
      <c r="O9" s="332"/>
      <c r="P9" s="332"/>
      <c r="Q9" s="443"/>
      <c r="R9" s="332"/>
      <c r="S9" s="2253"/>
    </row>
    <row r="10" spans="1:19" s="924" customFormat="1" ht="18" customHeight="1" x14ac:dyDescent="0.15">
      <c r="A10" s="853"/>
      <c r="B10" s="580" t="s">
        <v>1105</v>
      </c>
      <c r="C10" s="1037" t="s">
        <v>1269</v>
      </c>
      <c r="D10" s="718" t="s">
        <v>1119</v>
      </c>
      <c r="E10" s="718" t="s">
        <v>827</v>
      </c>
      <c r="F10" s="884"/>
      <c r="G10" s="878" t="s">
        <v>37</v>
      </c>
      <c r="H10" s="1052">
        <v>36</v>
      </c>
      <c r="I10" s="332">
        <v>475000</v>
      </c>
      <c r="J10" s="443">
        <f t="shared" si="1"/>
        <v>17100000</v>
      </c>
      <c r="K10" s="922">
        <v>0.35</v>
      </c>
      <c r="L10" s="332">
        <f t="shared" si="0"/>
        <v>11115000</v>
      </c>
      <c r="M10" s="332"/>
      <c r="N10" s="332"/>
      <c r="O10" s="332"/>
      <c r="P10" s="332"/>
      <c r="Q10" s="443"/>
      <c r="R10" s="332"/>
      <c r="S10" s="2253"/>
    </row>
    <row r="11" spans="1:19" s="924" customFormat="1" ht="18" customHeight="1" x14ac:dyDescent="0.15">
      <c r="A11" s="853"/>
      <c r="B11" s="580" t="s">
        <v>1105</v>
      </c>
      <c r="C11" s="1037" t="s">
        <v>1269</v>
      </c>
      <c r="D11" s="718" t="s">
        <v>1119</v>
      </c>
      <c r="E11" s="718" t="s">
        <v>827</v>
      </c>
      <c r="F11" s="884"/>
      <c r="G11" s="878" t="s">
        <v>40</v>
      </c>
      <c r="H11" s="1052">
        <v>36</v>
      </c>
      <c r="I11" s="332">
        <v>485000</v>
      </c>
      <c r="J11" s="443">
        <f t="shared" si="1"/>
        <v>17460000</v>
      </c>
      <c r="K11" s="922">
        <v>0.35</v>
      </c>
      <c r="L11" s="332">
        <f t="shared" si="0"/>
        <v>11349000</v>
      </c>
      <c r="M11" s="332"/>
      <c r="N11" s="332"/>
      <c r="O11" s="332"/>
      <c r="P11" s="332"/>
      <c r="Q11" s="443"/>
      <c r="R11" s="332"/>
      <c r="S11" s="2253"/>
    </row>
    <row r="12" spans="1:19" s="924" customFormat="1" ht="18" customHeight="1" x14ac:dyDescent="0.15">
      <c r="A12" s="853"/>
      <c r="B12" s="580" t="s">
        <v>1105</v>
      </c>
      <c r="C12" s="1037" t="s">
        <v>1269</v>
      </c>
      <c r="D12" s="718" t="s">
        <v>1119</v>
      </c>
      <c r="E12" s="718" t="s">
        <v>827</v>
      </c>
      <c r="F12" s="884"/>
      <c r="G12" s="878" t="s">
        <v>60</v>
      </c>
      <c r="H12" s="1052">
        <v>12</v>
      </c>
      <c r="I12" s="332">
        <v>485000</v>
      </c>
      <c r="J12" s="443">
        <f t="shared" si="1"/>
        <v>5820000</v>
      </c>
      <c r="K12" s="922">
        <v>0.35</v>
      </c>
      <c r="L12" s="332">
        <f t="shared" si="0"/>
        <v>3783000</v>
      </c>
      <c r="M12" s="332"/>
      <c r="N12" s="332"/>
      <c r="O12" s="332"/>
      <c r="P12" s="332"/>
      <c r="Q12" s="443"/>
      <c r="R12" s="332"/>
      <c r="S12" s="2253"/>
    </row>
    <row r="13" spans="1:19" s="924" customFormat="1" ht="18" customHeight="1" x14ac:dyDescent="0.15">
      <c r="A13" s="853"/>
      <c r="B13" s="580" t="s">
        <v>1105</v>
      </c>
      <c r="C13" s="1037" t="s">
        <v>1269</v>
      </c>
      <c r="D13" s="718" t="s">
        <v>1119</v>
      </c>
      <c r="E13" s="718" t="s">
        <v>827</v>
      </c>
      <c r="F13" s="884"/>
      <c r="G13" s="878" t="s">
        <v>41</v>
      </c>
      <c r="H13" s="1052">
        <v>12</v>
      </c>
      <c r="I13" s="332">
        <v>550000</v>
      </c>
      <c r="J13" s="443">
        <f t="shared" si="1"/>
        <v>6600000</v>
      </c>
      <c r="K13" s="922">
        <v>0.35</v>
      </c>
      <c r="L13" s="332">
        <f t="shared" si="0"/>
        <v>4290000</v>
      </c>
      <c r="M13" s="332"/>
      <c r="N13" s="332"/>
      <c r="O13" s="332"/>
      <c r="P13" s="332"/>
      <c r="Q13" s="443"/>
      <c r="R13" s="332"/>
      <c r="S13" s="2253"/>
    </row>
    <row r="14" spans="1:19" s="924" customFormat="1" ht="18" customHeight="1" x14ac:dyDescent="0.15">
      <c r="A14" s="853"/>
      <c r="B14" s="453" t="s">
        <v>1105</v>
      </c>
      <c r="C14" s="1037" t="s">
        <v>1269</v>
      </c>
      <c r="D14" s="720" t="s">
        <v>1119</v>
      </c>
      <c r="E14" s="720" t="s">
        <v>827</v>
      </c>
      <c r="F14" s="884"/>
      <c r="G14" s="878" t="s">
        <v>44</v>
      </c>
      <c r="H14" s="1052">
        <v>12</v>
      </c>
      <c r="I14" s="332">
        <v>455000</v>
      </c>
      <c r="J14" s="332">
        <f t="shared" si="1"/>
        <v>5460000</v>
      </c>
      <c r="K14" s="930">
        <v>0.35</v>
      </c>
      <c r="L14" s="332">
        <f t="shared" si="0"/>
        <v>3549000</v>
      </c>
      <c r="M14" s="332"/>
      <c r="N14" s="332"/>
      <c r="O14" s="332"/>
      <c r="P14" s="332"/>
      <c r="Q14" s="332"/>
      <c r="R14" s="332"/>
      <c r="S14" s="2253"/>
    </row>
    <row r="15" spans="1:19" s="924" customFormat="1" ht="18" customHeight="1" x14ac:dyDescent="0.15">
      <c r="A15" s="699"/>
      <c r="B15" s="744" t="s">
        <v>1105</v>
      </c>
      <c r="C15" s="951" t="s">
        <v>1269</v>
      </c>
      <c r="D15" s="700" t="s">
        <v>1119</v>
      </c>
      <c r="E15" s="700" t="s">
        <v>827</v>
      </c>
      <c r="F15" s="927"/>
      <c r="G15" s="702" t="s">
        <v>42</v>
      </c>
      <c r="H15" s="1054">
        <v>24</v>
      </c>
      <c r="I15" s="445">
        <v>455000</v>
      </c>
      <c r="J15" s="936">
        <f t="shared" si="1"/>
        <v>10920000</v>
      </c>
      <c r="K15" s="945">
        <v>0.35</v>
      </c>
      <c r="L15" s="445">
        <f t="shared" si="0"/>
        <v>7098000</v>
      </c>
      <c r="M15" s="445"/>
      <c r="N15" s="445"/>
      <c r="O15" s="445"/>
      <c r="P15" s="445"/>
      <c r="Q15" s="936"/>
      <c r="R15" s="445"/>
      <c r="S15" s="2254"/>
    </row>
    <row r="16" spans="1:19" s="924" customFormat="1" ht="8.4" x14ac:dyDescent="0.15">
      <c r="A16" s="920">
        <v>3</v>
      </c>
      <c r="B16" s="580" t="s">
        <v>1105</v>
      </c>
      <c r="C16" s="890" t="s">
        <v>12</v>
      </c>
      <c r="D16" s="718" t="s">
        <v>1120</v>
      </c>
      <c r="E16" s="718"/>
      <c r="F16" s="929" t="s">
        <v>1121</v>
      </c>
      <c r="G16" s="921" t="s">
        <v>33</v>
      </c>
      <c r="H16" s="1051">
        <v>24</v>
      </c>
      <c r="I16" s="443">
        <v>455000</v>
      </c>
      <c r="J16" s="443">
        <f t="shared" si="1"/>
        <v>10920000</v>
      </c>
      <c r="K16" s="922">
        <v>0.41</v>
      </c>
      <c r="L16" s="443">
        <f t="shared" si="0"/>
        <v>6442800.0000000009</v>
      </c>
      <c r="M16" s="443"/>
      <c r="N16" s="443"/>
      <c r="O16" s="443"/>
      <c r="P16" s="443"/>
      <c r="Q16" s="443">
        <v>131</v>
      </c>
      <c r="R16" s="443">
        <f>SUM(L16:L18)</f>
        <v>16461000.000000002</v>
      </c>
      <c r="S16" s="923"/>
    </row>
    <row r="17" spans="1:20" s="924" customFormat="1" ht="8.4" x14ac:dyDescent="0.15">
      <c r="A17" s="853"/>
      <c r="B17" s="580" t="s">
        <v>1105</v>
      </c>
      <c r="C17" s="890" t="s">
        <v>12</v>
      </c>
      <c r="D17" s="718" t="s">
        <v>1120</v>
      </c>
      <c r="E17" s="720"/>
      <c r="F17" s="884"/>
      <c r="G17" s="878" t="s">
        <v>35</v>
      </c>
      <c r="H17" s="1052">
        <v>24</v>
      </c>
      <c r="I17" s="332">
        <v>465000</v>
      </c>
      <c r="J17" s="332">
        <f t="shared" si="1"/>
        <v>11160000</v>
      </c>
      <c r="K17" s="930">
        <v>0.41</v>
      </c>
      <c r="L17" s="332">
        <f t="shared" si="0"/>
        <v>6584400.0000000009</v>
      </c>
      <c r="M17" s="332"/>
      <c r="N17" s="332"/>
      <c r="O17" s="332"/>
      <c r="P17" s="332"/>
      <c r="Q17" s="332"/>
      <c r="R17" s="332"/>
      <c r="S17" s="926"/>
    </row>
    <row r="18" spans="1:20" s="924" customFormat="1" ht="8.4" x14ac:dyDescent="0.15">
      <c r="A18" s="852"/>
      <c r="B18" s="582" t="s">
        <v>1105</v>
      </c>
      <c r="C18" s="717" t="s">
        <v>12</v>
      </c>
      <c r="D18" s="701" t="s">
        <v>1120</v>
      </c>
      <c r="E18" s="700"/>
      <c r="F18" s="880"/>
      <c r="G18" s="881" t="s">
        <v>60</v>
      </c>
      <c r="H18" s="1696">
        <v>12</v>
      </c>
      <c r="I18" s="936">
        <v>485000</v>
      </c>
      <c r="J18" s="936">
        <f t="shared" si="1"/>
        <v>5820000</v>
      </c>
      <c r="K18" s="945">
        <v>0.41</v>
      </c>
      <c r="L18" s="936">
        <f t="shared" si="0"/>
        <v>3433800.0000000005</v>
      </c>
      <c r="M18" s="936"/>
      <c r="N18" s="936"/>
      <c r="O18" s="936"/>
      <c r="P18" s="936"/>
      <c r="Q18" s="936"/>
      <c r="R18" s="936"/>
      <c r="S18" s="1038"/>
    </row>
    <row r="19" spans="1:20" s="924" customFormat="1" ht="9" customHeight="1" x14ac:dyDescent="0.15">
      <c r="A19" s="677">
        <v>4</v>
      </c>
      <c r="B19" s="583" t="s">
        <v>1001</v>
      </c>
      <c r="C19" s="678" t="s">
        <v>12</v>
      </c>
      <c r="D19" s="679" t="s">
        <v>1122</v>
      </c>
      <c r="E19" s="679"/>
      <c r="F19" s="888"/>
      <c r="G19" s="680" t="s">
        <v>41</v>
      </c>
      <c r="H19" s="1698">
        <v>1</v>
      </c>
      <c r="I19" s="446">
        <v>550000</v>
      </c>
      <c r="J19" s="446">
        <f t="shared" si="1"/>
        <v>550000</v>
      </c>
      <c r="K19" s="681">
        <v>1</v>
      </c>
      <c r="L19" s="446">
        <f t="shared" si="0"/>
        <v>0</v>
      </c>
      <c r="M19" s="446"/>
      <c r="N19" s="446"/>
      <c r="O19" s="446"/>
      <c r="P19" s="446"/>
      <c r="Q19" s="446"/>
      <c r="R19" s="446"/>
      <c r="S19" s="683"/>
    </row>
    <row r="20" spans="1:20" s="924" customFormat="1" ht="45" customHeight="1" x14ac:dyDescent="0.15">
      <c r="A20" s="677">
        <v>5</v>
      </c>
      <c r="B20" s="583" t="s">
        <v>1018</v>
      </c>
      <c r="C20" s="678" t="s">
        <v>12</v>
      </c>
      <c r="D20" s="679" t="s">
        <v>1135</v>
      </c>
      <c r="E20" s="679" t="s">
        <v>1136</v>
      </c>
      <c r="F20" s="888"/>
      <c r="G20" s="680" t="s">
        <v>41</v>
      </c>
      <c r="H20" s="1698">
        <v>2</v>
      </c>
      <c r="I20" s="446">
        <v>550000</v>
      </c>
      <c r="J20" s="446">
        <f t="shared" ref="J20" si="2">H20*I20</f>
        <v>1100000</v>
      </c>
      <c r="K20" s="681">
        <v>0.41</v>
      </c>
      <c r="L20" s="446">
        <f t="shared" ref="L20" si="3">H20*I20*(1-K20)</f>
        <v>649000.00000000012</v>
      </c>
      <c r="M20" s="446"/>
      <c r="N20" s="446"/>
      <c r="O20" s="446"/>
      <c r="P20" s="446"/>
      <c r="Q20" s="446">
        <v>131</v>
      </c>
      <c r="R20" s="446">
        <f>L20</f>
        <v>649000.00000000012</v>
      </c>
      <c r="S20" s="683"/>
    </row>
    <row r="21" spans="1:20" s="924" customFormat="1" ht="18" customHeight="1" x14ac:dyDescent="0.15">
      <c r="A21" s="920">
        <v>6</v>
      </c>
      <c r="B21" s="580" t="s">
        <v>1030</v>
      </c>
      <c r="C21" s="890" t="s">
        <v>12</v>
      </c>
      <c r="D21" s="718" t="s">
        <v>1134</v>
      </c>
      <c r="E21" s="718" t="s">
        <v>1123</v>
      </c>
      <c r="F21" s="929"/>
      <c r="G21" s="921" t="s">
        <v>46</v>
      </c>
      <c r="H21" s="1051">
        <v>2</v>
      </c>
      <c r="I21" s="443">
        <v>450000</v>
      </c>
      <c r="J21" s="443">
        <f t="shared" si="1"/>
        <v>900000</v>
      </c>
      <c r="K21" s="922">
        <v>0.25</v>
      </c>
      <c r="L21" s="443">
        <f t="shared" si="0"/>
        <v>675000</v>
      </c>
      <c r="M21" s="443"/>
      <c r="N21" s="443"/>
      <c r="O21" s="443">
        <v>112</v>
      </c>
      <c r="P21" s="443">
        <f>SUM(L21:L22)</f>
        <v>1357500</v>
      </c>
      <c r="Q21" s="443"/>
      <c r="R21" s="443"/>
      <c r="S21" s="923"/>
    </row>
    <row r="22" spans="1:20" s="924" customFormat="1" ht="18" customHeight="1" x14ac:dyDescent="0.15">
      <c r="A22" s="699"/>
      <c r="B22" s="582" t="s">
        <v>1030</v>
      </c>
      <c r="C22" s="717" t="s">
        <v>12</v>
      </c>
      <c r="D22" s="701" t="s">
        <v>1134</v>
      </c>
      <c r="E22" s="701" t="s">
        <v>1123</v>
      </c>
      <c r="F22" s="927"/>
      <c r="G22" s="702" t="s">
        <v>42</v>
      </c>
      <c r="H22" s="1054">
        <v>2</v>
      </c>
      <c r="I22" s="445">
        <v>455000</v>
      </c>
      <c r="J22" s="445">
        <f t="shared" si="1"/>
        <v>910000</v>
      </c>
      <c r="K22" s="703">
        <v>0.25</v>
      </c>
      <c r="L22" s="445">
        <f t="shared" si="0"/>
        <v>682500</v>
      </c>
      <c r="M22" s="445"/>
      <c r="N22" s="445"/>
      <c r="O22" s="445"/>
      <c r="P22" s="445"/>
      <c r="Q22" s="445"/>
      <c r="R22" s="445"/>
      <c r="S22" s="705"/>
    </row>
    <row r="23" spans="1:20" s="924" customFormat="1" ht="9" customHeight="1" x14ac:dyDescent="0.15">
      <c r="A23" s="885">
        <v>7</v>
      </c>
      <c r="B23" s="585" t="s">
        <v>1030</v>
      </c>
      <c r="C23" s="709" t="s">
        <v>1124</v>
      </c>
      <c r="D23" s="710" t="s">
        <v>1125</v>
      </c>
      <c r="E23" s="710" t="s">
        <v>747</v>
      </c>
      <c r="F23" s="886"/>
      <c r="G23" s="887" t="s">
        <v>35</v>
      </c>
      <c r="H23" s="1695">
        <v>1</v>
      </c>
      <c r="I23" s="444">
        <v>465000</v>
      </c>
      <c r="J23" s="444">
        <f t="shared" si="1"/>
        <v>465000</v>
      </c>
      <c r="K23" s="934">
        <v>0.41</v>
      </c>
      <c r="L23" s="444">
        <f t="shared" si="0"/>
        <v>274350.00000000006</v>
      </c>
      <c r="M23" s="444"/>
      <c r="N23" s="444"/>
      <c r="O23" s="444"/>
      <c r="P23" s="444"/>
      <c r="Q23" s="444">
        <v>131</v>
      </c>
      <c r="R23" s="444">
        <f>SUM(L23:L24)</f>
        <v>811250.00000000023</v>
      </c>
      <c r="S23" s="935"/>
    </row>
    <row r="24" spans="1:20" s="924" customFormat="1" ht="9" customHeight="1" x14ac:dyDescent="0.15">
      <c r="A24" s="699"/>
      <c r="B24" s="582" t="s">
        <v>1030</v>
      </c>
      <c r="C24" s="717" t="s">
        <v>1124</v>
      </c>
      <c r="D24" s="701" t="s">
        <v>1125</v>
      </c>
      <c r="E24" s="701" t="s">
        <v>747</v>
      </c>
      <c r="F24" s="927"/>
      <c r="G24" s="702" t="s">
        <v>44</v>
      </c>
      <c r="H24" s="1054">
        <v>2</v>
      </c>
      <c r="I24" s="445">
        <v>455000</v>
      </c>
      <c r="J24" s="445">
        <f t="shared" si="1"/>
        <v>910000</v>
      </c>
      <c r="K24" s="703">
        <v>0.41</v>
      </c>
      <c r="L24" s="445">
        <f t="shared" si="0"/>
        <v>536900.00000000012</v>
      </c>
      <c r="M24" s="445"/>
      <c r="N24" s="445"/>
      <c r="O24" s="445"/>
      <c r="P24" s="445"/>
      <c r="Q24" s="445"/>
      <c r="R24" s="445"/>
      <c r="S24" s="705"/>
    </row>
    <row r="25" spans="1:20" s="924" customFormat="1" ht="9" customHeight="1" x14ac:dyDescent="0.15">
      <c r="A25" s="852">
        <v>8</v>
      </c>
      <c r="B25" s="583" t="s">
        <v>1030</v>
      </c>
      <c r="C25" s="879" t="s">
        <v>61</v>
      </c>
      <c r="D25" s="700" t="s">
        <v>127</v>
      </c>
      <c r="E25" s="700"/>
      <c r="F25" s="880"/>
      <c r="G25" s="881" t="s">
        <v>40</v>
      </c>
      <c r="H25" s="1696">
        <v>1</v>
      </c>
      <c r="I25" s="936">
        <v>485000</v>
      </c>
      <c r="J25" s="936">
        <f t="shared" si="1"/>
        <v>485000</v>
      </c>
      <c r="K25" s="945">
        <v>0.41</v>
      </c>
      <c r="L25" s="443">
        <f t="shared" si="0"/>
        <v>286150.00000000006</v>
      </c>
      <c r="M25" s="936"/>
      <c r="N25" s="936"/>
      <c r="O25" s="936"/>
      <c r="P25" s="936"/>
      <c r="Q25" s="936">
        <v>131</v>
      </c>
      <c r="R25" s="936">
        <f>L25</f>
        <v>286150.00000000006</v>
      </c>
      <c r="S25" s="944"/>
    </row>
    <row r="26" spans="1:20" s="924" customFormat="1" ht="9" customHeight="1" x14ac:dyDescent="0.15">
      <c r="A26" s="677">
        <v>9</v>
      </c>
      <c r="B26" s="583" t="s">
        <v>1126</v>
      </c>
      <c r="C26" s="678" t="s">
        <v>12</v>
      </c>
      <c r="D26" s="679" t="s">
        <v>1127</v>
      </c>
      <c r="E26" s="679" t="s">
        <v>1128</v>
      </c>
      <c r="F26" s="888"/>
      <c r="G26" s="680" t="s">
        <v>40</v>
      </c>
      <c r="H26" s="1698">
        <v>1</v>
      </c>
      <c r="I26" s="446">
        <v>485000</v>
      </c>
      <c r="J26" s="446">
        <f t="shared" si="1"/>
        <v>485000</v>
      </c>
      <c r="K26" s="681">
        <v>0.41</v>
      </c>
      <c r="L26" s="446">
        <f t="shared" si="0"/>
        <v>286150.00000000006</v>
      </c>
      <c r="M26" s="446"/>
      <c r="N26" s="446"/>
      <c r="O26" s="446"/>
      <c r="P26" s="446"/>
      <c r="Q26" s="446">
        <v>131</v>
      </c>
      <c r="R26" s="446">
        <f>L26</f>
        <v>286150.00000000006</v>
      </c>
      <c r="S26" s="683"/>
    </row>
    <row r="27" spans="1:20" s="924" customFormat="1" ht="9" customHeight="1" x14ac:dyDescent="0.15">
      <c r="A27" s="920">
        <v>10</v>
      </c>
      <c r="B27" s="580" t="s">
        <v>1126</v>
      </c>
      <c r="C27" s="890" t="s">
        <v>12</v>
      </c>
      <c r="D27" s="718" t="s">
        <v>1129</v>
      </c>
      <c r="E27" s="718"/>
      <c r="F27" s="929"/>
      <c r="G27" s="921" t="s">
        <v>40</v>
      </c>
      <c r="H27" s="1051">
        <v>1</v>
      </c>
      <c r="I27" s="443">
        <v>485000</v>
      </c>
      <c r="J27" s="443">
        <f t="shared" si="1"/>
        <v>485000</v>
      </c>
      <c r="K27" s="922">
        <v>1</v>
      </c>
      <c r="L27" s="443">
        <f t="shared" si="0"/>
        <v>0</v>
      </c>
      <c r="M27" s="443"/>
      <c r="N27" s="443"/>
      <c r="O27" s="443"/>
      <c r="P27" s="443"/>
      <c r="Q27" s="443"/>
      <c r="R27" s="443"/>
      <c r="S27" s="923"/>
    </row>
    <row r="28" spans="1:20" s="924" customFormat="1" ht="9" customHeight="1" x14ac:dyDescent="0.15">
      <c r="A28" s="853"/>
      <c r="B28" s="580" t="s">
        <v>1126</v>
      </c>
      <c r="C28" s="890" t="s">
        <v>12</v>
      </c>
      <c r="D28" s="718" t="s">
        <v>1129</v>
      </c>
      <c r="E28" s="720"/>
      <c r="F28" s="884"/>
      <c r="G28" s="878" t="s">
        <v>41</v>
      </c>
      <c r="H28" s="1052">
        <v>1</v>
      </c>
      <c r="I28" s="332">
        <v>550000</v>
      </c>
      <c r="J28" s="443">
        <f t="shared" si="1"/>
        <v>550000</v>
      </c>
      <c r="K28" s="922">
        <v>1</v>
      </c>
      <c r="L28" s="443">
        <f t="shared" si="0"/>
        <v>0</v>
      </c>
      <c r="M28" s="332"/>
      <c r="N28" s="332"/>
      <c r="O28" s="332"/>
      <c r="P28" s="332"/>
      <c r="Q28" s="332"/>
      <c r="R28" s="332"/>
      <c r="S28" s="925"/>
    </row>
    <row r="29" spans="1:20" s="924" customFormat="1" ht="9" customHeight="1" x14ac:dyDescent="0.15">
      <c r="A29" s="853"/>
      <c r="B29" s="580" t="s">
        <v>1126</v>
      </c>
      <c r="C29" s="890" t="s">
        <v>12</v>
      </c>
      <c r="D29" s="718" t="s">
        <v>1129</v>
      </c>
      <c r="E29" s="720"/>
      <c r="F29" s="884"/>
      <c r="G29" s="878" t="s">
        <v>44</v>
      </c>
      <c r="H29" s="1052">
        <v>1</v>
      </c>
      <c r="I29" s="332">
        <v>455000</v>
      </c>
      <c r="J29" s="443">
        <f t="shared" si="1"/>
        <v>455000</v>
      </c>
      <c r="K29" s="922">
        <v>1</v>
      </c>
      <c r="L29" s="443">
        <f t="shared" si="0"/>
        <v>0</v>
      </c>
      <c r="M29" s="332"/>
      <c r="N29" s="332"/>
      <c r="O29" s="332"/>
      <c r="P29" s="332"/>
      <c r="Q29" s="332"/>
      <c r="R29" s="332"/>
      <c r="S29" s="925"/>
    </row>
    <row r="30" spans="1:20" s="924" customFormat="1" ht="9" customHeight="1" x14ac:dyDescent="0.15">
      <c r="A30" s="699"/>
      <c r="B30" s="580" t="s">
        <v>1126</v>
      </c>
      <c r="C30" s="890" t="s">
        <v>12</v>
      </c>
      <c r="D30" s="718" t="s">
        <v>1129</v>
      </c>
      <c r="E30" s="701"/>
      <c r="F30" s="927"/>
      <c r="G30" s="702" t="s">
        <v>42</v>
      </c>
      <c r="H30" s="1054">
        <v>1</v>
      </c>
      <c r="I30" s="445">
        <v>455000</v>
      </c>
      <c r="J30" s="445">
        <f t="shared" si="1"/>
        <v>455000</v>
      </c>
      <c r="K30" s="703">
        <v>1</v>
      </c>
      <c r="L30" s="445">
        <f t="shared" si="0"/>
        <v>0</v>
      </c>
      <c r="M30" s="445"/>
      <c r="N30" s="445"/>
      <c r="O30" s="445"/>
      <c r="P30" s="445"/>
      <c r="Q30" s="445"/>
      <c r="R30" s="445"/>
      <c r="S30" s="705"/>
    </row>
    <row r="31" spans="1:20" s="924" customFormat="1" ht="9" customHeight="1" x14ac:dyDescent="0.15">
      <c r="A31" s="677">
        <v>11</v>
      </c>
      <c r="B31" s="583" t="s">
        <v>1126</v>
      </c>
      <c r="C31" s="678" t="s">
        <v>1130</v>
      </c>
      <c r="D31" s="679" t="s">
        <v>953</v>
      </c>
      <c r="E31" s="679" t="s">
        <v>1131</v>
      </c>
      <c r="F31" s="888" t="s">
        <v>1132</v>
      </c>
      <c r="G31" s="680" t="s">
        <v>44</v>
      </c>
      <c r="H31" s="1698">
        <v>2</v>
      </c>
      <c r="I31" s="446">
        <v>455000</v>
      </c>
      <c r="J31" s="446">
        <f t="shared" si="1"/>
        <v>910000</v>
      </c>
      <c r="K31" s="681">
        <v>0.41</v>
      </c>
      <c r="L31" s="446">
        <f t="shared" si="0"/>
        <v>536900.00000000012</v>
      </c>
      <c r="M31" s="446"/>
      <c r="N31" s="446"/>
      <c r="O31" s="446"/>
      <c r="P31" s="446"/>
      <c r="Q31" s="446">
        <v>131</v>
      </c>
      <c r="R31" s="446">
        <f>L31</f>
        <v>536900.00000000012</v>
      </c>
      <c r="S31" s="683"/>
    </row>
    <row r="32" spans="1:20" s="924" customFormat="1" ht="9" customHeight="1" x14ac:dyDescent="0.15">
      <c r="A32" s="677">
        <v>12</v>
      </c>
      <c r="B32" s="583" t="s">
        <v>1033</v>
      </c>
      <c r="C32" s="678" t="s">
        <v>12</v>
      </c>
      <c r="D32" s="679" t="s">
        <v>127</v>
      </c>
      <c r="E32" s="679" t="s">
        <v>1133</v>
      </c>
      <c r="F32" s="888"/>
      <c r="G32" s="680" t="s">
        <v>33</v>
      </c>
      <c r="H32" s="1698">
        <v>5</v>
      </c>
      <c r="I32" s="446">
        <v>455000</v>
      </c>
      <c r="J32" s="446">
        <f t="shared" si="1"/>
        <v>2275000</v>
      </c>
      <c r="K32" s="681">
        <v>0.41</v>
      </c>
      <c r="L32" s="446">
        <f t="shared" si="0"/>
        <v>1342250.0000000002</v>
      </c>
      <c r="M32" s="446">
        <v>111</v>
      </c>
      <c r="N32" s="446">
        <f>L32</f>
        <v>1342250.0000000002</v>
      </c>
      <c r="O32" s="446"/>
      <c r="P32" s="446"/>
      <c r="Q32" s="446"/>
      <c r="R32" s="446"/>
      <c r="S32" s="683"/>
      <c r="T32" s="924" t="s">
        <v>1908</v>
      </c>
    </row>
    <row r="33" spans="1:19" s="924" customFormat="1" ht="9" customHeight="1" x14ac:dyDescent="0.15">
      <c r="A33" s="677">
        <v>13</v>
      </c>
      <c r="B33" s="583" t="s">
        <v>1107</v>
      </c>
      <c r="C33" s="678" t="s">
        <v>61</v>
      </c>
      <c r="D33" s="679" t="s">
        <v>127</v>
      </c>
      <c r="E33" s="679"/>
      <c r="F33" s="888"/>
      <c r="G33" s="680" t="s">
        <v>40</v>
      </c>
      <c r="H33" s="1698">
        <v>3</v>
      </c>
      <c r="I33" s="446">
        <v>485000</v>
      </c>
      <c r="J33" s="446">
        <f t="shared" si="1"/>
        <v>1455000</v>
      </c>
      <c r="K33" s="681">
        <v>0.41</v>
      </c>
      <c r="L33" s="446">
        <f t="shared" si="0"/>
        <v>858450.00000000012</v>
      </c>
      <c r="M33" s="446"/>
      <c r="N33" s="446"/>
      <c r="O33" s="446"/>
      <c r="P33" s="446"/>
      <c r="Q33" s="446">
        <v>131</v>
      </c>
      <c r="R33" s="446">
        <f>L33</f>
        <v>858450.00000000012</v>
      </c>
      <c r="S33" s="683"/>
    </row>
    <row r="34" spans="1:19" s="924" customFormat="1" ht="8.4" x14ac:dyDescent="0.15">
      <c r="A34" s="920">
        <v>14</v>
      </c>
      <c r="B34" s="580" t="s">
        <v>1162</v>
      </c>
      <c r="C34" s="890" t="s">
        <v>12</v>
      </c>
      <c r="D34" s="718" t="s">
        <v>1120</v>
      </c>
      <c r="E34" s="718"/>
      <c r="F34" s="929"/>
      <c r="G34" s="921" t="s">
        <v>31</v>
      </c>
      <c r="H34" s="1051">
        <v>5</v>
      </c>
      <c r="I34" s="443">
        <v>255000</v>
      </c>
      <c r="J34" s="443">
        <f t="shared" si="1"/>
        <v>1275000</v>
      </c>
      <c r="K34" s="922">
        <v>0.41</v>
      </c>
      <c r="L34" s="443">
        <f t="shared" si="0"/>
        <v>752250.00000000012</v>
      </c>
      <c r="M34" s="443"/>
      <c r="N34" s="443"/>
      <c r="O34" s="443"/>
      <c r="P34" s="443"/>
      <c r="Q34" s="443">
        <v>131</v>
      </c>
      <c r="R34" s="443">
        <f>SUM(L34+L35)</f>
        <v>7195050.0000000009</v>
      </c>
      <c r="S34" s="946"/>
    </row>
    <row r="35" spans="1:19" s="924" customFormat="1" ht="8.4" x14ac:dyDescent="0.15">
      <c r="A35" s="699"/>
      <c r="B35" s="582" t="s">
        <v>1162</v>
      </c>
      <c r="C35" s="717" t="s">
        <v>12</v>
      </c>
      <c r="D35" s="701" t="s">
        <v>1120</v>
      </c>
      <c r="E35" s="701"/>
      <c r="F35" s="927"/>
      <c r="G35" s="702" t="s">
        <v>33</v>
      </c>
      <c r="H35" s="1054">
        <v>24</v>
      </c>
      <c r="I35" s="445">
        <v>455000</v>
      </c>
      <c r="J35" s="445">
        <f t="shared" si="1"/>
        <v>10920000</v>
      </c>
      <c r="K35" s="703">
        <v>0.41</v>
      </c>
      <c r="L35" s="445">
        <f t="shared" si="0"/>
        <v>6442800.0000000009</v>
      </c>
      <c r="M35" s="445"/>
      <c r="N35" s="445"/>
      <c r="O35" s="445"/>
      <c r="P35" s="445"/>
      <c r="Q35" s="445"/>
      <c r="R35" s="445"/>
      <c r="S35" s="705"/>
    </row>
    <row r="36" spans="1:19" s="924" customFormat="1" ht="9" customHeight="1" x14ac:dyDescent="0.15">
      <c r="A36" s="1061">
        <v>15</v>
      </c>
      <c r="B36" s="584" t="s">
        <v>1032</v>
      </c>
      <c r="C36" s="672" t="s">
        <v>1354</v>
      </c>
      <c r="D36" s="685" t="s">
        <v>1268</v>
      </c>
      <c r="E36" s="685"/>
      <c r="F36" s="883"/>
      <c r="G36" s="686" t="s">
        <v>35</v>
      </c>
      <c r="H36" s="1697">
        <v>24</v>
      </c>
      <c r="I36" s="687">
        <v>465000</v>
      </c>
      <c r="J36" s="687">
        <f t="shared" si="1"/>
        <v>11160000</v>
      </c>
      <c r="K36" s="688">
        <v>0.35</v>
      </c>
      <c r="L36" s="687">
        <f t="shared" si="0"/>
        <v>7254000</v>
      </c>
      <c r="M36" s="687"/>
      <c r="N36" s="687"/>
      <c r="O36" s="687"/>
      <c r="P36" s="687"/>
      <c r="Q36" s="687">
        <v>131</v>
      </c>
      <c r="R36" s="687">
        <f>SUM(L36:L41)</f>
        <v>54054000</v>
      </c>
      <c r="S36" s="690"/>
    </row>
    <row r="37" spans="1:19" s="924" customFormat="1" ht="9" customHeight="1" x14ac:dyDescent="0.15">
      <c r="A37" s="853"/>
      <c r="B37" s="584" t="s">
        <v>1032</v>
      </c>
      <c r="C37" s="851" t="s">
        <v>1354</v>
      </c>
      <c r="D37" s="720" t="s">
        <v>1268</v>
      </c>
      <c r="E37" s="720"/>
      <c r="F37" s="884"/>
      <c r="G37" s="878" t="s">
        <v>37</v>
      </c>
      <c r="H37" s="1052">
        <v>24</v>
      </c>
      <c r="I37" s="332">
        <v>475000</v>
      </c>
      <c r="J37" s="332">
        <f t="shared" si="1"/>
        <v>11400000</v>
      </c>
      <c r="K37" s="930">
        <v>0.35</v>
      </c>
      <c r="L37" s="332">
        <f t="shared" si="0"/>
        <v>7410000</v>
      </c>
      <c r="M37" s="332"/>
      <c r="N37" s="332"/>
      <c r="O37" s="332"/>
      <c r="P37" s="332"/>
      <c r="Q37" s="332"/>
      <c r="R37" s="332"/>
      <c r="S37" s="925"/>
    </row>
    <row r="38" spans="1:19" s="924" customFormat="1" ht="9" customHeight="1" x14ac:dyDescent="0.15">
      <c r="A38" s="853"/>
      <c r="B38" s="584" t="s">
        <v>1032</v>
      </c>
      <c r="C38" s="851" t="s">
        <v>1354</v>
      </c>
      <c r="D38" s="720" t="s">
        <v>1268</v>
      </c>
      <c r="E38" s="720"/>
      <c r="F38" s="884"/>
      <c r="G38" s="878" t="s">
        <v>40</v>
      </c>
      <c r="H38" s="1052">
        <v>24</v>
      </c>
      <c r="I38" s="332">
        <v>485000</v>
      </c>
      <c r="J38" s="332">
        <f t="shared" si="1"/>
        <v>11640000</v>
      </c>
      <c r="K38" s="930">
        <v>0.35</v>
      </c>
      <c r="L38" s="332">
        <f t="shared" si="0"/>
        <v>7566000</v>
      </c>
      <c r="M38" s="332"/>
      <c r="N38" s="332"/>
      <c r="O38" s="332"/>
      <c r="P38" s="332"/>
      <c r="Q38" s="332"/>
      <c r="R38" s="332"/>
      <c r="S38" s="925"/>
    </row>
    <row r="39" spans="1:19" s="924" customFormat="1" ht="9" customHeight="1" x14ac:dyDescent="0.15">
      <c r="A39" s="853"/>
      <c r="B39" s="584" t="s">
        <v>1032</v>
      </c>
      <c r="C39" s="851" t="s">
        <v>1354</v>
      </c>
      <c r="D39" s="720" t="s">
        <v>1268</v>
      </c>
      <c r="E39" s="720"/>
      <c r="F39" s="884"/>
      <c r="G39" s="878" t="s">
        <v>60</v>
      </c>
      <c r="H39" s="1052">
        <v>24</v>
      </c>
      <c r="I39" s="332">
        <v>485000</v>
      </c>
      <c r="J39" s="332">
        <f t="shared" si="1"/>
        <v>11640000</v>
      </c>
      <c r="K39" s="930">
        <v>0.35</v>
      </c>
      <c r="L39" s="332">
        <f t="shared" si="0"/>
        <v>7566000</v>
      </c>
      <c r="M39" s="332"/>
      <c r="N39" s="332"/>
      <c r="O39" s="332"/>
      <c r="P39" s="332"/>
      <c r="Q39" s="332"/>
      <c r="R39" s="332"/>
      <c r="S39" s="925"/>
    </row>
    <row r="40" spans="1:19" s="924" customFormat="1" ht="9" customHeight="1" x14ac:dyDescent="0.15">
      <c r="A40" s="853"/>
      <c r="B40" s="584" t="s">
        <v>1032</v>
      </c>
      <c r="C40" s="851" t="s">
        <v>1354</v>
      </c>
      <c r="D40" s="720" t="s">
        <v>1268</v>
      </c>
      <c r="E40" s="720"/>
      <c r="F40" s="884"/>
      <c r="G40" s="878" t="s">
        <v>41</v>
      </c>
      <c r="H40" s="1052">
        <v>48</v>
      </c>
      <c r="I40" s="332">
        <v>550000</v>
      </c>
      <c r="J40" s="332">
        <f t="shared" si="1"/>
        <v>26400000</v>
      </c>
      <c r="K40" s="930">
        <v>0.35</v>
      </c>
      <c r="L40" s="332">
        <f t="shared" si="0"/>
        <v>17160000</v>
      </c>
      <c r="M40" s="332"/>
      <c r="N40" s="332"/>
      <c r="O40" s="332"/>
      <c r="P40" s="332"/>
      <c r="Q40" s="332"/>
      <c r="R40" s="332"/>
      <c r="S40" s="925"/>
    </row>
    <row r="41" spans="1:19" s="924" customFormat="1" ht="9" customHeight="1" x14ac:dyDescent="0.15">
      <c r="A41" s="852"/>
      <c r="B41" s="584" t="s">
        <v>1032</v>
      </c>
      <c r="C41" s="717" t="s">
        <v>1354</v>
      </c>
      <c r="D41" s="701" t="s">
        <v>1268</v>
      </c>
      <c r="E41" s="700"/>
      <c r="F41" s="880"/>
      <c r="G41" s="881" t="s">
        <v>42</v>
      </c>
      <c r="H41" s="1696">
        <v>24</v>
      </c>
      <c r="I41" s="936">
        <v>455000</v>
      </c>
      <c r="J41" s="936">
        <f t="shared" si="1"/>
        <v>10920000</v>
      </c>
      <c r="K41" s="945">
        <v>0.35</v>
      </c>
      <c r="L41" s="936">
        <f t="shared" si="0"/>
        <v>7098000</v>
      </c>
      <c r="M41" s="936"/>
      <c r="N41" s="936"/>
      <c r="O41" s="936"/>
      <c r="P41" s="936"/>
      <c r="Q41" s="936"/>
      <c r="R41" s="936"/>
      <c r="S41" s="944"/>
    </row>
    <row r="42" spans="1:19" s="924" customFormat="1" ht="9" customHeight="1" x14ac:dyDescent="0.15">
      <c r="A42" s="852">
        <v>16</v>
      </c>
      <c r="B42" s="744" t="s">
        <v>1032</v>
      </c>
      <c r="C42" s="673" t="s">
        <v>1354</v>
      </c>
      <c r="D42" s="700" t="s">
        <v>127</v>
      </c>
      <c r="E42" s="700"/>
      <c r="F42" s="880"/>
      <c r="G42" s="881" t="s">
        <v>33</v>
      </c>
      <c r="H42" s="1696">
        <v>10</v>
      </c>
      <c r="I42" s="936">
        <v>455000</v>
      </c>
      <c r="J42" s="936">
        <f t="shared" si="1"/>
        <v>4550000</v>
      </c>
      <c r="K42" s="945">
        <v>0.41</v>
      </c>
      <c r="L42" s="936">
        <f t="shared" si="0"/>
        <v>2684500.0000000005</v>
      </c>
      <c r="M42" s="936"/>
      <c r="N42" s="936"/>
      <c r="O42" s="936"/>
      <c r="P42" s="936"/>
      <c r="Q42" s="936">
        <v>131</v>
      </c>
      <c r="R42" s="936">
        <f>L42</f>
        <v>2684500.0000000005</v>
      </c>
      <c r="S42" s="944"/>
    </row>
    <row r="43" spans="1:19" s="924" customFormat="1" ht="9" customHeight="1" x14ac:dyDescent="0.15">
      <c r="A43" s="852">
        <v>17</v>
      </c>
      <c r="B43" s="744" t="s">
        <v>1032</v>
      </c>
      <c r="C43" s="673" t="s">
        <v>12</v>
      </c>
      <c r="D43" s="700" t="s">
        <v>127</v>
      </c>
      <c r="E43" s="700"/>
      <c r="F43" s="880"/>
      <c r="G43" s="881" t="s">
        <v>33</v>
      </c>
      <c r="H43" s="1696">
        <v>2</v>
      </c>
      <c r="I43" s="936">
        <v>455000</v>
      </c>
      <c r="J43" s="936">
        <f t="shared" si="1"/>
        <v>910000</v>
      </c>
      <c r="K43" s="945">
        <v>1</v>
      </c>
      <c r="L43" s="936">
        <f t="shared" si="0"/>
        <v>0</v>
      </c>
      <c r="M43" s="936"/>
      <c r="N43" s="936"/>
      <c r="O43" s="936"/>
      <c r="P43" s="936"/>
      <c r="Q43" s="936"/>
      <c r="R43" s="936"/>
      <c r="S43" s="944" t="s">
        <v>484</v>
      </c>
    </row>
    <row r="44" spans="1:19" s="924" customFormat="1" ht="9" customHeight="1" x14ac:dyDescent="0.15">
      <c r="A44" s="852">
        <v>18</v>
      </c>
      <c r="B44" s="744" t="s">
        <v>1166</v>
      </c>
      <c r="C44" s="673" t="s">
        <v>1200</v>
      </c>
      <c r="D44" s="700" t="s">
        <v>127</v>
      </c>
      <c r="E44" s="700"/>
      <c r="F44" s="880"/>
      <c r="G44" s="881" t="s">
        <v>33</v>
      </c>
      <c r="H44" s="1696">
        <v>2</v>
      </c>
      <c r="I44" s="936">
        <v>455000</v>
      </c>
      <c r="J44" s="936">
        <f t="shared" si="1"/>
        <v>910000</v>
      </c>
      <c r="K44" s="945">
        <v>0.41</v>
      </c>
      <c r="L44" s="936">
        <f t="shared" si="0"/>
        <v>536900.00000000012</v>
      </c>
      <c r="M44" s="936"/>
      <c r="N44" s="936"/>
      <c r="O44" s="936"/>
      <c r="P44" s="936"/>
      <c r="Q44" s="936">
        <v>131</v>
      </c>
      <c r="R44" s="936">
        <f>L44</f>
        <v>536900.00000000012</v>
      </c>
      <c r="S44" s="944"/>
    </row>
    <row r="45" spans="1:19" s="924" customFormat="1" ht="9" customHeight="1" x14ac:dyDescent="0.15">
      <c r="A45" s="885">
        <v>19</v>
      </c>
      <c r="B45" s="585" t="s">
        <v>1166</v>
      </c>
      <c r="C45" s="709" t="s">
        <v>12</v>
      </c>
      <c r="D45" s="710" t="s">
        <v>1199</v>
      </c>
      <c r="E45" s="710"/>
      <c r="F45" s="886"/>
      <c r="G45" s="887" t="s">
        <v>40</v>
      </c>
      <c r="H45" s="1695">
        <v>1</v>
      </c>
      <c r="I45" s="444">
        <v>485000</v>
      </c>
      <c r="J45" s="444">
        <f t="shared" ref="J45" si="4">H45*I45</f>
        <v>485000</v>
      </c>
      <c r="K45" s="934">
        <v>0.41</v>
      </c>
      <c r="L45" s="444">
        <f t="shared" ref="L45" si="5">H45*I45*(1-K45)</f>
        <v>286150.00000000006</v>
      </c>
      <c r="M45" s="444"/>
      <c r="N45" s="444"/>
      <c r="O45" s="444"/>
      <c r="P45" s="444"/>
      <c r="Q45" s="444">
        <v>131</v>
      </c>
      <c r="R45" s="444">
        <f>L45+L46</f>
        <v>554600.00000000012</v>
      </c>
      <c r="S45" s="935"/>
    </row>
    <row r="46" spans="1:19" s="924" customFormat="1" ht="9" customHeight="1" x14ac:dyDescent="0.15">
      <c r="A46" s="852"/>
      <c r="B46" s="744" t="s">
        <v>1166</v>
      </c>
      <c r="C46" s="673" t="s">
        <v>12</v>
      </c>
      <c r="D46" s="700" t="s">
        <v>1199</v>
      </c>
      <c r="E46" s="700"/>
      <c r="F46" s="880"/>
      <c r="G46" s="881" t="s">
        <v>44</v>
      </c>
      <c r="H46" s="1696">
        <v>1</v>
      </c>
      <c r="I46" s="936">
        <v>455000</v>
      </c>
      <c r="J46" s="936">
        <f t="shared" si="1"/>
        <v>455000</v>
      </c>
      <c r="K46" s="945">
        <v>0.41</v>
      </c>
      <c r="L46" s="936">
        <f t="shared" si="0"/>
        <v>268450.00000000006</v>
      </c>
      <c r="M46" s="936"/>
      <c r="N46" s="936"/>
      <c r="O46" s="936"/>
      <c r="P46" s="936"/>
      <c r="Q46" s="936"/>
      <c r="R46" s="936"/>
      <c r="S46" s="944"/>
    </row>
    <row r="47" spans="1:19" s="924" customFormat="1" ht="9" customHeight="1" x14ac:dyDescent="0.15">
      <c r="A47" s="677">
        <v>20</v>
      </c>
      <c r="B47" s="583" t="s">
        <v>1188</v>
      </c>
      <c r="C47" s="678" t="s">
        <v>12</v>
      </c>
      <c r="D47" s="679" t="s">
        <v>908</v>
      </c>
      <c r="E47" s="679"/>
      <c r="F47" s="888"/>
      <c r="G47" s="680" t="s">
        <v>44</v>
      </c>
      <c r="H47" s="1698">
        <v>1</v>
      </c>
      <c r="I47" s="446">
        <v>455000</v>
      </c>
      <c r="J47" s="446">
        <f t="shared" ref="J47:J55" si="6">H47*I47</f>
        <v>455000</v>
      </c>
      <c r="K47" s="681">
        <v>0.41</v>
      </c>
      <c r="L47" s="446">
        <f>H47*I47*(1-K47)</f>
        <v>268450.00000000006</v>
      </c>
      <c r="M47" s="446">
        <v>111</v>
      </c>
      <c r="N47" s="446">
        <f>L47</f>
        <v>268450.00000000006</v>
      </c>
      <c r="O47" s="446"/>
      <c r="P47" s="446"/>
      <c r="Q47" s="446"/>
      <c r="R47" s="446"/>
      <c r="S47" s="683"/>
    </row>
    <row r="48" spans="1:19" s="924" customFormat="1" ht="9" customHeight="1" x14ac:dyDescent="0.15">
      <c r="A48" s="920">
        <v>21</v>
      </c>
      <c r="B48" s="580" t="s">
        <v>1188</v>
      </c>
      <c r="C48" s="890" t="s">
        <v>12</v>
      </c>
      <c r="D48" s="718" t="s">
        <v>1230</v>
      </c>
      <c r="E48" s="718"/>
      <c r="F48" s="929"/>
      <c r="G48" s="921" t="s">
        <v>40</v>
      </c>
      <c r="H48" s="1051">
        <v>5</v>
      </c>
      <c r="I48" s="443">
        <v>485000</v>
      </c>
      <c r="J48" s="443">
        <f t="shared" si="6"/>
        <v>2425000</v>
      </c>
      <c r="K48" s="688">
        <v>0.41</v>
      </c>
      <c r="L48" s="443">
        <f>H48*I48*(1-K48)</f>
        <v>1430750.0000000002</v>
      </c>
      <c r="M48" s="443"/>
      <c r="N48" s="443"/>
      <c r="O48" s="443"/>
      <c r="P48" s="443"/>
      <c r="Q48" s="443">
        <v>131</v>
      </c>
      <c r="R48" s="443">
        <f>L48</f>
        <v>1430750.0000000002</v>
      </c>
      <c r="S48" s="946"/>
    </row>
    <row r="49" spans="1:19" s="924" customFormat="1" ht="9" customHeight="1" x14ac:dyDescent="0.15">
      <c r="A49" s="699"/>
      <c r="B49" s="744" t="s">
        <v>1188</v>
      </c>
      <c r="C49" s="673" t="s">
        <v>12</v>
      </c>
      <c r="D49" s="700" t="s">
        <v>1230</v>
      </c>
      <c r="E49" s="701"/>
      <c r="F49" s="927"/>
      <c r="G49" s="702" t="s">
        <v>40</v>
      </c>
      <c r="H49" s="1054">
        <v>1</v>
      </c>
      <c r="I49" s="445">
        <v>485000</v>
      </c>
      <c r="J49" s="936">
        <f t="shared" si="6"/>
        <v>485000</v>
      </c>
      <c r="K49" s="703">
        <v>1</v>
      </c>
      <c r="L49" s="445">
        <f>H49*I49*(1-K49)</f>
        <v>0</v>
      </c>
      <c r="M49" s="445"/>
      <c r="N49" s="445"/>
      <c r="O49" s="445"/>
      <c r="P49" s="445"/>
      <c r="Q49" s="445"/>
      <c r="R49" s="445"/>
      <c r="S49" s="705"/>
    </row>
    <row r="50" spans="1:19" s="924" customFormat="1" ht="9" customHeight="1" x14ac:dyDescent="0.15">
      <c r="A50" s="920">
        <v>22</v>
      </c>
      <c r="B50" s="580" t="s">
        <v>1188</v>
      </c>
      <c r="C50" s="890" t="s">
        <v>12</v>
      </c>
      <c r="D50" s="718" t="s">
        <v>797</v>
      </c>
      <c r="E50" s="718"/>
      <c r="F50" s="929"/>
      <c r="G50" s="921" t="s">
        <v>40</v>
      </c>
      <c r="H50" s="1051">
        <v>3</v>
      </c>
      <c r="I50" s="443">
        <v>485000</v>
      </c>
      <c r="J50" s="443">
        <f t="shared" si="6"/>
        <v>1455000</v>
      </c>
      <c r="K50" s="922">
        <v>0.41</v>
      </c>
      <c r="L50" s="443">
        <f t="shared" ref="L50:L52" si="7">H50*I50*(1-K50)</f>
        <v>858450.00000000012</v>
      </c>
      <c r="M50" s="443"/>
      <c r="N50" s="443"/>
      <c r="O50" s="443"/>
      <c r="P50" s="443"/>
      <c r="Q50" s="443">
        <v>131</v>
      </c>
      <c r="R50" s="443">
        <f>L50+L51</f>
        <v>1126900.0000000002</v>
      </c>
      <c r="S50" s="923"/>
    </row>
    <row r="51" spans="1:19" s="924" customFormat="1" ht="9" customHeight="1" x14ac:dyDescent="0.15">
      <c r="A51" s="699"/>
      <c r="B51" s="582"/>
      <c r="C51" s="890" t="s">
        <v>12</v>
      </c>
      <c r="D51" s="718" t="s">
        <v>797</v>
      </c>
      <c r="E51" s="701"/>
      <c r="F51" s="927"/>
      <c r="G51" s="702" t="s">
        <v>42</v>
      </c>
      <c r="H51" s="1054">
        <v>1</v>
      </c>
      <c r="I51" s="445">
        <v>455000</v>
      </c>
      <c r="J51" s="445">
        <f t="shared" si="6"/>
        <v>455000</v>
      </c>
      <c r="K51" s="703">
        <v>0.41</v>
      </c>
      <c r="L51" s="445">
        <f t="shared" si="7"/>
        <v>268450.00000000006</v>
      </c>
      <c r="M51" s="445"/>
      <c r="N51" s="445"/>
      <c r="O51" s="445"/>
      <c r="P51" s="445"/>
      <c r="Q51" s="445"/>
      <c r="R51" s="445"/>
      <c r="S51" s="928"/>
    </row>
    <row r="52" spans="1:19" s="924" customFormat="1" ht="9" customHeight="1" x14ac:dyDescent="0.15">
      <c r="A52" s="677">
        <v>23</v>
      </c>
      <c r="B52" s="583" t="s">
        <v>1188</v>
      </c>
      <c r="C52" s="678" t="s">
        <v>12</v>
      </c>
      <c r="D52" s="679" t="s">
        <v>1127</v>
      </c>
      <c r="E52" s="679"/>
      <c r="F52" s="888"/>
      <c r="G52" s="680" t="s">
        <v>33</v>
      </c>
      <c r="H52" s="1698">
        <v>1</v>
      </c>
      <c r="I52" s="446">
        <v>455000</v>
      </c>
      <c r="J52" s="446">
        <f t="shared" si="6"/>
        <v>455000</v>
      </c>
      <c r="K52" s="681">
        <v>0.41</v>
      </c>
      <c r="L52" s="446">
        <f t="shared" si="7"/>
        <v>268450.00000000006</v>
      </c>
      <c r="M52" s="446">
        <v>111</v>
      </c>
      <c r="N52" s="446">
        <f>L52</f>
        <v>268450.00000000006</v>
      </c>
      <c r="O52" s="446"/>
      <c r="P52" s="446"/>
      <c r="Q52" s="446"/>
      <c r="R52" s="446"/>
      <c r="S52" s="683"/>
    </row>
    <row r="53" spans="1:19" s="924" customFormat="1" ht="9" customHeight="1" x14ac:dyDescent="0.15">
      <c r="A53" s="920">
        <v>24</v>
      </c>
      <c r="B53" s="580" t="s">
        <v>1188</v>
      </c>
      <c r="C53" s="890" t="s">
        <v>1269</v>
      </c>
      <c r="D53" s="718" t="s">
        <v>397</v>
      </c>
      <c r="E53" s="718"/>
      <c r="F53" s="929"/>
      <c r="G53" s="921" t="s">
        <v>41</v>
      </c>
      <c r="H53" s="1051">
        <v>1</v>
      </c>
      <c r="I53" s="443">
        <v>550000</v>
      </c>
      <c r="J53" s="443">
        <f t="shared" si="6"/>
        <v>550000</v>
      </c>
      <c r="K53" s="922">
        <v>0.41</v>
      </c>
      <c r="L53" s="443">
        <f>H53*I53*(1-K53)</f>
        <v>324500.00000000006</v>
      </c>
      <c r="M53" s="443"/>
      <c r="N53" s="443"/>
      <c r="O53" s="443"/>
      <c r="P53" s="443"/>
      <c r="Q53" s="443">
        <v>131</v>
      </c>
      <c r="R53" s="443">
        <f>L53+L54</f>
        <v>592950.00000000012</v>
      </c>
      <c r="S53" s="923"/>
    </row>
    <row r="54" spans="1:19" s="924" customFormat="1" ht="9" customHeight="1" x14ac:dyDescent="0.15">
      <c r="A54" s="699"/>
      <c r="B54" s="582"/>
      <c r="C54" s="717" t="s">
        <v>1269</v>
      </c>
      <c r="D54" s="701" t="s">
        <v>397</v>
      </c>
      <c r="E54" s="701"/>
      <c r="F54" s="927"/>
      <c r="G54" s="702" t="s">
        <v>44</v>
      </c>
      <c r="H54" s="1054">
        <v>1</v>
      </c>
      <c r="I54" s="445">
        <v>455000</v>
      </c>
      <c r="J54" s="445">
        <f t="shared" si="6"/>
        <v>455000</v>
      </c>
      <c r="K54" s="703">
        <v>0.41</v>
      </c>
      <c r="L54" s="445">
        <f>H54*I54*(1-K54)</f>
        <v>268450.00000000006</v>
      </c>
      <c r="M54" s="445"/>
      <c r="N54" s="445"/>
      <c r="O54" s="445"/>
      <c r="P54" s="445"/>
      <c r="Q54" s="445"/>
      <c r="R54" s="445"/>
      <c r="S54" s="928"/>
    </row>
    <row r="55" spans="1:19" s="924" customFormat="1" ht="9" customHeight="1" x14ac:dyDescent="0.15">
      <c r="A55" s="677">
        <v>25</v>
      </c>
      <c r="B55" s="583" t="s">
        <v>1188</v>
      </c>
      <c r="C55" s="678" t="s">
        <v>61</v>
      </c>
      <c r="D55" s="679" t="s">
        <v>127</v>
      </c>
      <c r="E55" s="679"/>
      <c r="F55" s="888"/>
      <c r="G55" s="680" t="s">
        <v>34</v>
      </c>
      <c r="H55" s="1698">
        <v>1</v>
      </c>
      <c r="I55" s="446">
        <v>265000</v>
      </c>
      <c r="J55" s="446">
        <f t="shared" si="6"/>
        <v>265000</v>
      </c>
      <c r="K55" s="681">
        <v>0.41</v>
      </c>
      <c r="L55" s="446">
        <f>H55*I55*(1-K55)</f>
        <v>156350.00000000003</v>
      </c>
      <c r="M55" s="446"/>
      <c r="N55" s="446"/>
      <c r="O55" s="446"/>
      <c r="P55" s="446"/>
      <c r="Q55" s="446">
        <v>131</v>
      </c>
      <c r="R55" s="446">
        <f>L55</f>
        <v>156350.00000000003</v>
      </c>
      <c r="S55" s="944"/>
    </row>
    <row r="56" spans="1:19" s="924" customFormat="1" ht="9" customHeight="1" x14ac:dyDescent="0.15">
      <c r="A56" s="885">
        <v>26</v>
      </c>
      <c r="B56" s="585" t="s">
        <v>1164</v>
      </c>
      <c r="C56" s="709" t="s">
        <v>1124</v>
      </c>
      <c r="D56" s="710" t="s">
        <v>127</v>
      </c>
      <c r="E56" s="710"/>
      <c r="F56" s="886"/>
      <c r="G56" s="887" t="s">
        <v>37</v>
      </c>
      <c r="H56" s="1695">
        <v>1</v>
      </c>
      <c r="I56" s="444">
        <v>475000</v>
      </c>
      <c r="J56" s="444">
        <f t="shared" si="1"/>
        <v>475000</v>
      </c>
      <c r="K56" s="934">
        <v>0.41</v>
      </c>
      <c r="L56" s="444">
        <f t="shared" si="0"/>
        <v>280250.00000000006</v>
      </c>
      <c r="M56" s="444"/>
      <c r="N56" s="444"/>
      <c r="O56" s="444"/>
      <c r="P56" s="444"/>
      <c r="Q56" s="444">
        <v>131</v>
      </c>
      <c r="R56" s="444">
        <f>SUM(L56:L58)</f>
        <v>852550.00000000023</v>
      </c>
      <c r="S56" s="935"/>
    </row>
    <row r="57" spans="1:19" s="924" customFormat="1" ht="9" customHeight="1" x14ac:dyDescent="0.15">
      <c r="A57" s="853"/>
      <c r="B57" s="585" t="s">
        <v>1164</v>
      </c>
      <c r="C57" s="851" t="s">
        <v>1124</v>
      </c>
      <c r="D57" s="720" t="s">
        <v>127</v>
      </c>
      <c r="E57" s="720"/>
      <c r="F57" s="884"/>
      <c r="G57" s="878" t="s">
        <v>40</v>
      </c>
      <c r="H57" s="1052">
        <v>1</v>
      </c>
      <c r="I57" s="332">
        <v>485000</v>
      </c>
      <c r="J57" s="332">
        <f t="shared" ref="J57" si="8">H57*I57</f>
        <v>485000</v>
      </c>
      <c r="K57" s="930">
        <v>0.41</v>
      </c>
      <c r="L57" s="332">
        <f t="shared" ref="L57" si="9">H57*I57*(1-K57)</f>
        <v>286150.00000000006</v>
      </c>
      <c r="M57" s="332"/>
      <c r="N57" s="332"/>
      <c r="O57" s="332"/>
      <c r="P57" s="332"/>
      <c r="Q57" s="332"/>
      <c r="R57" s="332"/>
      <c r="S57" s="925"/>
    </row>
    <row r="58" spans="1:19" s="924" customFormat="1" ht="9" customHeight="1" x14ac:dyDescent="0.15">
      <c r="A58" s="852"/>
      <c r="B58" s="583" t="s">
        <v>1164</v>
      </c>
      <c r="C58" s="673" t="s">
        <v>1124</v>
      </c>
      <c r="D58" s="700" t="s">
        <v>127</v>
      </c>
      <c r="E58" s="700"/>
      <c r="F58" s="880"/>
      <c r="G58" s="881" t="s">
        <v>42</v>
      </c>
      <c r="H58" s="1696">
        <v>1</v>
      </c>
      <c r="I58" s="936">
        <v>485000</v>
      </c>
      <c r="J58" s="936">
        <f t="shared" si="1"/>
        <v>485000</v>
      </c>
      <c r="K58" s="945">
        <v>0.41</v>
      </c>
      <c r="L58" s="936">
        <f t="shared" si="0"/>
        <v>286150.00000000006</v>
      </c>
      <c r="M58" s="936"/>
      <c r="N58" s="936"/>
      <c r="O58" s="936"/>
      <c r="P58" s="936"/>
      <c r="Q58" s="936"/>
      <c r="R58" s="936"/>
      <c r="S58" s="944"/>
    </row>
    <row r="59" spans="1:19" s="924" customFormat="1" ht="9" customHeight="1" x14ac:dyDescent="0.15">
      <c r="A59" s="677">
        <v>27</v>
      </c>
      <c r="B59" s="583" t="s">
        <v>1196</v>
      </c>
      <c r="C59" s="678" t="s">
        <v>12</v>
      </c>
      <c r="D59" s="679" t="s">
        <v>1201</v>
      </c>
      <c r="E59" s="679"/>
      <c r="F59" s="888"/>
      <c r="G59" s="680" t="s">
        <v>33</v>
      </c>
      <c r="H59" s="1698">
        <v>2</v>
      </c>
      <c r="I59" s="446">
        <v>455000</v>
      </c>
      <c r="J59" s="446">
        <f t="shared" si="1"/>
        <v>910000</v>
      </c>
      <c r="K59" s="681">
        <v>0.41</v>
      </c>
      <c r="L59" s="446">
        <f t="shared" si="0"/>
        <v>536900.00000000012</v>
      </c>
      <c r="M59" s="446"/>
      <c r="N59" s="446"/>
      <c r="O59" s="446"/>
      <c r="P59" s="446"/>
      <c r="Q59" s="446">
        <v>131</v>
      </c>
      <c r="R59" s="446">
        <f>L59</f>
        <v>536900.00000000012</v>
      </c>
      <c r="S59" s="724"/>
    </row>
    <row r="60" spans="1:19" s="924" customFormat="1" ht="9" customHeight="1" x14ac:dyDescent="0.15">
      <c r="A60" s="852">
        <v>28</v>
      </c>
      <c r="B60" s="583" t="s">
        <v>1202</v>
      </c>
      <c r="C60" s="678" t="s">
        <v>61</v>
      </c>
      <c r="D60" s="679" t="s">
        <v>127</v>
      </c>
      <c r="E60" s="679"/>
      <c r="F60" s="888"/>
      <c r="G60" s="680" t="s">
        <v>37</v>
      </c>
      <c r="H60" s="1698">
        <v>1</v>
      </c>
      <c r="I60" s="446">
        <v>475000</v>
      </c>
      <c r="J60" s="446">
        <f t="shared" si="1"/>
        <v>475000</v>
      </c>
      <c r="K60" s="681">
        <v>0.41</v>
      </c>
      <c r="L60" s="446">
        <f t="shared" si="0"/>
        <v>280250.00000000006</v>
      </c>
      <c r="M60" s="446"/>
      <c r="N60" s="446"/>
      <c r="O60" s="446"/>
      <c r="P60" s="446"/>
      <c r="Q60" s="446">
        <v>131</v>
      </c>
      <c r="R60" s="446">
        <f>L60</f>
        <v>280250.00000000006</v>
      </c>
      <c r="S60" s="683"/>
    </row>
    <row r="61" spans="1:19" s="924" customFormat="1" ht="9" customHeight="1" x14ac:dyDescent="0.15">
      <c r="A61" s="920">
        <v>29</v>
      </c>
      <c r="B61" s="580" t="s">
        <v>1205</v>
      </c>
      <c r="C61" s="890" t="s">
        <v>12</v>
      </c>
      <c r="D61" s="718" t="s">
        <v>919</v>
      </c>
      <c r="E61" s="718"/>
      <c r="F61" s="929"/>
      <c r="G61" s="921" t="s">
        <v>40</v>
      </c>
      <c r="H61" s="1051">
        <v>4</v>
      </c>
      <c r="I61" s="443">
        <v>485000</v>
      </c>
      <c r="J61" s="443">
        <f t="shared" ref="J61:J130" si="10">H61*I61</f>
        <v>1940000</v>
      </c>
      <c r="K61" s="922">
        <v>0.41</v>
      </c>
      <c r="L61" s="443">
        <f t="shared" ref="L61:L63" si="11">H61*I61*(1-K61)</f>
        <v>1144600.0000000002</v>
      </c>
      <c r="M61" s="443"/>
      <c r="N61" s="443"/>
      <c r="O61" s="443"/>
      <c r="P61" s="443"/>
      <c r="Q61" s="443">
        <v>131</v>
      </c>
      <c r="R61" s="443">
        <f>SUM(L61:L63)</f>
        <v>3023750.0000000009</v>
      </c>
      <c r="S61" s="923"/>
    </row>
    <row r="62" spans="1:19" s="924" customFormat="1" ht="9" customHeight="1" x14ac:dyDescent="0.15">
      <c r="A62" s="853"/>
      <c r="B62" s="580" t="s">
        <v>1205</v>
      </c>
      <c r="C62" s="890" t="s">
        <v>12</v>
      </c>
      <c r="D62" s="718" t="s">
        <v>919</v>
      </c>
      <c r="E62" s="720"/>
      <c r="F62" s="884"/>
      <c r="G62" s="878" t="s">
        <v>44</v>
      </c>
      <c r="H62" s="1052">
        <v>3</v>
      </c>
      <c r="I62" s="332">
        <v>455000</v>
      </c>
      <c r="J62" s="443">
        <f t="shared" si="10"/>
        <v>1365000</v>
      </c>
      <c r="K62" s="922">
        <v>0.41</v>
      </c>
      <c r="L62" s="332">
        <f t="shared" si="11"/>
        <v>805350.00000000012</v>
      </c>
      <c r="M62" s="332"/>
      <c r="N62" s="332"/>
      <c r="O62" s="332"/>
      <c r="P62" s="332"/>
      <c r="Q62" s="332"/>
      <c r="R62" s="332"/>
      <c r="S62" s="926"/>
    </row>
    <row r="63" spans="1:19" s="924" customFormat="1" ht="9" customHeight="1" x14ac:dyDescent="0.15">
      <c r="A63" s="699"/>
      <c r="B63" s="580" t="s">
        <v>1205</v>
      </c>
      <c r="C63" s="890" t="s">
        <v>12</v>
      </c>
      <c r="D63" s="718" t="s">
        <v>919</v>
      </c>
      <c r="E63" s="701"/>
      <c r="F63" s="927"/>
      <c r="G63" s="702" t="s">
        <v>42</v>
      </c>
      <c r="H63" s="1054">
        <v>4</v>
      </c>
      <c r="I63" s="445">
        <v>455000</v>
      </c>
      <c r="J63" s="445">
        <f t="shared" si="10"/>
        <v>1820000</v>
      </c>
      <c r="K63" s="703">
        <v>0.41</v>
      </c>
      <c r="L63" s="445">
        <f t="shared" si="11"/>
        <v>1073800.0000000002</v>
      </c>
      <c r="M63" s="445"/>
      <c r="N63" s="445"/>
      <c r="O63" s="445"/>
      <c r="P63" s="445"/>
      <c r="Q63" s="445"/>
      <c r="R63" s="445"/>
      <c r="S63" s="705"/>
    </row>
    <row r="64" spans="1:19" s="924" customFormat="1" ht="24" customHeight="1" x14ac:dyDescent="0.15">
      <c r="A64" s="885">
        <v>30</v>
      </c>
      <c r="B64" s="585" t="s">
        <v>1205</v>
      </c>
      <c r="C64" s="709" t="s">
        <v>12</v>
      </c>
      <c r="D64" s="710" t="s">
        <v>1231</v>
      </c>
      <c r="E64" s="710" t="s">
        <v>794</v>
      </c>
      <c r="F64" s="886"/>
      <c r="G64" s="887" t="s">
        <v>44</v>
      </c>
      <c r="H64" s="1695">
        <v>12</v>
      </c>
      <c r="I64" s="444">
        <v>455000</v>
      </c>
      <c r="J64" s="444">
        <f t="shared" si="10"/>
        <v>5460000</v>
      </c>
      <c r="K64" s="934">
        <v>0.41</v>
      </c>
      <c r="L64" s="444">
        <f t="shared" ref="L64" si="12">H64*I64*(1-K64)</f>
        <v>3221400.0000000005</v>
      </c>
      <c r="M64" s="444"/>
      <c r="N64" s="444"/>
      <c r="O64" s="444"/>
      <c r="P64" s="444"/>
      <c r="Q64" s="444">
        <v>131</v>
      </c>
      <c r="R64" s="444">
        <f>L64+L65</f>
        <v>6442800.0000000009</v>
      </c>
      <c r="S64" s="935"/>
    </row>
    <row r="65" spans="1:20" s="924" customFormat="1" ht="24" customHeight="1" x14ac:dyDescent="0.15">
      <c r="A65" s="852"/>
      <c r="B65" s="744"/>
      <c r="C65" s="890" t="s">
        <v>12</v>
      </c>
      <c r="D65" s="718" t="s">
        <v>1231</v>
      </c>
      <c r="E65" s="718" t="s">
        <v>794</v>
      </c>
      <c r="F65" s="880"/>
      <c r="G65" s="881" t="s">
        <v>42</v>
      </c>
      <c r="H65" s="1696">
        <v>12</v>
      </c>
      <c r="I65" s="936">
        <v>455000</v>
      </c>
      <c r="J65" s="936">
        <f t="shared" si="10"/>
        <v>5460000</v>
      </c>
      <c r="K65" s="945">
        <v>0.41</v>
      </c>
      <c r="L65" s="936">
        <f t="shared" si="0"/>
        <v>3221400.0000000005</v>
      </c>
      <c r="M65" s="936"/>
      <c r="N65" s="936"/>
      <c r="O65" s="936"/>
      <c r="P65" s="936"/>
      <c r="Q65" s="936"/>
      <c r="R65" s="936"/>
      <c r="S65" s="944"/>
    </row>
    <row r="66" spans="1:20" s="924" customFormat="1" ht="27" customHeight="1" x14ac:dyDescent="0.15">
      <c r="A66" s="677">
        <v>31</v>
      </c>
      <c r="B66" s="583" t="s">
        <v>1226</v>
      </c>
      <c r="C66" s="678" t="s">
        <v>12</v>
      </c>
      <c r="D66" s="679" t="s">
        <v>1263</v>
      </c>
      <c r="E66" s="679" t="s">
        <v>1264</v>
      </c>
      <c r="F66" s="888" t="s">
        <v>1265</v>
      </c>
      <c r="G66" s="680" t="s">
        <v>44</v>
      </c>
      <c r="H66" s="1698">
        <v>2</v>
      </c>
      <c r="I66" s="446">
        <v>455000</v>
      </c>
      <c r="J66" s="446">
        <f t="shared" si="10"/>
        <v>910000</v>
      </c>
      <c r="K66" s="681">
        <v>0.41</v>
      </c>
      <c r="L66" s="446">
        <f t="shared" si="0"/>
        <v>536900.00000000012</v>
      </c>
      <c r="M66" s="446"/>
      <c r="N66" s="446"/>
      <c r="O66" s="446"/>
      <c r="P66" s="446"/>
      <c r="Q66" s="446">
        <v>131</v>
      </c>
      <c r="R66" s="446">
        <f>L66</f>
        <v>536900.00000000012</v>
      </c>
      <c r="S66" s="724"/>
    </row>
    <row r="67" spans="1:20" s="924" customFormat="1" ht="13.5" customHeight="1" x14ac:dyDescent="0.15">
      <c r="A67" s="885">
        <v>32</v>
      </c>
      <c r="B67" s="708" t="s">
        <v>1226</v>
      </c>
      <c r="C67" s="709" t="s">
        <v>12</v>
      </c>
      <c r="D67" s="710" t="s">
        <v>1266</v>
      </c>
      <c r="E67" s="710"/>
      <c r="F67" s="886"/>
      <c r="G67" s="887" t="s">
        <v>31</v>
      </c>
      <c r="H67" s="1695">
        <v>5</v>
      </c>
      <c r="I67" s="444">
        <v>255000</v>
      </c>
      <c r="J67" s="444">
        <f t="shared" si="10"/>
        <v>1275000</v>
      </c>
      <c r="K67" s="714">
        <v>0.3</v>
      </c>
      <c r="L67" s="444">
        <f t="shared" si="0"/>
        <v>892500</v>
      </c>
      <c r="M67" s="444"/>
      <c r="N67" s="444"/>
      <c r="O67" s="444"/>
      <c r="P67" s="444"/>
      <c r="Q67" s="444">
        <v>131</v>
      </c>
      <c r="R67" s="444">
        <f>SUM(L67:L73)</f>
        <v>9978500</v>
      </c>
      <c r="S67" s="935"/>
      <c r="T67" s="941"/>
    </row>
    <row r="68" spans="1:20" s="924" customFormat="1" ht="13.5" customHeight="1" x14ac:dyDescent="0.15">
      <c r="A68" s="684"/>
      <c r="B68" s="453" t="s">
        <v>1226</v>
      </c>
      <c r="C68" s="890" t="s">
        <v>12</v>
      </c>
      <c r="D68" s="718" t="s">
        <v>1266</v>
      </c>
      <c r="E68" s="685"/>
      <c r="F68" s="883"/>
      <c r="G68" s="686" t="s">
        <v>33</v>
      </c>
      <c r="H68" s="1697">
        <v>8</v>
      </c>
      <c r="I68" s="687">
        <v>455000</v>
      </c>
      <c r="J68" s="687">
        <f t="shared" si="10"/>
        <v>3640000</v>
      </c>
      <c r="K68" s="930">
        <v>0.3</v>
      </c>
      <c r="L68" s="687">
        <f t="shared" si="0"/>
        <v>2548000</v>
      </c>
      <c r="M68" s="687"/>
      <c r="N68" s="687"/>
      <c r="O68" s="687"/>
      <c r="P68" s="687"/>
      <c r="Q68" s="687"/>
      <c r="R68" s="687"/>
      <c r="S68" s="1100"/>
    </row>
    <row r="69" spans="1:20" s="924" customFormat="1" ht="13.5" customHeight="1" x14ac:dyDescent="0.15">
      <c r="A69" s="853"/>
      <c r="B69" s="453" t="s">
        <v>1226</v>
      </c>
      <c r="C69" s="890" t="s">
        <v>12</v>
      </c>
      <c r="D69" s="718" t="s">
        <v>1266</v>
      </c>
      <c r="E69" s="720"/>
      <c r="F69" s="884"/>
      <c r="G69" s="878" t="s">
        <v>37</v>
      </c>
      <c r="H69" s="1052">
        <v>4</v>
      </c>
      <c r="I69" s="332">
        <v>475000</v>
      </c>
      <c r="J69" s="332">
        <f t="shared" si="10"/>
        <v>1900000</v>
      </c>
      <c r="K69" s="930">
        <v>0.3</v>
      </c>
      <c r="L69" s="332">
        <f t="shared" si="0"/>
        <v>1330000</v>
      </c>
      <c r="M69" s="332"/>
      <c r="N69" s="332"/>
      <c r="O69" s="332"/>
      <c r="P69" s="332"/>
      <c r="Q69" s="332"/>
      <c r="R69" s="332"/>
      <c r="S69" s="925"/>
    </row>
    <row r="70" spans="1:20" s="924" customFormat="1" ht="13.5" customHeight="1" x14ac:dyDescent="0.15">
      <c r="A70" s="853"/>
      <c r="B70" s="453" t="s">
        <v>1226</v>
      </c>
      <c r="C70" s="890" t="s">
        <v>12</v>
      </c>
      <c r="D70" s="718" t="s">
        <v>1266</v>
      </c>
      <c r="E70" s="720"/>
      <c r="F70" s="884"/>
      <c r="G70" s="878" t="s">
        <v>40</v>
      </c>
      <c r="H70" s="1052">
        <v>3</v>
      </c>
      <c r="I70" s="332">
        <v>485000</v>
      </c>
      <c r="J70" s="332">
        <f t="shared" si="10"/>
        <v>1455000</v>
      </c>
      <c r="K70" s="930">
        <v>0.3</v>
      </c>
      <c r="L70" s="332">
        <f t="shared" si="0"/>
        <v>1018499.9999999999</v>
      </c>
      <c r="M70" s="332"/>
      <c r="N70" s="332"/>
      <c r="O70" s="332"/>
      <c r="P70" s="332"/>
      <c r="Q70" s="332"/>
      <c r="R70" s="332"/>
      <c r="S70" s="925"/>
    </row>
    <row r="71" spans="1:20" s="924" customFormat="1" ht="13.5" customHeight="1" x14ac:dyDescent="0.15">
      <c r="A71" s="853"/>
      <c r="B71" s="453" t="s">
        <v>1226</v>
      </c>
      <c r="C71" s="890" t="s">
        <v>12</v>
      </c>
      <c r="D71" s="718" t="s">
        <v>1266</v>
      </c>
      <c r="E71" s="720"/>
      <c r="F71" s="884"/>
      <c r="G71" s="878" t="s">
        <v>60</v>
      </c>
      <c r="H71" s="1052">
        <v>8</v>
      </c>
      <c r="I71" s="332">
        <v>485000</v>
      </c>
      <c r="J71" s="332">
        <f t="shared" si="10"/>
        <v>3880000</v>
      </c>
      <c r="K71" s="930">
        <v>0.3</v>
      </c>
      <c r="L71" s="332">
        <f t="shared" si="0"/>
        <v>2716000</v>
      </c>
      <c r="M71" s="332"/>
      <c r="N71" s="332"/>
      <c r="O71" s="332"/>
      <c r="P71" s="332"/>
      <c r="Q71" s="332"/>
      <c r="R71" s="332"/>
      <c r="S71" s="926"/>
    </row>
    <row r="72" spans="1:20" s="924" customFormat="1" ht="13.5" customHeight="1" x14ac:dyDescent="0.15">
      <c r="A72" s="853"/>
      <c r="B72" s="453" t="s">
        <v>1226</v>
      </c>
      <c r="C72" s="890" t="s">
        <v>12</v>
      </c>
      <c r="D72" s="718" t="s">
        <v>1266</v>
      </c>
      <c r="E72" s="720"/>
      <c r="F72" s="884"/>
      <c r="G72" s="878" t="s">
        <v>41</v>
      </c>
      <c r="H72" s="1052">
        <v>3</v>
      </c>
      <c r="I72" s="332">
        <v>550000</v>
      </c>
      <c r="J72" s="332">
        <f t="shared" si="10"/>
        <v>1650000</v>
      </c>
      <c r="K72" s="930">
        <v>0.3</v>
      </c>
      <c r="L72" s="332">
        <f t="shared" si="0"/>
        <v>1155000</v>
      </c>
      <c r="M72" s="332"/>
      <c r="N72" s="332"/>
      <c r="O72" s="332"/>
      <c r="P72" s="332"/>
      <c r="Q72" s="332"/>
      <c r="R72" s="332"/>
      <c r="S72" s="925"/>
    </row>
    <row r="73" spans="1:20" s="924" customFormat="1" ht="13.5" customHeight="1" x14ac:dyDescent="0.15">
      <c r="A73" s="852"/>
      <c r="B73" s="582" t="s">
        <v>1226</v>
      </c>
      <c r="C73" s="673" t="s">
        <v>12</v>
      </c>
      <c r="D73" s="700" t="s">
        <v>1266</v>
      </c>
      <c r="E73" s="700"/>
      <c r="F73" s="880"/>
      <c r="G73" s="881" t="s">
        <v>42</v>
      </c>
      <c r="H73" s="1696">
        <v>1</v>
      </c>
      <c r="I73" s="936">
        <v>455000</v>
      </c>
      <c r="J73" s="936">
        <f t="shared" si="10"/>
        <v>455000</v>
      </c>
      <c r="K73" s="703">
        <v>0.3</v>
      </c>
      <c r="L73" s="936">
        <f t="shared" ref="L73:L130" si="13">H73*I73*(1-K73)</f>
        <v>318500</v>
      </c>
      <c r="M73" s="936"/>
      <c r="N73" s="936"/>
      <c r="O73" s="936"/>
      <c r="P73" s="936"/>
      <c r="Q73" s="936"/>
      <c r="R73" s="936"/>
      <c r="S73" s="1038"/>
    </row>
    <row r="74" spans="1:20" s="924" customFormat="1" ht="9" customHeight="1" x14ac:dyDescent="0.15">
      <c r="A74" s="852">
        <v>33</v>
      </c>
      <c r="B74" s="744" t="s">
        <v>1226</v>
      </c>
      <c r="C74" s="673" t="s">
        <v>12</v>
      </c>
      <c r="D74" s="700" t="s">
        <v>1267</v>
      </c>
      <c r="E74" s="700"/>
      <c r="F74" s="880"/>
      <c r="G74" s="881" t="s">
        <v>33</v>
      </c>
      <c r="H74" s="1696">
        <v>3</v>
      </c>
      <c r="I74" s="936">
        <v>455000</v>
      </c>
      <c r="J74" s="936">
        <f t="shared" si="10"/>
        <v>1365000</v>
      </c>
      <c r="K74" s="945">
        <v>0.41</v>
      </c>
      <c r="L74" s="936">
        <f t="shared" si="13"/>
        <v>805350.00000000012</v>
      </c>
      <c r="M74" s="936"/>
      <c r="N74" s="936"/>
      <c r="O74" s="936"/>
      <c r="P74" s="936"/>
      <c r="Q74" s="936">
        <v>131</v>
      </c>
      <c r="R74" s="936">
        <f>L74</f>
        <v>805350.00000000012</v>
      </c>
      <c r="S74" s="944"/>
    </row>
    <row r="75" spans="1:20" s="924" customFormat="1" ht="13.5" customHeight="1" x14ac:dyDescent="0.15">
      <c r="A75" s="684"/>
      <c r="B75" s="584" t="s">
        <v>1243</v>
      </c>
      <c r="C75" s="672" t="s">
        <v>1269</v>
      </c>
      <c r="D75" s="685" t="s">
        <v>1373</v>
      </c>
      <c r="E75" s="685"/>
      <c r="F75" s="883"/>
      <c r="G75" s="686" t="s">
        <v>33</v>
      </c>
      <c r="H75" s="1697">
        <v>1</v>
      </c>
      <c r="I75" s="687">
        <v>455000</v>
      </c>
      <c r="J75" s="687">
        <f t="shared" si="10"/>
        <v>455000</v>
      </c>
      <c r="K75" s="688">
        <v>1</v>
      </c>
      <c r="L75" s="687">
        <f t="shared" si="13"/>
        <v>0</v>
      </c>
      <c r="M75" s="687"/>
      <c r="N75" s="687"/>
      <c r="O75" s="687"/>
      <c r="P75" s="687"/>
      <c r="Q75" s="687"/>
      <c r="R75" s="687"/>
      <c r="S75" s="2232" t="s">
        <v>1891</v>
      </c>
    </row>
    <row r="76" spans="1:20" s="924" customFormat="1" ht="14.25" customHeight="1" x14ac:dyDescent="0.15">
      <c r="A76" s="853"/>
      <c r="B76" s="584" t="s">
        <v>1243</v>
      </c>
      <c r="C76" s="851" t="s">
        <v>1269</v>
      </c>
      <c r="D76" s="720" t="s">
        <v>1373</v>
      </c>
      <c r="E76" s="720"/>
      <c r="F76" s="884"/>
      <c r="G76" s="878" t="s">
        <v>35</v>
      </c>
      <c r="H76" s="1052">
        <v>1</v>
      </c>
      <c r="I76" s="332">
        <v>465000</v>
      </c>
      <c r="J76" s="332">
        <f t="shared" si="10"/>
        <v>465000</v>
      </c>
      <c r="K76" s="930">
        <v>1</v>
      </c>
      <c r="L76" s="332">
        <f t="shared" si="13"/>
        <v>0</v>
      </c>
      <c r="M76" s="332"/>
      <c r="N76" s="332"/>
      <c r="O76" s="332"/>
      <c r="P76" s="332"/>
      <c r="Q76" s="332"/>
      <c r="R76" s="332"/>
      <c r="S76" s="2233"/>
    </row>
    <row r="77" spans="1:20" s="924" customFormat="1" ht="14.25" customHeight="1" x14ac:dyDescent="0.15">
      <c r="A77" s="853"/>
      <c r="B77" s="584" t="s">
        <v>1243</v>
      </c>
      <c r="C77" s="851" t="s">
        <v>1269</v>
      </c>
      <c r="D77" s="720" t="s">
        <v>1373</v>
      </c>
      <c r="E77" s="720"/>
      <c r="F77" s="884"/>
      <c r="G77" s="878" t="s">
        <v>37</v>
      </c>
      <c r="H77" s="1052">
        <v>1</v>
      </c>
      <c r="I77" s="332">
        <v>475000</v>
      </c>
      <c r="J77" s="332">
        <f t="shared" si="10"/>
        <v>475000</v>
      </c>
      <c r="K77" s="930">
        <v>1</v>
      </c>
      <c r="L77" s="332">
        <f t="shared" si="13"/>
        <v>0</v>
      </c>
      <c r="M77" s="332"/>
      <c r="N77" s="332"/>
      <c r="O77" s="332"/>
      <c r="P77" s="332"/>
      <c r="Q77" s="332"/>
      <c r="R77" s="332"/>
      <c r="S77" s="2233"/>
    </row>
    <row r="78" spans="1:20" s="924" customFormat="1" ht="14.25" customHeight="1" x14ac:dyDescent="0.15">
      <c r="A78" s="853"/>
      <c r="B78" s="584" t="s">
        <v>1243</v>
      </c>
      <c r="C78" s="851" t="s">
        <v>1269</v>
      </c>
      <c r="D78" s="720" t="s">
        <v>1373</v>
      </c>
      <c r="E78" s="720"/>
      <c r="F78" s="884"/>
      <c r="G78" s="878" t="s">
        <v>40</v>
      </c>
      <c r="H78" s="1052">
        <v>1</v>
      </c>
      <c r="I78" s="332">
        <v>485000</v>
      </c>
      <c r="J78" s="332">
        <f t="shared" si="10"/>
        <v>485000</v>
      </c>
      <c r="K78" s="930">
        <v>1</v>
      </c>
      <c r="L78" s="332">
        <f t="shared" si="13"/>
        <v>0</v>
      </c>
      <c r="M78" s="332"/>
      <c r="N78" s="332"/>
      <c r="O78" s="332"/>
      <c r="P78" s="332"/>
      <c r="Q78" s="332"/>
      <c r="R78" s="332"/>
      <c r="S78" s="2233"/>
    </row>
    <row r="79" spans="1:20" s="924" customFormat="1" ht="14.25" customHeight="1" x14ac:dyDescent="0.15">
      <c r="A79" s="853"/>
      <c r="B79" s="584" t="s">
        <v>1243</v>
      </c>
      <c r="C79" s="851" t="s">
        <v>1269</v>
      </c>
      <c r="D79" s="720" t="s">
        <v>1373</v>
      </c>
      <c r="E79" s="720"/>
      <c r="F79" s="884"/>
      <c r="G79" s="878" t="s">
        <v>60</v>
      </c>
      <c r="H79" s="1052">
        <v>1</v>
      </c>
      <c r="I79" s="332">
        <v>485000</v>
      </c>
      <c r="J79" s="332">
        <f t="shared" si="10"/>
        <v>485000</v>
      </c>
      <c r="K79" s="930">
        <v>1</v>
      </c>
      <c r="L79" s="332">
        <f t="shared" si="13"/>
        <v>0</v>
      </c>
      <c r="M79" s="332"/>
      <c r="N79" s="332"/>
      <c r="O79" s="332"/>
      <c r="P79" s="332"/>
      <c r="Q79" s="332"/>
      <c r="R79" s="332"/>
      <c r="S79" s="2233"/>
    </row>
    <row r="80" spans="1:20" s="924" customFormat="1" ht="14.25" customHeight="1" x14ac:dyDescent="0.15">
      <c r="A80" s="853"/>
      <c r="B80" s="584" t="s">
        <v>1243</v>
      </c>
      <c r="C80" s="851" t="s">
        <v>1269</v>
      </c>
      <c r="D80" s="720" t="s">
        <v>1373</v>
      </c>
      <c r="E80" s="720"/>
      <c r="F80" s="884"/>
      <c r="G80" s="878" t="s">
        <v>41</v>
      </c>
      <c r="H80" s="1052">
        <v>1</v>
      </c>
      <c r="I80" s="332">
        <v>550000</v>
      </c>
      <c r="J80" s="332">
        <f t="shared" si="10"/>
        <v>550000</v>
      </c>
      <c r="K80" s="930">
        <v>1</v>
      </c>
      <c r="L80" s="332">
        <f t="shared" si="13"/>
        <v>0</v>
      </c>
      <c r="M80" s="332"/>
      <c r="N80" s="332"/>
      <c r="O80" s="332"/>
      <c r="P80" s="332"/>
      <c r="Q80" s="332"/>
      <c r="R80" s="332"/>
      <c r="S80" s="2233"/>
    </row>
    <row r="81" spans="1:19" s="924" customFormat="1" ht="39" customHeight="1" x14ac:dyDescent="0.15">
      <c r="A81" s="699"/>
      <c r="B81" s="584" t="s">
        <v>1243</v>
      </c>
      <c r="C81" s="717" t="s">
        <v>1269</v>
      </c>
      <c r="D81" s="701" t="s">
        <v>1373</v>
      </c>
      <c r="E81" s="701"/>
      <c r="F81" s="927"/>
      <c r="G81" s="702" t="s">
        <v>46</v>
      </c>
      <c r="H81" s="1054">
        <v>2</v>
      </c>
      <c r="I81" s="445">
        <v>450000</v>
      </c>
      <c r="J81" s="445">
        <f t="shared" si="10"/>
        <v>900000</v>
      </c>
      <c r="K81" s="703">
        <v>1</v>
      </c>
      <c r="L81" s="445">
        <f t="shared" si="13"/>
        <v>0</v>
      </c>
      <c r="M81" s="445"/>
      <c r="N81" s="445"/>
      <c r="O81" s="445"/>
      <c r="P81" s="445"/>
      <c r="Q81" s="445"/>
      <c r="R81" s="445"/>
      <c r="S81" s="2266"/>
    </row>
    <row r="82" spans="1:19" s="924" customFormat="1" ht="18" customHeight="1" x14ac:dyDescent="0.15">
      <c r="A82" s="677">
        <v>34</v>
      </c>
      <c r="B82" s="583" t="s">
        <v>1252</v>
      </c>
      <c r="C82" s="678" t="s">
        <v>12</v>
      </c>
      <c r="D82" s="679" t="s">
        <v>1127</v>
      </c>
      <c r="E82" s="679" t="s">
        <v>1356</v>
      </c>
      <c r="F82" s="888"/>
      <c r="G82" s="680" t="s">
        <v>33</v>
      </c>
      <c r="H82" s="1698">
        <v>1</v>
      </c>
      <c r="I82" s="446">
        <v>455000</v>
      </c>
      <c r="J82" s="446">
        <f t="shared" si="10"/>
        <v>455000</v>
      </c>
      <c r="K82" s="681">
        <v>0.2</v>
      </c>
      <c r="L82" s="446">
        <f t="shared" si="13"/>
        <v>364000</v>
      </c>
      <c r="M82" s="446">
        <v>111</v>
      </c>
      <c r="N82" s="446">
        <f>L82</f>
        <v>364000</v>
      </c>
      <c r="O82" s="446"/>
      <c r="P82" s="446"/>
      <c r="Q82" s="446"/>
      <c r="R82" s="446"/>
      <c r="S82" s="683"/>
    </row>
    <row r="83" spans="1:19" s="924" customFormat="1" ht="8.4" x14ac:dyDescent="0.15">
      <c r="A83" s="920">
        <v>35</v>
      </c>
      <c r="B83" s="580" t="s">
        <v>1357</v>
      </c>
      <c r="C83" s="933" t="s">
        <v>12</v>
      </c>
      <c r="D83" s="685" t="s">
        <v>1358</v>
      </c>
      <c r="E83" s="718"/>
      <c r="F83" s="929"/>
      <c r="G83" s="921" t="s">
        <v>31</v>
      </c>
      <c r="H83" s="1051">
        <v>24</v>
      </c>
      <c r="I83" s="443">
        <v>255000</v>
      </c>
      <c r="J83" s="443">
        <f t="shared" si="10"/>
        <v>6120000</v>
      </c>
      <c r="K83" s="922">
        <v>0.41</v>
      </c>
      <c r="L83" s="443">
        <f t="shared" ref="L83:L93" si="14">H83*I83*(1-K83)</f>
        <v>3610800.0000000005</v>
      </c>
      <c r="M83" s="443"/>
      <c r="N83" s="443"/>
      <c r="O83" s="443"/>
      <c r="P83" s="443"/>
      <c r="Q83" s="443">
        <v>131</v>
      </c>
      <c r="R83" s="443">
        <f>SUM(L83:L86)</f>
        <v>16708800.000000002</v>
      </c>
      <c r="S83" s="946"/>
    </row>
    <row r="84" spans="1:19" s="924" customFormat="1" ht="8.4" x14ac:dyDescent="0.15">
      <c r="A84" s="853"/>
      <c r="B84" s="453"/>
      <c r="C84" s="851" t="s">
        <v>12</v>
      </c>
      <c r="D84" s="720" t="s">
        <v>1358</v>
      </c>
      <c r="E84" s="720"/>
      <c r="F84" s="884"/>
      <c r="G84" s="878" t="s">
        <v>33</v>
      </c>
      <c r="H84" s="1052">
        <v>24</v>
      </c>
      <c r="I84" s="332">
        <v>455000</v>
      </c>
      <c r="J84" s="332">
        <f t="shared" si="10"/>
        <v>10920000</v>
      </c>
      <c r="K84" s="922">
        <v>0.41</v>
      </c>
      <c r="L84" s="332">
        <f t="shared" si="14"/>
        <v>6442800.0000000009</v>
      </c>
      <c r="M84" s="332"/>
      <c r="N84" s="332"/>
      <c r="O84" s="332"/>
      <c r="P84" s="332"/>
      <c r="Q84" s="332"/>
      <c r="R84" s="332"/>
      <c r="S84" s="925"/>
    </row>
    <row r="85" spans="1:19" s="924" customFormat="1" ht="8.4" x14ac:dyDescent="0.15">
      <c r="A85" s="853"/>
      <c r="B85" s="453"/>
      <c r="C85" s="851" t="s">
        <v>12</v>
      </c>
      <c r="D85" s="720" t="s">
        <v>1358</v>
      </c>
      <c r="E85" s="720"/>
      <c r="F85" s="884"/>
      <c r="G85" s="878" t="s">
        <v>40</v>
      </c>
      <c r="H85" s="1052">
        <v>12</v>
      </c>
      <c r="I85" s="332">
        <v>485000</v>
      </c>
      <c r="J85" s="332">
        <f t="shared" si="10"/>
        <v>5820000</v>
      </c>
      <c r="K85" s="922">
        <v>0.41</v>
      </c>
      <c r="L85" s="332">
        <f t="shared" si="14"/>
        <v>3433800.0000000005</v>
      </c>
      <c r="M85" s="332"/>
      <c r="N85" s="332"/>
      <c r="O85" s="332"/>
      <c r="P85" s="332"/>
      <c r="Q85" s="332"/>
      <c r="R85" s="332"/>
      <c r="S85" s="926"/>
    </row>
    <row r="86" spans="1:19" s="924" customFormat="1" ht="8.4" x14ac:dyDescent="0.15">
      <c r="A86" s="699"/>
      <c r="B86" s="582"/>
      <c r="C86" s="890" t="s">
        <v>12</v>
      </c>
      <c r="D86" s="718" t="s">
        <v>1358</v>
      </c>
      <c r="E86" s="701"/>
      <c r="F86" s="927"/>
      <c r="G86" s="702" t="s">
        <v>42</v>
      </c>
      <c r="H86" s="1054">
        <v>12</v>
      </c>
      <c r="I86" s="445">
        <v>455000</v>
      </c>
      <c r="J86" s="445">
        <f t="shared" si="10"/>
        <v>5460000</v>
      </c>
      <c r="K86" s="703">
        <v>0.41</v>
      </c>
      <c r="L86" s="445">
        <f t="shared" si="14"/>
        <v>3221400.0000000005</v>
      </c>
      <c r="M86" s="445"/>
      <c r="N86" s="445"/>
      <c r="O86" s="445"/>
      <c r="P86" s="445"/>
      <c r="Q86" s="445"/>
      <c r="R86" s="445"/>
      <c r="S86" s="705"/>
    </row>
    <row r="87" spans="1:19" s="924" customFormat="1" ht="27" customHeight="1" x14ac:dyDescent="0.15">
      <c r="A87" s="885">
        <v>36</v>
      </c>
      <c r="B87" s="585" t="s">
        <v>1301</v>
      </c>
      <c r="C87" s="933" t="s">
        <v>1359</v>
      </c>
      <c r="D87" s="711" t="s">
        <v>1355</v>
      </c>
      <c r="E87" s="711" t="s">
        <v>1360</v>
      </c>
      <c r="F87" s="886"/>
      <c r="G87" s="887" t="s">
        <v>33</v>
      </c>
      <c r="H87" s="1695">
        <v>12</v>
      </c>
      <c r="I87" s="444">
        <v>455000</v>
      </c>
      <c r="J87" s="444">
        <f t="shared" si="10"/>
        <v>5460000</v>
      </c>
      <c r="K87" s="934">
        <v>0.38</v>
      </c>
      <c r="L87" s="444">
        <f t="shared" si="14"/>
        <v>3385200</v>
      </c>
      <c r="M87" s="444"/>
      <c r="N87" s="444"/>
      <c r="O87" s="444"/>
      <c r="P87" s="444"/>
      <c r="Q87" s="444">
        <v>131</v>
      </c>
      <c r="R87" s="444">
        <f>SUM(L87:L91)</f>
        <v>21948000</v>
      </c>
      <c r="S87" s="946"/>
    </row>
    <row r="88" spans="1:19" s="924" customFormat="1" ht="27" customHeight="1" x14ac:dyDescent="0.15">
      <c r="A88" s="691"/>
      <c r="B88" s="692" t="s">
        <v>1301</v>
      </c>
      <c r="C88" s="851" t="s">
        <v>1359</v>
      </c>
      <c r="D88" s="720" t="s">
        <v>1355</v>
      </c>
      <c r="E88" s="720" t="s">
        <v>1360</v>
      </c>
      <c r="F88" s="942"/>
      <c r="G88" s="694" t="s">
        <v>60</v>
      </c>
      <c r="H88" s="1053">
        <v>12</v>
      </c>
      <c r="I88" s="695">
        <v>485000</v>
      </c>
      <c r="J88" s="695">
        <f t="shared" si="10"/>
        <v>5820000</v>
      </c>
      <c r="K88" s="688">
        <v>0.38</v>
      </c>
      <c r="L88" s="695">
        <f t="shared" si="14"/>
        <v>3608400</v>
      </c>
      <c r="M88" s="695"/>
      <c r="N88" s="695"/>
      <c r="O88" s="695"/>
      <c r="P88" s="695"/>
      <c r="Q88" s="695"/>
      <c r="R88" s="695"/>
      <c r="S88" s="698"/>
    </row>
    <row r="89" spans="1:19" s="924" customFormat="1" ht="27" customHeight="1" x14ac:dyDescent="0.15">
      <c r="A89" s="853"/>
      <c r="B89" s="692" t="s">
        <v>1301</v>
      </c>
      <c r="C89" s="851" t="s">
        <v>1359</v>
      </c>
      <c r="D89" s="720" t="s">
        <v>1355</v>
      </c>
      <c r="E89" s="720" t="s">
        <v>1360</v>
      </c>
      <c r="F89" s="884"/>
      <c r="G89" s="878" t="s">
        <v>41</v>
      </c>
      <c r="H89" s="1052">
        <v>24</v>
      </c>
      <c r="I89" s="332">
        <v>550000</v>
      </c>
      <c r="J89" s="332">
        <f t="shared" si="10"/>
        <v>13200000</v>
      </c>
      <c r="K89" s="930">
        <v>0.38</v>
      </c>
      <c r="L89" s="695">
        <f t="shared" si="14"/>
        <v>8184000</v>
      </c>
      <c r="M89" s="332"/>
      <c r="N89" s="332"/>
      <c r="O89" s="332"/>
      <c r="P89" s="332"/>
      <c r="Q89" s="332"/>
      <c r="R89" s="332"/>
      <c r="S89" s="925"/>
    </row>
    <row r="90" spans="1:19" s="924" customFormat="1" ht="27" customHeight="1" x14ac:dyDescent="0.15">
      <c r="A90" s="853"/>
      <c r="B90" s="692" t="s">
        <v>1301</v>
      </c>
      <c r="C90" s="851" t="s">
        <v>1359</v>
      </c>
      <c r="D90" s="720" t="s">
        <v>1355</v>
      </c>
      <c r="E90" s="720" t="s">
        <v>1360</v>
      </c>
      <c r="F90" s="884"/>
      <c r="G90" s="878" t="s">
        <v>44</v>
      </c>
      <c r="H90" s="1052">
        <v>12</v>
      </c>
      <c r="I90" s="332">
        <v>455000</v>
      </c>
      <c r="J90" s="332">
        <f t="shared" si="10"/>
        <v>5460000</v>
      </c>
      <c r="K90" s="930">
        <v>0.38</v>
      </c>
      <c r="L90" s="695">
        <f t="shared" si="14"/>
        <v>3385200</v>
      </c>
      <c r="M90" s="332"/>
      <c r="N90" s="332"/>
      <c r="O90" s="332"/>
      <c r="P90" s="332"/>
      <c r="Q90" s="332"/>
      <c r="R90" s="332"/>
      <c r="S90" s="925"/>
    </row>
    <row r="91" spans="1:19" s="924" customFormat="1" ht="27" customHeight="1" x14ac:dyDescent="0.15">
      <c r="A91" s="699"/>
      <c r="B91" s="582" t="s">
        <v>1301</v>
      </c>
      <c r="C91" s="890" t="s">
        <v>1359</v>
      </c>
      <c r="D91" s="718" t="s">
        <v>1355</v>
      </c>
      <c r="E91" s="718" t="s">
        <v>1360</v>
      </c>
      <c r="F91" s="927"/>
      <c r="G91" s="702" t="s">
        <v>42</v>
      </c>
      <c r="H91" s="1054">
        <v>12</v>
      </c>
      <c r="I91" s="445">
        <v>455000</v>
      </c>
      <c r="J91" s="445">
        <f t="shared" si="10"/>
        <v>5460000</v>
      </c>
      <c r="K91" s="703">
        <v>0.38</v>
      </c>
      <c r="L91" s="445">
        <f t="shared" si="14"/>
        <v>3385200</v>
      </c>
      <c r="M91" s="445"/>
      <c r="N91" s="445"/>
      <c r="O91" s="445"/>
      <c r="P91" s="445"/>
      <c r="Q91" s="445"/>
      <c r="R91" s="445"/>
      <c r="S91" s="705"/>
    </row>
    <row r="92" spans="1:19" s="924" customFormat="1" ht="27" customHeight="1" x14ac:dyDescent="0.15">
      <c r="A92" s="920">
        <v>37</v>
      </c>
      <c r="B92" s="580" t="s">
        <v>1301</v>
      </c>
      <c r="C92" s="933" t="s">
        <v>1359</v>
      </c>
      <c r="D92" s="711" t="s">
        <v>1355</v>
      </c>
      <c r="E92" s="711" t="s">
        <v>1360</v>
      </c>
      <c r="F92" s="929"/>
      <c r="G92" s="921" t="s">
        <v>40</v>
      </c>
      <c r="H92" s="1051">
        <v>12</v>
      </c>
      <c r="I92" s="443">
        <v>485000</v>
      </c>
      <c r="J92" s="443">
        <f t="shared" si="10"/>
        <v>5820000</v>
      </c>
      <c r="K92" s="922">
        <v>0.38</v>
      </c>
      <c r="L92" s="687">
        <f t="shared" si="14"/>
        <v>3608400</v>
      </c>
      <c r="M92" s="443"/>
      <c r="N92" s="443"/>
      <c r="O92" s="443"/>
      <c r="P92" s="443"/>
      <c r="Q92" s="443">
        <v>131</v>
      </c>
      <c r="R92" s="443">
        <f>L92+L93</f>
        <v>6993600</v>
      </c>
      <c r="S92" s="923"/>
    </row>
    <row r="93" spans="1:19" s="924" customFormat="1" ht="27" customHeight="1" x14ac:dyDescent="0.15">
      <c r="A93" s="699"/>
      <c r="B93" s="582" t="s">
        <v>1301</v>
      </c>
      <c r="C93" s="717" t="s">
        <v>1359</v>
      </c>
      <c r="D93" s="701" t="s">
        <v>1355</v>
      </c>
      <c r="E93" s="701" t="s">
        <v>1360</v>
      </c>
      <c r="F93" s="927"/>
      <c r="G93" s="702" t="s">
        <v>42</v>
      </c>
      <c r="H93" s="1054">
        <v>12</v>
      </c>
      <c r="I93" s="445">
        <v>455000</v>
      </c>
      <c r="J93" s="445">
        <f t="shared" si="10"/>
        <v>5460000</v>
      </c>
      <c r="K93" s="703">
        <v>0.38</v>
      </c>
      <c r="L93" s="445">
        <f t="shared" si="14"/>
        <v>3385200</v>
      </c>
      <c r="M93" s="445"/>
      <c r="N93" s="445"/>
      <c r="O93" s="445"/>
      <c r="P93" s="445"/>
      <c r="Q93" s="445"/>
      <c r="R93" s="445"/>
      <c r="S93" s="705"/>
    </row>
    <row r="94" spans="1:19" s="924" customFormat="1" ht="27" customHeight="1" x14ac:dyDescent="0.15">
      <c r="A94" s="920">
        <v>38</v>
      </c>
      <c r="B94" s="580" t="s">
        <v>1301</v>
      </c>
      <c r="C94" s="933" t="s">
        <v>1359</v>
      </c>
      <c r="D94" s="711" t="s">
        <v>1355</v>
      </c>
      <c r="E94" s="711" t="s">
        <v>1360</v>
      </c>
      <c r="F94" s="929"/>
      <c r="G94" s="921" t="s">
        <v>33</v>
      </c>
      <c r="H94" s="1051">
        <v>24</v>
      </c>
      <c r="I94" s="443">
        <v>455000</v>
      </c>
      <c r="J94" s="443">
        <f t="shared" si="10"/>
        <v>10920000</v>
      </c>
      <c r="K94" s="922">
        <v>0.38</v>
      </c>
      <c r="L94" s="443">
        <f>H94*I94*(1-K94)</f>
        <v>6770400</v>
      </c>
      <c r="M94" s="443"/>
      <c r="N94" s="443"/>
      <c r="O94" s="443"/>
      <c r="P94" s="443"/>
      <c r="Q94" s="443">
        <v>131</v>
      </c>
      <c r="R94" s="443">
        <f>SUM(L94:L99)</f>
        <v>34558800</v>
      </c>
      <c r="S94" s="2267" t="s">
        <v>2319</v>
      </c>
    </row>
    <row r="95" spans="1:19" s="924" customFormat="1" ht="27" customHeight="1" x14ac:dyDescent="0.15">
      <c r="A95" s="853"/>
      <c r="B95" s="580" t="s">
        <v>1301</v>
      </c>
      <c r="C95" s="851" t="s">
        <v>1359</v>
      </c>
      <c r="D95" s="720" t="s">
        <v>1355</v>
      </c>
      <c r="E95" s="720" t="s">
        <v>1360</v>
      </c>
      <c r="F95" s="884"/>
      <c r="G95" s="878" t="s">
        <v>35</v>
      </c>
      <c r="H95" s="1052">
        <v>12</v>
      </c>
      <c r="I95" s="332">
        <v>465000</v>
      </c>
      <c r="J95" s="332">
        <f t="shared" si="10"/>
        <v>5580000</v>
      </c>
      <c r="K95" s="930">
        <v>0.38</v>
      </c>
      <c r="L95" s="332">
        <f t="shared" ref="L95:L96" si="15">H95*I95*(1-K95)</f>
        <v>3459600</v>
      </c>
      <c r="M95" s="332"/>
      <c r="N95" s="332"/>
      <c r="O95" s="332"/>
      <c r="P95" s="332"/>
      <c r="Q95" s="332"/>
      <c r="R95" s="332"/>
      <c r="S95" s="2268"/>
    </row>
    <row r="96" spans="1:19" s="924" customFormat="1" ht="27" customHeight="1" x14ac:dyDescent="0.15">
      <c r="A96" s="853"/>
      <c r="B96" s="580" t="s">
        <v>1301</v>
      </c>
      <c r="C96" s="851" t="s">
        <v>1359</v>
      </c>
      <c r="D96" s="720" t="s">
        <v>1355</v>
      </c>
      <c r="E96" s="720" t="s">
        <v>1360</v>
      </c>
      <c r="F96" s="884"/>
      <c r="G96" s="878" t="s">
        <v>40</v>
      </c>
      <c r="H96" s="1052">
        <v>12</v>
      </c>
      <c r="I96" s="332">
        <v>485000</v>
      </c>
      <c r="J96" s="332">
        <f t="shared" si="10"/>
        <v>5820000</v>
      </c>
      <c r="K96" s="930">
        <v>0.38</v>
      </c>
      <c r="L96" s="332">
        <f t="shared" si="15"/>
        <v>3608400</v>
      </c>
      <c r="M96" s="332"/>
      <c r="N96" s="332"/>
      <c r="O96" s="332"/>
      <c r="P96" s="332"/>
      <c r="Q96" s="332"/>
      <c r="R96" s="332"/>
      <c r="S96" s="2268"/>
    </row>
    <row r="97" spans="1:19" s="924" customFormat="1" ht="27" customHeight="1" x14ac:dyDescent="0.15">
      <c r="A97" s="853"/>
      <c r="B97" s="580" t="s">
        <v>1301</v>
      </c>
      <c r="C97" s="851" t="s">
        <v>1359</v>
      </c>
      <c r="D97" s="720" t="s">
        <v>1355</v>
      </c>
      <c r="E97" s="720" t="s">
        <v>1360</v>
      </c>
      <c r="F97" s="884"/>
      <c r="G97" s="878" t="s">
        <v>46</v>
      </c>
      <c r="H97" s="1052">
        <v>50</v>
      </c>
      <c r="I97" s="332">
        <v>450000</v>
      </c>
      <c r="J97" s="332">
        <f t="shared" si="10"/>
        <v>22500000</v>
      </c>
      <c r="K97" s="930">
        <v>0.38</v>
      </c>
      <c r="L97" s="332">
        <f t="shared" ref="L97:L99" si="16">H97*I97*(1-K97)</f>
        <v>13950000</v>
      </c>
      <c r="M97" s="332"/>
      <c r="N97" s="332"/>
      <c r="O97" s="332"/>
      <c r="P97" s="332"/>
      <c r="Q97" s="332"/>
      <c r="R97" s="332"/>
      <c r="S97" s="2268"/>
    </row>
    <row r="98" spans="1:19" s="924" customFormat="1" ht="27" customHeight="1" x14ac:dyDescent="0.15">
      <c r="A98" s="853"/>
      <c r="B98" s="580" t="s">
        <v>1301</v>
      </c>
      <c r="C98" s="851" t="s">
        <v>1359</v>
      </c>
      <c r="D98" s="720" t="s">
        <v>1355</v>
      </c>
      <c r="E98" s="720" t="s">
        <v>1360</v>
      </c>
      <c r="F98" s="884"/>
      <c r="G98" s="878" t="s">
        <v>44</v>
      </c>
      <c r="H98" s="1052">
        <v>12</v>
      </c>
      <c r="I98" s="332">
        <v>455000</v>
      </c>
      <c r="J98" s="332">
        <f t="shared" si="10"/>
        <v>5460000</v>
      </c>
      <c r="K98" s="930">
        <v>0.38</v>
      </c>
      <c r="L98" s="332">
        <f t="shared" si="16"/>
        <v>3385200</v>
      </c>
      <c r="M98" s="332"/>
      <c r="N98" s="332"/>
      <c r="O98" s="332"/>
      <c r="P98" s="332"/>
      <c r="Q98" s="332"/>
      <c r="R98" s="332"/>
      <c r="S98" s="2268"/>
    </row>
    <row r="99" spans="1:19" s="924" customFormat="1" ht="27" customHeight="1" x14ac:dyDescent="0.15">
      <c r="A99" s="699"/>
      <c r="B99" s="580" t="s">
        <v>1301</v>
      </c>
      <c r="C99" s="890" t="s">
        <v>1359</v>
      </c>
      <c r="D99" s="718" t="s">
        <v>1355</v>
      </c>
      <c r="E99" s="718" t="s">
        <v>1360</v>
      </c>
      <c r="F99" s="927"/>
      <c r="G99" s="702" t="s">
        <v>42</v>
      </c>
      <c r="H99" s="1054">
        <v>12</v>
      </c>
      <c r="I99" s="445">
        <v>455000</v>
      </c>
      <c r="J99" s="445">
        <f t="shared" si="10"/>
        <v>5460000</v>
      </c>
      <c r="K99" s="703">
        <v>0.38</v>
      </c>
      <c r="L99" s="445">
        <f t="shared" si="16"/>
        <v>3385200</v>
      </c>
      <c r="M99" s="445"/>
      <c r="N99" s="445"/>
      <c r="O99" s="445"/>
      <c r="P99" s="445"/>
      <c r="Q99" s="445"/>
      <c r="R99" s="445"/>
      <c r="S99" s="2269"/>
    </row>
    <row r="100" spans="1:19" s="924" customFormat="1" ht="9" customHeight="1" x14ac:dyDescent="0.15">
      <c r="A100" s="677">
        <v>39</v>
      </c>
      <c r="B100" s="583" t="s">
        <v>1301</v>
      </c>
      <c r="C100" s="678" t="s">
        <v>1359</v>
      </c>
      <c r="D100" s="679" t="s">
        <v>127</v>
      </c>
      <c r="E100" s="679"/>
      <c r="F100" s="888"/>
      <c r="G100" s="680" t="s">
        <v>33</v>
      </c>
      <c r="H100" s="1698">
        <v>12</v>
      </c>
      <c r="I100" s="446">
        <v>455000</v>
      </c>
      <c r="J100" s="446">
        <f t="shared" si="10"/>
        <v>5460000</v>
      </c>
      <c r="K100" s="681">
        <v>0.41</v>
      </c>
      <c r="L100" s="446">
        <f t="shared" ref="L100:L107" si="17">H100*I100*(1-K100)</f>
        <v>3221400.0000000005</v>
      </c>
      <c r="M100" s="446"/>
      <c r="N100" s="446"/>
      <c r="O100" s="446"/>
      <c r="P100" s="446"/>
      <c r="Q100" s="446">
        <v>131</v>
      </c>
      <c r="R100" s="446">
        <f>L100</f>
        <v>3221400.0000000005</v>
      </c>
      <c r="S100" s="724"/>
    </row>
    <row r="101" spans="1:19" s="924" customFormat="1" ht="9" customHeight="1" x14ac:dyDescent="0.15">
      <c r="A101" s="885">
        <v>40</v>
      </c>
      <c r="B101" s="585" t="s">
        <v>1301</v>
      </c>
      <c r="C101" s="933" t="s">
        <v>1354</v>
      </c>
      <c r="D101" s="711" t="s">
        <v>127</v>
      </c>
      <c r="E101" s="710"/>
      <c r="F101" s="886"/>
      <c r="G101" s="887" t="s">
        <v>35</v>
      </c>
      <c r="H101" s="1695">
        <v>12</v>
      </c>
      <c r="I101" s="444">
        <v>465000</v>
      </c>
      <c r="J101" s="444">
        <f>H101*I101</f>
        <v>5580000</v>
      </c>
      <c r="K101" s="934">
        <v>0.41</v>
      </c>
      <c r="L101" s="444">
        <f t="shared" si="17"/>
        <v>3292200.0000000005</v>
      </c>
      <c r="M101" s="444"/>
      <c r="N101" s="444"/>
      <c r="O101" s="444"/>
      <c r="P101" s="444"/>
      <c r="Q101" s="444">
        <v>131</v>
      </c>
      <c r="R101" s="444">
        <f>L101+L102</f>
        <v>6655200.0000000009</v>
      </c>
      <c r="S101" s="935"/>
    </row>
    <row r="102" spans="1:19" s="924" customFormat="1" ht="9" customHeight="1" x14ac:dyDescent="0.15">
      <c r="A102" s="699"/>
      <c r="B102" s="582"/>
      <c r="C102" s="717" t="s">
        <v>1354</v>
      </c>
      <c r="D102" s="701" t="s">
        <v>127</v>
      </c>
      <c r="E102" s="701"/>
      <c r="F102" s="927"/>
      <c r="G102" s="702" t="s">
        <v>37</v>
      </c>
      <c r="H102" s="1054">
        <v>12</v>
      </c>
      <c r="I102" s="445">
        <v>475000</v>
      </c>
      <c r="J102" s="445">
        <f t="shared" si="10"/>
        <v>5700000</v>
      </c>
      <c r="K102" s="703">
        <v>0.41</v>
      </c>
      <c r="L102" s="445">
        <f t="shared" si="17"/>
        <v>3363000.0000000005</v>
      </c>
      <c r="M102" s="445"/>
      <c r="N102" s="445"/>
      <c r="O102" s="445"/>
      <c r="P102" s="445"/>
      <c r="Q102" s="445"/>
      <c r="R102" s="445"/>
      <c r="S102" s="928"/>
    </row>
    <row r="103" spans="1:19" s="924" customFormat="1" ht="9" customHeight="1" x14ac:dyDescent="0.15">
      <c r="A103" s="852">
        <v>41</v>
      </c>
      <c r="B103" s="744" t="s">
        <v>1301</v>
      </c>
      <c r="C103" s="673" t="s">
        <v>61</v>
      </c>
      <c r="D103" s="700" t="s">
        <v>1530</v>
      </c>
      <c r="E103" s="700"/>
      <c r="F103" s="880"/>
      <c r="G103" s="881" t="s">
        <v>44</v>
      </c>
      <c r="H103" s="1696">
        <v>1</v>
      </c>
      <c r="I103" s="936">
        <v>455000</v>
      </c>
      <c r="J103" s="936">
        <f t="shared" si="10"/>
        <v>455000</v>
      </c>
      <c r="K103" s="945">
        <v>0.41</v>
      </c>
      <c r="L103" s="936">
        <f t="shared" si="17"/>
        <v>268450.00000000006</v>
      </c>
      <c r="M103" s="936"/>
      <c r="N103" s="936"/>
      <c r="O103" s="936"/>
      <c r="P103" s="936"/>
      <c r="Q103" s="936">
        <v>131</v>
      </c>
      <c r="R103" s="1328">
        <f>L103</f>
        <v>268450.00000000006</v>
      </c>
      <c r="S103" s="1038"/>
    </row>
    <row r="104" spans="1:19" s="924" customFormat="1" ht="9" customHeight="1" x14ac:dyDescent="0.15">
      <c r="A104" s="677">
        <v>42</v>
      </c>
      <c r="B104" s="583" t="s">
        <v>1363</v>
      </c>
      <c r="C104" s="678" t="s">
        <v>12</v>
      </c>
      <c r="D104" s="679" t="s">
        <v>1366</v>
      </c>
      <c r="E104" s="679" t="s">
        <v>1367</v>
      </c>
      <c r="F104" s="888"/>
      <c r="G104" s="680" t="s">
        <v>40</v>
      </c>
      <c r="H104" s="1698">
        <v>1</v>
      </c>
      <c r="I104" s="446">
        <v>485000</v>
      </c>
      <c r="J104" s="446">
        <f t="shared" si="10"/>
        <v>485000</v>
      </c>
      <c r="K104" s="681">
        <v>1</v>
      </c>
      <c r="L104" s="446">
        <f t="shared" si="17"/>
        <v>0</v>
      </c>
      <c r="M104" s="446"/>
      <c r="N104" s="446"/>
      <c r="O104" s="446"/>
      <c r="P104" s="446"/>
      <c r="Q104" s="446"/>
      <c r="R104" s="446"/>
      <c r="S104" s="683"/>
    </row>
    <row r="105" spans="1:19" s="924" customFormat="1" ht="9" customHeight="1" x14ac:dyDescent="0.15">
      <c r="A105" s="677">
        <v>43</v>
      </c>
      <c r="B105" s="583" t="s">
        <v>1363</v>
      </c>
      <c r="C105" s="678" t="s">
        <v>12</v>
      </c>
      <c r="D105" s="679" t="s">
        <v>397</v>
      </c>
      <c r="E105" s="679"/>
      <c r="F105" s="888"/>
      <c r="G105" s="680" t="s">
        <v>41</v>
      </c>
      <c r="H105" s="1698">
        <v>1</v>
      </c>
      <c r="I105" s="446">
        <v>550000</v>
      </c>
      <c r="J105" s="446">
        <f t="shared" si="10"/>
        <v>550000</v>
      </c>
      <c r="K105" s="681">
        <v>1</v>
      </c>
      <c r="L105" s="446">
        <f t="shared" si="17"/>
        <v>0</v>
      </c>
      <c r="M105" s="446"/>
      <c r="N105" s="446"/>
      <c r="O105" s="446"/>
      <c r="P105" s="446"/>
      <c r="Q105" s="446"/>
      <c r="R105" s="446"/>
      <c r="S105" s="724"/>
    </row>
    <row r="106" spans="1:19" s="924" customFormat="1" ht="18" customHeight="1" x14ac:dyDescent="0.15">
      <c r="A106" s="707">
        <v>44</v>
      </c>
      <c r="B106" s="708" t="s">
        <v>1363</v>
      </c>
      <c r="C106" s="933" t="s">
        <v>12</v>
      </c>
      <c r="D106" s="711" t="s">
        <v>1364</v>
      </c>
      <c r="E106" s="711" t="s">
        <v>1365</v>
      </c>
      <c r="F106" s="947"/>
      <c r="G106" s="712" t="s">
        <v>37</v>
      </c>
      <c r="H106" s="1702">
        <v>3</v>
      </c>
      <c r="I106" s="713">
        <v>475000</v>
      </c>
      <c r="J106" s="713">
        <f t="shared" si="10"/>
        <v>1425000</v>
      </c>
      <c r="K106" s="714">
        <v>0.3</v>
      </c>
      <c r="L106" s="713">
        <f t="shared" si="17"/>
        <v>997499.99999999988</v>
      </c>
      <c r="M106" s="713"/>
      <c r="N106" s="713"/>
      <c r="O106" s="713"/>
      <c r="P106" s="713"/>
      <c r="Q106" s="444">
        <v>131</v>
      </c>
      <c r="R106" s="444">
        <f>L106+L107</f>
        <v>2695000</v>
      </c>
      <c r="S106" s="935"/>
    </row>
    <row r="107" spans="1:19" s="924" customFormat="1" ht="18" customHeight="1" x14ac:dyDescent="0.15">
      <c r="A107" s="699"/>
      <c r="B107" s="582"/>
      <c r="C107" s="717" t="s">
        <v>12</v>
      </c>
      <c r="D107" s="701" t="s">
        <v>1364</v>
      </c>
      <c r="E107" s="701" t="s">
        <v>1365</v>
      </c>
      <c r="F107" s="927"/>
      <c r="G107" s="702" t="s">
        <v>40</v>
      </c>
      <c r="H107" s="1054">
        <v>5</v>
      </c>
      <c r="I107" s="445">
        <v>485000</v>
      </c>
      <c r="J107" s="445">
        <f t="shared" si="10"/>
        <v>2425000</v>
      </c>
      <c r="K107" s="703">
        <v>0.3</v>
      </c>
      <c r="L107" s="445">
        <f t="shared" si="17"/>
        <v>1697500</v>
      </c>
      <c r="M107" s="445"/>
      <c r="N107" s="445"/>
      <c r="O107" s="445"/>
      <c r="P107" s="445"/>
      <c r="Q107" s="936"/>
      <c r="R107" s="936"/>
      <c r="S107" s="1038"/>
    </row>
    <row r="108" spans="1:19" s="924" customFormat="1" ht="18" customHeight="1" x14ac:dyDescent="0.15">
      <c r="A108" s="677">
        <v>45</v>
      </c>
      <c r="B108" s="583" t="s">
        <v>1363</v>
      </c>
      <c r="C108" s="678" t="s">
        <v>12</v>
      </c>
      <c r="D108" s="679" t="s">
        <v>1127</v>
      </c>
      <c r="E108" s="679" t="s">
        <v>1356</v>
      </c>
      <c r="F108" s="888"/>
      <c r="G108" s="680" t="s">
        <v>33</v>
      </c>
      <c r="H108" s="1698">
        <v>1</v>
      </c>
      <c r="I108" s="446">
        <v>455000</v>
      </c>
      <c r="J108" s="446">
        <f t="shared" si="10"/>
        <v>455000</v>
      </c>
      <c r="K108" s="681">
        <v>0.2</v>
      </c>
      <c r="L108" s="446">
        <f t="shared" ref="L108:L123" si="18">H108*I108*(1-K108)</f>
        <v>364000</v>
      </c>
      <c r="M108" s="446">
        <v>111</v>
      </c>
      <c r="N108" s="446">
        <v>344000</v>
      </c>
      <c r="O108" s="446"/>
      <c r="P108" s="446"/>
      <c r="Q108" s="446">
        <v>131</v>
      </c>
      <c r="R108" s="446">
        <v>20000</v>
      </c>
      <c r="S108" s="683"/>
    </row>
    <row r="109" spans="1:19" s="924" customFormat="1" ht="18" customHeight="1" x14ac:dyDescent="0.15">
      <c r="A109" s="707"/>
      <c r="B109" s="708" t="s">
        <v>1372</v>
      </c>
      <c r="C109" s="933" t="s">
        <v>1269</v>
      </c>
      <c r="D109" s="711" t="s">
        <v>1373</v>
      </c>
      <c r="E109" s="711"/>
      <c r="F109" s="947"/>
      <c r="G109" s="712" t="s">
        <v>40</v>
      </c>
      <c r="H109" s="1702">
        <v>3</v>
      </c>
      <c r="I109" s="713">
        <v>485000</v>
      </c>
      <c r="J109" s="713">
        <f t="shared" si="10"/>
        <v>1455000</v>
      </c>
      <c r="K109" s="714">
        <v>1</v>
      </c>
      <c r="L109" s="713">
        <f t="shared" si="18"/>
        <v>0</v>
      </c>
      <c r="M109" s="713"/>
      <c r="N109" s="713"/>
      <c r="O109" s="713"/>
      <c r="P109" s="713"/>
      <c r="Q109" s="713"/>
      <c r="R109" s="713"/>
      <c r="S109" s="2232" t="s">
        <v>1900</v>
      </c>
    </row>
    <row r="110" spans="1:19" s="924" customFormat="1" ht="14.25" customHeight="1" x14ac:dyDescent="0.15">
      <c r="A110" s="699"/>
      <c r="B110" s="582" t="s">
        <v>1372</v>
      </c>
      <c r="C110" s="717" t="s">
        <v>1269</v>
      </c>
      <c r="D110" s="701"/>
      <c r="E110" s="701"/>
      <c r="F110" s="927"/>
      <c r="G110" s="702" t="s">
        <v>41</v>
      </c>
      <c r="H110" s="1054">
        <v>5</v>
      </c>
      <c r="I110" s="445">
        <v>550000</v>
      </c>
      <c r="J110" s="445">
        <f t="shared" si="10"/>
        <v>2750000</v>
      </c>
      <c r="K110" s="703">
        <v>1</v>
      </c>
      <c r="L110" s="445">
        <f t="shared" si="18"/>
        <v>0</v>
      </c>
      <c r="M110" s="445"/>
      <c r="N110" s="445"/>
      <c r="O110" s="445"/>
      <c r="P110" s="445"/>
      <c r="Q110" s="445"/>
      <c r="R110" s="445"/>
      <c r="S110" s="2266"/>
    </row>
    <row r="111" spans="1:19" s="924" customFormat="1" ht="14.25" customHeight="1" x14ac:dyDescent="0.15">
      <c r="A111" s="684"/>
      <c r="B111" s="584" t="s">
        <v>1368</v>
      </c>
      <c r="C111" s="672" t="s">
        <v>1901</v>
      </c>
      <c r="D111" s="685" t="s">
        <v>1902</v>
      </c>
      <c r="E111" s="685"/>
      <c r="F111" s="883"/>
      <c r="G111" s="1022" t="s">
        <v>33</v>
      </c>
      <c r="H111" s="1699">
        <v>1</v>
      </c>
      <c r="I111" s="687">
        <v>455000</v>
      </c>
      <c r="J111" s="687">
        <f t="shared" si="10"/>
        <v>455000</v>
      </c>
      <c r="K111" s="688">
        <v>1</v>
      </c>
      <c r="L111" s="687">
        <f t="shared" si="18"/>
        <v>0</v>
      </c>
      <c r="M111" s="687"/>
      <c r="N111" s="687"/>
      <c r="O111" s="687"/>
      <c r="P111" s="687"/>
      <c r="Q111" s="687"/>
      <c r="R111" s="687"/>
      <c r="S111" s="1661"/>
    </row>
    <row r="112" spans="1:19" s="924" customFormat="1" ht="14.25" customHeight="1" x14ac:dyDescent="0.15">
      <c r="A112" s="853"/>
      <c r="B112" s="584" t="s">
        <v>1368</v>
      </c>
      <c r="C112" s="672" t="s">
        <v>1901</v>
      </c>
      <c r="D112" s="720"/>
      <c r="E112" s="720"/>
      <c r="F112" s="884"/>
      <c r="G112" s="129" t="s">
        <v>35</v>
      </c>
      <c r="H112" s="1700">
        <v>1</v>
      </c>
      <c r="I112" s="332">
        <v>465000</v>
      </c>
      <c r="J112" s="332">
        <f t="shared" ref="J112:J119" si="19">H112*I112</f>
        <v>465000</v>
      </c>
      <c r="K112" s="930">
        <v>1</v>
      </c>
      <c r="L112" s="332">
        <f t="shared" ref="L112:L119" si="20">H112*I112*(1-K112)</f>
        <v>0</v>
      </c>
      <c r="M112" s="332"/>
      <c r="N112" s="332"/>
      <c r="O112" s="332"/>
      <c r="P112" s="332"/>
      <c r="Q112" s="332"/>
      <c r="R112" s="332"/>
      <c r="S112" s="1692"/>
    </row>
    <row r="113" spans="1:19" s="924" customFormat="1" ht="14.25" customHeight="1" x14ac:dyDescent="0.15">
      <c r="A113" s="853"/>
      <c r="B113" s="584" t="s">
        <v>1368</v>
      </c>
      <c r="C113" s="672" t="s">
        <v>1901</v>
      </c>
      <c r="D113" s="720"/>
      <c r="E113" s="720"/>
      <c r="F113" s="884"/>
      <c r="G113" s="129" t="s">
        <v>37</v>
      </c>
      <c r="H113" s="1700">
        <v>1</v>
      </c>
      <c r="I113" s="332">
        <v>475000</v>
      </c>
      <c r="J113" s="332">
        <f t="shared" si="19"/>
        <v>475000</v>
      </c>
      <c r="K113" s="930">
        <v>1</v>
      </c>
      <c r="L113" s="332">
        <f t="shared" si="20"/>
        <v>0</v>
      </c>
      <c r="M113" s="332"/>
      <c r="N113" s="332"/>
      <c r="O113" s="332"/>
      <c r="P113" s="332"/>
      <c r="Q113" s="332"/>
      <c r="R113" s="332"/>
      <c r="S113" s="1692"/>
    </row>
    <row r="114" spans="1:19" s="924" customFormat="1" ht="14.25" customHeight="1" x14ac:dyDescent="0.15">
      <c r="A114" s="853"/>
      <c r="B114" s="584" t="s">
        <v>1368</v>
      </c>
      <c r="C114" s="672" t="s">
        <v>1901</v>
      </c>
      <c r="D114" s="720"/>
      <c r="E114" s="720"/>
      <c r="F114" s="884"/>
      <c r="G114" s="129" t="s">
        <v>40</v>
      </c>
      <c r="H114" s="1700">
        <v>1</v>
      </c>
      <c r="I114" s="332">
        <v>485000</v>
      </c>
      <c r="J114" s="332">
        <f t="shared" si="19"/>
        <v>485000</v>
      </c>
      <c r="K114" s="930">
        <v>1</v>
      </c>
      <c r="L114" s="332">
        <f t="shared" si="20"/>
        <v>0</v>
      </c>
      <c r="M114" s="332"/>
      <c r="N114" s="332"/>
      <c r="O114" s="332"/>
      <c r="P114" s="332"/>
      <c r="Q114" s="332"/>
      <c r="R114" s="332"/>
      <c r="S114" s="1692"/>
    </row>
    <row r="115" spans="1:19" s="924" customFormat="1" ht="14.25" customHeight="1" x14ac:dyDescent="0.15">
      <c r="A115" s="853"/>
      <c r="B115" s="584" t="s">
        <v>1368</v>
      </c>
      <c r="C115" s="672" t="s">
        <v>1901</v>
      </c>
      <c r="D115" s="720"/>
      <c r="E115" s="720"/>
      <c r="F115" s="884"/>
      <c r="G115" s="129" t="s">
        <v>60</v>
      </c>
      <c r="H115" s="1700">
        <v>1</v>
      </c>
      <c r="I115" s="332">
        <v>485000</v>
      </c>
      <c r="J115" s="332">
        <f t="shared" si="19"/>
        <v>485000</v>
      </c>
      <c r="K115" s="930">
        <v>1</v>
      </c>
      <c r="L115" s="332">
        <f t="shared" si="20"/>
        <v>0</v>
      </c>
      <c r="M115" s="332"/>
      <c r="N115" s="332"/>
      <c r="O115" s="332"/>
      <c r="P115" s="332"/>
      <c r="Q115" s="332"/>
      <c r="R115" s="332"/>
      <c r="S115" s="1692"/>
    </row>
    <row r="116" spans="1:19" s="924" customFormat="1" ht="14.25" customHeight="1" x14ac:dyDescent="0.15">
      <c r="A116" s="853"/>
      <c r="B116" s="584" t="s">
        <v>1368</v>
      </c>
      <c r="C116" s="672" t="s">
        <v>1901</v>
      </c>
      <c r="D116" s="720"/>
      <c r="E116" s="720"/>
      <c r="F116" s="884"/>
      <c r="G116" s="129" t="s">
        <v>41</v>
      </c>
      <c r="H116" s="1700">
        <v>1</v>
      </c>
      <c r="I116" s="332">
        <v>550000</v>
      </c>
      <c r="J116" s="332">
        <f t="shared" si="19"/>
        <v>550000</v>
      </c>
      <c r="K116" s="930">
        <v>1</v>
      </c>
      <c r="L116" s="332">
        <f t="shared" si="20"/>
        <v>0</v>
      </c>
      <c r="M116" s="332"/>
      <c r="N116" s="332"/>
      <c r="O116" s="332"/>
      <c r="P116" s="332"/>
      <c r="Q116" s="332"/>
      <c r="R116" s="332"/>
      <c r="S116" s="1692"/>
    </row>
    <row r="117" spans="1:19" s="924" customFormat="1" ht="14.25" customHeight="1" x14ac:dyDescent="0.15">
      <c r="A117" s="853"/>
      <c r="B117" s="584" t="s">
        <v>1368</v>
      </c>
      <c r="C117" s="672" t="s">
        <v>1901</v>
      </c>
      <c r="D117" s="720"/>
      <c r="E117" s="720"/>
      <c r="F117" s="884"/>
      <c r="G117" s="129" t="s">
        <v>46</v>
      </c>
      <c r="H117" s="1700">
        <v>1</v>
      </c>
      <c r="I117" s="332">
        <v>450000</v>
      </c>
      <c r="J117" s="332">
        <f t="shared" si="19"/>
        <v>450000</v>
      </c>
      <c r="K117" s="930">
        <v>1</v>
      </c>
      <c r="L117" s="332">
        <f t="shared" si="20"/>
        <v>0</v>
      </c>
      <c r="M117" s="332"/>
      <c r="N117" s="332"/>
      <c r="O117" s="332"/>
      <c r="P117" s="332"/>
      <c r="Q117" s="332"/>
      <c r="R117" s="332"/>
      <c r="S117" s="1692"/>
    </row>
    <row r="118" spans="1:19" s="924" customFormat="1" ht="14.25" customHeight="1" x14ac:dyDescent="0.15">
      <c r="A118" s="853"/>
      <c r="B118" s="584" t="s">
        <v>1368</v>
      </c>
      <c r="C118" s="672" t="s">
        <v>1901</v>
      </c>
      <c r="D118" s="720"/>
      <c r="E118" s="720"/>
      <c r="F118" s="884"/>
      <c r="G118" s="129" t="s">
        <v>44</v>
      </c>
      <c r="H118" s="1700">
        <v>1</v>
      </c>
      <c r="I118" s="332">
        <v>455000</v>
      </c>
      <c r="J118" s="332">
        <f t="shared" si="19"/>
        <v>455000</v>
      </c>
      <c r="K118" s="930">
        <v>1</v>
      </c>
      <c r="L118" s="332">
        <f t="shared" si="20"/>
        <v>0</v>
      </c>
      <c r="M118" s="332"/>
      <c r="N118" s="332"/>
      <c r="O118" s="332"/>
      <c r="P118" s="332"/>
      <c r="Q118" s="332"/>
      <c r="R118" s="332"/>
      <c r="S118" s="1692"/>
    </row>
    <row r="119" spans="1:19" s="924" customFormat="1" ht="14.25" customHeight="1" x14ac:dyDescent="0.15">
      <c r="A119" s="684"/>
      <c r="B119" s="584" t="s">
        <v>1368</v>
      </c>
      <c r="C119" s="672" t="s">
        <v>1901</v>
      </c>
      <c r="D119" s="685"/>
      <c r="E119" s="685"/>
      <c r="F119" s="883"/>
      <c r="G119" s="1031" t="s">
        <v>42</v>
      </c>
      <c r="H119" s="1701">
        <v>1</v>
      </c>
      <c r="I119" s="687">
        <v>455000</v>
      </c>
      <c r="J119" s="687">
        <f t="shared" si="19"/>
        <v>455000</v>
      </c>
      <c r="K119" s="688">
        <v>1</v>
      </c>
      <c r="L119" s="687">
        <f t="shared" si="20"/>
        <v>0</v>
      </c>
      <c r="M119" s="687"/>
      <c r="N119" s="687"/>
      <c r="O119" s="687"/>
      <c r="P119" s="687"/>
      <c r="Q119" s="687"/>
      <c r="R119" s="687"/>
      <c r="S119" s="1661"/>
    </row>
    <row r="120" spans="1:19" s="924" customFormat="1" ht="9" customHeight="1" x14ac:dyDescent="0.15">
      <c r="A120" s="885">
        <v>46</v>
      </c>
      <c r="B120" s="585" t="s">
        <v>1368</v>
      </c>
      <c r="C120" s="709" t="s">
        <v>12</v>
      </c>
      <c r="D120" s="710" t="s">
        <v>1369</v>
      </c>
      <c r="E120" s="710"/>
      <c r="F120" s="886"/>
      <c r="G120" s="887" t="s">
        <v>40</v>
      </c>
      <c r="H120" s="1695">
        <v>1</v>
      </c>
      <c r="I120" s="444">
        <v>485000</v>
      </c>
      <c r="J120" s="444">
        <f t="shared" si="10"/>
        <v>485000</v>
      </c>
      <c r="K120" s="934">
        <v>1</v>
      </c>
      <c r="L120" s="444">
        <f t="shared" si="18"/>
        <v>0</v>
      </c>
      <c r="M120" s="444"/>
      <c r="N120" s="444"/>
      <c r="O120" s="444"/>
      <c r="P120" s="444"/>
      <c r="Q120" s="444"/>
      <c r="R120" s="444"/>
      <c r="S120" s="1269"/>
    </row>
    <row r="121" spans="1:19" s="924" customFormat="1" ht="9" customHeight="1" x14ac:dyDescent="0.15">
      <c r="A121" s="699"/>
      <c r="B121" s="744" t="s">
        <v>1368</v>
      </c>
      <c r="C121" s="673" t="s">
        <v>12</v>
      </c>
      <c r="D121" s="701"/>
      <c r="E121" s="701"/>
      <c r="F121" s="927"/>
      <c r="G121" s="702" t="s">
        <v>41</v>
      </c>
      <c r="H121" s="1054">
        <v>1</v>
      </c>
      <c r="I121" s="445">
        <v>550000</v>
      </c>
      <c r="J121" s="445">
        <f t="shared" si="10"/>
        <v>550000</v>
      </c>
      <c r="K121" s="945">
        <v>1</v>
      </c>
      <c r="L121" s="445">
        <f t="shared" si="18"/>
        <v>0</v>
      </c>
      <c r="M121" s="445"/>
      <c r="N121" s="445"/>
      <c r="O121" s="445"/>
      <c r="P121" s="445"/>
      <c r="Q121" s="445"/>
      <c r="R121" s="445"/>
      <c r="S121" s="705"/>
    </row>
    <row r="122" spans="1:19" s="924" customFormat="1" ht="27" customHeight="1" x14ac:dyDescent="0.15">
      <c r="A122" s="920">
        <v>47</v>
      </c>
      <c r="B122" s="580" t="s">
        <v>1370</v>
      </c>
      <c r="C122" s="890" t="s">
        <v>1269</v>
      </c>
      <c r="D122" s="718" t="s">
        <v>1371</v>
      </c>
      <c r="E122" s="718" t="s">
        <v>1367</v>
      </c>
      <c r="F122" s="929"/>
      <c r="G122" s="921" t="s">
        <v>31</v>
      </c>
      <c r="H122" s="1051">
        <v>48</v>
      </c>
      <c r="I122" s="443">
        <v>255000</v>
      </c>
      <c r="J122" s="443">
        <f t="shared" si="10"/>
        <v>12240000</v>
      </c>
      <c r="K122" s="922">
        <v>0.38</v>
      </c>
      <c r="L122" s="443">
        <f t="shared" si="18"/>
        <v>7588800</v>
      </c>
      <c r="M122" s="443"/>
      <c r="N122" s="443"/>
      <c r="O122" s="443"/>
      <c r="P122" s="443"/>
      <c r="Q122" s="443">
        <v>131</v>
      </c>
      <c r="R122" s="443">
        <f>SUM(L122:L129)</f>
        <v>59265800</v>
      </c>
      <c r="S122" s="2232" t="s">
        <v>2320</v>
      </c>
    </row>
    <row r="123" spans="1:19" s="924" customFormat="1" ht="15" customHeight="1" x14ac:dyDescent="0.15">
      <c r="A123" s="691"/>
      <c r="B123" s="580"/>
      <c r="C123" s="890" t="s">
        <v>1269</v>
      </c>
      <c r="D123" s="718" t="s">
        <v>1371</v>
      </c>
      <c r="E123" s="718" t="s">
        <v>1367</v>
      </c>
      <c r="F123" s="942"/>
      <c r="G123" s="694" t="s">
        <v>33</v>
      </c>
      <c r="H123" s="1053">
        <v>2</v>
      </c>
      <c r="I123" s="695">
        <v>455000</v>
      </c>
      <c r="J123" s="687">
        <f t="shared" si="10"/>
        <v>910000</v>
      </c>
      <c r="K123" s="688">
        <v>0.38</v>
      </c>
      <c r="L123" s="695">
        <f t="shared" si="18"/>
        <v>564200</v>
      </c>
      <c r="M123" s="695"/>
      <c r="N123" s="695"/>
      <c r="O123" s="695"/>
      <c r="P123" s="695"/>
      <c r="Q123" s="695"/>
      <c r="R123" s="695"/>
      <c r="S123" s="2233"/>
    </row>
    <row r="124" spans="1:19" s="924" customFormat="1" ht="15" customHeight="1" x14ac:dyDescent="0.15">
      <c r="A124" s="853"/>
      <c r="B124" s="453"/>
      <c r="C124" s="890" t="s">
        <v>1269</v>
      </c>
      <c r="D124" s="718" t="s">
        <v>1371</v>
      </c>
      <c r="E124" s="718" t="s">
        <v>1367</v>
      </c>
      <c r="F124" s="929"/>
      <c r="G124" s="921" t="s">
        <v>35</v>
      </c>
      <c r="H124" s="1051">
        <v>24</v>
      </c>
      <c r="I124" s="443">
        <v>465000</v>
      </c>
      <c r="J124" s="443">
        <f t="shared" si="10"/>
        <v>11160000</v>
      </c>
      <c r="K124" s="922">
        <v>0.38</v>
      </c>
      <c r="L124" s="443">
        <f t="shared" ref="L124:L128" si="21">H124*I124*(1-K124)</f>
        <v>6919200</v>
      </c>
      <c r="M124" s="443"/>
      <c r="N124" s="443"/>
      <c r="O124" s="443"/>
      <c r="P124" s="443"/>
      <c r="Q124" s="443"/>
      <c r="R124" s="443"/>
      <c r="S124" s="2233"/>
    </row>
    <row r="125" spans="1:19" s="924" customFormat="1" ht="15" customHeight="1" x14ac:dyDescent="0.15">
      <c r="A125" s="853"/>
      <c r="B125" s="453"/>
      <c r="C125" s="890" t="s">
        <v>1269</v>
      </c>
      <c r="D125" s="718" t="s">
        <v>1371</v>
      </c>
      <c r="E125" s="718" t="s">
        <v>1367</v>
      </c>
      <c r="F125" s="884"/>
      <c r="G125" s="878" t="s">
        <v>37</v>
      </c>
      <c r="H125" s="1052">
        <v>24</v>
      </c>
      <c r="I125" s="332">
        <v>475000</v>
      </c>
      <c r="J125" s="332">
        <f t="shared" si="10"/>
        <v>11400000</v>
      </c>
      <c r="K125" s="922">
        <v>0.38</v>
      </c>
      <c r="L125" s="332">
        <f t="shared" si="21"/>
        <v>7068000</v>
      </c>
      <c r="M125" s="332"/>
      <c r="N125" s="332"/>
      <c r="O125" s="332"/>
      <c r="P125" s="332"/>
      <c r="Q125" s="332"/>
      <c r="R125" s="332"/>
      <c r="S125" s="2233"/>
    </row>
    <row r="126" spans="1:19" s="924" customFormat="1" ht="15" customHeight="1" x14ac:dyDescent="0.15">
      <c r="A126" s="853"/>
      <c r="B126" s="453"/>
      <c r="C126" s="890" t="s">
        <v>1269</v>
      </c>
      <c r="D126" s="718" t="s">
        <v>1371</v>
      </c>
      <c r="E126" s="718" t="s">
        <v>1367</v>
      </c>
      <c r="F126" s="884"/>
      <c r="G126" s="878" t="s">
        <v>40</v>
      </c>
      <c r="H126" s="1052">
        <v>24</v>
      </c>
      <c r="I126" s="332">
        <v>485000</v>
      </c>
      <c r="J126" s="332">
        <f t="shared" si="10"/>
        <v>11640000</v>
      </c>
      <c r="K126" s="930">
        <v>0.38</v>
      </c>
      <c r="L126" s="332">
        <f t="shared" si="21"/>
        <v>7216800</v>
      </c>
      <c r="M126" s="332"/>
      <c r="N126" s="332"/>
      <c r="O126" s="332"/>
      <c r="P126" s="332"/>
      <c r="Q126" s="332"/>
      <c r="R126" s="332"/>
      <c r="S126" s="2233"/>
    </row>
    <row r="127" spans="1:19" s="924" customFormat="1" ht="15" customHeight="1" x14ac:dyDescent="0.15">
      <c r="A127" s="920"/>
      <c r="B127" s="580"/>
      <c r="C127" s="890" t="s">
        <v>1269</v>
      </c>
      <c r="D127" s="718" t="s">
        <v>1371</v>
      </c>
      <c r="E127" s="718" t="s">
        <v>1367</v>
      </c>
      <c r="F127" s="929"/>
      <c r="G127" s="921" t="s">
        <v>41</v>
      </c>
      <c r="H127" s="1051">
        <v>48</v>
      </c>
      <c r="I127" s="443">
        <v>550000</v>
      </c>
      <c r="J127" s="443">
        <f t="shared" si="10"/>
        <v>26400000</v>
      </c>
      <c r="K127" s="930">
        <v>0.38</v>
      </c>
      <c r="L127" s="443">
        <f t="shared" si="21"/>
        <v>16368000</v>
      </c>
      <c r="M127" s="443"/>
      <c r="N127" s="443"/>
      <c r="O127" s="443"/>
      <c r="P127" s="443"/>
      <c r="Q127" s="443"/>
      <c r="R127" s="443"/>
      <c r="S127" s="2233"/>
    </row>
    <row r="128" spans="1:19" s="924" customFormat="1" ht="15" customHeight="1" x14ac:dyDescent="0.15">
      <c r="A128" s="691"/>
      <c r="B128" s="692"/>
      <c r="C128" s="890" t="s">
        <v>1269</v>
      </c>
      <c r="D128" s="718" t="s">
        <v>1371</v>
      </c>
      <c r="E128" s="718" t="s">
        <v>1367</v>
      </c>
      <c r="F128" s="942"/>
      <c r="G128" s="694" t="s">
        <v>44</v>
      </c>
      <c r="H128" s="1053">
        <v>24</v>
      </c>
      <c r="I128" s="695">
        <v>455000</v>
      </c>
      <c r="J128" s="695">
        <f t="shared" si="10"/>
        <v>10920000</v>
      </c>
      <c r="K128" s="696">
        <v>0.38</v>
      </c>
      <c r="L128" s="695">
        <f t="shared" si="21"/>
        <v>6770400</v>
      </c>
      <c r="M128" s="695"/>
      <c r="N128" s="695"/>
      <c r="O128" s="695"/>
      <c r="P128" s="695"/>
      <c r="Q128" s="695"/>
      <c r="R128" s="695"/>
      <c r="S128" s="2233"/>
    </row>
    <row r="129" spans="1:19" s="924" customFormat="1" ht="15" customHeight="1" x14ac:dyDescent="0.15">
      <c r="A129" s="699"/>
      <c r="B129" s="582"/>
      <c r="C129" s="717" t="s">
        <v>1269</v>
      </c>
      <c r="D129" s="701" t="s">
        <v>1371</v>
      </c>
      <c r="E129" s="701" t="s">
        <v>1367</v>
      </c>
      <c r="F129" s="927"/>
      <c r="G129" s="702" t="s">
        <v>42</v>
      </c>
      <c r="H129" s="1054">
        <v>24</v>
      </c>
      <c r="I129" s="445">
        <v>455000</v>
      </c>
      <c r="J129" s="445">
        <f t="shared" si="10"/>
        <v>10920000</v>
      </c>
      <c r="K129" s="703">
        <v>0.38</v>
      </c>
      <c r="L129" s="445">
        <f t="shared" si="13"/>
        <v>6770400</v>
      </c>
      <c r="M129" s="445"/>
      <c r="N129" s="445"/>
      <c r="O129" s="445"/>
      <c r="P129" s="445"/>
      <c r="Q129" s="445"/>
      <c r="R129" s="445"/>
      <c r="S129" s="2233"/>
    </row>
    <row r="130" spans="1:19" s="924" customFormat="1" ht="15" customHeight="1" x14ac:dyDescent="0.15">
      <c r="A130" s="677">
        <v>48</v>
      </c>
      <c r="B130" s="583" t="s">
        <v>1370</v>
      </c>
      <c r="C130" s="678" t="s">
        <v>61</v>
      </c>
      <c r="D130" s="679" t="s">
        <v>127</v>
      </c>
      <c r="E130" s="679"/>
      <c r="F130" s="888"/>
      <c r="G130" s="680" t="s">
        <v>37</v>
      </c>
      <c r="H130" s="1698">
        <v>2</v>
      </c>
      <c r="I130" s="446">
        <v>475000</v>
      </c>
      <c r="J130" s="446">
        <f t="shared" si="10"/>
        <v>950000</v>
      </c>
      <c r="K130" s="681">
        <v>0.41</v>
      </c>
      <c r="L130" s="446">
        <f t="shared" si="13"/>
        <v>560500.00000000012</v>
      </c>
      <c r="M130" s="446"/>
      <c r="N130" s="446"/>
      <c r="O130" s="446"/>
      <c r="P130" s="446"/>
      <c r="Q130" s="446">
        <v>131</v>
      </c>
      <c r="R130" s="446">
        <f>L130</f>
        <v>560500.00000000012</v>
      </c>
      <c r="S130" s="2266"/>
    </row>
    <row r="131" spans="1:19" s="924" customFormat="1" ht="9" customHeight="1" x14ac:dyDescent="0.15">
      <c r="A131" s="920">
        <v>49</v>
      </c>
      <c r="B131" s="580" t="s">
        <v>1370</v>
      </c>
      <c r="C131" s="890" t="s">
        <v>1269</v>
      </c>
      <c r="D131" s="718" t="s">
        <v>729</v>
      </c>
      <c r="E131" s="718"/>
      <c r="F131" s="929"/>
      <c r="G131" s="921" t="s">
        <v>31</v>
      </c>
      <c r="H131" s="1051">
        <v>12</v>
      </c>
      <c r="I131" s="443">
        <v>255000</v>
      </c>
      <c r="J131" s="443">
        <f t="shared" ref="J131:J136" si="22">H131*I131</f>
        <v>3060000</v>
      </c>
      <c r="K131" s="922">
        <v>0.5</v>
      </c>
      <c r="L131" s="443">
        <f>H131*I131*(1-K131)</f>
        <v>1530000</v>
      </c>
      <c r="M131" s="443"/>
      <c r="N131" s="443"/>
      <c r="O131" s="443"/>
      <c r="P131" s="443"/>
      <c r="Q131" s="443">
        <v>131</v>
      </c>
      <c r="R131" s="443">
        <f>SUM(L131:L139)</f>
        <v>26460000</v>
      </c>
      <c r="S131" s="724"/>
    </row>
    <row r="132" spans="1:19" s="924" customFormat="1" ht="9" customHeight="1" x14ac:dyDescent="0.15">
      <c r="A132" s="853"/>
      <c r="B132" s="453" t="s">
        <v>1370</v>
      </c>
      <c r="C132" s="890" t="s">
        <v>1269</v>
      </c>
      <c r="D132" s="718" t="s">
        <v>729</v>
      </c>
      <c r="E132" s="720"/>
      <c r="F132" s="884"/>
      <c r="G132" s="878" t="s">
        <v>33</v>
      </c>
      <c r="H132" s="1052">
        <v>12</v>
      </c>
      <c r="I132" s="332">
        <v>455000</v>
      </c>
      <c r="J132" s="332">
        <f t="shared" si="22"/>
        <v>5460000</v>
      </c>
      <c r="K132" s="930">
        <v>0.5</v>
      </c>
      <c r="L132" s="332">
        <f>H132*I132*(1-K132)</f>
        <v>2730000</v>
      </c>
      <c r="M132" s="332"/>
      <c r="N132" s="332"/>
      <c r="O132" s="332"/>
      <c r="P132" s="332"/>
      <c r="Q132" s="332"/>
      <c r="R132" s="332"/>
      <c r="S132" s="923"/>
    </row>
    <row r="133" spans="1:19" s="924" customFormat="1" ht="9" customHeight="1" x14ac:dyDescent="0.15">
      <c r="A133" s="920"/>
      <c r="B133" s="453" t="s">
        <v>1370</v>
      </c>
      <c r="C133" s="890" t="s">
        <v>1269</v>
      </c>
      <c r="D133" s="718" t="s">
        <v>729</v>
      </c>
      <c r="E133" s="718"/>
      <c r="F133" s="929"/>
      <c r="G133" s="921" t="s">
        <v>34</v>
      </c>
      <c r="H133" s="1051">
        <v>12</v>
      </c>
      <c r="I133" s="443">
        <v>265000</v>
      </c>
      <c r="J133" s="443">
        <f t="shared" si="22"/>
        <v>3180000</v>
      </c>
      <c r="K133" s="922">
        <v>0.5</v>
      </c>
      <c r="L133" s="687">
        <f>H133*I133*(1-K133)</f>
        <v>1590000</v>
      </c>
      <c r="M133" s="443"/>
      <c r="N133" s="443"/>
      <c r="O133" s="443"/>
      <c r="P133" s="443"/>
      <c r="Q133" s="443"/>
      <c r="R133" s="443"/>
      <c r="S133" s="925"/>
    </row>
    <row r="134" spans="1:19" s="924" customFormat="1" ht="9" customHeight="1" x14ac:dyDescent="0.15">
      <c r="A134" s="853"/>
      <c r="B134" s="453" t="s">
        <v>1370</v>
      </c>
      <c r="C134" s="890" t="s">
        <v>1269</v>
      </c>
      <c r="D134" s="718" t="s">
        <v>729</v>
      </c>
      <c r="E134" s="720"/>
      <c r="F134" s="884"/>
      <c r="G134" s="878" t="s">
        <v>35</v>
      </c>
      <c r="H134" s="1052">
        <v>12</v>
      </c>
      <c r="I134" s="332">
        <v>465000</v>
      </c>
      <c r="J134" s="332">
        <f t="shared" si="22"/>
        <v>5580000</v>
      </c>
      <c r="K134" s="922">
        <v>0.5</v>
      </c>
      <c r="L134" s="695">
        <f>H134*I134*(1-K134)</f>
        <v>2790000</v>
      </c>
      <c r="M134" s="332"/>
      <c r="N134" s="332"/>
      <c r="O134" s="332"/>
      <c r="P134" s="332"/>
      <c r="Q134" s="332"/>
      <c r="R134" s="332"/>
      <c r="S134" s="923"/>
    </row>
    <row r="135" spans="1:19" s="924" customFormat="1" ht="9" customHeight="1" x14ac:dyDescent="0.15">
      <c r="A135" s="853"/>
      <c r="B135" s="453" t="s">
        <v>1370</v>
      </c>
      <c r="C135" s="890" t="s">
        <v>1269</v>
      </c>
      <c r="D135" s="718" t="s">
        <v>729</v>
      </c>
      <c r="E135" s="720"/>
      <c r="F135" s="884"/>
      <c r="G135" s="878" t="s">
        <v>37</v>
      </c>
      <c r="H135" s="1052">
        <v>12</v>
      </c>
      <c r="I135" s="332">
        <v>475000</v>
      </c>
      <c r="J135" s="332">
        <f t="shared" si="22"/>
        <v>5700000</v>
      </c>
      <c r="K135" s="922">
        <v>0.5</v>
      </c>
      <c r="L135" s="695">
        <f t="shared" ref="L135:L136" si="23">H135*I135*(1-K135)</f>
        <v>2850000</v>
      </c>
      <c r="M135" s="332"/>
      <c r="N135" s="332"/>
      <c r="O135" s="332"/>
      <c r="P135" s="332"/>
      <c r="Q135" s="332"/>
      <c r="R135" s="332"/>
      <c r="S135" s="925"/>
    </row>
    <row r="136" spans="1:19" s="924" customFormat="1" ht="9" customHeight="1" x14ac:dyDescent="0.15">
      <c r="A136" s="853"/>
      <c r="B136" s="453" t="s">
        <v>1370</v>
      </c>
      <c r="C136" s="890" t="s">
        <v>1269</v>
      </c>
      <c r="D136" s="718" t="s">
        <v>729</v>
      </c>
      <c r="E136" s="720"/>
      <c r="F136" s="884"/>
      <c r="G136" s="878" t="s">
        <v>40</v>
      </c>
      <c r="H136" s="1052">
        <v>12</v>
      </c>
      <c r="I136" s="332">
        <v>485000</v>
      </c>
      <c r="J136" s="332">
        <f t="shared" si="22"/>
        <v>5820000</v>
      </c>
      <c r="K136" s="922">
        <v>0.5</v>
      </c>
      <c r="L136" s="695">
        <f t="shared" si="23"/>
        <v>2910000</v>
      </c>
      <c r="M136" s="332"/>
      <c r="N136" s="332"/>
      <c r="O136" s="332"/>
      <c r="P136" s="332"/>
      <c r="Q136" s="332"/>
      <c r="R136" s="332"/>
      <c r="S136" s="925"/>
    </row>
    <row r="137" spans="1:19" s="924" customFormat="1" ht="9" customHeight="1" x14ac:dyDescent="0.15">
      <c r="A137" s="684"/>
      <c r="B137" s="453" t="s">
        <v>1370</v>
      </c>
      <c r="C137" s="890" t="s">
        <v>1269</v>
      </c>
      <c r="D137" s="718" t="s">
        <v>729</v>
      </c>
      <c r="E137" s="685"/>
      <c r="F137" s="883"/>
      <c r="G137" s="686" t="s">
        <v>41</v>
      </c>
      <c r="H137" s="1697">
        <v>24</v>
      </c>
      <c r="I137" s="687">
        <v>550000</v>
      </c>
      <c r="J137" s="687">
        <f t="shared" ref="J137:J144" si="24">H137*I137</f>
        <v>13200000</v>
      </c>
      <c r="K137" s="688">
        <v>0.5</v>
      </c>
      <c r="L137" s="695">
        <f t="shared" ref="L137" si="25">H137*I137*(1-K137)</f>
        <v>6600000</v>
      </c>
      <c r="M137" s="687"/>
      <c r="N137" s="687"/>
      <c r="O137" s="687"/>
      <c r="P137" s="687"/>
      <c r="Q137" s="687"/>
      <c r="R137" s="687"/>
      <c r="S137" s="925"/>
    </row>
    <row r="138" spans="1:19" s="924" customFormat="1" ht="9" customHeight="1" x14ac:dyDescent="0.15">
      <c r="A138" s="853"/>
      <c r="B138" s="453" t="s">
        <v>1370</v>
      </c>
      <c r="C138" s="890" t="s">
        <v>1269</v>
      </c>
      <c r="D138" s="718" t="s">
        <v>729</v>
      </c>
      <c r="E138" s="720"/>
      <c r="F138" s="884"/>
      <c r="G138" s="878" t="s">
        <v>44</v>
      </c>
      <c r="H138" s="1052">
        <v>12</v>
      </c>
      <c r="I138" s="332">
        <v>455000</v>
      </c>
      <c r="J138" s="332">
        <f t="shared" si="24"/>
        <v>5460000</v>
      </c>
      <c r="K138" s="930">
        <v>0.5</v>
      </c>
      <c r="L138" s="332">
        <f t="shared" ref="L138:L144" si="26">H138*I138*(1-K138)</f>
        <v>2730000</v>
      </c>
      <c r="M138" s="332"/>
      <c r="N138" s="332"/>
      <c r="O138" s="332"/>
      <c r="P138" s="332"/>
      <c r="Q138" s="332"/>
      <c r="R138" s="332"/>
      <c r="S138" s="690"/>
    </row>
    <row r="139" spans="1:19" s="924" customFormat="1" ht="9" customHeight="1" x14ac:dyDescent="0.15">
      <c r="A139" s="699"/>
      <c r="B139" s="582" t="s">
        <v>1370</v>
      </c>
      <c r="C139" s="717" t="s">
        <v>1269</v>
      </c>
      <c r="D139" s="701" t="s">
        <v>729</v>
      </c>
      <c r="E139" s="701"/>
      <c r="F139" s="927"/>
      <c r="G139" s="702" t="s">
        <v>42</v>
      </c>
      <c r="H139" s="1054">
        <v>12</v>
      </c>
      <c r="I139" s="445">
        <v>455000</v>
      </c>
      <c r="J139" s="445">
        <f t="shared" si="24"/>
        <v>5460000</v>
      </c>
      <c r="K139" s="945">
        <v>0.5</v>
      </c>
      <c r="L139" s="445">
        <f t="shared" si="26"/>
        <v>2730000</v>
      </c>
      <c r="M139" s="445"/>
      <c r="N139" s="445"/>
      <c r="O139" s="445"/>
      <c r="P139" s="445"/>
      <c r="Q139" s="445"/>
      <c r="R139" s="445"/>
      <c r="S139" s="925"/>
    </row>
    <row r="140" spans="1:19" s="924" customFormat="1" ht="9" customHeight="1" x14ac:dyDescent="0.15">
      <c r="A140" s="852"/>
      <c r="B140" s="744" t="s">
        <v>1531</v>
      </c>
      <c r="C140" s="673" t="s">
        <v>1886</v>
      </c>
      <c r="D140" s="700" t="s">
        <v>1887</v>
      </c>
      <c r="E140" s="700" t="s">
        <v>1888</v>
      </c>
      <c r="F140" s="880"/>
      <c r="G140" s="881" t="s">
        <v>44</v>
      </c>
      <c r="H140" s="1696">
        <v>1</v>
      </c>
      <c r="I140" s="936">
        <v>455000</v>
      </c>
      <c r="J140" s="936">
        <f t="shared" si="24"/>
        <v>455000</v>
      </c>
      <c r="K140" s="945">
        <v>0.41</v>
      </c>
      <c r="L140" s="936">
        <f t="shared" si="26"/>
        <v>268450.00000000006</v>
      </c>
      <c r="M140" s="936">
        <v>111</v>
      </c>
      <c r="N140" s="936">
        <f>L140</f>
        <v>268450.00000000006</v>
      </c>
      <c r="O140" s="936"/>
      <c r="P140" s="936"/>
      <c r="Q140" s="936"/>
      <c r="R140" s="936"/>
      <c r="S140" s="705"/>
    </row>
    <row r="141" spans="1:19" s="924" customFormat="1" ht="9" customHeight="1" x14ac:dyDescent="0.15">
      <c r="A141" s="677">
        <v>50</v>
      </c>
      <c r="B141" s="583" t="s">
        <v>1877</v>
      </c>
      <c r="C141" s="678" t="s">
        <v>12</v>
      </c>
      <c r="D141" s="679" t="s">
        <v>1878</v>
      </c>
      <c r="E141" s="679"/>
      <c r="F141" s="888"/>
      <c r="G141" s="680" t="s">
        <v>44</v>
      </c>
      <c r="H141" s="1698">
        <v>1</v>
      </c>
      <c r="I141" s="446">
        <v>455000</v>
      </c>
      <c r="J141" s="446">
        <f t="shared" si="24"/>
        <v>455000</v>
      </c>
      <c r="K141" s="681">
        <v>0.33</v>
      </c>
      <c r="L141" s="446">
        <f t="shared" si="26"/>
        <v>304849.99999999994</v>
      </c>
      <c r="M141" s="446">
        <v>111</v>
      </c>
      <c r="N141" s="446">
        <v>305000</v>
      </c>
      <c r="O141" s="446"/>
      <c r="P141" s="446"/>
      <c r="Q141" s="446"/>
      <c r="R141" s="446"/>
      <c r="S141" s="944"/>
    </row>
    <row r="142" spans="1:19" s="924" customFormat="1" ht="9" customHeight="1" x14ac:dyDescent="0.15">
      <c r="A142" s="920">
        <v>51</v>
      </c>
      <c r="B142" s="580" t="s">
        <v>1877</v>
      </c>
      <c r="C142" s="709" t="s">
        <v>12</v>
      </c>
      <c r="D142" s="710" t="s">
        <v>1878</v>
      </c>
      <c r="E142" s="718"/>
      <c r="F142" s="929"/>
      <c r="G142" s="921" t="s">
        <v>41</v>
      </c>
      <c r="H142" s="1051">
        <v>2</v>
      </c>
      <c r="I142" s="443">
        <v>550000</v>
      </c>
      <c r="J142" s="443">
        <f t="shared" si="24"/>
        <v>1100000</v>
      </c>
      <c r="K142" s="934">
        <v>0.33</v>
      </c>
      <c r="L142" s="443">
        <f t="shared" si="26"/>
        <v>736999.99999999988</v>
      </c>
      <c r="M142" s="443">
        <v>111</v>
      </c>
      <c r="N142" s="443">
        <v>800000</v>
      </c>
      <c r="O142" s="443"/>
      <c r="P142" s="443"/>
      <c r="Q142" s="443"/>
      <c r="R142" s="443"/>
      <c r="S142" s="683"/>
    </row>
    <row r="143" spans="1:19" s="924" customFormat="1" ht="22.5" customHeight="1" x14ac:dyDescent="0.15">
      <c r="A143" s="852"/>
      <c r="B143" s="744" t="s">
        <v>1877</v>
      </c>
      <c r="C143" s="673" t="s">
        <v>12</v>
      </c>
      <c r="D143" s="700"/>
      <c r="E143" s="700"/>
      <c r="F143" s="880"/>
      <c r="G143" s="881" t="s">
        <v>41</v>
      </c>
      <c r="H143" s="1696">
        <v>1</v>
      </c>
      <c r="I143" s="936">
        <v>550000</v>
      </c>
      <c r="J143" s="936">
        <f t="shared" si="24"/>
        <v>550000</v>
      </c>
      <c r="K143" s="945">
        <v>1</v>
      </c>
      <c r="L143" s="936">
        <f t="shared" si="26"/>
        <v>0</v>
      </c>
      <c r="M143" s="936"/>
      <c r="N143" s="936"/>
      <c r="O143" s="936"/>
      <c r="P143" s="936"/>
      <c r="Q143" s="936"/>
      <c r="R143" s="936"/>
      <c r="S143" s="2272" t="s">
        <v>1880</v>
      </c>
    </row>
    <row r="144" spans="1:19" s="924" customFormat="1" ht="22.5" customHeight="1" x14ac:dyDescent="0.15">
      <c r="A144" s="885">
        <v>52</v>
      </c>
      <c r="B144" s="585" t="s">
        <v>1877</v>
      </c>
      <c r="C144" s="709" t="s">
        <v>1879</v>
      </c>
      <c r="D144" s="710" t="s">
        <v>127</v>
      </c>
      <c r="E144" s="710"/>
      <c r="F144" s="886"/>
      <c r="G144" s="887" t="s">
        <v>36</v>
      </c>
      <c r="H144" s="1695">
        <v>1</v>
      </c>
      <c r="I144" s="444">
        <v>275000</v>
      </c>
      <c r="J144" s="444">
        <f t="shared" si="24"/>
        <v>275000</v>
      </c>
      <c r="K144" s="934">
        <v>0.41</v>
      </c>
      <c r="L144" s="444">
        <f t="shared" si="26"/>
        <v>162250.00000000003</v>
      </c>
      <c r="M144" s="444"/>
      <c r="N144" s="444"/>
      <c r="O144" s="444"/>
      <c r="P144" s="444"/>
      <c r="Q144" s="444">
        <v>131</v>
      </c>
      <c r="R144" s="444">
        <f>SUM(L144+L145)</f>
        <v>448400.00000000012</v>
      </c>
      <c r="S144" s="2238"/>
    </row>
    <row r="145" spans="1:20" s="924" customFormat="1" ht="9" customHeight="1" x14ac:dyDescent="0.15">
      <c r="A145" s="852"/>
      <c r="B145" s="744" t="s">
        <v>1877</v>
      </c>
      <c r="C145" s="673" t="s">
        <v>1879</v>
      </c>
      <c r="D145" s="700"/>
      <c r="E145" s="700"/>
      <c r="F145" s="880"/>
      <c r="G145" s="881" t="s">
        <v>40</v>
      </c>
      <c r="H145" s="1696">
        <v>1</v>
      </c>
      <c r="I145" s="936">
        <v>485000</v>
      </c>
      <c r="J145" s="445">
        <f t="shared" ref="J145:J146" si="27">H145*I145</f>
        <v>485000</v>
      </c>
      <c r="K145" s="945">
        <v>0.41</v>
      </c>
      <c r="L145" s="936">
        <f t="shared" ref="L145:L146" si="28">H145*I145*(1-K145)</f>
        <v>286150.00000000006</v>
      </c>
      <c r="M145" s="936"/>
      <c r="N145" s="936"/>
      <c r="O145" s="936"/>
      <c r="P145" s="936"/>
      <c r="Q145" s="936"/>
      <c r="R145" s="936"/>
      <c r="S145" s="935"/>
    </row>
    <row r="146" spans="1:20" s="924" customFormat="1" ht="9" customHeight="1" x14ac:dyDescent="0.15">
      <c r="A146" s="684">
        <v>53</v>
      </c>
      <c r="B146" s="584" t="s">
        <v>1877</v>
      </c>
      <c r="C146" s="672" t="s">
        <v>12</v>
      </c>
      <c r="D146" s="685" t="s">
        <v>1883</v>
      </c>
      <c r="E146" s="685"/>
      <c r="F146" s="883"/>
      <c r="G146" s="686" t="s">
        <v>37</v>
      </c>
      <c r="H146" s="1697">
        <v>1</v>
      </c>
      <c r="I146" s="687">
        <v>455000</v>
      </c>
      <c r="J146" s="687">
        <f t="shared" si="27"/>
        <v>455000</v>
      </c>
      <c r="K146" s="688">
        <v>1</v>
      </c>
      <c r="L146" s="687">
        <f t="shared" si="28"/>
        <v>0</v>
      </c>
      <c r="M146" s="687"/>
      <c r="N146" s="687"/>
      <c r="O146" s="687"/>
      <c r="P146" s="687"/>
      <c r="Q146" s="687"/>
      <c r="R146" s="687"/>
      <c r="S146" s="944"/>
    </row>
    <row r="147" spans="1:20" s="924" customFormat="1" ht="27" customHeight="1" x14ac:dyDescent="0.15">
      <c r="A147" s="885">
        <v>54</v>
      </c>
      <c r="B147" s="585" t="s">
        <v>1877</v>
      </c>
      <c r="C147" s="709" t="s">
        <v>12</v>
      </c>
      <c r="D147" s="710" t="s">
        <v>1883</v>
      </c>
      <c r="E147" s="710"/>
      <c r="F147" s="886"/>
      <c r="G147" s="887" t="s">
        <v>35</v>
      </c>
      <c r="H147" s="1695">
        <v>4</v>
      </c>
      <c r="I147" s="444">
        <v>465000</v>
      </c>
      <c r="J147" s="444">
        <f t="shared" ref="J147:J156" si="29">H147*I147</f>
        <v>1860000</v>
      </c>
      <c r="K147" s="934">
        <v>1</v>
      </c>
      <c r="L147" s="444">
        <f t="shared" ref="L147:L156" si="30">H147*I147*(1-K147)</f>
        <v>0</v>
      </c>
      <c r="M147" s="444"/>
      <c r="N147" s="444"/>
      <c r="O147" s="444"/>
      <c r="P147" s="444"/>
      <c r="Q147" s="444"/>
      <c r="R147" s="444"/>
      <c r="S147" s="1100" t="s">
        <v>1884</v>
      </c>
    </row>
    <row r="148" spans="1:20" s="924" customFormat="1" ht="27" customHeight="1" x14ac:dyDescent="0.15">
      <c r="A148" s="852"/>
      <c r="B148" s="744" t="s">
        <v>1877</v>
      </c>
      <c r="C148" s="673" t="s">
        <v>12</v>
      </c>
      <c r="D148" s="700" t="s">
        <v>1883</v>
      </c>
      <c r="E148" s="700"/>
      <c r="F148" s="880"/>
      <c r="G148" s="881" t="s">
        <v>37</v>
      </c>
      <c r="H148" s="1696">
        <v>8</v>
      </c>
      <c r="I148" s="936">
        <v>475000</v>
      </c>
      <c r="J148" s="443">
        <f t="shared" si="29"/>
        <v>3800000</v>
      </c>
      <c r="K148" s="945">
        <v>1</v>
      </c>
      <c r="L148" s="936">
        <f t="shared" si="30"/>
        <v>0</v>
      </c>
      <c r="M148" s="936"/>
      <c r="N148" s="936"/>
      <c r="O148" s="936"/>
      <c r="P148" s="936"/>
      <c r="Q148" s="936"/>
      <c r="R148" s="936"/>
      <c r="S148" s="1269" t="s">
        <v>1899</v>
      </c>
    </row>
    <row r="149" spans="1:20" s="924" customFormat="1" ht="9" customHeight="1" x14ac:dyDescent="0.15">
      <c r="A149" s="684">
        <v>55</v>
      </c>
      <c r="B149" s="584" t="s">
        <v>1006</v>
      </c>
      <c r="C149" s="672" t="s">
        <v>1269</v>
      </c>
      <c r="D149" s="685" t="s">
        <v>1373</v>
      </c>
      <c r="E149" s="685"/>
      <c r="F149" s="883"/>
      <c r="G149" s="686" t="s">
        <v>33</v>
      </c>
      <c r="H149" s="1697">
        <v>1</v>
      </c>
      <c r="I149" s="687">
        <v>455000</v>
      </c>
      <c r="J149" s="687">
        <f t="shared" si="29"/>
        <v>455000</v>
      </c>
      <c r="K149" s="688">
        <v>1</v>
      </c>
      <c r="L149" s="687">
        <f t="shared" si="30"/>
        <v>0</v>
      </c>
      <c r="M149" s="687"/>
      <c r="N149" s="687"/>
      <c r="O149" s="687"/>
      <c r="P149" s="687"/>
      <c r="Q149" s="687"/>
      <c r="R149" s="687"/>
      <c r="S149" s="1038"/>
    </row>
    <row r="150" spans="1:20" s="924" customFormat="1" ht="27" customHeight="1" x14ac:dyDescent="0.15">
      <c r="A150" s="853"/>
      <c r="B150" s="453"/>
      <c r="C150" s="851"/>
      <c r="D150" s="720"/>
      <c r="E150" s="720"/>
      <c r="F150" s="884"/>
      <c r="G150" s="878" t="s">
        <v>35</v>
      </c>
      <c r="H150" s="1052">
        <v>1</v>
      </c>
      <c r="I150" s="332">
        <v>465000</v>
      </c>
      <c r="J150" s="332">
        <f t="shared" si="29"/>
        <v>465000</v>
      </c>
      <c r="K150" s="930">
        <v>1</v>
      </c>
      <c r="L150" s="332">
        <f t="shared" si="30"/>
        <v>0</v>
      </c>
      <c r="M150" s="332"/>
      <c r="N150" s="332"/>
      <c r="O150" s="332"/>
      <c r="P150" s="332"/>
      <c r="Q150" s="332"/>
      <c r="R150" s="332"/>
      <c r="S150" s="1100" t="s">
        <v>1910</v>
      </c>
    </row>
    <row r="151" spans="1:20" s="924" customFormat="1" ht="9" customHeight="1" x14ac:dyDescent="0.15">
      <c r="A151" s="853"/>
      <c r="B151" s="453"/>
      <c r="C151" s="851"/>
      <c r="D151" s="720"/>
      <c r="E151" s="720"/>
      <c r="F151" s="884"/>
      <c r="G151" s="878" t="s">
        <v>37</v>
      </c>
      <c r="H151" s="1052">
        <v>1</v>
      </c>
      <c r="I151" s="332">
        <v>475000</v>
      </c>
      <c r="J151" s="332">
        <f t="shared" si="29"/>
        <v>475000</v>
      </c>
      <c r="K151" s="930">
        <v>1</v>
      </c>
      <c r="L151" s="332">
        <f t="shared" si="30"/>
        <v>0</v>
      </c>
      <c r="M151" s="332"/>
      <c r="N151" s="332"/>
      <c r="O151" s="332"/>
      <c r="P151" s="332"/>
      <c r="Q151" s="332"/>
      <c r="R151" s="332"/>
      <c r="S151" s="926"/>
    </row>
    <row r="152" spans="1:20" s="924" customFormat="1" ht="9" customHeight="1" x14ac:dyDescent="0.15">
      <c r="A152" s="853"/>
      <c r="B152" s="453"/>
      <c r="C152" s="851"/>
      <c r="D152" s="720"/>
      <c r="E152" s="720"/>
      <c r="F152" s="884"/>
      <c r="G152" s="878" t="s">
        <v>40</v>
      </c>
      <c r="H152" s="1052">
        <v>1</v>
      </c>
      <c r="I152" s="332">
        <v>485000</v>
      </c>
      <c r="J152" s="332">
        <f t="shared" si="29"/>
        <v>485000</v>
      </c>
      <c r="K152" s="930">
        <v>1</v>
      </c>
      <c r="L152" s="332">
        <f t="shared" si="30"/>
        <v>0</v>
      </c>
      <c r="M152" s="332"/>
      <c r="N152" s="332"/>
      <c r="O152" s="332"/>
      <c r="P152" s="332"/>
      <c r="Q152" s="332"/>
      <c r="R152" s="332"/>
      <c r="S152" s="926"/>
    </row>
    <row r="153" spans="1:20" s="924" customFormat="1" ht="9" customHeight="1" x14ac:dyDescent="0.15">
      <c r="A153" s="853"/>
      <c r="B153" s="453"/>
      <c r="C153" s="851"/>
      <c r="D153" s="720"/>
      <c r="E153" s="720"/>
      <c r="F153" s="884"/>
      <c r="G153" s="878" t="s">
        <v>60</v>
      </c>
      <c r="H153" s="1052">
        <v>1</v>
      </c>
      <c r="I153" s="332">
        <v>485000</v>
      </c>
      <c r="J153" s="332">
        <f t="shared" si="29"/>
        <v>485000</v>
      </c>
      <c r="K153" s="930">
        <v>1</v>
      </c>
      <c r="L153" s="332">
        <f t="shared" si="30"/>
        <v>0</v>
      </c>
      <c r="M153" s="332"/>
      <c r="N153" s="332"/>
      <c r="O153" s="332"/>
      <c r="P153" s="332"/>
      <c r="Q153" s="332"/>
      <c r="R153" s="332"/>
      <c r="S153" s="926"/>
    </row>
    <row r="154" spans="1:20" s="924" customFormat="1" ht="9" customHeight="1" x14ac:dyDescent="0.15">
      <c r="A154" s="853"/>
      <c r="B154" s="453"/>
      <c r="C154" s="851"/>
      <c r="D154" s="720"/>
      <c r="E154" s="720"/>
      <c r="F154" s="884"/>
      <c r="G154" s="878" t="s">
        <v>41</v>
      </c>
      <c r="H154" s="1052">
        <v>1</v>
      </c>
      <c r="I154" s="332">
        <v>550000</v>
      </c>
      <c r="J154" s="332">
        <f t="shared" si="29"/>
        <v>550000</v>
      </c>
      <c r="K154" s="930">
        <v>1</v>
      </c>
      <c r="L154" s="332">
        <f t="shared" si="30"/>
        <v>0</v>
      </c>
      <c r="M154" s="332"/>
      <c r="N154" s="332"/>
      <c r="O154" s="332"/>
      <c r="P154" s="332"/>
      <c r="Q154" s="332"/>
      <c r="R154" s="332"/>
      <c r="S154" s="926"/>
    </row>
    <row r="155" spans="1:20" s="924" customFormat="1" ht="9" customHeight="1" x14ac:dyDescent="0.15">
      <c r="A155" s="853"/>
      <c r="B155" s="453"/>
      <c r="C155" s="851"/>
      <c r="D155" s="720"/>
      <c r="E155" s="720"/>
      <c r="F155" s="884"/>
      <c r="G155" s="878" t="s">
        <v>44</v>
      </c>
      <c r="H155" s="1052">
        <v>1</v>
      </c>
      <c r="I155" s="332">
        <v>455000</v>
      </c>
      <c r="J155" s="332">
        <f t="shared" si="29"/>
        <v>455000</v>
      </c>
      <c r="K155" s="930">
        <v>1</v>
      </c>
      <c r="L155" s="332">
        <f t="shared" si="30"/>
        <v>0</v>
      </c>
      <c r="M155" s="332"/>
      <c r="N155" s="332"/>
      <c r="O155" s="332"/>
      <c r="P155" s="332"/>
      <c r="Q155" s="332"/>
      <c r="R155" s="332"/>
      <c r="S155" s="926"/>
    </row>
    <row r="156" spans="1:20" s="924" customFormat="1" ht="9" customHeight="1" x14ac:dyDescent="0.15">
      <c r="A156" s="852"/>
      <c r="B156" s="744"/>
      <c r="C156" s="673"/>
      <c r="D156" s="700"/>
      <c r="E156" s="700"/>
      <c r="F156" s="880"/>
      <c r="G156" s="881" t="s">
        <v>42</v>
      </c>
      <c r="H156" s="1696">
        <v>1</v>
      </c>
      <c r="I156" s="936">
        <v>455000</v>
      </c>
      <c r="J156" s="443">
        <f t="shared" si="29"/>
        <v>455000</v>
      </c>
      <c r="K156" s="688">
        <v>1</v>
      </c>
      <c r="L156" s="687">
        <f t="shared" si="30"/>
        <v>0</v>
      </c>
      <c r="M156" s="936"/>
      <c r="N156" s="936"/>
      <c r="O156" s="936"/>
      <c r="P156" s="936"/>
      <c r="Q156" s="936"/>
      <c r="R156" s="936"/>
      <c r="S156" s="926"/>
    </row>
    <row r="157" spans="1:20" s="924" customFormat="1" ht="9" customHeight="1" x14ac:dyDescent="0.15">
      <c r="A157" s="2270" t="s">
        <v>2</v>
      </c>
      <c r="B157" s="2271"/>
      <c r="C157" s="2271"/>
      <c r="D157" s="2271"/>
      <c r="E157" s="2271"/>
      <c r="F157" s="2271"/>
      <c r="G157" s="2271"/>
      <c r="H157" s="440">
        <f>SUM(H7:H156)</f>
        <v>1319</v>
      </c>
      <c r="I157" s="1011"/>
      <c r="J157" s="440">
        <f>SUM(J7:J156)</f>
        <v>606645000</v>
      </c>
      <c r="K157" s="1011"/>
      <c r="L157" s="440">
        <f>SUM(L7:L156)</f>
        <v>355185950</v>
      </c>
      <c r="M157" s="440"/>
      <c r="N157" s="440">
        <f>SUM(N7:N156)</f>
        <v>3960600</v>
      </c>
      <c r="O157" s="440"/>
      <c r="P157" s="440">
        <f>SUM(P7:P156)</f>
        <v>1357500</v>
      </c>
      <c r="Q157" s="440"/>
      <c r="R157" s="440">
        <f>SUM(R7:R156)</f>
        <v>349931000</v>
      </c>
      <c r="S157" s="1038"/>
    </row>
    <row r="158" spans="1:20" s="195" customFormat="1" ht="9" customHeight="1" x14ac:dyDescent="0.3">
      <c r="A158" s="2264" t="s">
        <v>1898</v>
      </c>
      <c r="B158" s="2265"/>
      <c r="C158" s="2265"/>
      <c r="D158" s="2265"/>
      <c r="E158" s="2265"/>
      <c r="F158" s="2265"/>
      <c r="G158" s="2265"/>
      <c r="H158" s="1095">
        <f>H157</f>
        <v>1319</v>
      </c>
      <c r="I158" s="1096"/>
      <c r="J158" s="1095"/>
      <c r="K158" s="1096"/>
      <c r="L158" s="1095">
        <f>L157</f>
        <v>355185950</v>
      </c>
      <c r="M158" s="1095"/>
      <c r="N158" s="1095"/>
      <c r="O158" s="1095"/>
      <c r="P158" s="1095"/>
      <c r="Q158" s="1095"/>
      <c r="R158" s="1095"/>
      <c r="S158" s="441"/>
      <c r="T158" s="632"/>
    </row>
    <row r="159" spans="1:20" s="195" customFormat="1" ht="9" customHeight="1" x14ac:dyDescent="0.3">
      <c r="A159" s="2264" t="s">
        <v>1474</v>
      </c>
      <c r="B159" s="2265"/>
      <c r="C159" s="2265"/>
      <c r="D159" s="2265"/>
      <c r="E159" s="2265"/>
      <c r="F159" s="2265"/>
      <c r="G159" s="2265"/>
      <c r="H159" s="1095"/>
      <c r="I159" s="1096"/>
      <c r="J159" s="1096"/>
      <c r="K159" s="1096"/>
      <c r="L159" s="1095">
        <f>N157</f>
        <v>3960600</v>
      </c>
      <c r="M159" s="1095"/>
      <c r="N159" s="1095"/>
      <c r="O159" s="1095"/>
      <c r="P159" s="1095"/>
      <c r="Q159" s="1095"/>
      <c r="R159" s="1095"/>
      <c r="S159" s="1097"/>
      <c r="T159" s="632"/>
    </row>
    <row r="160" spans="1:20" s="195" customFormat="1" ht="9" customHeight="1" x14ac:dyDescent="0.3">
      <c r="A160" s="2264" t="s">
        <v>1882</v>
      </c>
      <c r="B160" s="2265"/>
      <c r="C160" s="2265"/>
      <c r="D160" s="2265"/>
      <c r="E160" s="2265"/>
      <c r="F160" s="2265"/>
      <c r="G160" s="2265"/>
      <c r="H160" s="1095"/>
      <c r="I160" s="1096"/>
      <c r="J160" s="1096"/>
      <c r="K160" s="1096"/>
      <c r="L160" s="1095">
        <f>P157</f>
        <v>1357500</v>
      </c>
      <c r="M160" s="1095"/>
      <c r="N160" s="1095"/>
      <c r="O160" s="1095"/>
      <c r="P160" s="1095"/>
      <c r="Q160" s="1095"/>
      <c r="R160" s="1095"/>
      <c r="S160" s="1097"/>
      <c r="T160" s="632"/>
    </row>
    <row r="161" spans="1:19" s="195" customFormat="1" ht="9" customHeight="1" x14ac:dyDescent="0.3">
      <c r="A161" s="2264" t="s">
        <v>1475</v>
      </c>
      <c r="B161" s="2265"/>
      <c r="C161" s="2265"/>
      <c r="D161" s="2265"/>
      <c r="E161" s="2265"/>
      <c r="F161" s="2265"/>
      <c r="G161" s="2265"/>
      <c r="H161" s="1095"/>
      <c r="I161" s="1096"/>
      <c r="J161" s="1096"/>
      <c r="K161" s="1096"/>
      <c r="L161" s="1095">
        <f>R157</f>
        <v>349931000</v>
      </c>
      <c r="M161" s="1095"/>
      <c r="N161" s="1095"/>
      <c r="O161" s="1095"/>
      <c r="P161" s="1095"/>
      <c r="Q161" s="1095"/>
      <c r="R161" s="1095"/>
      <c r="S161" s="1097"/>
    </row>
    <row r="162" spans="1:19" s="195" customFormat="1" ht="9" customHeight="1" x14ac:dyDescent="0.3">
      <c r="A162" s="2259" t="s">
        <v>1911</v>
      </c>
      <c r="B162" s="2260"/>
      <c r="C162" s="2260"/>
      <c r="D162" s="2260"/>
      <c r="E162" s="2260"/>
      <c r="F162" s="2260"/>
      <c r="G162" s="2261"/>
      <c r="H162" s="1095"/>
      <c r="I162" s="1096"/>
      <c r="J162" s="1096"/>
      <c r="K162" s="1096"/>
      <c r="L162" s="1095">
        <f>L157-N157-P157-R157</f>
        <v>-63150</v>
      </c>
      <c r="M162" s="1095"/>
      <c r="N162" s="1095"/>
      <c r="O162" s="1095"/>
      <c r="P162" s="1095"/>
      <c r="Q162" s="1095"/>
      <c r="R162" s="1095"/>
      <c r="S162" s="1097"/>
    </row>
    <row r="163" spans="1:19" s="195" customFormat="1" ht="9" customHeight="1" x14ac:dyDescent="0.15">
      <c r="A163" s="2262" t="s">
        <v>994</v>
      </c>
      <c r="B163" s="2263"/>
      <c r="C163" s="2263"/>
      <c r="D163" s="2263"/>
      <c r="E163" s="2263"/>
      <c r="F163" s="2263"/>
      <c r="G163" s="2263"/>
      <c r="H163" s="196"/>
      <c r="I163" s="196"/>
      <c r="J163" s="196"/>
      <c r="K163" s="196"/>
      <c r="L163" s="1098">
        <v>73437950</v>
      </c>
      <c r="M163" s="196"/>
      <c r="N163" s="196"/>
      <c r="O163" s="196"/>
      <c r="P163" s="196"/>
      <c r="Q163" s="196"/>
      <c r="R163" s="196"/>
      <c r="S163" s="1097" t="s">
        <v>1912</v>
      </c>
    </row>
    <row r="164" spans="1:19" s="197" customFormat="1" ht="9" customHeight="1" x14ac:dyDescent="0.15">
      <c r="A164" s="2262" t="s">
        <v>999</v>
      </c>
      <c r="B164" s="2263"/>
      <c r="C164" s="2263"/>
      <c r="D164" s="2263"/>
      <c r="E164" s="2263"/>
      <c r="F164" s="2263"/>
      <c r="G164" s="2263"/>
      <c r="H164" s="196"/>
      <c r="I164" s="196"/>
      <c r="J164" s="196"/>
      <c r="K164" s="196"/>
      <c r="L164" s="1098">
        <v>178101150</v>
      </c>
      <c r="M164" s="196"/>
      <c r="N164" s="196"/>
      <c r="O164" s="196"/>
      <c r="P164" s="196"/>
      <c r="Q164" s="196"/>
      <c r="R164" s="196"/>
      <c r="S164" s="1099"/>
    </row>
    <row r="165" spans="1:19" s="197" customFormat="1" ht="9" customHeight="1" x14ac:dyDescent="0.15">
      <c r="A165" s="2262" t="s">
        <v>1855</v>
      </c>
      <c r="B165" s="2263"/>
      <c r="C165" s="2263"/>
      <c r="D165" s="2263"/>
      <c r="E165" s="2263"/>
      <c r="F165" s="2263"/>
      <c r="G165" s="2263"/>
      <c r="H165" s="196"/>
      <c r="I165" s="196"/>
      <c r="J165" s="196"/>
      <c r="K165" s="196"/>
      <c r="L165" s="1098">
        <v>140345500</v>
      </c>
      <c r="M165" s="196"/>
      <c r="N165" s="196"/>
      <c r="O165" s="196"/>
      <c r="P165" s="196"/>
      <c r="Q165" s="196"/>
      <c r="R165" s="196"/>
      <c r="S165" s="1099"/>
    </row>
    <row r="166" spans="1:19" s="197" customFormat="1" ht="9" customHeight="1" x14ac:dyDescent="0.15">
      <c r="A166" s="2262" t="s">
        <v>732</v>
      </c>
      <c r="B166" s="2263"/>
      <c r="C166" s="2263"/>
      <c r="D166" s="2263"/>
      <c r="E166" s="2263"/>
      <c r="F166" s="2263"/>
      <c r="G166" s="2263"/>
      <c r="H166" s="196"/>
      <c r="I166" s="196"/>
      <c r="J166" s="196"/>
      <c r="K166" s="196"/>
      <c r="L166" s="1098">
        <v>823050</v>
      </c>
      <c r="M166" s="196"/>
      <c r="N166" s="196"/>
      <c r="O166" s="196"/>
      <c r="P166" s="196"/>
      <c r="Q166" s="196"/>
      <c r="R166" s="196"/>
      <c r="S166" s="1099"/>
    </row>
    <row r="167" spans="1:19" s="197" customFormat="1" ht="9" customHeight="1" x14ac:dyDescent="0.15">
      <c r="A167" s="2262" t="s">
        <v>736</v>
      </c>
      <c r="B167" s="2263"/>
      <c r="C167" s="2263"/>
      <c r="D167" s="2263"/>
      <c r="E167" s="2263"/>
      <c r="F167" s="2263"/>
      <c r="G167" s="2263"/>
      <c r="H167" s="196"/>
      <c r="I167" s="196"/>
      <c r="J167" s="196"/>
      <c r="K167" s="196"/>
      <c r="L167" s="1098">
        <v>2947050</v>
      </c>
      <c r="M167" s="196"/>
      <c r="N167" s="196"/>
      <c r="O167" s="196"/>
      <c r="P167" s="196"/>
      <c r="Q167" s="196"/>
      <c r="R167" s="196"/>
      <c r="S167" s="1099"/>
    </row>
    <row r="168" spans="1:19" s="197" customFormat="1" ht="9" customHeight="1" x14ac:dyDescent="0.15">
      <c r="A168" s="2262" t="s">
        <v>1476</v>
      </c>
      <c r="B168" s="2263"/>
      <c r="C168" s="2263"/>
      <c r="D168" s="2263"/>
      <c r="E168" s="2263"/>
      <c r="F168" s="2263"/>
      <c r="G168" s="2263"/>
      <c r="H168" s="196"/>
      <c r="I168" s="196"/>
      <c r="J168" s="196"/>
      <c r="K168" s="196"/>
      <c r="L168" s="1098">
        <v>1663800</v>
      </c>
      <c r="M168" s="196"/>
      <c r="N168" s="196"/>
      <c r="O168" s="196"/>
      <c r="P168" s="196"/>
      <c r="Q168" s="196"/>
      <c r="R168" s="196"/>
      <c r="S168" s="1099"/>
    </row>
    <row r="169" spans="1:19" s="197" customFormat="1" ht="9" customHeight="1" x14ac:dyDescent="0.15">
      <c r="A169" s="2262" t="s">
        <v>1881</v>
      </c>
      <c r="B169" s="2263"/>
      <c r="C169" s="2263"/>
      <c r="D169" s="2263"/>
      <c r="E169" s="2263"/>
      <c r="F169" s="2263"/>
      <c r="G169" s="2263"/>
      <c r="H169" s="196"/>
      <c r="I169" s="196"/>
      <c r="J169" s="196"/>
      <c r="K169" s="196"/>
      <c r="L169" s="1098">
        <v>448400</v>
      </c>
      <c r="M169" s="196"/>
      <c r="N169" s="196"/>
      <c r="O169" s="196"/>
      <c r="P169" s="196"/>
      <c r="Q169" s="196"/>
      <c r="R169" s="196"/>
      <c r="S169" s="1099"/>
    </row>
    <row r="170" spans="1:19" s="197" customFormat="1" ht="15" customHeight="1" x14ac:dyDescent="0.25">
      <c r="A170" s="511"/>
      <c r="B170" s="606"/>
      <c r="C170" s="511"/>
      <c r="D170" s="658"/>
      <c r="E170" s="658"/>
      <c r="F170" s="658"/>
      <c r="G170" s="511"/>
      <c r="H170" s="511"/>
      <c r="I170" s="511"/>
      <c r="J170" s="511"/>
      <c r="K170" s="652"/>
      <c r="L170" s="511"/>
      <c r="M170" s="511"/>
      <c r="N170" s="511"/>
      <c r="O170" s="511"/>
      <c r="P170" s="511"/>
      <c r="Q170" s="511"/>
      <c r="R170" s="511"/>
      <c r="S170" s="1099"/>
    </row>
    <row r="171" spans="1:19" ht="15" customHeight="1" x14ac:dyDescent="0.25">
      <c r="L171" s="748"/>
    </row>
    <row r="172" spans="1:19" ht="15" customHeight="1" x14ac:dyDescent="0.25">
      <c r="L172" s="748"/>
    </row>
    <row r="173" spans="1:19" ht="15" customHeight="1" x14ac:dyDescent="0.25"/>
    <row r="174" spans="1:19" ht="15" customHeight="1" x14ac:dyDescent="0.25"/>
    <row r="175" spans="1:19" ht="15" customHeight="1" x14ac:dyDescent="0.25"/>
    <row r="176" spans="1:19" ht="15" customHeight="1" x14ac:dyDescent="0.25"/>
    <row r="177" spans="2:11" ht="15" customHeight="1" x14ac:dyDescent="0.25">
      <c r="D177" s="511"/>
      <c r="E177" s="511"/>
      <c r="F177" s="511"/>
    </row>
    <row r="178" spans="2:11" ht="15" customHeight="1" x14ac:dyDescent="0.25">
      <c r="D178" s="511"/>
      <c r="E178" s="511"/>
      <c r="F178" s="511"/>
    </row>
    <row r="179" spans="2:11" ht="15" customHeight="1" x14ac:dyDescent="0.25">
      <c r="B179" s="511"/>
      <c r="D179" s="511"/>
      <c r="E179" s="511"/>
      <c r="F179" s="511"/>
      <c r="K179" s="511"/>
    </row>
    <row r="180" spans="2:11" ht="15" customHeight="1" x14ac:dyDescent="0.25">
      <c r="B180" s="511"/>
      <c r="D180" s="511"/>
      <c r="E180" s="511"/>
      <c r="F180" s="511"/>
      <c r="K180" s="511"/>
    </row>
    <row r="181" spans="2:11" ht="15" customHeight="1" x14ac:dyDescent="0.25">
      <c r="B181" s="511"/>
      <c r="D181" s="511"/>
      <c r="E181" s="511"/>
      <c r="F181" s="511"/>
      <c r="K181" s="511"/>
    </row>
    <row r="182" spans="2:11" ht="15" customHeight="1" x14ac:dyDescent="0.25">
      <c r="B182" s="511"/>
      <c r="D182" s="511"/>
      <c r="E182" s="511"/>
      <c r="F182" s="511"/>
      <c r="K182" s="511"/>
    </row>
    <row r="183" spans="2:11" ht="15" customHeight="1" x14ac:dyDescent="0.25">
      <c r="B183" s="511"/>
      <c r="D183" s="511"/>
      <c r="E183" s="511"/>
      <c r="F183" s="511"/>
      <c r="K183" s="511"/>
    </row>
    <row r="184" spans="2:11" ht="15" customHeight="1" x14ac:dyDescent="0.25">
      <c r="B184" s="511"/>
      <c r="D184" s="511"/>
      <c r="E184" s="511"/>
      <c r="F184" s="511"/>
      <c r="K184" s="511"/>
    </row>
    <row r="185" spans="2:11" ht="15" customHeight="1" x14ac:dyDescent="0.25">
      <c r="B185" s="511"/>
      <c r="D185" s="511"/>
      <c r="E185" s="511"/>
      <c r="F185" s="511"/>
      <c r="K185" s="511"/>
    </row>
    <row r="186" spans="2:11" ht="15" customHeight="1" x14ac:dyDescent="0.25">
      <c r="B186" s="511"/>
      <c r="D186" s="511"/>
      <c r="E186" s="511"/>
      <c r="F186" s="511"/>
      <c r="K186" s="511"/>
    </row>
    <row r="187" spans="2:11" ht="15" customHeight="1" x14ac:dyDescent="0.25">
      <c r="B187" s="511"/>
      <c r="D187" s="511"/>
      <c r="E187" s="511"/>
      <c r="F187" s="511"/>
      <c r="K187" s="511"/>
    </row>
    <row r="188" spans="2:11" ht="15" customHeight="1" x14ac:dyDescent="0.25">
      <c r="B188" s="511"/>
      <c r="D188" s="511"/>
      <c r="E188" s="511"/>
      <c r="F188" s="511"/>
      <c r="K188" s="511"/>
    </row>
    <row r="189" spans="2:11" ht="15" customHeight="1" x14ac:dyDescent="0.25">
      <c r="B189" s="511"/>
      <c r="D189" s="511"/>
      <c r="E189" s="511"/>
      <c r="F189" s="511"/>
      <c r="K189" s="511"/>
    </row>
    <row r="190" spans="2:11" ht="15" customHeight="1" x14ac:dyDescent="0.25">
      <c r="B190" s="511"/>
      <c r="D190" s="511"/>
      <c r="E190" s="511"/>
      <c r="F190" s="511"/>
      <c r="K190" s="511"/>
    </row>
    <row r="191" spans="2:11" ht="15" customHeight="1" x14ac:dyDescent="0.25">
      <c r="B191" s="511"/>
      <c r="D191" s="511"/>
      <c r="E191" s="511"/>
      <c r="F191" s="511"/>
      <c r="K191" s="511"/>
    </row>
    <row r="192" spans="2:11" ht="15" customHeight="1" x14ac:dyDescent="0.25">
      <c r="B192" s="511"/>
      <c r="D192" s="511"/>
      <c r="E192" s="511"/>
      <c r="F192" s="511"/>
      <c r="K192" s="511"/>
    </row>
    <row r="193" spans="2:11" ht="15" customHeight="1" x14ac:dyDescent="0.25">
      <c r="B193" s="511"/>
      <c r="D193" s="511"/>
      <c r="E193" s="511"/>
      <c r="F193" s="511"/>
      <c r="K193" s="511"/>
    </row>
    <row r="194" spans="2:11" ht="15" customHeight="1" x14ac:dyDescent="0.25">
      <c r="B194" s="511"/>
      <c r="D194" s="511"/>
      <c r="E194" s="511"/>
      <c r="F194" s="511"/>
      <c r="K194" s="511"/>
    </row>
    <row r="195" spans="2:11" ht="15" customHeight="1" x14ac:dyDescent="0.25">
      <c r="B195" s="511"/>
      <c r="D195" s="511"/>
      <c r="E195" s="511"/>
      <c r="F195" s="511"/>
      <c r="K195" s="511"/>
    </row>
    <row r="196" spans="2:11" ht="15" customHeight="1" x14ac:dyDescent="0.25">
      <c r="B196" s="511"/>
      <c r="D196" s="511"/>
      <c r="E196" s="511"/>
      <c r="F196" s="511"/>
      <c r="K196" s="511"/>
    </row>
    <row r="197" spans="2:11" ht="15" customHeight="1" x14ac:dyDescent="0.25">
      <c r="B197" s="511"/>
      <c r="D197" s="511"/>
      <c r="E197" s="511"/>
      <c r="F197" s="511"/>
      <c r="K197" s="511"/>
    </row>
    <row r="198" spans="2:11" ht="15" customHeight="1" x14ac:dyDescent="0.25">
      <c r="B198" s="511"/>
      <c r="D198" s="511"/>
      <c r="E198" s="511"/>
      <c r="F198" s="511"/>
      <c r="K198" s="511"/>
    </row>
    <row r="199" spans="2:11" ht="15" customHeight="1" x14ac:dyDescent="0.25">
      <c r="B199" s="511"/>
      <c r="D199" s="511"/>
      <c r="E199" s="511"/>
      <c r="F199" s="511"/>
      <c r="K199" s="511"/>
    </row>
    <row r="200" spans="2:11" ht="15" customHeight="1" x14ac:dyDescent="0.25">
      <c r="B200" s="511"/>
      <c r="D200" s="511"/>
      <c r="E200" s="511"/>
      <c r="F200" s="511"/>
      <c r="K200" s="511"/>
    </row>
    <row r="201" spans="2:11" ht="15" customHeight="1" x14ac:dyDescent="0.25">
      <c r="B201" s="511"/>
      <c r="D201" s="511"/>
      <c r="E201" s="511"/>
      <c r="F201" s="511"/>
      <c r="K201" s="511"/>
    </row>
    <row r="202" spans="2:11" ht="15" customHeight="1" x14ac:dyDescent="0.25">
      <c r="B202" s="511"/>
      <c r="D202" s="511"/>
      <c r="E202" s="511"/>
      <c r="F202" s="511"/>
      <c r="K202" s="511"/>
    </row>
    <row r="203" spans="2:11" ht="15" customHeight="1" x14ac:dyDescent="0.25">
      <c r="B203" s="511"/>
      <c r="D203" s="511"/>
      <c r="E203" s="511"/>
      <c r="F203" s="511"/>
      <c r="K203" s="511"/>
    </row>
    <row r="204" spans="2:11" ht="15" customHeight="1" x14ac:dyDescent="0.25">
      <c r="B204" s="511"/>
      <c r="D204" s="511"/>
      <c r="E204" s="511"/>
      <c r="F204" s="511"/>
      <c r="K204" s="511"/>
    </row>
    <row r="205" spans="2:11" ht="15" customHeight="1" x14ac:dyDescent="0.25">
      <c r="B205" s="511"/>
      <c r="D205" s="511"/>
      <c r="E205" s="511"/>
      <c r="F205" s="511"/>
      <c r="K205" s="511"/>
    </row>
    <row r="206" spans="2:11" ht="15" customHeight="1" x14ac:dyDescent="0.25">
      <c r="B206" s="511"/>
      <c r="D206" s="511"/>
      <c r="E206" s="511"/>
      <c r="F206" s="511"/>
      <c r="K206" s="511"/>
    </row>
    <row r="207" spans="2:11" ht="15" customHeight="1" x14ac:dyDescent="0.25">
      <c r="B207" s="511"/>
      <c r="D207" s="511"/>
      <c r="E207" s="511"/>
      <c r="F207" s="511"/>
      <c r="K207" s="511"/>
    </row>
    <row r="208" spans="2:11" ht="15" customHeight="1" x14ac:dyDescent="0.25">
      <c r="B208" s="511"/>
      <c r="D208" s="511"/>
      <c r="E208" s="511"/>
      <c r="F208" s="511"/>
      <c r="K208" s="511"/>
    </row>
    <row r="209" spans="2:11" ht="15" customHeight="1" x14ac:dyDescent="0.25">
      <c r="B209" s="511"/>
      <c r="D209" s="511"/>
      <c r="E209" s="511"/>
      <c r="F209" s="511"/>
      <c r="K209" s="511"/>
    </row>
    <row r="210" spans="2:11" ht="15" customHeight="1" x14ac:dyDescent="0.25">
      <c r="B210" s="511"/>
      <c r="D210" s="511"/>
      <c r="E210" s="511"/>
      <c r="F210" s="511"/>
      <c r="K210" s="511"/>
    </row>
    <row r="211" spans="2:11" ht="15" customHeight="1" x14ac:dyDescent="0.25">
      <c r="B211" s="511"/>
      <c r="D211" s="511"/>
      <c r="E211" s="511"/>
      <c r="F211" s="511"/>
      <c r="K211" s="511"/>
    </row>
    <row r="212" spans="2:11" ht="15" customHeight="1" x14ac:dyDescent="0.25">
      <c r="B212" s="511"/>
      <c r="D212" s="511"/>
      <c r="E212" s="511"/>
      <c r="F212" s="511"/>
      <c r="K212" s="511"/>
    </row>
    <row r="213" spans="2:11" ht="15" customHeight="1" x14ac:dyDescent="0.25">
      <c r="B213" s="511"/>
      <c r="D213" s="511"/>
      <c r="E213" s="511"/>
      <c r="F213" s="511"/>
      <c r="K213" s="511"/>
    </row>
  </sheetData>
  <mergeCells count="29"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A157:G157"/>
    <mergeCell ref="A158:G158"/>
    <mergeCell ref="A159:G159"/>
    <mergeCell ref="A160:G160"/>
    <mergeCell ref="S143:S144"/>
    <mergeCell ref="S75:S81"/>
    <mergeCell ref="S109:S110"/>
    <mergeCell ref="S122:S130"/>
    <mergeCell ref="S94:S99"/>
    <mergeCell ref="S8:S15"/>
    <mergeCell ref="A162:G162"/>
    <mergeCell ref="A165:G165"/>
    <mergeCell ref="A169:G169"/>
    <mergeCell ref="A161:G161"/>
    <mergeCell ref="A163:G163"/>
    <mergeCell ref="A164:G164"/>
    <mergeCell ref="A166:G166"/>
    <mergeCell ref="A167:G167"/>
    <mergeCell ref="A168:G168"/>
  </mergeCells>
  <pageMargins left="0.39370078740157483" right="0" top="0.74803149606299213" bottom="0.74803149606299213" header="0.31496062992125984" footer="0.31496062992125984"/>
  <pageSetup paperSize="9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zoomScaleNormal="100" workbookViewId="0">
      <selection activeCell="A26" sqref="A26:XFD69"/>
    </sheetView>
  </sheetViews>
  <sheetFormatPr defaultRowHeight="14.4" x14ac:dyDescent="0.3"/>
  <cols>
    <col min="1" max="1" width="3.6640625" customWidth="1"/>
    <col min="2" max="2" width="8" customWidth="1"/>
    <col min="3" max="3" width="8.5546875" customWidth="1"/>
    <col min="4" max="4" width="10.33203125" customWidth="1"/>
    <col min="5" max="5" width="10.6640625" customWidth="1"/>
    <col min="6" max="6" width="5.88671875" customWidth="1"/>
    <col min="7" max="7" width="6.6640625" customWidth="1"/>
    <col min="8" max="8" width="5.109375" customWidth="1"/>
    <col min="9" max="9" width="11.5546875" bestFit="1" customWidth="1"/>
    <col min="10" max="10" width="14.33203125" bestFit="1" customWidth="1"/>
    <col min="11" max="11" width="6.109375" customWidth="1"/>
    <col min="12" max="12" width="14.44140625" bestFit="1" customWidth="1"/>
    <col min="13" max="13" width="4.5546875" customWidth="1"/>
    <col min="14" max="14" width="11" customWidth="1"/>
    <col min="15" max="15" width="5.44140625" customWidth="1"/>
    <col min="16" max="16" width="11.6640625" customWidth="1"/>
    <col min="17" max="17" width="7.44140625" customWidth="1"/>
    <col min="18" max="18" width="10.5546875" customWidth="1"/>
    <col min="19" max="19" width="6.33203125" customWidth="1"/>
  </cols>
  <sheetData>
    <row r="1" spans="1:19" ht="16.8" x14ac:dyDescent="0.3">
      <c r="A1" s="649" t="s">
        <v>3</v>
      </c>
      <c r="B1" s="736"/>
      <c r="C1" s="650"/>
      <c r="D1" s="651"/>
      <c r="E1" s="651"/>
      <c r="F1" s="651"/>
      <c r="G1" s="511"/>
      <c r="H1" s="511"/>
      <c r="I1" s="509"/>
      <c r="J1" s="509"/>
      <c r="K1" s="653"/>
      <c r="L1" s="509"/>
      <c r="M1" s="509"/>
      <c r="N1" s="509"/>
      <c r="O1" s="650"/>
      <c r="P1" s="511"/>
      <c r="Q1" s="511"/>
      <c r="R1" s="509" t="s">
        <v>4</v>
      </c>
      <c r="S1" s="509"/>
    </row>
    <row r="2" spans="1:19" ht="15.6" x14ac:dyDescent="0.3">
      <c r="A2" s="654" t="s">
        <v>5</v>
      </c>
      <c r="B2" s="738"/>
      <c r="C2" s="655"/>
      <c r="D2" s="656"/>
      <c r="E2" s="656"/>
      <c r="F2" s="656"/>
      <c r="G2" s="511"/>
      <c r="H2" s="511"/>
      <c r="I2" s="510"/>
      <c r="J2" s="510"/>
      <c r="K2" s="657"/>
      <c r="L2" s="510"/>
      <c r="M2" s="510"/>
      <c r="N2" s="510"/>
      <c r="O2" s="655"/>
      <c r="P2" s="511"/>
      <c r="Q2" s="511"/>
      <c r="R2" s="510" t="s">
        <v>6</v>
      </c>
      <c r="S2" s="510"/>
    </row>
    <row r="3" spans="1:19" ht="20.399999999999999" x14ac:dyDescent="0.35">
      <c r="A3" s="2220" t="s">
        <v>615</v>
      </c>
      <c r="B3" s="2220"/>
      <c r="C3" s="2220"/>
      <c r="D3" s="2220"/>
      <c r="E3" s="2220"/>
      <c r="F3" s="2220"/>
      <c r="G3" s="2220"/>
      <c r="H3" s="2220"/>
      <c r="I3" s="2220"/>
      <c r="J3" s="2220"/>
      <c r="K3" s="2221"/>
      <c r="L3" s="2220"/>
      <c r="M3" s="2220"/>
      <c r="N3" s="2220"/>
      <c r="O3" s="2220"/>
      <c r="P3" s="2220"/>
      <c r="Q3" s="2220"/>
      <c r="R3" s="2220"/>
      <c r="S3" s="2220"/>
    </row>
    <row r="4" spans="1:19" ht="15" thickBot="1" x14ac:dyDescent="0.35">
      <c r="A4" s="2242" t="s">
        <v>1924</v>
      </c>
      <c r="B4" s="2242"/>
      <c r="C4" s="2242"/>
      <c r="D4" s="2242"/>
      <c r="E4" s="2242"/>
      <c r="F4" s="2242"/>
      <c r="G4" s="2242"/>
      <c r="H4" s="2242"/>
      <c r="I4" s="2242"/>
      <c r="J4" s="2242"/>
      <c r="K4" s="2243"/>
      <c r="L4" s="2242"/>
      <c r="M4" s="2242"/>
      <c r="N4" s="2242"/>
      <c r="O4" s="2242"/>
      <c r="P4" s="2242"/>
      <c r="Q4" s="2242"/>
      <c r="R4" s="2242"/>
      <c r="S4" s="2242"/>
    </row>
    <row r="5" spans="1:19" ht="15" thickTop="1" x14ac:dyDescent="0.3">
      <c r="A5" s="2224" t="s">
        <v>0</v>
      </c>
      <c r="B5" s="2244" t="s">
        <v>103</v>
      </c>
      <c r="C5" s="2226" t="s">
        <v>613</v>
      </c>
      <c r="D5" s="2226" t="s">
        <v>105</v>
      </c>
      <c r="E5" s="2226"/>
      <c r="F5" s="2226"/>
      <c r="G5" s="2248" t="s">
        <v>130</v>
      </c>
      <c r="H5" s="2248"/>
      <c r="I5" s="2248"/>
      <c r="J5" s="2248"/>
      <c r="K5" s="2249"/>
      <c r="L5" s="2126" t="s">
        <v>966</v>
      </c>
      <c r="M5" s="2248" t="s">
        <v>182</v>
      </c>
      <c r="N5" s="2248"/>
      <c r="O5" s="2248"/>
      <c r="P5" s="2248"/>
      <c r="Q5" s="2248"/>
      <c r="R5" s="2248"/>
      <c r="S5" s="2218" t="s">
        <v>1</v>
      </c>
    </row>
    <row r="6" spans="1:19" ht="33.6" x14ac:dyDescent="0.3">
      <c r="A6" s="2225"/>
      <c r="B6" s="2245"/>
      <c r="C6" s="2227"/>
      <c r="D6" s="662" t="s">
        <v>23</v>
      </c>
      <c r="E6" s="1707" t="s">
        <v>25</v>
      </c>
      <c r="F6" s="1707" t="s">
        <v>27</v>
      </c>
      <c r="G6" s="1707" t="s">
        <v>29</v>
      </c>
      <c r="H6" s="1707" t="s">
        <v>87</v>
      </c>
      <c r="I6" s="1707" t="s">
        <v>49</v>
      </c>
      <c r="J6" s="1706" t="s">
        <v>209</v>
      </c>
      <c r="K6" s="663" t="s">
        <v>22</v>
      </c>
      <c r="L6" s="2121"/>
      <c r="M6" s="1707" t="s">
        <v>131</v>
      </c>
      <c r="N6" s="1707" t="s">
        <v>149</v>
      </c>
      <c r="O6" s="1707" t="s">
        <v>132</v>
      </c>
      <c r="P6" s="1707" t="s">
        <v>149</v>
      </c>
      <c r="Q6" s="1707" t="s">
        <v>133</v>
      </c>
      <c r="R6" s="1707" t="s">
        <v>149</v>
      </c>
      <c r="S6" s="2219"/>
    </row>
    <row r="7" spans="1:19" s="24" customFormat="1" ht="19.2" x14ac:dyDescent="0.25">
      <c r="A7" s="1782">
        <v>255</v>
      </c>
      <c r="B7" s="1778">
        <v>43508</v>
      </c>
      <c r="C7" s="1708" t="s">
        <v>17</v>
      </c>
      <c r="D7" s="1729"/>
      <c r="E7" s="1773" t="s">
        <v>1925</v>
      </c>
      <c r="F7" s="1730"/>
      <c r="G7" s="1711" t="s">
        <v>44</v>
      </c>
      <c r="H7" s="1711">
        <v>3</v>
      </c>
      <c r="I7" s="1712">
        <v>455000</v>
      </c>
      <c r="J7" s="1774">
        <f t="shared" ref="J7:J82" si="0">H7*I7</f>
        <v>1365000</v>
      </c>
      <c r="K7" s="1713">
        <v>1</v>
      </c>
      <c r="L7" s="1774">
        <f>H7*I7*(1-K7)</f>
        <v>0</v>
      </c>
      <c r="M7" s="1730"/>
      <c r="N7" s="1730"/>
      <c r="O7" s="1730"/>
      <c r="P7" s="1813"/>
      <c r="Q7" s="1730"/>
      <c r="R7" s="1730"/>
      <c r="S7" s="1731" t="s">
        <v>1890</v>
      </c>
    </row>
    <row r="8" spans="1:19" s="24" customFormat="1" ht="13.8" x14ac:dyDescent="0.25">
      <c r="A8" s="1708">
        <v>260</v>
      </c>
      <c r="B8" s="1778">
        <v>43508</v>
      </c>
      <c r="C8" s="1708" t="s">
        <v>12</v>
      </c>
      <c r="D8" s="1710" t="s">
        <v>1926</v>
      </c>
      <c r="E8" s="1773" t="s">
        <v>584</v>
      </c>
      <c r="F8" s="1708"/>
      <c r="G8" s="1711" t="s">
        <v>31</v>
      </c>
      <c r="H8" s="1711">
        <v>24</v>
      </c>
      <c r="I8" s="1712">
        <v>255000</v>
      </c>
      <c r="J8" s="1774">
        <f t="shared" si="0"/>
        <v>6120000</v>
      </c>
      <c r="K8" s="1713">
        <v>0.41</v>
      </c>
      <c r="L8" s="1774">
        <f>H8*I8*(1-K8)</f>
        <v>3610800.0000000005</v>
      </c>
      <c r="M8" s="1708"/>
      <c r="N8" s="1708"/>
      <c r="O8" s="1708"/>
      <c r="P8" s="1791"/>
      <c r="Q8" s="1708"/>
      <c r="R8" s="1734">
        <f>L8+L9+L10</f>
        <v>13345800.000000002</v>
      </c>
      <c r="S8" s="1708"/>
    </row>
    <row r="9" spans="1:19" s="24" customFormat="1" ht="13.8" x14ac:dyDescent="0.25">
      <c r="A9" s="1708"/>
      <c r="B9" s="1778"/>
      <c r="C9" s="1708" t="s">
        <v>12</v>
      </c>
      <c r="D9" s="1710" t="s">
        <v>1926</v>
      </c>
      <c r="E9" s="1773" t="s">
        <v>584</v>
      </c>
      <c r="F9" s="1708"/>
      <c r="G9" s="1711" t="s">
        <v>33</v>
      </c>
      <c r="H9" s="1711">
        <v>24</v>
      </c>
      <c r="I9" s="1712">
        <v>455000</v>
      </c>
      <c r="J9" s="1774">
        <f t="shared" si="0"/>
        <v>10920000</v>
      </c>
      <c r="K9" s="1713">
        <v>0.41</v>
      </c>
      <c r="L9" s="1774">
        <f t="shared" ref="L9:L77" si="1">H9*I9*(1-K9)</f>
        <v>6442800.0000000009</v>
      </c>
      <c r="M9" s="1708"/>
      <c r="N9" s="1708"/>
      <c r="O9" s="1708"/>
      <c r="P9" s="1791"/>
      <c r="Q9" s="1708"/>
      <c r="R9" s="1708"/>
      <c r="S9" s="1708"/>
    </row>
    <row r="10" spans="1:19" s="24" customFormat="1" ht="13.8" x14ac:dyDescent="0.25">
      <c r="A10" s="1708"/>
      <c r="B10" s="1778"/>
      <c r="C10" s="1708" t="s">
        <v>12</v>
      </c>
      <c r="D10" s="1710" t="s">
        <v>1926</v>
      </c>
      <c r="E10" s="1773" t="s">
        <v>584</v>
      </c>
      <c r="F10" s="1708"/>
      <c r="G10" s="1711" t="s">
        <v>35</v>
      </c>
      <c r="H10" s="1711">
        <v>12</v>
      </c>
      <c r="I10" s="1712">
        <v>465000</v>
      </c>
      <c r="J10" s="1774">
        <f t="shared" si="0"/>
        <v>5580000</v>
      </c>
      <c r="K10" s="1713">
        <v>0.41</v>
      </c>
      <c r="L10" s="1774">
        <f t="shared" si="1"/>
        <v>3292200.0000000005</v>
      </c>
      <c r="M10" s="1708"/>
      <c r="N10" s="1708"/>
      <c r="O10" s="1708"/>
      <c r="P10" s="1791"/>
      <c r="Q10" s="1708"/>
      <c r="R10" s="1708"/>
      <c r="S10" s="1708"/>
    </row>
    <row r="11" spans="1:19" s="24" customFormat="1" ht="13.8" x14ac:dyDescent="0.25">
      <c r="A11" s="1708">
        <v>261</v>
      </c>
      <c r="B11" s="1778">
        <v>43536</v>
      </c>
      <c r="C11" s="1708" t="s">
        <v>12</v>
      </c>
      <c r="D11" s="1733" t="s">
        <v>1127</v>
      </c>
      <c r="E11" s="1709" t="s">
        <v>1356</v>
      </c>
      <c r="F11" s="1708"/>
      <c r="G11" s="1711" t="s">
        <v>33</v>
      </c>
      <c r="H11" s="1711">
        <v>1</v>
      </c>
      <c r="I11" s="1712">
        <v>455000</v>
      </c>
      <c r="J11" s="1774">
        <f>H11*I11</f>
        <v>455000</v>
      </c>
      <c r="K11" s="1732">
        <v>0.25</v>
      </c>
      <c r="L11" s="1774">
        <f t="shared" si="1"/>
        <v>341250</v>
      </c>
      <c r="M11" s="1734"/>
      <c r="N11" s="1734"/>
      <c r="O11" s="1708"/>
      <c r="P11" s="1791"/>
      <c r="Q11" s="1708"/>
      <c r="R11" s="1734">
        <f>L11</f>
        <v>341250</v>
      </c>
      <c r="S11" s="1708"/>
    </row>
    <row r="12" spans="1:19" s="24" customFormat="1" ht="13.8" x14ac:dyDescent="0.25">
      <c r="A12" s="1708">
        <v>262</v>
      </c>
      <c r="B12" s="1778">
        <v>43536</v>
      </c>
      <c r="C12" s="1708" t="s">
        <v>12</v>
      </c>
      <c r="D12" s="1710" t="s">
        <v>1927</v>
      </c>
      <c r="E12" s="1773" t="s">
        <v>68</v>
      </c>
      <c r="F12" s="1708"/>
      <c r="G12" s="1711" t="s">
        <v>41</v>
      </c>
      <c r="H12" s="1711">
        <v>5</v>
      </c>
      <c r="I12" s="1712">
        <v>550000</v>
      </c>
      <c r="J12" s="1774">
        <f t="shared" si="0"/>
        <v>2750000</v>
      </c>
      <c r="K12" s="1713">
        <v>1</v>
      </c>
      <c r="L12" s="1774">
        <f t="shared" si="1"/>
        <v>0</v>
      </c>
      <c r="M12" s="1708"/>
      <c r="N12" s="1708"/>
      <c r="O12" s="1708"/>
      <c r="P12" s="1791"/>
      <c r="Q12" s="1708"/>
      <c r="R12" s="1708"/>
      <c r="S12" s="1708" t="s">
        <v>1951</v>
      </c>
    </row>
    <row r="13" spans="1:19" s="24" customFormat="1" ht="19.8" x14ac:dyDescent="0.25">
      <c r="A13" s="1708">
        <v>268</v>
      </c>
      <c r="B13" s="1778">
        <v>43567</v>
      </c>
      <c r="C13" s="1708" t="s">
        <v>12</v>
      </c>
      <c r="D13" s="1710" t="s">
        <v>1928</v>
      </c>
      <c r="E13" s="1773"/>
      <c r="F13" s="1708"/>
      <c r="G13" s="1711" t="s">
        <v>44</v>
      </c>
      <c r="H13" s="1711">
        <v>1</v>
      </c>
      <c r="I13" s="1712">
        <v>455000</v>
      </c>
      <c r="J13" s="1774">
        <v>455000</v>
      </c>
      <c r="K13" s="1713">
        <v>0.41</v>
      </c>
      <c r="L13" s="1774">
        <f t="shared" si="1"/>
        <v>268450.00000000006</v>
      </c>
      <c r="M13" s="1708"/>
      <c r="N13" s="1734"/>
      <c r="O13" s="1708"/>
      <c r="P13" s="1791"/>
      <c r="Q13" s="1708"/>
      <c r="R13" s="1734">
        <f>L13</f>
        <v>268450.00000000006</v>
      </c>
      <c r="S13" s="1708"/>
    </row>
    <row r="14" spans="1:19" s="24" customFormat="1" ht="13.8" x14ac:dyDescent="0.25">
      <c r="A14" s="1708">
        <v>265</v>
      </c>
      <c r="B14" s="1778">
        <v>43597</v>
      </c>
      <c r="C14" s="1708" t="s">
        <v>1130</v>
      </c>
      <c r="D14" s="1710" t="s">
        <v>1929</v>
      </c>
      <c r="E14" s="1773" t="s">
        <v>1128</v>
      </c>
      <c r="F14" s="1708"/>
      <c r="G14" s="1711" t="s">
        <v>44</v>
      </c>
      <c r="H14" s="1711">
        <v>2</v>
      </c>
      <c r="I14" s="1712">
        <v>455000</v>
      </c>
      <c r="J14" s="1774">
        <f t="shared" si="0"/>
        <v>910000</v>
      </c>
      <c r="K14" s="1732">
        <v>0.41</v>
      </c>
      <c r="L14" s="1774">
        <f t="shared" si="1"/>
        <v>536900.00000000012</v>
      </c>
      <c r="M14" s="1708"/>
      <c r="N14" s="1734">
        <f>L14</f>
        <v>536900.00000000012</v>
      </c>
      <c r="O14" s="1708"/>
      <c r="P14" s="1791"/>
      <c r="Q14" s="1708"/>
      <c r="R14" s="1708"/>
      <c r="S14" s="1708"/>
    </row>
    <row r="15" spans="1:19" s="24" customFormat="1" ht="13.8" x14ac:dyDescent="0.25">
      <c r="A15" s="1708">
        <v>264</v>
      </c>
      <c r="B15" s="1778">
        <v>43628</v>
      </c>
      <c r="C15" s="1708" t="s">
        <v>12</v>
      </c>
      <c r="D15" s="1710" t="s">
        <v>1930</v>
      </c>
      <c r="E15" s="1773" t="s">
        <v>1367</v>
      </c>
      <c r="F15" s="1708"/>
      <c r="G15" s="1711" t="s">
        <v>31</v>
      </c>
      <c r="H15" s="1711">
        <v>24</v>
      </c>
      <c r="I15" s="1712">
        <v>255000</v>
      </c>
      <c r="J15" s="1774">
        <f t="shared" si="0"/>
        <v>6120000</v>
      </c>
      <c r="K15" s="1732">
        <v>0.41</v>
      </c>
      <c r="L15" s="1774">
        <f t="shared" si="1"/>
        <v>3610800.0000000005</v>
      </c>
      <c r="M15" s="1708"/>
      <c r="N15" s="1708"/>
      <c r="O15" s="1708"/>
      <c r="P15" s="1791"/>
      <c r="Q15" s="1708"/>
      <c r="R15" s="1734">
        <f>L15+L16+L17+L18+L19+L20+L21+L22+L23+L24</f>
        <v>38338200.000000007</v>
      </c>
      <c r="S15" s="1708"/>
    </row>
    <row r="16" spans="1:19" s="24" customFormat="1" ht="13.8" x14ac:dyDescent="0.25">
      <c r="A16" s="1708"/>
      <c r="B16" s="1778"/>
      <c r="C16" s="1708" t="s">
        <v>12</v>
      </c>
      <c r="D16" s="1710" t="s">
        <v>1930</v>
      </c>
      <c r="E16" s="1773" t="s">
        <v>1367</v>
      </c>
      <c r="F16" s="1708"/>
      <c r="G16" s="1711" t="s">
        <v>33</v>
      </c>
      <c r="H16" s="1711">
        <v>12</v>
      </c>
      <c r="I16" s="1712">
        <v>455000</v>
      </c>
      <c r="J16" s="1774">
        <f t="shared" si="0"/>
        <v>5460000</v>
      </c>
      <c r="K16" s="1732">
        <v>0.41</v>
      </c>
      <c r="L16" s="1774">
        <f t="shared" si="1"/>
        <v>3221400.0000000005</v>
      </c>
      <c r="M16" s="1708"/>
      <c r="N16" s="1708"/>
      <c r="O16" s="1708"/>
      <c r="P16" s="1791"/>
      <c r="Q16" s="1708"/>
      <c r="R16" s="1708"/>
      <c r="S16" s="1708"/>
    </row>
    <row r="17" spans="1:19" s="24" customFormat="1" ht="13.8" x14ac:dyDescent="0.25">
      <c r="A17" s="1708"/>
      <c r="B17" s="1778"/>
      <c r="C17" s="1708" t="s">
        <v>12</v>
      </c>
      <c r="D17" s="1710" t="s">
        <v>1930</v>
      </c>
      <c r="E17" s="1773" t="s">
        <v>1367</v>
      </c>
      <c r="F17" s="1708"/>
      <c r="G17" s="1711" t="s">
        <v>34</v>
      </c>
      <c r="H17" s="1711">
        <v>24</v>
      </c>
      <c r="I17" s="1712">
        <v>265000</v>
      </c>
      <c r="J17" s="1774">
        <f t="shared" si="0"/>
        <v>6360000</v>
      </c>
      <c r="K17" s="1732">
        <v>0.41</v>
      </c>
      <c r="L17" s="1774">
        <f t="shared" si="1"/>
        <v>3752400.0000000005</v>
      </c>
      <c r="M17" s="1708"/>
      <c r="N17" s="1708"/>
      <c r="O17" s="1708"/>
      <c r="P17" s="1791"/>
      <c r="Q17" s="1708"/>
      <c r="R17" s="1708"/>
      <c r="S17" s="1708"/>
    </row>
    <row r="18" spans="1:19" s="24" customFormat="1" ht="13.8" x14ac:dyDescent="0.25">
      <c r="A18" s="1708"/>
      <c r="B18" s="1778"/>
      <c r="C18" s="1708" t="s">
        <v>12</v>
      </c>
      <c r="D18" s="1710" t="s">
        <v>1930</v>
      </c>
      <c r="E18" s="1773" t="s">
        <v>1367</v>
      </c>
      <c r="F18" s="1708"/>
      <c r="G18" s="1711" t="s">
        <v>35</v>
      </c>
      <c r="H18" s="1711">
        <v>12</v>
      </c>
      <c r="I18" s="1712">
        <v>465000</v>
      </c>
      <c r="J18" s="1774">
        <f t="shared" si="0"/>
        <v>5580000</v>
      </c>
      <c r="K18" s="1732">
        <v>0.41</v>
      </c>
      <c r="L18" s="1774">
        <f t="shared" si="1"/>
        <v>3292200.0000000005</v>
      </c>
      <c r="M18" s="1708"/>
      <c r="N18" s="1708"/>
      <c r="O18" s="1708"/>
      <c r="P18" s="1791"/>
      <c r="Q18" s="1708"/>
      <c r="R18" s="1708"/>
      <c r="S18" s="1708"/>
    </row>
    <row r="19" spans="1:19" s="24" customFormat="1" ht="13.8" x14ac:dyDescent="0.25">
      <c r="A19" s="1708"/>
      <c r="B19" s="1778"/>
      <c r="C19" s="1708" t="s">
        <v>12</v>
      </c>
      <c r="D19" s="1710" t="s">
        <v>1930</v>
      </c>
      <c r="E19" s="1773" t="s">
        <v>1367</v>
      </c>
      <c r="F19" s="1708"/>
      <c r="G19" s="1711" t="s">
        <v>37</v>
      </c>
      <c r="H19" s="1711">
        <v>12</v>
      </c>
      <c r="I19" s="1712">
        <v>475000</v>
      </c>
      <c r="J19" s="1774">
        <f t="shared" si="0"/>
        <v>5700000</v>
      </c>
      <c r="K19" s="1732">
        <v>0.41</v>
      </c>
      <c r="L19" s="1774">
        <f t="shared" si="1"/>
        <v>3363000.0000000005</v>
      </c>
      <c r="M19" s="1708"/>
      <c r="N19" s="1708"/>
      <c r="O19" s="1708"/>
      <c r="P19" s="1791"/>
      <c r="Q19" s="1708"/>
      <c r="R19" s="1708"/>
      <c r="S19" s="1708"/>
    </row>
    <row r="20" spans="1:19" s="24" customFormat="1" ht="13.8" x14ac:dyDescent="0.25">
      <c r="A20" s="1708"/>
      <c r="B20" s="1778"/>
      <c r="C20" s="1708" t="s">
        <v>12</v>
      </c>
      <c r="D20" s="1710" t="s">
        <v>1930</v>
      </c>
      <c r="E20" s="1773" t="s">
        <v>1367</v>
      </c>
      <c r="F20" s="1708"/>
      <c r="G20" s="1711" t="s">
        <v>40</v>
      </c>
      <c r="H20" s="1711">
        <v>12</v>
      </c>
      <c r="I20" s="1712">
        <v>485000</v>
      </c>
      <c r="J20" s="1774">
        <f t="shared" si="0"/>
        <v>5820000</v>
      </c>
      <c r="K20" s="1732">
        <v>0.41</v>
      </c>
      <c r="L20" s="1774">
        <f t="shared" si="1"/>
        <v>3433800.0000000005</v>
      </c>
      <c r="M20" s="1708"/>
      <c r="N20" s="1708"/>
      <c r="O20" s="1708"/>
      <c r="P20" s="1791"/>
      <c r="Q20" s="1708"/>
      <c r="R20" s="1708"/>
      <c r="S20" s="1708"/>
    </row>
    <row r="21" spans="1:19" s="24" customFormat="1" ht="13.8" x14ac:dyDescent="0.25">
      <c r="A21" s="1708"/>
      <c r="B21" s="1778"/>
      <c r="C21" s="1708" t="s">
        <v>12</v>
      </c>
      <c r="D21" s="1710" t="s">
        <v>1930</v>
      </c>
      <c r="E21" s="1773" t="s">
        <v>1367</v>
      </c>
      <c r="F21" s="1708"/>
      <c r="G21" s="1711" t="s">
        <v>60</v>
      </c>
      <c r="H21" s="1711">
        <v>12</v>
      </c>
      <c r="I21" s="1712">
        <v>485000</v>
      </c>
      <c r="J21" s="1774">
        <f t="shared" si="0"/>
        <v>5820000</v>
      </c>
      <c r="K21" s="1732">
        <v>0.41</v>
      </c>
      <c r="L21" s="1774">
        <f t="shared" si="1"/>
        <v>3433800.0000000005</v>
      </c>
      <c r="M21" s="1708"/>
      <c r="N21" s="1708"/>
      <c r="O21" s="1708"/>
      <c r="P21" s="1791"/>
      <c r="Q21" s="1708"/>
      <c r="R21" s="1708"/>
      <c r="S21" s="1708"/>
    </row>
    <row r="22" spans="1:19" s="24" customFormat="1" ht="13.8" x14ac:dyDescent="0.25">
      <c r="A22" s="1708"/>
      <c r="B22" s="1778"/>
      <c r="C22" s="1708" t="s">
        <v>12</v>
      </c>
      <c r="D22" s="1710" t="s">
        <v>1930</v>
      </c>
      <c r="E22" s="1773" t="s">
        <v>1367</v>
      </c>
      <c r="F22" s="1708"/>
      <c r="G22" s="1711" t="s">
        <v>41</v>
      </c>
      <c r="H22" s="1711">
        <v>24</v>
      </c>
      <c r="I22" s="1712">
        <v>550000</v>
      </c>
      <c r="J22" s="1774">
        <f t="shared" si="0"/>
        <v>13200000</v>
      </c>
      <c r="K22" s="1732">
        <v>0.41</v>
      </c>
      <c r="L22" s="1774">
        <f t="shared" si="1"/>
        <v>7788000.0000000009</v>
      </c>
      <c r="M22" s="1708"/>
      <c r="N22" s="1708"/>
      <c r="O22" s="1708"/>
      <c r="P22" s="1791"/>
      <c r="Q22" s="1708"/>
      <c r="R22" s="1708"/>
      <c r="S22" s="1708"/>
    </row>
    <row r="23" spans="1:19" s="24" customFormat="1" ht="13.8" x14ac:dyDescent="0.25">
      <c r="A23" s="1708"/>
      <c r="B23" s="1778"/>
      <c r="C23" s="1708" t="s">
        <v>12</v>
      </c>
      <c r="D23" s="1710" t="s">
        <v>1930</v>
      </c>
      <c r="E23" s="1773" t="s">
        <v>1367</v>
      </c>
      <c r="F23" s="1708"/>
      <c r="G23" s="1711" t="s">
        <v>44</v>
      </c>
      <c r="H23" s="1711">
        <v>12</v>
      </c>
      <c r="I23" s="1712">
        <v>455000</v>
      </c>
      <c r="J23" s="1774">
        <f t="shared" si="0"/>
        <v>5460000</v>
      </c>
      <c r="K23" s="1732">
        <v>0.41</v>
      </c>
      <c r="L23" s="1774">
        <f t="shared" si="1"/>
        <v>3221400.0000000005</v>
      </c>
      <c r="M23" s="1708"/>
      <c r="N23" s="1708"/>
      <c r="O23" s="1708"/>
      <c r="P23" s="1791"/>
      <c r="Q23" s="1708"/>
      <c r="R23" s="1708"/>
      <c r="S23" s="1708"/>
    </row>
    <row r="24" spans="1:19" s="24" customFormat="1" ht="13.8" x14ac:dyDescent="0.25">
      <c r="A24" s="1708"/>
      <c r="B24" s="1778"/>
      <c r="C24" s="1708" t="s">
        <v>12</v>
      </c>
      <c r="D24" s="1710" t="s">
        <v>1930</v>
      </c>
      <c r="E24" s="1773" t="s">
        <v>1367</v>
      </c>
      <c r="F24" s="1708"/>
      <c r="G24" s="1711" t="s">
        <v>42</v>
      </c>
      <c r="H24" s="1711">
        <v>12</v>
      </c>
      <c r="I24" s="1712">
        <v>455000</v>
      </c>
      <c r="J24" s="1774">
        <f t="shared" si="0"/>
        <v>5460000</v>
      </c>
      <c r="K24" s="1732">
        <v>0.41</v>
      </c>
      <c r="L24" s="1774">
        <f t="shared" si="1"/>
        <v>3221400.0000000005</v>
      </c>
      <c r="M24" s="1708"/>
      <c r="N24" s="1708"/>
      <c r="O24" s="1708"/>
      <c r="P24" s="1791"/>
      <c r="Q24" s="1708"/>
      <c r="R24" s="1708"/>
      <c r="S24" s="1708"/>
    </row>
    <row r="25" spans="1:19" s="24" customFormat="1" ht="13.8" x14ac:dyDescent="0.25">
      <c r="A25" s="1708">
        <v>266</v>
      </c>
      <c r="B25" s="1778">
        <v>43628</v>
      </c>
      <c r="C25" s="1708" t="s">
        <v>61</v>
      </c>
      <c r="D25" s="1709" t="s">
        <v>1931</v>
      </c>
      <c r="E25" s="1773" t="s">
        <v>1932</v>
      </c>
      <c r="F25" s="1708"/>
      <c r="G25" s="1711" t="s">
        <v>44</v>
      </c>
      <c r="H25" s="1711">
        <v>5</v>
      </c>
      <c r="I25" s="1712">
        <v>455000</v>
      </c>
      <c r="J25" s="1774">
        <f t="shared" si="0"/>
        <v>2275000</v>
      </c>
      <c r="K25" s="1713">
        <v>0.3</v>
      </c>
      <c r="L25" s="1774">
        <f t="shared" si="1"/>
        <v>1592500</v>
      </c>
      <c r="M25" s="1708"/>
      <c r="N25" s="1734">
        <f>L25</f>
        <v>1592500</v>
      </c>
      <c r="O25" s="1708"/>
      <c r="P25" s="1791"/>
      <c r="Q25" s="1708"/>
      <c r="R25" s="1708"/>
      <c r="S25" s="1708"/>
    </row>
    <row r="26" spans="1:19" s="24" customFormat="1" ht="13.8" x14ac:dyDescent="0.25">
      <c r="A26" s="1708">
        <v>267</v>
      </c>
      <c r="B26" s="1778">
        <v>43628</v>
      </c>
      <c r="C26" s="1708" t="s">
        <v>12</v>
      </c>
      <c r="D26" s="1709" t="s">
        <v>1933</v>
      </c>
      <c r="E26" s="1709" t="s">
        <v>1953</v>
      </c>
      <c r="F26" s="1708"/>
      <c r="G26" s="1711" t="s">
        <v>37</v>
      </c>
      <c r="H26" s="1711">
        <v>1</v>
      </c>
      <c r="I26" s="1712">
        <v>475000</v>
      </c>
      <c r="J26" s="1774">
        <f t="shared" si="0"/>
        <v>475000</v>
      </c>
      <c r="K26" s="1711"/>
      <c r="L26" s="1774">
        <f t="shared" si="1"/>
        <v>475000</v>
      </c>
      <c r="M26" s="1708"/>
      <c r="N26" s="1708"/>
      <c r="O26" s="1708"/>
      <c r="P26" s="1791"/>
      <c r="Q26" s="1708"/>
      <c r="R26" s="1734">
        <f>L26+L27+L28</f>
        <v>1480000</v>
      </c>
      <c r="S26" s="1708"/>
    </row>
    <row r="27" spans="1:19" s="24" customFormat="1" ht="13.8" x14ac:dyDescent="0.25">
      <c r="A27" s="1708"/>
      <c r="B27" s="1778"/>
      <c r="C27" s="1708" t="s">
        <v>12</v>
      </c>
      <c r="D27" s="1709" t="s">
        <v>1933</v>
      </c>
      <c r="E27" s="1709" t="s">
        <v>1953</v>
      </c>
      <c r="F27" s="1708"/>
      <c r="G27" s="1711" t="s">
        <v>41</v>
      </c>
      <c r="H27" s="1711">
        <v>1</v>
      </c>
      <c r="I27" s="1712">
        <v>550000</v>
      </c>
      <c r="J27" s="1774">
        <f t="shared" si="0"/>
        <v>550000</v>
      </c>
      <c r="K27" s="1711"/>
      <c r="L27" s="1774">
        <f t="shared" si="1"/>
        <v>550000</v>
      </c>
      <c r="M27" s="1708"/>
      <c r="N27" s="1708"/>
      <c r="O27" s="1708"/>
      <c r="P27" s="1791"/>
      <c r="Q27" s="1708"/>
      <c r="R27" s="1734"/>
      <c r="S27" s="1708"/>
    </row>
    <row r="28" spans="1:19" s="24" customFormat="1" ht="13.8" x14ac:dyDescent="0.25">
      <c r="A28" s="1708"/>
      <c r="B28" s="1778"/>
      <c r="C28" s="1708" t="s">
        <v>12</v>
      </c>
      <c r="D28" s="1709" t="s">
        <v>1933</v>
      </c>
      <c r="E28" s="1709" t="s">
        <v>1953</v>
      </c>
      <c r="F28" s="1708"/>
      <c r="G28" s="1711" t="s">
        <v>44</v>
      </c>
      <c r="H28" s="1711">
        <v>1</v>
      </c>
      <c r="I28" s="1712">
        <v>455000</v>
      </c>
      <c r="J28" s="1774">
        <f t="shared" si="0"/>
        <v>455000</v>
      </c>
      <c r="K28" s="1711"/>
      <c r="L28" s="1774">
        <f t="shared" si="1"/>
        <v>455000</v>
      </c>
      <c r="M28" s="1708"/>
      <c r="N28" s="1708"/>
      <c r="O28" s="1708"/>
      <c r="P28" s="1791"/>
      <c r="Q28" s="1708"/>
      <c r="R28" s="1708"/>
      <c r="S28" s="1708"/>
    </row>
    <row r="29" spans="1:19" s="24" customFormat="1" ht="13.8" x14ac:dyDescent="0.25">
      <c r="A29" s="1708">
        <v>274</v>
      </c>
      <c r="B29" s="1778">
        <v>43720</v>
      </c>
      <c r="C29" s="1708"/>
      <c r="D29" s="1709" t="s">
        <v>1934</v>
      </c>
      <c r="E29" s="1773"/>
      <c r="F29" s="1708"/>
      <c r="G29" s="1711" t="s">
        <v>34</v>
      </c>
      <c r="H29" s="1711">
        <v>3</v>
      </c>
      <c r="I29" s="1712">
        <v>265000</v>
      </c>
      <c r="J29" s="1774">
        <f t="shared" si="0"/>
        <v>795000</v>
      </c>
      <c r="K29" s="1713">
        <v>1</v>
      </c>
      <c r="L29" s="1774">
        <f t="shared" si="1"/>
        <v>0</v>
      </c>
      <c r="M29" s="1708"/>
      <c r="N29" s="1708"/>
      <c r="O29" s="1708"/>
      <c r="P29" s="1791"/>
      <c r="Q29" s="1708"/>
      <c r="R29" s="1708"/>
      <c r="S29" s="1708"/>
    </row>
    <row r="30" spans="1:19" s="24" customFormat="1" ht="13.8" x14ac:dyDescent="0.25">
      <c r="A30" s="1708"/>
      <c r="B30" s="1778"/>
      <c r="C30" s="1708"/>
      <c r="D30" s="1709"/>
      <c r="E30" s="1773"/>
      <c r="F30" s="1708"/>
      <c r="G30" s="1711" t="s">
        <v>36</v>
      </c>
      <c r="H30" s="1711">
        <v>1</v>
      </c>
      <c r="I30" s="1712">
        <v>275000</v>
      </c>
      <c r="J30" s="1774">
        <f t="shared" si="0"/>
        <v>275000</v>
      </c>
      <c r="K30" s="1713">
        <v>1</v>
      </c>
      <c r="L30" s="1774">
        <f t="shared" si="1"/>
        <v>0</v>
      </c>
      <c r="M30" s="1708"/>
      <c r="N30" s="1708"/>
      <c r="O30" s="1708"/>
      <c r="P30" s="1791"/>
      <c r="Q30" s="1708"/>
      <c r="R30" s="1708"/>
      <c r="S30" s="1708"/>
    </row>
    <row r="31" spans="1:19" s="24" customFormat="1" ht="13.8" x14ac:dyDescent="0.25">
      <c r="A31" s="1708"/>
      <c r="B31" s="1778"/>
      <c r="C31" s="1708"/>
      <c r="D31" s="1709"/>
      <c r="E31" s="1773"/>
      <c r="F31" s="1708"/>
      <c r="G31" s="1711" t="s">
        <v>41</v>
      </c>
      <c r="H31" s="1711">
        <v>1</v>
      </c>
      <c r="I31" s="1712">
        <v>550000</v>
      </c>
      <c r="J31" s="1774">
        <f t="shared" si="0"/>
        <v>550000</v>
      </c>
      <c r="K31" s="1713">
        <v>1</v>
      </c>
      <c r="L31" s="1774">
        <f t="shared" si="1"/>
        <v>0</v>
      </c>
      <c r="M31" s="1708"/>
      <c r="N31" s="1708"/>
      <c r="O31" s="1708"/>
      <c r="P31" s="1791"/>
      <c r="Q31" s="1708"/>
      <c r="R31" s="1708"/>
      <c r="S31" s="1708"/>
    </row>
    <row r="32" spans="1:19" s="24" customFormat="1" ht="19.8" x14ac:dyDescent="0.25">
      <c r="A32" s="1708">
        <v>271</v>
      </c>
      <c r="B32" s="1778">
        <v>43720</v>
      </c>
      <c r="C32" s="1708" t="s">
        <v>12</v>
      </c>
      <c r="D32" s="1709" t="s">
        <v>1935</v>
      </c>
      <c r="E32" s="1709" t="s">
        <v>1936</v>
      </c>
      <c r="F32" s="1709"/>
      <c r="G32" s="1711" t="s">
        <v>33</v>
      </c>
      <c r="H32" s="1711">
        <v>3</v>
      </c>
      <c r="I32" s="1712">
        <v>455000</v>
      </c>
      <c r="J32" s="1774">
        <f t="shared" si="0"/>
        <v>1365000</v>
      </c>
      <c r="K32" s="1713">
        <v>0.25</v>
      </c>
      <c r="L32" s="1774">
        <f t="shared" si="1"/>
        <v>1023750</v>
      </c>
      <c r="M32" s="1708"/>
      <c r="N32" s="1734"/>
      <c r="O32" s="1708"/>
      <c r="P32" s="1791"/>
      <c r="Q32" s="1708"/>
      <c r="R32" s="1734">
        <f>L32+L33</f>
        <v>1387500</v>
      </c>
      <c r="S32" s="1708"/>
    </row>
    <row r="33" spans="1:19" s="24" customFormat="1" ht="19.8" x14ac:dyDescent="0.25">
      <c r="A33" s="1708"/>
      <c r="B33" s="1778"/>
      <c r="C33" s="1708" t="s">
        <v>12</v>
      </c>
      <c r="D33" s="1709" t="s">
        <v>1935</v>
      </c>
      <c r="E33" s="1709" t="s">
        <v>1936</v>
      </c>
      <c r="F33" s="1708"/>
      <c r="G33" s="1711" t="s">
        <v>40</v>
      </c>
      <c r="H33" s="1711">
        <v>1</v>
      </c>
      <c r="I33" s="1712">
        <v>485000</v>
      </c>
      <c r="J33" s="1774">
        <f t="shared" si="0"/>
        <v>485000</v>
      </c>
      <c r="K33" s="1713">
        <v>0.25</v>
      </c>
      <c r="L33" s="1774">
        <f t="shared" si="1"/>
        <v>363750</v>
      </c>
      <c r="M33" s="1708"/>
      <c r="N33" s="1708"/>
      <c r="O33" s="1708"/>
      <c r="P33" s="1791"/>
      <c r="Q33" s="1708"/>
      <c r="R33" s="1734"/>
      <c r="S33" s="1708"/>
    </row>
    <row r="34" spans="1:19" s="24" customFormat="1" ht="13.8" x14ac:dyDescent="0.25">
      <c r="A34" s="1708">
        <v>276</v>
      </c>
      <c r="B34" s="1778">
        <v>44147</v>
      </c>
      <c r="C34" s="1708" t="s">
        <v>12</v>
      </c>
      <c r="D34" s="1709" t="s">
        <v>127</v>
      </c>
      <c r="E34" s="1709"/>
      <c r="F34" s="1708"/>
      <c r="G34" s="1711" t="s">
        <v>31</v>
      </c>
      <c r="H34" s="1711">
        <v>2</v>
      </c>
      <c r="I34" s="1712">
        <v>255000</v>
      </c>
      <c r="J34" s="1774">
        <f t="shared" si="0"/>
        <v>510000</v>
      </c>
      <c r="K34" s="1713">
        <v>0.5</v>
      </c>
      <c r="L34" s="1774">
        <f t="shared" si="1"/>
        <v>255000</v>
      </c>
      <c r="M34" s="1708"/>
      <c r="N34" s="1734"/>
      <c r="O34" s="1708"/>
      <c r="P34" s="1791"/>
      <c r="Q34" s="1708"/>
      <c r="R34" s="1734">
        <f>L34</f>
        <v>255000</v>
      </c>
      <c r="S34" s="1708"/>
    </row>
    <row r="35" spans="1:19" s="24" customFormat="1" ht="13.8" x14ac:dyDescent="0.25">
      <c r="A35" s="1708">
        <v>277</v>
      </c>
      <c r="B35" s="1778">
        <v>44177</v>
      </c>
      <c r="C35" s="1708"/>
      <c r="D35" s="1709" t="s">
        <v>2091</v>
      </c>
      <c r="E35" s="1709" t="s">
        <v>2092</v>
      </c>
      <c r="F35" s="1708"/>
      <c r="G35" s="1711" t="s">
        <v>33</v>
      </c>
      <c r="H35" s="1711">
        <v>9</v>
      </c>
      <c r="I35" s="1712">
        <v>455000</v>
      </c>
      <c r="J35" s="1774">
        <f t="shared" si="0"/>
        <v>4095000</v>
      </c>
      <c r="K35" s="1713">
        <v>0.25</v>
      </c>
      <c r="L35" s="1774">
        <f t="shared" si="1"/>
        <v>3071250</v>
      </c>
      <c r="M35" s="1708"/>
      <c r="N35" s="1734"/>
      <c r="O35" s="1708"/>
      <c r="P35" s="1791"/>
      <c r="Q35" s="1708"/>
      <c r="R35" s="1734">
        <f>L35</f>
        <v>3071250</v>
      </c>
      <c r="S35" s="1708"/>
    </row>
    <row r="36" spans="1:19" s="24" customFormat="1" ht="13.8" x14ac:dyDescent="0.25">
      <c r="A36" s="1708">
        <v>308</v>
      </c>
      <c r="B36" s="1778">
        <v>44177</v>
      </c>
      <c r="C36" s="1708"/>
      <c r="D36" s="1709" t="s">
        <v>1930</v>
      </c>
      <c r="E36" s="1709"/>
      <c r="F36" s="1708"/>
      <c r="G36" s="1711" t="s">
        <v>40</v>
      </c>
      <c r="H36" s="1711">
        <v>10</v>
      </c>
      <c r="I36" s="1712">
        <v>485000</v>
      </c>
      <c r="J36" s="1774">
        <f t="shared" si="0"/>
        <v>4850000</v>
      </c>
      <c r="K36" s="1713">
        <v>1</v>
      </c>
      <c r="L36" s="1774">
        <f t="shared" si="1"/>
        <v>0</v>
      </c>
      <c r="M36" s="1708"/>
      <c r="N36" s="1708"/>
      <c r="O36" s="1708"/>
      <c r="P36" s="1791"/>
      <c r="Q36" s="1708"/>
      <c r="R36" s="1708"/>
      <c r="S36" s="1708" t="s">
        <v>2086</v>
      </c>
    </row>
    <row r="37" spans="1:19" s="24" customFormat="1" ht="13.8" x14ac:dyDescent="0.25">
      <c r="A37" s="1708">
        <v>309</v>
      </c>
      <c r="B37" s="1778">
        <v>44177</v>
      </c>
      <c r="C37" s="1708"/>
      <c r="D37" s="1709" t="s">
        <v>180</v>
      </c>
      <c r="E37" s="1709" t="s">
        <v>1953</v>
      </c>
      <c r="F37" s="1708"/>
      <c r="G37" s="1711" t="s">
        <v>31</v>
      </c>
      <c r="H37" s="1711">
        <v>1</v>
      </c>
      <c r="I37" s="1712">
        <v>255000</v>
      </c>
      <c r="J37" s="1774">
        <f t="shared" si="0"/>
        <v>255000</v>
      </c>
      <c r="K37" s="1713">
        <v>0.3</v>
      </c>
      <c r="L37" s="1774">
        <f t="shared" si="1"/>
        <v>178500</v>
      </c>
      <c r="M37" s="1708"/>
      <c r="N37" s="1708"/>
      <c r="O37" s="1708"/>
      <c r="P37" s="1791"/>
      <c r="Q37" s="1708"/>
      <c r="R37" s="1734">
        <f>L37+L39+L38+L40+L42+L41+L43</f>
        <v>8519000</v>
      </c>
      <c r="S37" s="1708"/>
    </row>
    <row r="38" spans="1:19" s="24" customFormat="1" ht="13.8" x14ac:dyDescent="0.25">
      <c r="A38" s="1708"/>
      <c r="B38" s="1778"/>
      <c r="C38" s="1708"/>
      <c r="D38" s="1709" t="s">
        <v>180</v>
      </c>
      <c r="E38" s="1709" t="s">
        <v>1953</v>
      </c>
      <c r="F38" s="1708"/>
      <c r="G38" s="1711" t="s">
        <v>35</v>
      </c>
      <c r="H38" s="1711">
        <v>2</v>
      </c>
      <c r="I38" s="1712">
        <v>455000</v>
      </c>
      <c r="J38" s="1774">
        <f t="shared" si="0"/>
        <v>910000</v>
      </c>
      <c r="K38" s="1713">
        <v>0.3</v>
      </c>
      <c r="L38" s="1774">
        <f t="shared" si="1"/>
        <v>637000</v>
      </c>
      <c r="M38" s="1708"/>
      <c r="N38" s="1708"/>
      <c r="O38" s="1708"/>
      <c r="P38" s="1791"/>
      <c r="Q38" s="1708"/>
      <c r="R38" s="1708"/>
      <c r="S38" s="1708"/>
    </row>
    <row r="39" spans="1:19" s="24" customFormat="1" ht="13.8" x14ac:dyDescent="0.25">
      <c r="A39" s="1708"/>
      <c r="B39" s="1778"/>
      <c r="C39" s="1708"/>
      <c r="D39" s="1709" t="s">
        <v>180</v>
      </c>
      <c r="E39" s="1709" t="s">
        <v>1953</v>
      </c>
      <c r="F39" s="1708"/>
      <c r="G39" s="1711" t="s">
        <v>34</v>
      </c>
      <c r="H39" s="1711">
        <v>1</v>
      </c>
      <c r="I39" s="1712">
        <v>265000</v>
      </c>
      <c r="J39" s="1774">
        <f t="shared" si="0"/>
        <v>265000</v>
      </c>
      <c r="K39" s="1713">
        <v>0.3</v>
      </c>
      <c r="L39" s="1774">
        <f t="shared" si="1"/>
        <v>185500</v>
      </c>
      <c r="M39" s="1708"/>
      <c r="N39" s="1708"/>
      <c r="O39" s="1708"/>
      <c r="P39" s="1791"/>
      <c r="Q39" s="1708"/>
      <c r="R39" s="1708"/>
      <c r="S39" s="1708"/>
    </row>
    <row r="40" spans="1:19" s="24" customFormat="1" ht="13.8" x14ac:dyDescent="0.25">
      <c r="A40" s="1708"/>
      <c r="B40" s="1778"/>
      <c r="C40" s="1708"/>
      <c r="D40" s="1709" t="s">
        <v>180</v>
      </c>
      <c r="E40" s="1709" t="s">
        <v>1953</v>
      </c>
      <c r="F40" s="1708"/>
      <c r="G40" s="1711" t="s">
        <v>37</v>
      </c>
      <c r="H40" s="1711">
        <v>1</v>
      </c>
      <c r="I40" s="1712">
        <v>475000</v>
      </c>
      <c r="J40" s="1774">
        <f t="shared" si="0"/>
        <v>475000</v>
      </c>
      <c r="K40" s="1713">
        <v>0.3</v>
      </c>
      <c r="L40" s="1774">
        <f t="shared" si="1"/>
        <v>332500</v>
      </c>
      <c r="M40" s="1708"/>
      <c r="N40" s="1708"/>
      <c r="O40" s="1708"/>
      <c r="P40" s="1791"/>
      <c r="Q40" s="1708"/>
      <c r="R40" s="1708"/>
      <c r="S40" s="1708"/>
    </row>
    <row r="41" spans="1:19" s="24" customFormat="1" ht="13.8" x14ac:dyDescent="0.25">
      <c r="A41" s="1708"/>
      <c r="B41" s="1778"/>
      <c r="C41" s="1708"/>
      <c r="D41" s="1709" t="s">
        <v>180</v>
      </c>
      <c r="E41" s="1709" t="s">
        <v>1953</v>
      </c>
      <c r="F41" s="1708"/>
      <c r="G41" s="1711" t="s">
        <v>40</v>
      </c>
      <c r="H41" s="1711">
        <v>4</v>
      </c>
      <c r="I41" s="1712">
        <v>485000</v>
      </c>
      <c r="J41" s="1774">
        <f t="shared" si="0"/>
        <v>1940000</v>
      </c>
      <c r="K41" s="1713">
        <v>0.3</v>
      </c>
      <c r="L41" s="1774">
        <f t="shared" si="1"/>
        <v>1358000</v>
      </c>
      <c r="M41" s="1708"/>
      <c r="N41" s="1708"/>
      <c r="O41" s="1708"/>
      <c r="P41" s="1791"/>
      <c r="Q41" s="1708"/>
      <c r="R41" s="1708"/>
      <c r="S41" s="1708"/>
    </row>
    <row r="42" spans="1:19" s="24" customFormat="1" ht="13.8" x14ac:dyDescent="0.25">
      <c r="A42" s="1708"/>
      <c r="B42" s="1778"/>
      <c r="C42" s="1708"/>
      <c r="D42" s="1709" t="s">
        <v>180</v>
      </c>
      <c r="E42" s="1709" t="s">
        <v>1953</v>
      </c>
      <c r="F42" s="1708"/>
      <c r="G42" s="1711" t="s">
        <v>41</v>
      </c>
      <c r="H42" s="1711">
        <v>11</v>
      </c>
      <c r="I42" s="1712">
        <v>550000</v>
      </c>
      <c r="J42" s="1774">
        <f t="shared" si="0"/>
        <v>6050000</v>
      </c>
      <c r="K42" s="1713">
        <v>0.3</v>
      </c>
      <c r="L42" s="1774">
        <f t="shared" si="1"/>
        <v>4235000</v>
      </c>
      <c r="M42" s="1708"/>
      <c r="N42" s="1708"/>
      <c r="O42" s="1708"/>
      <c r="P42" s="1791"/>
      <c r="Q42" s="1708"/>
      <c r="R42" s="1708"/>
      <c r="S42" s="1708"/>
    </row>
    <row r="43" spans="1:19" s="24" customFormat="1" ht="13.8" x14ac:dyDescent="0.25">
      <c r="A43" s="1708"/>
      <c r="B43" s="1778"/>
      <c r="C43" s="1708"/>
      <c r="D43" s="1709" t="s">
        <v>180</v>
      </c>
      <c r="E43" s="1709" t="s">
        <v>1953</v>
      </c>
      <c r="F43" s="1708"/>
      <c r="G43" s="1711" t="s">
        <v>44</v>
      </c>
      <c r="H43" s="1711">
        <v>5</v>
      </c>
      <c r="I43" s="1712">
        <v>455000</v>
      </c>
      <c r="J43" s="1774">
        <f t="shared" si="0"/>
        <v>2275000</v>
      </c>
      <c r="K43" s="1713">
        <v>0.3</v>
      </c>
      <c r="L43" s="1774">
        <f t="shared" si="1"/>
        <v>1592500</v>
      </c>
      <c r="M43" s="1708"/>
      <c r="N43" s="1708"/>
      <c r="O43" s="1708"/>
      <c r="P43" s="1791"/>
      <c r="Q43" s="1708"/>
      <c r="R43" s="1708"/>
      <c r="S43" s="1708"/>
    </row>
    <row r="44" spans="1:19" s="24" customFormat="1" ht="13.8" x14ac:dyDescent="0.25">
      <c r="A44" s="1708">
        <v>281</v>
      </c>
      <c r="B44" s="1778">
        <v>43811</v>
      </c>
      <c r="C44" s="1708" t="s">
        <v>12</v>
      </c>
      <c r="D44" s="1709" t="s">
        <v>1937</v>
      </c>
      <c r="E44" s="1709" t="s">
        <v>1938</v>
      </c>
      <c r="F44" s="1708"/>
      <c r="G44" s="1711" t="s">
        <v>33</v>
      </c>
      <c r="H44" s="1711">
        <v>1</v>
      </c>
      <c r="I44" s="1712">
        <v>455000</v>
      </c>
      <c r="J44" s="1774">
        <v>455000</v>
      </c>
      <c r="K44" s="1713">
        <v>0.41</v>
      </c>
      <c r="L44" s="1774">
        <f t="shared" si="1"/>
        <v>268450.00000000006</v>
      </c>
      <c r="M44" s="1708"/>
      <c r="N44" s="1734"/>
      <c r="O44" s="1708"/>
      <c r="P44" s="1791"/>
      <c r="Q44" s="1708"/>
      <c r="R44" s="1734">
        <f>L44+L45</f>
        <v>554600.00000000012</v>
      </c>
      <c r="S44" s="1708"/>
    </row>
    <row r="45" spans="1:19" s="24" customFormat="1" ht="13.8" x14ac:dyDescent="0.25">
      <c r="A45" s="1708"/>
      <c r="B45" s="1778"/>
      <c r="C45" s="1708" t="s">
        <v>12</v>
      </c>
      <c r="D45" s="1709" t="s">
        <v>1937</v>
      </c>
      <c r="E45" s="1709" t="s">
        <v>1938</v>
      </c>
      <c r="F45" s="1708"/>
      <c r="G45" s="1711" t="s">
        <v>40</v>
      </c>
      <c r="H45" s="1711">
        <v>1</v>
      </c>
      <c r="I45" s="1712">
        <v>485000</v>
      </c>
      <c r="J45" s="1774">
        <v>485000</v>
      </c>
      <c r="K45" s="1713">
        <v>0.41</v>
      </c>
      <c r="L45" s="1774">
        <f t="shared" si="1"/>
        <v>286150.00000000006</v>
      </c>
      <c r="M45" s="1708"/>
      <c r="N45" s="1708"/>
      <c r="O45" s="1708"/>
      <c r="P45" s="1791"/>
      <c r="Q45" s="1708"/>
      <c r="R45" s="1708"/>
      <c r="S45" s="1708"/>
    </row>
    <row r="46" spans="1:19" s="24" customFormat="1" ht="13.8" x14ac:dyDescent="0.25">
      <c r="A46" s="1708">
        <v>283</v>
      </c>
      <c r="B46" s="1778" t="s">
        <v>1939</v>
      </c>
      <c r="C46" s="1708" t="s">
        <v>12</v>
      </c>
      <c r="D46" s="1709" t="s">
        <v>1933</v>
      </c>
      <c r="E46" s="1709" t="s">
        <v>1953</v>
      </c>
      <c r="F46" s="1708"/>
      <c r="G46" s="1714" t="s">
        <v>41</v>
      </c>
      <c r="H46" s="1714">
        <v>1</v>
      </c>
      <c r="I46" s="1715">
        <v>550000</v>
      </c>
      <c r="J46" s="1775">
        <f t="shared" si="0"/>
        <v>550000</v>
      </c>
      <c r="K46" s="1708"/>
      <c r="L46" s="1774">
        <f t="shared" si="1"/>
        <v>550000</v>
      </c>
      <c r="M46" s="1708"/>
      <c r="N46" s="1708"/>
      <c r="O46" s="1708"/>
      <c r="P46" s="1791"/>
      <c r="Q46" s="1708"/>
      <c r="R46" s="1734">
        <f>L46+L47</f>
        <v>1005000</v>
      </c>
      <c r="S46" s="1708"/>
    </row>
    <row r="47" spans="1:19" s="24" customFormat="1" ht="13.8" x14ac:dyDescent="0.25">
      <c r="A47" s="1708"/>
      <c r="B47" s="1778"/>
      <c r="C47" s="1708" t="s">
        <v>12</v>
      </c>
      <c r="D47" s="1709" t="s">
        <v>1933</v>
      </c>
      <c r="E47" s="1709" t="s">
        <v>1953</v>
      </c>
      <c r="F47" s="1708"/>
      <c r="G47" s="1714" t="s">
        <v>44</v>
      </c>
      <c r="H47" s="1714">
        <v>1</v>
      </c>
      <c r="I47" s="1715">
        <v>455000</v>
      </c>
      <c r="J47" s="1775">
        <f t="shared" si="0"/>
        <v>455000</v>
      </c>
      <c r="K47" s="1708"/>
      <c r="L47" s="1774">
        <f t="shared" si="1"/>
        <v>455000</v>
      </c>
      <c r="M47" s="1708"/>
      <c r="N47" s="1708"/>
      <c r="O47" s="1708"/>
      <c r="P47" s="1791"/>
      <c r="Q47" s="1708"/>
      <c r="R47" s="1708"/>
      <c r="S47" s="1708"/>
    </row>
    <row r="48" spans="1:19" s="24" customFormat="1" ht="13.8" x14ac:dyDescent="0.25">
      <c r="A48" s="1708">
        <v>285</v>
      </c>
      <c r="B48" s="1778" t="s">
        <v>1939</v>
      </c>
      <c r="C48" s="1708" t="s">
        <v>61</v>
      </c>
      <c r="D48" s="1708" t="s">
        <v>1929</v>
      </c>
      <c r="E48" s="1773"/>
      <c r="F48" s="1708"/>
      <c r="G48" s="1714" t="s">
        <v>35</v>
      </c>
      <c r="H48" s="1714">
        <v>3</v>
      </c>
      <c r="I48" s="1715">
        <v>465000</v>
      </c>
      <c r="J48" s="1775">
        <f t="shared" si="0"/>
        <v>1395000</v>
      </c>
      <c r="K48" s="1713">
        <v>0.41</v>
      </c>
      <c r="L48" s="1774">
        <f t="shared" si="1"/>
        <v>823050.00000000012</v>
      </c>
      <c r="M48" s="1708"/>
      <c r="N48" s="1734">
        <f>L48</f>
        <v>823050.00000000012</v>
      </c>
      <c r="O48" s="1708"/>
      <c r="P48" s="1791"/>
      <c r="Q48" s="1708"/>
      <c r="R48" s="1708"/>
      <c r="S48" s="1708"/>
    </row>
    <row r="49" spans="1:19" s="24" customFormat="1" ht="19.8" x14ac:dyDescent="0.25">
      <c r="A49" s="1708">
        <v>287</v>
      </c>
      <c r="B49" s="1778" t="s">
        <v>1939</v>
      </c>
      <c r="C49" s="1708" t="s">
        <v>61</v>
      </c>
      <c r="D49" s="1708" t="s">
        <v>1941</v>
      </c>
      <c r="E49" s="1709" t="s">
        <v>1954</v>
      </c>
      <c r="F49" s="1708"/>
      <c r="G49" s="1714" t="s">
        <v>40</v>
      </c>
      <c r="H49" s="1714">
        <v>1</v>
      </c>
      <c r="I49" s="1715">
        <v>485000</v>
      </c>
      <c r="J49" s="1775">
        <f t="shared" si="0"/>
        <v>485000</v>
      </c>
      <c r="K49" s="1713">
        <v>0.41</v>
      </c>
      <c r="L49" s="1774">
        <f t="shared" si="1"/>
        <v>286150.00000000006</v>
      </c>
      <c r="M49" s="1708"/>
      <c r="N49" s="1734">
        <f>L49</f>
        <v>286150.00000000006</v>
      </c>
      <c r="O49" s="1708"/>
      <c r="P49" s="1791"/>
      <c r="Q49" s="1708"/>
      <c r="R49" s="1708"/>
      <c r="S49" s="1708"/>
    </row>
    <row r="50" spans="1:19" s="24" customFormat="1" ht="13.8" x14ac:dyDescent="0.25">
      <c r="A50" s="1708">
        <v>305</v>
      </c>
      <c r="B50" s="1778" t="s">
        <v>2076</v>
      </c>
      <c r="C50" s="1708"/>
      <c r="D50" s="1708" t="s">
        <v>2085</v>
      </c>
      <c r="E50" s="1709"/>
      <c r="F50" s="1708"/>
      <c r="G50" s="1714" t="s">
        <v>35</v>
      </c>
      <c r="H50" s="1714">
        <v>1</v>
      </c>
      <c r="I50" s="1715">
        <v>465000</v>
      </c>
      <c r="J50" s="1775">
        <f t="shared" si="0"/>
        <v>465000</v>
      </c>
      <c r="K50" s="1713">
        <v>1</v>
      </c>
      <c r="L50" s="1774">
        <f t="shared" si="1"/>
        <v>0</v>
      </c>
      <c r="M50" s="1708"/>
      <c r="N50" s="1708"/>
      <c r="O50" s="1708"/>
      <c r="P50" s="1791"/>
      <c r="Q50" s="1708"/>
      <c r="R50" s="1708"/>
      <c r="S50" s="1708"/>
    </row>
    <row r="51" spans="1:19" s="24" customFormat="1" ht="13.8" x14ac:dyDescent="0.25">
      <c r="A51" s="1708"/>
      <c r="B51" s="1778"/>
      <c r="C51" s="1708"/>
      <c r="D51" s="1708"/>
      <c r="E51" s="1709"/>
      <c r="F51" s="1708"/>
      <c r="G51" s="1714" t="s">
        <v>37</v>
      </c>
      <c r="H51" s="1714">
        <v>3</v>
      </c>
      <c r="I51" s="1715">
        <v>475000</v>
      </c>
      <c r="J51" s="1775">
        <f t="shared" si="0"/>
        <v>1425000</v>
      </c>
      <c r="K51" s="1713">
        <v>1</v>
      </c>
      <c r="L51" s="1774">
        <f t="shared" si="1"/>
        <v>0</v>
      </c>
      <c r="M51" s="1708"/>
      <c r="N51" s="1708"/>
      <c r="O51" s="1708"/>
      <c r="P51" s="1791"/>
      <c r="Q51" s="1708"/>
      <c r="R51" s="1708"/>
      <c r="S51" s="1708"/>
    </row>
    <row r="52" spans="1:19" s="24" customFormat="1" ht="13.8" x14ac:dyDescent="0.25">
      <c r="A52" s="1708"/>
      <c r="B52" s="1778"/>
      <c r="C52" s="1708"/>
      <c r="D52" s="1708"/>
      <c r="E52" s="1709"/>
      <c r="F52" s="1708"/>
      <c r="G52" s="1714" t="s">
        <v>40</v>
      </c>
      <c r="H52" s="1714">
        <v>2</v>
      </c>
      <c r="I52" s="1715">
        <v>485000</v>
      </c>
      <c r="J52" s="1775">
        <f t="shared" si="0"/>
        <v>970000</v>
      </c>
      <c r="K52" s="1713">
        <v>1</v>
      </c>
      <c r="L52" s="1774">
        <f t="shared" si="1"/>
        <v>0</v>
      </c>
      <c r="M52" s="1708"/>
      <c r="N52" s="1708"/>
      <c r="O52" s="1708"/>
      <c r="P52" s="1791"/>
      <c r="Q52" s="1708"/>
      <c r="R52" s="1708"/>
      <c r="S52" s="1708"/>
    </row>
    <row r="53" spans="1:19" s="24" customFormat="1" ht="13.8" x14ac:dyDescent="0.25">
      <c r="A53" s="1708"/>
      <c r="B53" s="1778"/>
      <c r="C53" s="1708"/>
      <c r="D53" s="1708"/>
      <c r="E53" s="1709"/>
      <c r="F53" s="1708"/>
      <c r="G53" s="1714" t="s">
        <v>41</v>
      </c>
      <c r="H53" s="1714">
        <v>1</v>
      </c>
      <c r="I53" s="1715">
        <v>550000</v>
      </c>
      <c r="J53" s="1775">
        <f t="shared" si="0"/>
        <v>550000</v>
      </c>
      <c r="K53" s="1713">
        <v>1</v>
      </c>
      <c r="L53" s="1774">
        <f t="shared" si="1"/>
        <v>0</v>
      </c>
      <c r="M53" s="1708"/>
      <c r="N53" s="1708"/>
      <c r="O53" s="1708"/>
      <c r="P53" s="1791"/>
      <c r="Q53" s="1708"/>
      <c r="R53" s="1708"/>
      <c r="S53" s="1708"/>
    </row>
    <row r="54" spans="1:19" s="24" customFormat="1" ht="13.8" x14ac:dyDescent="0.25">
      <c r="A54" s="1708"/>
      <c r="B54" s="1778"/>
      <c r="C54" s="1708"/>
      <c r="D54" s="1708"/>
      <c r="E54" s="1709"/>
      <c r="F54" s="1708"/>
      <c r="G54" s="1714" t="s">
        <v>42</v>
      </c>
      <c r="H54" s="1714">
        <v>1</v>
      </c>
      <c r="I54" s="1715">
        <v>455000</v>
      </c>
      <c r="J54" s="1775">
        <f t="shared" si="0"/>
        <v>455000</v>
      </c>
      <c r="K54" s="1713">
        <v>1</v>
      </c>
      <c r="L54" s="1774">
        <f t="shared" si="1"/>
        <v>0</v>
      </c>
      <c r="M54" s="1708"/>
      <c r="N54" s="1708"/>
      <c r="O54" s="1708"/>
      <c r="P54" s="1791"/>
      <c r="Q54" s="1708"/>
      <c r="R54" s="1708"/>
      <c r="S54" s="1708"/>
    </row>
    <row r="55" spans="1:19" s="24" customFormat="1" ht="13.8" x14ac:dyDescent="0.25">
      <c r="A55" s="1708">
        <v>304</v>
      </c>
      <c r="B55" s="1778" t="s">
        <v>2059</v>
      </c>
      <c r="C55" s="1708" t="s">
        <v>2084</v>
      </c>
      <c r="D55" s="1708" t="s">
        <v>2087</v>
      </c>
      <c r="E55" s="1709"/>
      <c r="F55" s="1708"/>
      <c r="G55" s="1714" t="s">
        <v>33</v>
      </c>
      <c r="H55" s="1714">
        <v>12</v>
      </c>
      <c r="I55" s="1715">
        <v>455000</v>
      </c>
      <c r="J55" s="1775">
        <f t="shared" si="0"/>
        <v>5460000</v>
      </c>
      <c r="K55" s="1713">
        <v>0.41</v>
      </c>
      <c r="L55" s="1774">
        <f t="shared" si="1"/>
        <v>3221400.0000000005</v>
      </c>
      <c r="M55" s="1708"/>
      <c r="N55" s="1734"/>
      <c r="O55" s="1708"/>
      <c r="P55" s="1791"/>
      <c r="Q55" s="1708"/>
      <c r="R55" s="1734">
        <f>L55+L57+L56</f>
        <v>9876600.0000000019</v>
      </c>
      <c r="S55" s="1708"/>
    </row>
    <row r="56" spans="1:19" s="24" customFormat="1" ht="13.8" x14ac:dyDescent="0.25">
      <c r="A56" s="1708"/>
      <c r="B56" s="1778"/>
      <c r="C56" s="1708" t="s">
        <v>2084</v>
      </c>
      <c r="D56" s="1708" t="s">
        <v>2087</v>
      </c>
      <c r="E56" s="1709"/>
      <c r="F56" s="1708"/>
      <c r="G56" s="1714" t="s">
        <v>60</v>
      </c>
      <c r="H56" s="1714">
        <v>12</v>
      </c>
      <c r="I56" s="1715">
        <v>485000</v>
      </c>
      <c r="J56" s="1775">
        <f t="shared" si="0"/>
        <v>5820000</v>
      </c>
      <c r="K56" s="1713">
        <v>0.41</v>
      </c>
      <c r="L56" s="1774">
        <f t="shared" si="1"/>
        <v>3433800.0000000005</v>
      </c>
      <c r="M56" s="1708"/>
      <c r="N56" s="1708"/>
      <c r="O56" s="1708"/>
      <c r="P56" s="1791"/>
      <c r="Q56" s="1708"/>
      <c r="R56" s="1708"/>
      <c r="S56" s="1708"/>
    </row>
    <row r="57" spans="1:19" s="24" customFormat="1" ht="13.8" x14ac:dyDescent="0.25">
      <c r="A57" s="1708"/>
      <c r="B57" s="1778"/>
      <c r="C57" s="1708" t="s">
        <v>2084</v>
      </c>
      <c r="D57" s="1708" t="s">
        <v>2087</v>
      </c>
      <c r="E57" s="1709"/>
      <c r="F57" s="1708"/>
      <c r="G57" s="1714" t="s">
        <v>44</v>
      </c>
      <c r="H57" s="1714">
        <v>12</v>
      </c>
      <c r="I57" s="1715">
        <v>455000</v>
      </c>
      <c r="J57" s="1775">
        <f t="shared" si="0"/>
        <v>5460000</v>
      </c>
      <c r="K57" s="1713">
        <v>0.41</v>
      </c>
      <c r="L57" s="1774">
        <f t="shared" si="1"/>
        <v>3221400.0000000005</v>
      </c>
      <c r="M57" s="1708"/>
      <c r="N57" s="1708"/>
      <c r="O57" s="1708"/>
      <c r="P57" s="1791"/>
      <c r="Q57" s="1708"/>
      <c r="R57" s="1708"/>
      <c r="S57" s="1708"/>
    </row>
    <row r="58" spans="1:19" s="24" customFormat="1" ht="19.8" x14ac:dyDescent="0.25">
      <c r="A58" s="1708">
        <v>288</v>
      </c>
      <c r="B58" s="1778" t="s">
        <v>1942</v>
      </c>
      <c r="C58" s="1708" t="s">
        <v>61</v>
      </c>
      <c r="D58" s="1708" t="s">
        <v>1943</v>
      </c>
      <c r="E58" s="1709" t="s">
        <v>1944</v>
      </c>
      <c r="F58" s="1708"/>
      <c r="G58" s="1714" t="s">
        <v>41</v>
      </c>
      <c r="H58" s="1714">
        <v>1</v>
      </c>
      <c r="I58" s="1715">
        <v>550000</v>
      </c>
      <c r="J58" s="1775">
        <f t="shared" si="0"/>
        <v>550000</v>
      </c>
      <c r="K58" s="1713">
        <v>0.41</v>
      </c>
      <c r="L58" s="1774">
        <f t="shared" si="1"/>
        <v>324500.00000000006</v>
      </c>
      <c r="M58" s="1708"/>
      <c r="N58" s="1734">
        <f>L58</f>
        <v>324500.00000000006</v>
      </c>
      <c r="O58" s="1708"/>
      <c r="P58" s="1791"/>
      <c r="Q58" s="1708"/>
      <c r="R58" s="1708"/>
      <c r="S58" s="1708"/>
    </row>
    <row r="59" spans="1:19" s="24" customFormat="1" ht="13.8" x14ac:dyDescent="0.25">
      <c r="A59" s="1708">
        <v>289</v>
      </c>
      <c r="B59" s="1778" t="s">
        <v>1945</v>
      </c>
      <c r="C59" s="1708" t="s">
        <v>12</v>
      </c>
      <c r="D59" s="1708"/>
      <c r="E59" s="1773"/>
      <c r="F59" s="1708"/>
      <c r="G59" s="1714" t="s">
        <v>31</v>
      </c>
      <c r="H59" s="1714">
        <v>2</v>
      </c>
      <c r="I59" s="1715">
        <v>255000</v>
      </c>
      <c r="J59" s="1775">
        <f>H59*I59</f>
        <v>510000</v>
      </c>
      <c r="K59" s="1713">
        <v>0.41</v>
      </c>
      <c r="L59" s="1774">
        <f t="shared" si="1"/>
        <v>300900.00000000006</v>
      </c>
      <c r="M59" s="1708"/>
      <c r="N59" s="1734"/>
      <c r="O59" s="1708"/>
      <c r="P59" s="1791"/>
      <c r="Q59" s="1708"/>
      <c r="R59" s="1734">
        <f>L59+L60</f>
        <v>3253850.0000000005</v>
      </c>
      <c r="S59" s="1708"/>
    </row>
    <row r="60" spans="1:19" s="24" customFormat="1" ht="13.8" x14ac:dyDescent="0.25">
      <c r="A60" s="1708"/>
      <c r="B60" s="1778"/>
      <c r="C60" s="1708" t="s">
        <v>12</v>
      </c>
      <c r="D60" s="1708"/>
      <c r="E60" s="1773"/>
      <c r="F60" s="1708"/>
      <c r="G60" s="1714" t="s">
        <v>33</v>
      </c>
      <c r="H60" s="1714">
        <v>11</v>
      </c>
      <c r="I60" s="1715">
        <v>455000</v>
      </c>
      <c r="J60" s="1775">
        <f>H60*I60</f>
        <v>5005000</v>
      </c>
      <c r="K60" s="1713">
        <v>0.41</v>
      </c>
      <c r="L60" s="1774">
        <f t="shared" si="1"/>
        <v>2952950.0000000005</v>
      </c>
      <c r="M60" s="1708"/>
      <c r="N60" s="1708"/>
      <c r="O60" s="1708"/>
      <c r="P60" s="1791"/>
      <c r="Q60" s="1708"/>
      <c r="R60" s="1708"/>
      <c r="S60" s="1708"/>
    </row>
    <row r="61" spans="1:19" s="24" customFormat="1" ht="13.8" x14ac:dyDescent="0.25">
      <c r="A61" s="1708">
        <v>290</v>
      </c>
      <c r="B61" s="1778" t="s">
        <v>1946</v>
      </c>
      <c r="C61" s="1708" t="s">
        <v>61</v>
      </c>
      <c r="D61" s="1708" t="s">
        <v>1947</v>
      </c>
      <c r="E61" s="1709" t="s">
        <v>1948</v>
      </c>
      <c r="F61" s="1708"/>
      <c r="G61" s="1714" t="s">
        <v>35</v>
      </c>
      <c r="H61" s="1714">
        <v>1</v>
      </c>
      <c r="I61" s="1715">
        <v>465000</v>
      </c>
      <c r="J61" s="1775">
        <f>H61*I61</f>
        <v>465000</v>
      </c>
      <c r="K61" s="1713">
        <v>0.41</v>
      </c>
      <c r="L61" s="1774">
        <f t="shared" si="1"/>
        <v>274350.00000000006</v>
      </c>
      <c r="M61" s="1708"/>
      <c r="N61" s="1734">
        <f>L61+L62</f>
        <v>811250.00000000023</v>
      </c>
      <c r="O61" s="1708"/>
      <c r="P61" s="1791"/>
      <c r="Q61" s="1708"/>
      <c r="R61" s="1708"/>
      <c r="S61" s="1708"/>
    </row>
    <row r="62" spans="1:19" s="24" customFormat="1" ht="13.8" x14ac:dyDescent="0.25">
      <c r="A62" s="1708"/>
      <c r="B62" s="1778"/>
      <c r="C62" s="1708" t="s">
        <v>61</v>
      </c>
      <c r="D62" s="1708" t="s">
        <v>1947</v>
      </c>
      <c r="E62" s="1709" t="s">
        <v>1948</v>
      </c>
      <c r="F62" s="1708"/>
      <c r="G62" s="1714" t="s">
        <v>44</v>
      </c>
      <c r="H62" s="1714">
        <v>2</v>
      </c>
      <c r="I62" s="1715">
        <v>455000</v>
      </c>
      <c r="J62" s="1775">
        <f t="shared" si="0"/>
        <v>910000</v>
      </c>
      <c r="K62" s="1713">
        <v>0.41</v>
      </c>
      <c r="L62" s="1774">
        <f t="shared" si="1"/>
        <v>536900.00000000012</v>
      </c>
      <c r="M62" s="1708"/>
      <c r="N62" s="1708"/>
      <c r="O62" s="1708"/>
      <c r="P62" s="1791"/>
      <c r="Q62" s="1708"/>
      <c r="R62" s="1708"/>
      <c r="S62" s="1708"/>
    </row>
    <row r="63" spans="1:19" s="24" customFormat="1" ht="13.8" x14ac:dyDescent="0.25">
      <c r="A63" s="1708">
        <v>310</v>
      </c>
      <c r="B63" s="1778" t="s">
        <v>1955</v>
      </c>
      <c r="C63" s="1708" t="s">
        <v>12</v>
      </c>
      <c r="D63" s="1710" t="s">
        <v>1926</v>
      </c>
      <c r="E63" s="1773" t="s">
        <v>584</v>
      </c>
      <c r="F63" s="1708"/>
      <c r="G63" s="1714" t="s">
        <v>33</v>
      </c>
      <c r="H63" s="1714">
        <v>24</v>
      </c>
      <c r="I63" s="1715">
        <v>455000</v>
      </c>
      <c r="J63" s="1775">
        <f t="shared" si="0"/>
        <v>10920000</v>
      </c>
      <c r="K63" s="1713">
        <v>0.41</v>
      </c>
      <c r="L63" s="1774">
        <f t="shared" si="1"/>
        <v>6442800.0000000009</v>
      </c>
      <c r="M63" s="1708"/>
      <c r="N63" s="1708"/>
      <c r="O63" s="1708"/>
      <c r="P63" s="1791">
        <f>'Các khoản Thu chi T12'!G101</f>
        <v>10160000</v>
      </c>
      <c r="Q63" s="1708"/>
      <c r="R63" s="1734">
        <f>L63+L64+L65-P63</f>
        <v>3150400.0000000019</v>
      </c>
      <c r="S63" s="1708"/>
    </row>
    <row r="64" spans="1:19" s="24" customFormat="1" ht="13.8" x14ac:dyDescent="0.25">
      <c r="A64" s="1708"/>
      <c r="B64" s="1778"/>
      <c r="C64" s="1708" t="s">
        <v>12</v>
      </c>
      <c r="D64" s="1710" t="s">
        <v>1926</v>
      </c>
      <c r="E64" s="1773" t="s">
        <v>584</v>
      </c>
      <c r="F64" s="1708"/>
      <c r="G64" s="1714" t="s">
        <v>40</v>
      </c>
      <c r="H64" s="1714">
        <v>12</v>
      </c>
      <c r="I64" s="1715">
        <v>485000</v>
      </c>
      <c r="J64" s="1775">
        <f t="shared" si="0"/>
        <v>5820000</v>
      </c>
      <c r="K64" s="1713">
        <v>0.41</v>
      </c>
      <c r="L64" s="1774">
        <f t="shared" si="1"/>
        <v>3433800.0000000005</v>
      </c>
      <c r="M64" s="1708"/>
      <c r="N64" s="1708"/>
      <c r="O64" s="1708"/>
      <c r="P64" s="1791"/>
      <c r="Q64" s="1708"/>
      <c r="R64" s="1708"/>
      <c r="S64" s="1708"/>
    </row>
    <row r="65" spans="1:19" s="24" customFormat="1" ht="13.8" x14ac:dyDescent="0.25">
      <c r="A65" s="1708"/>
      <c r="B65" s="1778"/>
      <c r="C65" s="1708" t="s">
        <v>12</v>
      </c>
      <c r="D65" s="1710" t="s">
        <v>1926</v>
      </c>
      <c r="E65" s="1773" t="s">
        <v>584</v>
      </c>
      <c r="F65" s="1708"/>
      <c r="G65" s="1714" t="s">
        <v>60</v>
      </c>
      <c r="H65" s="1714">
        <v>12</v>
      </c>
      <c r="I65" s="1715">
        <v>485000</v>
      </c>
      <c r="J65" s="1775">
        <f t="shared" si="0"/>
        <v>5820000</v>
      </c>
      <c r="K65" s="1713">
        <v>0.41</v>
      </c>
      <c r="L65" s="1774">
        <f t="shared" si="1"/>
        <v>3433800.0000000005</v>
      </c>
      <c r="M65" s="1708"/>
      <c r="N65" s="1708"/>
      <c r="O65" s="1708"/>
      <c r="P65" s="1791"/>
      <c r="Q65" s="1708"/>
      <c r="R65" s="1708"/>
      <c r="S65" s="1708"/>
    </row>
    <row r="66" spans="1:19" s="24" customFormat="1" ht="13.8" x14ac:dyDescent="0.25">
      <c r="A66" s="1708">
        <v>293</v>
      </c>
      <c r="B66" s="1778" t="s">
        <v>1955</v>
      </c>
      <c r="C66" s="1708" t="s">
        <v>61</v>
      </c>
      <c r="D66" s="1708"/>
      <c r="E66" s="1773"/>
      <c r="F66" s="1708"/>
      <c r="G66" s="1714" t="s">
        <v>46</v>
      </c>
      <c r="H66" s="1714">
        <v>1</v>
      </c>
      <c r="I66" s="1715">
        <v>450000</v>
      </c>
      <c r="J66" s="1775">
        <f t="shared" si="0"/>
        <v>450000</v>
      </c>
      <c r="K66" s="1713">
        <v>0.41</v>
      </c>
      <c r="L66" s="1774">
        <f t="shared" si="1"/>
        <v>265500.00000000006</v>
      </c>
      <c r="M66" s="1708"/>
      <c r="N66" s="1734">
        <f>L66+L67</f>
        <v>533950.00000000012</v>
      </c>
      <c r="O66" s="1708"/>
      <c r="P66" s="1791"/>
      <c r="Q66" s="1708"/>
      <c r="R66" s="1708"/>
      <c r="S66" s="1708"/>
    </row>
    <row r="67" spans="1:19" s="24" customFormat="1" ht="13.8" x14ac:dyDescent="0.25">
      <c r="A67" s="1708"/>
      <c r="B67" s="1778"/>
      <c r="C67" s="1708" t="s">
        <v>61</v>
      </c>
      <c r="D67" s="1708"/>
      <c r="E67" s="1773"/>
      <c r="F67" s="1708"/>
      <c r="G67" s="1714" t="s">
        <v>44</v>
      </c>
      <c r="H67" s="1714">
        <v>1</v>
      </c>
      <c r="I67" s="1715">
        <v>455000</v>
      </c>
      <c r="J67" s="1775">
        <f t="shared" si="0"/>
        <v>455000</v>
      </c>
      <c r="K67" s="1713">
        <v>0.41</v>
      </c>
      <c r="L67" s="1774">
        <f t="shared" si="1"/>
        <v>268450.00000000006</v>
      </c>
      <c r="M67" s="1708"/>
      <c r="N67" s="1708"/>
      <c r="O67" s="1708"/>
      <c r="P67" s="1791"/>
      <c r="Q67" s="1708"/>
      <c r="R67" s="1708"/>
      <c r="S67" s="1708"/>
    </row>
    <row r="68" spans="1:19" s="24" customFormat="1" ht="13.8" x14ac:dyDescent="0.25">
      <c r="A68" s="1708">
        <v>294</v>
      </c>
      <c r="B68" s="1778" t="s">
        <v>1949</v>
      </c>
      <c r="C68" s="1708" t="s">
        <v>12</v>
      </c>
      <c r="D68" s="1708" t="s">
        <v>1933</v>
      </c>
      <c r="E68" s="1709" t="s">
        <v>1953</v>
      </c>
      <c r="F68" s="1709"/>
      <c r="G68" s="1714" t="s">
        <v>31</v>
      </c>
      <c r="H68" s="1714">
        <v>14</v>
      </c>
      <c r="I68" s="1715">
        <f>J68/H68</f>
        <v>227500</v>
      </c>
      <c r="J68" s="1775">
        <v>3185000</v>
      </c>
      <c r="K68" s="1713">
        <v>0.41</v>
      </c>
      <c r="L68" s="1774">
        <f t="shared" si="1"/>
        <v>1879150.0000000002</v>
      </c>
      <c r="M68" s="1708"/>
      <c r="N68" s="1708"/>
      <c r="O68" s="1708"/>
      <c r="P68" s="1791"/>
      <c r="Q68" s="1708"/>
      <c r="R68" s="1734">
        <f>L68+L69</f>
        <v>2852650.0000000005</v>
      </c>
      <c r="S68" s="1708"/>
    </row>
    <row r="69" spans="1:19" s="24" customFormat="1" ht="13.8" x14ac:dyDescent="0.25">
      <c r="A69" s="1708"/>
      <c r="B69" s="1778"/>
      <c r="C69" s="1708" t="s">
        <v>12</v>
      </c>
      <c r="D69" s="1708" t="s">
        <v>1933</v>
      </c>
      <c r="E69" s="1709" t="s">
        <v>1953</v>
      </c>
      <c r="F69" s="1708"/>
      <c r="G69" s="1714" t="s">
        <v>41</v>
      </c>
      <c r="H69" s="1714">
        <v>3</v>
      </c>
      <c r="I69" s="1715">
        <v>550000</v>
      </c>
      <c r="J69" s="1775">
        <f t="shared" si="0"/>
        <v>1650000</v>
      </c>
      <c r="K69" s="1713">
        <v>0.41</v>
      </c>
      <c r="L69" s="1774">
        <f t="shared" si="1"/>
        <v>973500.00000000012</v>
      </c>
      <c r="M69" s="1708"/>
      <c r="N69" s="1708"/>
      <c r="O69" s="1708"/>
      <c r="P69" s="1791"/>
      <c r="Q69" s="1708"/>
      <c r="R69" s="1708"/>
      <c r="S69" s="1708"/>
    </row>
    <row r="70" spans="1:19" s="24" customFormat="1" ht="13.8" x14ac:dyDescent="0.25">
      <c r="A70" s="1708">
        <v>295</v>
      </c>
      <c r="B70" s="1778" t="s">
        <v>1950</v>
      </c>
      <c r="C70" s="1708" t="s">
        <v>12</v>
      </c>
      <c r="D70" s="1708"/>
      <c r="E70" s="1773" t="s">
        <v>1940</v>
      </c>
      <c r="F70" s="1708"/>
      <c r="G70" s="1714" t="s">
        <v>44</v>
      </c>
      <c r="H70" s="1714">
        <v>3</v>
      </c>
      <c r="I70" s="1715">
        <v>455000</v>
      </c>
      <c r="J70" s="1775">
        <f t="shared" si="0"/>
        <v>1365000</v>
      </c>
      <c r="K70" s="1713">
        <v>0.41</v>
      </c>
      <c r="L70" s="1774">
        <f t="shared" si="1"/>
        <v>805350.00000000012</v>
      </c>
      <c r="M70" s="1708"/>
      <c r="N70" s="1734"/>
      <c r="O70" s="1708"/>
      <c r="P70" s="1791"/>
      <c r="Q70" s="1708"/>
      <c r="R70" s="1734">
        <f>L70</f>
        <v>805350.00000000012</v>
      </c>
      <c r="S70" s="1708"/>
    </row>
    <row r="71" spans="1:19" s="24" customFormat="1" ht="13.8" x14ac:dyDescent="0.25">
      <c r="A71" s="1708">
        <v>311</v>
      </c>
      <c r="B71" s="1778" t="s">
        <v>1998</v>
      </c>
      <c r="C71" s="1708" t="s">
        <v>2084</v>
      </c>
      <c r="D71" s="701" t="s">
        <v>817</v>
      </c>
      <c r="E71" s="1773" t="s">
        <v>2087</v>
      </c>
      <c r="F71" s="1708"/>
      <c r="G71" s="1714" t="s">
        <v>31</v>
      </c>
      <c r="H71" s="1714">
        <v>24</v>
      </c>
      <c r="I71" s="1715">
        <v>255000</v>
      </c>
      <c r="J71" s="1775">
        <f t="shared" si="0"/>
        <v>6120000</v>
      </c>
      <c r="K71" s="1713">
        <v>0.41</v>
      </c>
      <c r="L71" s="1774">
        <f t="shared" si="1"/>
        <v>3610800.0000000005</v>
      </c>
      <c r="M71" s="1708"/>
      <c r="N71" s="1708"/>
      <c r="O71" s="1708"/>
      <c r="P71" s="1791"/>
      <c r="Q71" s="1708"/>
      <c r="R71" s="1734">
        <f>L71+L72+L73</f>
        <v>10124400.000000002</v>
      </c>
      <c r="S71" s="1708"/>
    </row>
    <row r="72" spans="1:19" s="24" customFormat="1" ht="13.8" x14ac:dyDescent="0.25">
      <c r="A72" s="1708"/>
      <c r="B72" s="1778"/>
      <c r="C72" s="1708" t="s">
        <v>2084</v>
      </c>
      <c r="D72" s="701" t="s">
        <v>817</v>
      </c>
      <c r="E72" s="1773" t="s">
        <v>2087</v>
      </c>
      <c r="F72" s="1708"/>
      <c r="G72" s="1714" t="s">
        <v>35</v>
      </c>
      <c r="H72" s="1714">
        <v>12</v>
      </c>
      <c r="I72" s="1715">
        <v>455000</v>
      </c>
      <c r="J72" s="1775">
        <f t="shared" si="0"/>
        <v>5460000</v>
      </c>
      <c r="K72" s="1713">
        <v>0.41</v>
      </c>
      <c r="L72" s="1774">
        <f t="shared" si="1"/>
        <v>3221400.0000000005</v>
      </c>
      <c r="M72" s="1708"/>
      <c r="N72" s="1708"/>
      <c r="O72" s="1708"/>
      <c r="P72" s="1791"/>
      <c r="Q72" s="1708"/>
      <c r="R72" s="1708"/>
      <c r="S72" s="1708"/>
    </row>
    <row r="73" spans="1:19" s="24" customFormat="1" ht="13.8" x14ac:dyDescent="0.25">
      <c r="A73" s="1708"/>
      <c r="B73" s="1778"/>
      <c r="C73" s="1708" t="s">
        <v>2084</v>
      </c>
      <c r="D73" s="701" t="s">
        <v>817</v>
      </c>
      <c r="E73" s="1773" t="s">
        <v>2087</v>
      </c>
      <c r="F73" s="1708"/>
      <c r="G73" s="1714" t="s">
        <v>35</v>
      </c>
      <c r="H73" s="1714">
        <v>12</v>
      </c>
      <c r="I73" s="1715">
        <v>465000</v>
      </c>
      <c r="J73" s="1775">
        <f t="shared" si="0"/>
        <v>5580000</v>
      </c>
      <c r="K73" s="1713">
        <v>0.41</v>
      </c>
      <c r="L73" s="1774">
        <f t="shared" si="1"/>
        <v>3292200.0000000005</v>
      </c>
      <c r="M73" s="1708"/>
      <c r="N73" s="1708"/>
      <c r="O73" s="1708"/>
      <c r="P73" s="1791"/>
      <c r="Q73" s="1708"/>
      <c r="R73" s="1708"/>
      <c r="S73" s="1708"/>
    </row>
    <row r="74" spans="1:19" s="24" customFormat="1" ht="13.8" x14ac:dyDescent="0.25">
      <c r="A74" s="1708">
        <v>313</v>
      </c>
      <c r="B74" s="1778" t="s">
        <v>1956</v>
      </c>
      <c r="C74" s="1708" t="s">
        <v>12</v>
      </c>
      <c r="D74" s="1710" t="s">
        <v>1926</v>
      </c>
      <c r="E74" s="1773" t="s">
        <v>584</v>
      </c>
      <c r="F74" s="1718"/>
      <c r="G74" s="1714" t="s">
        <v>33</v>
      </c>
      <c r="H74" s="1714">
        <v>12</v>
      </c>
      <c r="I74" s="1715">
        <v>455000</v>
      </c>
      <c r="J74" s="1775">
        <f t="shared" si="0"/>
        <v>5460000</v>
      </c>
      <c r="K74" s="1732">
        <v>0.41</v>
      </c>
      <c r="L74" s="1775">
        <f t="shared" si="1"/>
        <v>3221400.0000000005</v>
      </c>
      <c r="M74" s="1718"/>
      <c r="N74" s="1718"/>
      <c r="O74" s="1718"/>
      <c r="P74" s="1720"/>
      <c r="Q74" s="1718"/>
      <c r="R74" s="1734">
        <f>L74+L75+L76</f>
        <v>9947400.0000000019</v>
      </c>
      <c r="S74" s="1708" t="s">
        <v>1957</v>
      </c>
    </row>
    <row r="75" spans="1:19" s="24" customFormat="1" ht="13.8" x14ac:dyDescent="0.25">
      <c r="A75" s="1708"/>
      <c r="B75" s="1779"/>
      <c r="C75" s="1708" t="s">
        <v>12</v>
      </c>
      <c r="D75" s="1710" t="s">
        <v>1926</v>
      </c>
      <c r="E75" s="1773" t="s">
        <v>584</v>
      </c>
      <c r="F75" s="1718"/>
      <c r="G75" s="1714" t="s">
        <v>35</v>
      </c>
      <c r="H75" s="1714">
        <v>12</v>
      </c>
      <c r="I75" s="1715">
        <v>465000</v>
      </c>
      <c r="J75" s="1775">
        <f t="shared" si="0"/>
        <v>5580000</v>
      </c>
      <c r="K75" s="1732">
        <v>0.41</v>
      </c>
      <c r="L75" s="1775">
        <f t="shared" si="1"/>
        <v>3292200.0000000005</v>
      </c>
      <c r="M75" s="1718"/>
      <c r="N75" s="1718"/>
      <c r="O75" s="1718"/>
      <c r="P75" s="1720"/>
      <c r="Q75" s="1718"/>
      <c r="R75" s="1718"/>
      <c r="S75" s="1718"/>
    </row>
    <row r="76" spans="1:19" s="24" customFormat="1" ht="13.8" x14ac:dyDescent="0.25">
      <c r="A76" s="1708"/>
      <c r="B76" s="1779"/>
      <c r="C76" s="1708" t="s">
        <v>12</v>
      </c>
      <c r="D76" s="1710" t="s">
        <v>1926</v>
      </c>
      <c r="E76" s="1773" t="s">
        <v>584</v>
      </c>
      <c r="F76" s="1718"/>
      <c r="G76" s="1714" t="s">
        <v>40</v>
      </c>
      <c r="H76" s="1714">
        <v>12</v>
      </c>
      <c r="I76" s="1715">
        <v>485000</v>
      </c>
      <c r="J76" s="1775">
        <f t="shared" si="0"/>
        <v>5820000</v>
      </c>
      <c r="K76" s="1732">
        <v>0.41</v>
      </c>
      <c r="L76" s="1775">
        <f t="shared" si="1"/>
        <v>3433800.0000000005</v>
      </c>
      <c r="M76" s="1718"/>
      <c r="N76" s="1718"/>
      <c r="O76" s="1718"/>
      <c r="P76" s="1720"/>
      <c r="Q76" s="1718"/>
      <c r="R76" s="1718"/>
      <c r="S76" s="1718"/>
    </row>
    <row r="77" spans="1:19" s="24" customFormat="1" ht="13.8" x14ac:dyDescent="0.25">
      <c r="A77" s="1708">
        <v>314</v>
      </c>
      <c r="B77" s="1780" t="s">
        <v>2061</v>
      </c>
      <c r="C77" s="1708"/>
      <c r="D77" s="1781" t="s">
        <v>2088</v>
      </c>
      <c r="E77" s="1773" t="s">
        <v>2089</v>
      </c>
      <c r="F77" s="1708"/>
      <c r="G77" s="1714" t="s">
        <v>35</v>
      </c>
      <c r="H77" s="1714">
        <v>36</v>
      </c>
      <c r="I77" s="1715">
        <v>465000</v>
      </c>
      <c r="J77" s="1775">
        <f t="shared" si="0"/>
        <v>16740000</v>
      </c>
      <c r="K77" s="1732">
        <v>0.41</v>
      </c>
      <c r="L77" s="1775">
        <f t="shared" si="1"/>
        <v>9876600.0000000019</v>
      </c>
      <c r="M77" s="1708"/>
      <c r="N77" s="1708"/>
      <c r="O77" s="1708"/>
      <c r="P77" s="1791"/>
      <c r="Q77" s="1708"/>
      <c r="R77" s="1734">
        <f>L77+L78+L79+L80+L81+L82</f>
        <v>51294600.000000007</v>
      </c>
      <c r="S77" s="1708"/>
    </row>
    <row r="78" spans="1:19" s="24" customFormat="1" ht="13.8" x14ac:dyDescent="0.25">
      <c r="A78" s="1708"/>
      <c r="B78" s="1780"/>
      <c r="C78" s="1708"/>
      <c r="D78" s="1781" t="s">
        <v>2088</v>
      </c>
      <c r="E78" s="1773" t="s">
        <v>2089</v>
      </c>
      <c r="F78" s="1708"/>
      <c r="G78" s="1714" t="s">
        <v>37</v>
      </c>
      <c r="H78" s="1714">
        <v>12</v>
      </c>
      <c r="I78" s="1715">
        <v>475000</v>
      </c>
      <c r="J78" s="1775">
        <f t="shared" si="0"/>
        <v>5700000</v>
      </c>
      <c r="K78" s="1732">
        <v>0.41</v>
      </c>
      <c r="L78" s="1775">
        <f t="shared" ref="L78:L82" si="2">H78*I78*(1-K78)</f>
        <v>3363000.0000000005</v>
      </c>
      <c r="M78" s="1708"/>
      <c r="N78" s="1708"/>
      <c r="O78" s="1708"/>
      <c r="P78" s="1791"/>
      <c r="Q78" s="1708"/>
      <c r="R78" s="1708"/>
      <c r="S78" s="1708"/>
    </row>
    <row r="79" spans="1:19" s="24" customFormat="1" ht="13.8" x14ac:dyDescent="0.25">
      <c r="A79" s="1708"/>
      <c r="B79" s="1780"/>
      <c r="C79" s="1708"/>
      <c r="D79" s="1781" t="s">
        <v>2088</v>
      </c>
      <c r="E79" s="1773" t="s">
        <v>2089</v>
      </c>
      <c r="F79" s="1708"/>
      <c r="G79" s="1714" t="s">
        <v>40</v>
      </c>
      <c r="H79" s="1714">
        <v>36</v>
      </c>
      <c r="I79" s="1715">
        <v>485000</v>
      </c>
      <c r="J79" s="1775">
        <f t="shared" si="0"/>
        <v>17460000</v>
      </c>
      <c r="K79" s="1732">
        <v>0.41</v>
      </c>
      <c r="L79" s="1775">
        <f t="shared" si="2"/>
        <v>10301400.000000002</v>
      </c>
      <c r="M79" s="1708"/>
      <c r="N79" s="1708"/>
      <c r="O79" s="1708"/>
      <c r="P79" s="1791"/>
      <c r="Q79" s="1708"/>
      <c r="R79" s="1708"/>
      <c r="S79" s="1708"/>
    </row>
    <row r="80" spans="1:19" s="24" customFormat="1" ht="13.8" x14ac:dyDescent="0.25">
      <c r="A80" s="1708"/>
      <c r="B80" s="1780"/>
      <c r="C80" s="1708"/>
      <c r="D80" s="1781" t="s">
        <v>2088</v>
      </c>
      <c r="E80" s="1773" t="s">
        <v>2089</v>
      </c>
      <c r="F80" s="1708"/>
      <c r="G80" s="1714" t="s">
        <v>60</v>
      </c>
      <c r="H80" s="1714">
        <v>24</v>
      </c>
      <c r="I80" s="1715">
        <v>485000</v>
      </c>
      <c r="J80" s="1775">
        <f t="shared" si="0"/>
        <v>11640000</v>
      </c>
      <c r="K80" s="1732">
        <v>0.41</v>
      </c>
      <c r="L80" s="1775">
        <f t="shared" si="2"/>
        <v>6867600.0000000009</v>
      </c>
      <c r="M80" s="1708"/>
      <c r="N80" s="1708"/>
      <c r="O80" s="1708"/>
      <c r="P80" s="1791"/>
      <c r="Q80" s="1708"/>
      <c r="R80" s="1708"/>
      <c r="S80" s="1708"/>
    </row>
    <row r="81" spans="1:19" s="24" customFormat="1" ht="13.8" x14ac:dyDescent="0.25">
      <c r="A81" s="1708"/>
      <c r="B81" s="1780"/>
      <c r="C81" s="1708"/>
      <c r="D81" s="1781" t="s">
        <v>2088</v>
      </c>
      <c r="E81" s="1773" t="s">
        <v>2089</v>
      </c>
      <c r="F81" s="1708"/>
      <c r="G81" s="1714" t="s">
        <v>41</v>
      </c>
      <c r="H81" s="1714">
        <v>48</v>
      </c>
      <c r="I81" s="1715">
        <v>550000</v>
      </c>
      <c r="J81" s="1775">
        <f t="shared" si="0"/>
        <v>26400000</v>
      </c>
      <c r="K81" s="1732">
        <v>0.41</v>
      </c>
      <c r="L81" s="1775">
        <f t="shared" si="2"/>
        <v>15576000.000000002</v>
      </c>
      <c r="M81" s="1708"/>
      <c r="N81" s="1708"/>
      <c r="O81" s="1708"/>
      <c r="P81" s="1791"/>
      <c r="Q81" s="1708"/>
      <c r="R81" s="1708"/>
      <c r="S81" s="1708"/>
    </row>
    <row r="82" spans="1:19" s="24" customFormat="1" ht="13.8" x14ac:dyDescent="0.25">
      <c r="A82" s="1708"/>
      <c r="B82" s="1780"/>
      <c r="C82" s="1708"/>
      <c r="D82" s="1781" t="s">
        <v>2088</v>
      </c>
      <c r="E82" s="1773" t="s">
        <v>2089</v>
      </c>
      <c r="F82" s="1708"/>
      <c r="G82" s="1714" t="s">
        <v>46</v>
      </c>
      <c r="H82" s="1714">
        <v>20</v>
      </c>
      <c r="I82" s="1715">
        <v>450000</v>
      </c>
      <c r="J82" s="1775">
        <f t="shared" si="0"/>
        <v>9000000</v>
      </c>
      <c r="K82" s="1732">
        <v>0.41</v>
      </c>
      <c r="L82" s="1775">
        <f t="shared" si="2"/>
        <v>5310000.0000000009</v>
      </c>
      <c r="M82" s="1708"/>
      <c r="N82" s="1708"/>
      <c r="O82" s="1708"/>
      <c r="P82" s="1791"/>
      <c r="Q82" s="1708"/>
      <c r="R82" s="1708"/>
      <c r="S82" s="1708"/>
    </row>
    <row r="83" spans="1:19" x14ac:dyDescent="0.3">
      <c r="A83" s="2275" t="s">
        <v>2</v>
      </c>
      <c r="B83" s="2276"/>
      <c r="C83" s="2276"/>
      <c r="D83" s="2276"/>
      <c r="E83" s="2276"/>
      <c r="F83" s="2276"/>
      <c r="G83" s="2277"/>
      <c r="H83" s="1857">
        <f>SUM(H7:H82)</f>
        <v>690</v>
      </c>
      <c r="I83" s="1857"/>
      <c r="J83" s="1858">
        <f>SUM(J7:J82)</f>
        <v>304880000</v>
      </c>
      <c r="K83" s="1857"/>
      <c r="L83" s="1858">
        <f>SUM(L7:L82)</f>
        <v>174939600</v>
      </c>
      <c r="M83" s="1857"/>
      <c r="N83" s="1859">
        <f>SUM(N7:N82)</f>
        <v>4908300</v>
      </c>
      <c r="O83" s="1857"/>
      <c r="P83" s="1859">
        <f>SUM(P7:P82)</f>
        <v>10160000</v>
      </c>
      <c r="Q83" s="1857"/>
      <c r="R83" s="1859">
        <f>SUM(R7:R82)</f>
        <v>159871300.00000003</v>
      </c>
      <c r="S83" s="1857"/>
    </row>
    <row r="84" spans="1:19" x14ac:dyDescent="0.3">
      <c r="A84" s="2273" t="s">
        <v>2309</v>
      </c>
      <c r="B84" s="2274"/>
      <c r="C84" s="2274"/>
      <c r="D84" s="2274"/>
      <c r="E84" s="2274"/>
      <c r="F84" s="2274"/>
      <c r="G84" s="2274"/>
      <c r="H84" s="1857">
        <f>H83</f>
        <v>690</v>
      </c>
      <c r="I84" s="1857"/>
      <c r="J84" s="1857"/>
      <c r="K84" s="1857"/>
      <c r="L84" s="1858">
        <f>L83</f>
        <v>174939600</v>
      </c>
      <c r="M84" s="1857"/>
      <c r="N84" s="1857"/>
      <c r="O84" s="1857"/>
      <c r="P84" s="1857"/>
      <c r="Q84" s="1857"/>
      <c r="R84" s="1857"/>
      <c r="S84" s="1857"/>
    </row>
    <row r="85" spans="1:19" x14ac:dyDescent="0.3">
      <c r="A85" s="2273" t="s">
        <v>1474</v>
      </c>
      <c r="B85" s="2274"/>
      <c r="C85" s="2274"/>
      <c r="D85" s="2274"/>
      <c r="E85" s="2274"/>
      <c r="F85" s="2274"/>
      <c r="G85" s="2274"/>
      <c r="H85" s="1857"/>
      <c r="I85" s="1857"/>
      <c r="J85" s="1857"/>
      <c r="K85" s="1857"/>
      <c r="L85" s="1860">
        <f>N83</f>
        <v>4908300</v>
      </c>
      <c r="M85" s="1857"/>
      <c r="N85" s="1857"/>
      <c r="O85" s="1857"/>
      <c r="P85" s="1857"/>
      <c r="Q85" s="1857"/>
      <c r="R85" s="1857"/>
      <c r="S85" s="1857"/>
    </row>
    <row r="86" spans="1:19" x14ac:dyDescent="0.3">
      <c r="A86" s="2273" t="s">
        <v>1882</v>
      </c>
      <c r="B86" s="2274"/>
      <c r="C86" s="2274"/>
      <c r="D86" s="2274"/>
      <c r="E86" s="2274"/>
      <c r="F86" s="2274"/>
      <c r="G86" s="2274"/>
      <c r="H86" s="1857"/>
      <c r="I86" s="1857"/>
      <c r="J86" s="1857"/>
      <c r="K86" s="1857"/>
      <c r="L86" s="1860">
        <f>P83</f>
        <v>10160000</v>
      </c>
      <c r="M86" s="1857"/>
      <c r="N86" s="1857"/>
      <c r="O86" s="1857"/>
      <c r="P86" s="1857"/>
      <c r="Q86" s="1857"/>
      <c r="R86" s="1857"/>
      <c r="S86" s="1857"/>
    </row>
    <row r="87" spans="1:19" x14ac:dyDescent="0.3">
      <c r="A87" s="2273" t="s">
        <v>1475</v>
      </c>
      <c r="B87" s="2274"/>
      <c r="C87" s="2274"/>
      <c r="D87" s="2274"/>
      <c r="E87" s="2274"/>
      <c r="F87" s="2274"/>
      <c r="G87" s="2274"/>
      <c r="H87" s="1857"/>
      <c r="I87" s="1857"/>
      <c r="J87" s="1857"/>
      <c r="K87" s="1857"/>
      <c r="L87" s="1860">
        <f>R83</f>
        <v>159871300.00000003</v>
      </c>
      <c r="M87" s="1857"/>
      <c r="N87" s="1857"/>
      <c r="O87" s="1857"/>
      <c r="P87" s="1857"/>
      <c r="Q87" s="1857"/>
      <c r="R87" s="1857"/>
      <c r="S87" s="1857"/>
    </row>
    <row r="88" spans="1:19" x14ac:dyDescent="0.3">
      <c r="L88" s="1856">
        <f>L83-N83-P83-R83</f>
        <v>0</v>
      </c>
    </row>
  </sheetData>
  <mergeCells count="15">
    <mergeCell ref="A84:G84"/>
    <mergeCell ref="A85:G85"/>
    <mergeCell ref="A86:G86"/>
    <mergeCell ref="A87:G87"/>
    <mergeCell ref="A83:G83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</mergeCells>
  <pageMargins left="0.7" right="0.7" top="0.75" bottom="0.75" header="0.3" footer="0.3"/>
  <pageSetup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20" sqref="B20"/>
    </sheetView>
  </sheetViews>
  <sheetFormatPr defaultColWidth="9" defaultRowHeight="13.8" x14ac:dyDescent="0.25"/>
  <cols>
    <col min="1" max="1" width="5.109375" style="24" customWidth="1"/>
    <col min="2" max="2" width="28.88671875" style="24" customWidth="1"/>
    <col min="3" max="3" width="10" style="24" customWidth="1"/>
    <col min="4" max="4" width="12.88671875" style="24" customWidth="1"/>
    <col min="5" max="5" width="15.5546875" style="24" customWidth="1"/>
    <col min="6" max="6" width="17.33203125" style="24" customWidth="1"/>
    <col min="7" max="7" width="16.33203125" style="24" customWidth="1"/>
    <col min="8" max="8" width="17.33203125" style="24" customWidth="1"/>
    <col min="9" max="9" width="9.33203125" style="24" customWidth="1"/>
    <col min="10" max="10" width="11.44140625" style="24" bestFit="1" customWidth="1"/>
    <col min="11" max="16384" width="9" style="24"/>
  </cols>
  <sheetData>
    <row r="1" spans="1:12" x14ac:dyDescent="0.25">
      <c r="A1" s="1991" t="s">
        <v>3</v>
      </c>
      <c r="B1" s="1991"/>
      <c r="C1" s="1991"/>
      <c r="D1" s="1991"/>
      <c r="E1" s="2190" t="s">
        <v>4</v>
      </c>
      <c r="F1" s="2190"/>
      <c r="G1" s="2190"/>
      <c r="H1" s="2190"/>
      <c r="I1" s="2190"/>
      <c r="L1" s="25"/>
    </row>
    <row r="2" spans="1:12" x14ac:dyDescent="0.25">
      <c r="A2" s="26" t="s">
        <v>5</v>
      </c>
      <c r="B2" s="26"/>
      <c r="C2" s="26"/>
      <c r="D2" s="26"/>
      <c r="E2" s="2279" t="s">
        <v>6</v>
      </c>
      <c r="F2" s="2279"/>
      <c r="G2" s="2279"/>
      <c r="H2" s="2279"/>
      <c r="I2" s="2279"/>
      <c r="L2" s="25"/>
    </row>
    <row r="4" spans="1:12" ht="16.8" x14ac:dyDescent="0.3">
      <c r="A4" s="2282" t="s">
        <v>2113</v>
      </c>
      <c r="B4" s="2282"/>
      <c r="C4" s="2282"/>
      <c r="D4" s="2282"/>
      <c r="E4" s="2282"/>
      <c r="F4" s="2282"/>
      <c r="G4" s="2282"/>
      <c r="H4" s="2282"/>
      <c r="I4" s="2282"/>
    </row>
    <row r="5" spans="1:12" x14ac:dyDescent="0.25">
      <c r="F5" s="2283" t="s">
        <v>2114</v>
      </c>
      <c r="G5" s="2283"/>
      <c r="H5" s="2283"/>
      <c r="I5" s="2283"/>
    </row>
    <row r="6" spans="1:12" ht="14.4" thickBot="1" x14ac:dyDescent="0.3">
      <c r="F6" s="1912"/>
      <c r="G6" s="1912"/>
      <c r="H6" s="1912"/>
      <c r="I6" s="1912"/>
    </row>
    <row r="7" spans="1:12" ht="55.5" customHeight="1" thickTop="1" x14ac:dyDescent="0.25">
      <c r="A7" s="69" t="s">
        <v>0</v>
      </c>
      <c r="B7" s="70" t="s">
        <v>91</v>
      </c>
      <c r="C7" s="71" t="s">
        <v>87</v>
      </c>
      <c r="D7" s="71" t="s">
        <v>156</v>
      </c>
      <c r="E7" s="71" t="s">
        <v>157</v>
      </c>
      <c r="F7" s="1994" t="s">
        <v>158</v>
      </c>
      <c r="G7" s="1995" t="s">
        <v>2331</v>
      </c>
      <c r="H7" s="1995" t="s">
        <v>1028</v>
      </c>
      <c r="I7" s="1996" t="s">
        <v>1</v>
      </c>
    </row>
    <row r="8" spans="1:12" x14ac:dyDescent="0.25">
      <c r="A8" s="1876">
        <v>1</v>
      </c>
      <c r="B8" s="67" t="s">
        <v>155</v>
      </c>
      <c r="C8" s="67">
        <f>'DTT7'!H63</f>
        <v>213</v>
      </c>
      <c r="D8" s="82">
        <f>'DTT7'!L64</f>
        <v>35944200</v>
      </c>
      <c r="E8" s="82">
        <f>'DTT7'!L65</f>
        <v>13346750.000000002</v>
      </c>
      <c r="F8" s="82">
        <f>'DTT7'!L66</f>
        <v>5061200</v>
      </c>
      <c r="G8" s="84">
        <v>867000000</v>
      </c>
      <c r="H8" s="84">
        <f>SUM(D8:F8)</f>
        <v>54352150</v>
      </c>
      <c r="I8" s="68"/>
      <c r="J8" s="97"/>
    </row>
    <row r="9" spans="1:12" x14ac:dyDescent="0.25">
      <c r="A9" s="1877">
        <v>2</v>
      </c>
      <c r="B9" s="67" t="s">
        <v>159</v>
      </c>
      <c r="C9" s="59">
        <f>'DTT8'!H119</f>
        <v>714</v>
      </c>
      <c r="D9" s="83">
        <f>'DTT8'!N119</f>
        <v>25316750</v>
      </c>
      <c r="E9" s="83">
        <f>'DTT8'!P119</f>
        <v>56911900</v>
      </c>
      <c r="F9" s="83">
        <f>'DTT8'!R119</f>
        <v>87508050</v>
      </c>
      <c r="G9" s="84"/>
      <c r="H9" s="84">
        <f>SUM(D9:F9)</f>
        <v>169736700</v>
      </c>
      <c r="I9" s="60"/>
    </row>
    <row r="10" spans="1:12" x14ac:dyDescent="0.25">
      <c r="A10" s="1877">
        <v>3</v>
      </c>
      <c r="B10" s="67" t="s">
        <v>760</v>
      </c>
      <c r="C10" s="59">
        <f>'DTT9'!H117</f>
        <v>1234</v>
      </c>
      <c r="D10" s="83">
        <f>'DTT9'!L118</f>
        <v>13070600</v>
      </c>
      <c r="E10" s="83">
        <f>'DTT9'!L119</f>
        <v>24742200</v>
      </c>
      <c r="F10" s="83">
        <f>'DTT9'!L120</f>
        <v>238316100</v>
      </c>
      <c r="G10" s="84"/>
      <c r="H10" s="84">
        <f t="shared" ref="H10:H12" si="0">SUM(D10:F10)</f>
        <v>276128900</v>
      </c>
      <c r="I10" s="60"/>
    </row>
    <row r="11" spans="1:12" x14ac:dyDescent="0.25">
      <c r="A11" s="1877">
        <v>4</v>
      </c>
      <c r="B11" s="67" t="s">
        <v>1027</v>
      </c>
      <c r="C11" s="59">
        <f>'DTT10'!H181</f>
        <v>1433</v>
      </c>
      <c r="D11" s="83">
        <f>'DTT10'!N181</f>
        <v>6974300</v>
      </c>
      <c r="E11" s="83">
        <f>'DTT10'!P181</f>
        <v>26192050</v>
      </c>
      <c r="F11" s="83">
        <f>'DTT10'!R181</f>
        <v>312176600</v>
      </c>
      <c r="G11" s="84"/>
      <c r="H11" s="84">
        <f t="shared" si="0"/>
        <v>345342950</v>
      </c>
      <c r="I11" s="60"/>
    </row>
    <row r="12" spans="1:12" ht="27.6" x14ac:dyDescent="0.25">
      <c r="A12" s="1877">
        <v>5</v>
      </c>
      <c r="B12" s="67" t="s">
        <v>2322</v>
      </c>
      <c r="C12" s="1916">
        <f>'DTT11'!H157</f>
        <v>1319</v>
      </c>
      <c r="D12" s="83">
        <f>'DTT11'!N157</f>
        <v>3960600</v>
      </c>
      <c r="E12" s="83">
        <f>'DTT11'!P157</f>
        <v>1357500</v>
      </c>
      <c r="F12" s="83">
        <f>'DTT11'!R157</f>
        <v>349931000</v>
      </c>
      <c r="G12" s="84"/>
      <c r="H12" s="84">
        <f t="shared" si="0"/>
        <v>355249100</v>
      </c>
      <c r="I12" s="60"/>
    </row>
    <row r="13" spans="1:12" x14ac:dyDescent="0.25">
      <c r="A13" s="1878">
        <v>6</v>
      </c>
      <c r="B13" s="1787" t="s">
        <v>2105</v>
      </c>
      <c r="C13" s="1787">
        <f>'DTT12'!H83</f>
        <v>690</v>
      </c>
      <c r="D13" s="1788">
        <f>'DTT12'!N83</f>
        <v>4908300</v>
      </c>
      <c r="E13" s="1788">
        <v>10160000</v>
      </c>
      <c r="F13" s="1788">
        <f>'DTT12'!R83</f>
        <v>159871300.00000003</v>
      </c>
      <c r="G13" s="1789">
        <f>96718000-10160000</f>
        <v>86558000</v>
      </c>
      <c r="H13" s="84">
        <f>'DTT12'!L83</f>
        <v>174939600</v>
      </c>
      <c r="I13" s="1790"/>
    </row>
    <row r="14" spans="1:12" x14ac:dyDescent="0.25">
      <c r="A14" s="1878">
        <v>7</v>
      </c>
      <c r="B14" s="1787" t="s">
        <v>2112</v>
      </c>
      <c r="C14" s="1913">
        <f>[2]DTT1!$H$116</f>
        <v>1788</v>
      </c>
      <c r="D14" s="1788">
        <f>[2]DTT1!$N$116</f>
        <v>0</v>
      </c>
      <c r="E14" s="1788">
        <f>[2]DTT1!$P$116</f>
        <v>0</v>
      </c>
      <c r="F14" s="1788">
        <f>[2]DTT1!$R$116</f>
        <v>0</v>
      </c>
      <c r="G14" s="1789">
        <v>154904000</v>
      </c>
      <c r="H14" s="1789">
        <f>[2]DTT1!$L$116</f>
        <v>484501800.00000006</v>
      </c>
      <c r="I14" s="1790"/>
    </row>
    <row r="15" spans="1:12" ht="36" customHeight="1" thickBot="1" x14ac:dyDescent="0.3">
      <c r="A15" s="2280" t="s">
        <v>2116</v>
      </c>
      <c r="B15" s="2281"/>
      <c r="C15" s="522">
        <f t="shared" ref="C15:H15" si="1">SUM(C8:C14)</f>
        <v>7391</v>
      </c>
      <c r="D15" s="523">
        <f t="shared" si="1"/>
        <v>90174750</v>
      </c>
      <c r="E15" s="523">
        <f t="shared" si="1"/>
        <v>132710400</v>
      </c>
      <c r="F15" s="523">
        <f t="shared" si="1"/>
        <v>1152864250</v>
      </c>
      <c r="G15" s="523">
        <f t="shared" si="1"/>
        <v>1108462000</v>
      </c>
      <c r="H15" s="523">
        <f t="shared" si="1"/>
        <v>1860251200</v>
      </c>
      <c r="I15" s="65"/>
    </row>
    <row r="16" spans="1:12" ht="14.4" thickTop="1" x14ac:dyDescent="0.25">
      <c r="A16" s="96"/>
      <c r="H16" s="97"/>
    </row>
    <row r="18" spans="2:9" x14ac:dyDescent="0.25">
      <c r="B18" s="2190" t="s">
        <v>2115</v>
      </c>
      <c r="C18" s="2190"/>
      <c r="E18" s="2190" t="s">
        <v>293</v>
      </c>
      <c r="F18" s="2190"/>
      <c r="G18" s="2190"/>
      <c r="H18" s="2190"/>
      <c r="I18" s="2190"/>
    </row>
    <row r="19" spans="2:9" x14ac:dyDescent="0.25">
      <c r="B19" s="2278" t="s">
        <v>2333</v>
      </c>
      <c r="C19" s="2278"/>
      <c r="E19" s="2278" t="s">
        <v>2332</v>
      </c>
      <c r="F19" s="2278"/>
      <c r="G19" s="2278"/>
      <c r="H19" s="2278"/>
      <c r="I19" s="2278"/>
    </row>
    <row r="21" spans="2:9" x14ac:dyDescent="0.25">
      <c r="F21" s="97"/>
    </row>
  </sheetData>
  <mergeCells count="9">
    <mergeCell ref="B19:C19"/>
    <mergeCell ref="E19:I19"/>
    <mergeCell ref="E18:I18"/>
    <mergeCell ref="E1:I1"/>
    <mergeCell ref="E2:I2"/>
    <mergeCell ref="A15:B15"/>
    <mergeCell ref="A4:I4"/>
    <mergeCell ref="F5:I5"/>
    <mergeCell ref="B18:C18"/>
  </mergeCells>
  <pageMargins left="0.70866141732283505" right="0.31496062992126" top="0.74803149606299202" bottom="0.74803149606299202" header="0.31496062992126" footer="0.31496062992126"/>
  <pageSetup paperSize="9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13" zoomScaleNormal="100" workbookViewId="0">
      <selection activeCell="D28" sqref="D28"/>
    </sheetView>
  </sheetViews>
  <sheetFormatPr defaultColWidth="9" defaultRowHeight="13.8" x14ac:dyDescent="0.25"/>
  <cols>
    <col min="1" max="1" width="5.109375" style="24" customWidth="1"/>
    <col min="2" max="2" width="28.88671875" style="24" customWidth="1"/>
    <col min="3" max="3" width="11" style="24" customWidth="1"/>
    <col min="4" max="4" width="17.6640625" style="24" customWidth="1"/>
    <col min="5" max="5" width="19.5546875" style="24" customWidth="1"/>
    <col min="6" max="6" width="20.88671875" style="24" customWidth="1"/>
    <col min="7" max="7" width="23.88671875" style="24" customWidth="1"/>
    <col min="8" max="8" width="21" style="24" customWidth="1"/>
    <col min="9" max="9" width="21.44140625" style="24" customWidth="1"/>
    <col min="10" max="10" width="11.44140625" style="24" bestFit="1" customWidth="1"/>
    <col min="11" max="16384" width="9" style="24"/>
  </cols>
  <sheetData>
    <row r="1" spans="1:12" ht="20.399999999999999" x14ac:dyDescent="0.35">
      <c r="A1" s="1959" t="s">
        <v>3</v>
      </c>
      <c r="B1" s="1959"/>
      <c r="C1" s="1959"/>
      <c r="D1" s="1959"/>
      <c r="E1" s="2176" t="s">
        <v>4</v>
      </c>
      <c r="F1" s="2176"/>
      <c r="G1" s="2176"/>
      <c r="H1" s="2176"/>
      <c r="I1" s="2176"/>
      <c r="L1" s="25"/>
    </row>
    <row r="2" spans="1:12" ht="21" x14ac:dyDescent="0.25">
      <c r="A2" s="1961" t="s">
        <v>5</v>
      </c>
      <c r="B2" s="1961"/>
      <c r="C2" s="1961"/>
      <c r="D2" s="1961"/>
      <c r="E2" s="2285" t="s">
        <v>6</v>
      </c>
      <c r="F2" s="2285"/>
      <c r="G2" s="2285"/>
      <c r="H2" s="2285"/>
      <c r="I2" s="2285"/>
      <c r="L2" s="25"/>
    </row>
    <row r="3" spans="1:12" ht="21" x14ac:dyDescent="0.4">
      <c r="A3" s="1960"/>
      <c r="B3" s="1960"/>
      <c r="C3" s="1960"/>
      <c r="D3" s="1960"/>
      <c r="E3" s="1960"/>
      <c r="F3" s="1960"/>
      <c r="G3" s="1960"/>
      <c r="H3" s="1960"/>
      <c r="I3" s="1960"/>
    </row>
    <row r="4" spans="1:12" ht="22.8" x14ac:dyDescent="0.4">
      <c r="A4" s="2286" t="s">
        <v>2334</v>
      </c>
      <c r="B4" s="2286"/>
      <c r="C4" s="2286"/>
      <c r="D4" s="2286"/>
      <c r="E4" s="2286"/>
      <c r="F4" s="2286"/>
      <c r="G4" s="2286"/>
      <c r="H4" s="2286"/>
      <c r="I4" s="2286"/>
    </row>
    <row r="5" spans="1:12" ht="22.8" x14ac:dyDescent="0.4">
      <c r="A5" s="1988"/>
      <c r="B5" s="1988"/>
      <c r="C5" s="1988"/>
      <c r="D5" s="1988"/>
      <c r="E5" s="1988"/>
      <c r="F5" s="2287" t="s">
        <v>2117</v>
      </c>
      <c r="G5" s="2287"/>
      <c r="H5" s="2287"/>
      <c r="I5" s="2287"/>
    </row>
    <row r="6" spans="1:12" ht="23.4" thickBot="1" x14ac:dyDescent="0.45">
      <c r="A6" s="1988"/>
      <c r="B6" s="1988"/>
      <c r="C6" s="1988"/>
      <c r="D6" s="1988"/>
      <c r="E6" s="1988"/>
      <c r="F6" s="1989"/>
      <c r="G6" s="1990"/>
      <c r="H6" s="1989"/>
      <c r="I6" s="1989"/>
    </row>
    <row r="7" spans="1:12" ht="55.5" customHeight="1" thickTop="1" x14ac:dyDescent="0.25">
      <c r="A7" s="1962" t="s">
        <v>0</v>
      </c>
      <c r="B7" s="1963" t="s">
        <v>91</v>
      </c>
      <c r="C7" s="1964" t="s">
        <v>87</v>
      </c>
      <c r="D7" s="1964" t="s">
        <v>156</v>
      </c>
      <c r="E7" s="1965" t="s">
        <v>157</v>
      </c>
      <c r="F7" s="1992" t="s">
        <v>158</v>
      </c>
      <c r="G7" s="1965" t="s">
        <v>1922</v>
      </c>
      <c r="H7" s="1964" t="s">
        <v>1923</v>
      </c>
      <c r="I7" s="1993" t="s">
        <v>1</v>
      </c>
    </row>
    <row r="8" spans="1:12" ht="42" x14ac:dyDescent="0.4">
      <c r="A8" s="1966">
        <v>1</v>
      </c>
      <c r="B8" s="1967" t="s">
        <v>155</v>
      </c>
      <c r="C8" s="1968">
        <f>'DTT7'!H63</f>
        <v>213</v>
      </c>
      <c r="D8" s="1969">
        <f>'DTT7'!L64</f>
        <v>35944200</v>
      </c>
      <c r="E8" s="1969">
        <f>'DTT7'!L65</f>
        <v>13346750.000000002</v>
      </c>
      <c r="F8" s="1969">
        <f>'DTT7'!L66</f>
        <v>5061200</v>
      </c>
      <c r="G8" s="1970">
        <f>SUM('Thu chi thực te từ T5-&gt; 31.0120'!F275:F282)</f>
        <v>867000000</v>
      </c>
      <c r="H8" s="1970">
        <f>F15-G15</f>
        <v>44402250</v>
      </c>
      <c r="I8" s="1971"/>
      <c r="J8" s="97"/>
    </row>
    <row r="9" spans="1:12" ht="42" x14ac:dyDescent="0.4">
      <c r="A9" s="1972">
        <v>2</v>
      </c>
      <c r="B9" s="1967" t="s">
        <v>159</v>
      </c>
      <c r="C9" s="1973">
        <f>'DTT8'!H119</f>
        <v>714</v>
      </c>
      <c r="D9" s="1974">
        <f>'DTT8'!N119</f>
        <v>25316750</v>
      </c>
      <c r="E9" s="1974">
        <f>'DTT8'!P119</f>
        <v>56911900</v>
      </c>
      <c r="F9" s="1974">
        <f>'DTT8'!R119</f>
        <v>87508050</v>
      </c>
      <c r="G9" s="1970"/>
      <c r="H9" s="1970"/>
      <c r="I9" s="1975"/>
    </row>
    <row r="10" spans="1:12" ht="42" x14ac:dyDescent="0.4">
      <c r="A10" s="1972">
        <v>3</v>
      </c>
      <c r="B10" s="1967" t="s">
        <v>760</v>
      </c>
      <c r="C10" s="1973">
        <f>'DTT9'!H117</f>
        <v>1234</v>
      </c>
      <c r="D10" s="1974">
        <f>'DTT9'!L118</f>
        <v>13070600</v>
      </c>
      <c r="E10" s="1974">
        <f>'DTT9'!L119</f>
        <v>24742200</v>
      </c>
      <c r="F10" s="1974">
        <f>'DTT9'!L120</f>
        <v>238316100</v>
      </c>
      <c r="G10" s="1970"/>
      <c r="H10" s="1970"/>
      <c r="I10" s="1975"/>
    </row>
    <row r="11" spans="1:12" ht="42" x14ac:dyDescent="0.4">
      <c r="A11" s="1972">
        <v>4</v>
      </c>
      <c r="B11" s="1967" t="s">
        <v>1027</v>
      </c>
      <c r="C11" s="1973">
        <f>'DTT10'!H181</f>
        <v>1433</v>
      </c>
      <c r="D11" s="1974">
        <f>'DTT10'!N181</f>
        <v>6974300</v>
      </c>
      <c r="E11" s="1974">
        <f>'DTT10'!P181</f>
        <v>26192050</v>
      </c>
      <c r="F11" s="1974">
        <f>'DTT10'!R181</f>
        <v>312176600</v>
      </c>
      <c r="G11" s="1976"/>
      <c r="H11" s="1976"/>
      <c r="I11" s="1975"/>
    </row>
    <row r="12" spans="1:12" ht="42" x14ac:dyDescent="0.4">
      <c r="A12" s="1972">
        <v>5</v>
      </c>
      <c r="B12" s="1967" t="s">
        <v>2322</v>
      </c>
      <c r="C12" s="1973">
        <f>'DTT11'!H157</f>
        <v>1319</v>
      </c>
      <c r="D12" s="1974">
        <f>'DTT11'!N157</f>
        <v>3960600</v>
      </c>
      <c r="E12" s="1974">
        <f>'DTT11'!P157</f>
        <v>1357500</v>
      </c>
      <c r="F12" s="1974">
        <f>'DTT11'!R157</f>
        <v>349931000</v>
      </c>
      <c r="G12" s="1976"/>
      <c r="H12" s="1976"/>
      <c r="I12" s="1975"/>
    </row>
    <row r="13" spans="1:12" ht="21" x14ac:dyDescent="0.4">
      <c r="A13" s="1977">
        <v>6</v>
      </c>
      <c r="B13" s="1978" t="s">
        <v>2105</v>
      </c>
      <c r="C13" s="1979">
        <f>'DTT12'!H83</f>
        <v>690</v>
      </c>
      <c r="D13" s="1980">
        <f>'DTT12'!N83</f>
        <v>4908300</v>
      </c>
      <c r="E13" s="1980">
        <v>10160000</v>
      </c>
      <c r="F13" s="1980">
        <f>'DTT12'!R83</f>
        <v>159871300.00000003</v>
      </c>
      <c r="G13" s="1981">
        <f>96718000-10160000</f>
        <v>86558000</v>
      </c>
      <c r="H13" s="1981"/>
      <c r="I13" s="1982"/>
    </row>
    <row r="14" spans="1:12" ht="42" x14ac:dyDescent="0.4">
      <c r="A14" s="1977">
        <v>7</v>
      </c>
      <c r="B14" s="1978" t="s">
        <v>2118</v>
      </c>
      <c r="C14" s="1979">
        <f>[2]DTT1!$H$117</f>
        <v>0</v>
      </c>
      <c r="D14" s="1980">
        <f>[2]DTT1!$N$116</f>
        <v>0</v>
      </c>
      <c r="E14" s="1980">
        <f>[2]DTT1!$P$116</f>
        <v>0</v>
      </c>
      <c r="F14" s="1980">
        <f>[2]DTT1!$R$116</f>
        <v>0</v>
      </c>
      <c r="G14" s="1981">
        <v>154904000</v>
      </c>
      <c r="H14" s="1981"/>
      <c r="I14" s="1982"/>
    </row>
    <row r="15" spans="1:12" ht="60.75" customHeight="1" thickBot="1" x14ac:dyDescent="0.45">
      <c r="A15" s="2288" t="s">
        <v>2116</v>
      </c>
      <c r="B15" s="2289"/>
      <c r="C15" s="1983">
        <f>SUM(C8:C14)</f>
        <v>5603</v>
      </c>
      <c r="D15" s="1984">
        <f>SUM(D8:D14)</f>
        <v>90174750</v>
      </c>
      <c r="E15" s="1984">
        <f>SUM(E8:E14)</f>
        <v>132710400</v>
      </c>
      <c r="F15" s="1984">
        <f>SUM(F8:F14)</f>
        <v>1152864250</v>
      </c>
      <c r="G15" s="1984">
        <f>SUM(G8:G14)</f>
        <v>1108462000</v>
      </c>
      <c r="H15" s="1984">
        <f>H8</f>
        <v>44402250</v>
      </c>
      <c r="I15" s="1985"/>
    </row>
    <row r="16" spans="1:12" ht="21.6" thickTop="1" x14ac:dyDescent="0.4">
      <c r="A16" s="1986"/>
      <c r="B16" s="1960"/>
      <c r="C16" s="1960"/>
      <c r="D16" s="1960"/>
      <c r="E16" s="1960"/>
      <c r="F16" s="1960"/>
      <c r="G16" s="1960"/>
      <c r="H16" s="1987"/>
      <c r="I16" s="1960"/>
    </row>
    <row r="17" spans="1:9" ht="21" x14ac:dyDescent="0.4">
      <c r="A17" s="1960"/>
      <c r="B17" s="1960"/>
      <c r="C17" s="1960"/>
      <c r="D17" s="1960"/>
      <c r="E17" s="1960"/>
      <c r="F17" s="1960"/>
      <c r="G17" s="1960"/>
      <c r="H17" s="1960"/>
      <c r="I17" s="1960"/>
    </row>
    <row r="18" spans="1:9" ht="21" x14ac:dyDescent="0.4">
      <c r="A18" s="1960"/>
      <c r="B18" s="2176" t="s">
        <v>2115</v>
      </c>
      <c r="C18" s="2176"/>
      <c r="D18" s="1960"/>
      <c r="E18" s="2176" t="s">
        <v>293</v>
      </c>
      <c r="F18" s="2176"/>
      <c r="G18" s="2176"/>
      <c r="H18" s="2176"/>
      <c r="I18" s="2176"/>
    </row>
    <row r="19" spans="1:9" ht="21" x14ac:dyDescent="0.4">
      <c r="A19" s="1960"/>
      <c r="B19" s="2284" t="s">
        <v>2333</v>
      </c>
      <c r="C19" s="2284"/>
      <c r="D19" s="1960"/>
      <c r="E19" s="2284" t="s">
        <v>2332</v>
      </c>
      <c r="F19" s="2284"/>
      <c r="G19" s="2284"/>
      <c r="H19" s="2284"/>
      <c r="I19" s="2284"/>
    </row>
  </sheetData>
  <mergeCells count="9">
    <mergeCell ref="E19:I19"/>
    <mergeCell ref="B19:C19"/>
    <mergeCell ref="E1:I1"/>
    <mergeCell ref="E2:I2"/>
    <mergeCell ref="A4:I4"/>
    <mergeCell ref="F5:I5"/>
    <mergeCell ref="A15:B15"/>
    <mergeCell ref="B18:C18"/>
    <mergeCell ref="E18:I18"/>
  </mergeCells>
  <pageMargins left="1.59" right="0.7" top="0.49" bottom="0.75" header="0.56000000000000005" footer="0.3"/>
  <pageSetup paperSize="9" scale="66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pane ySplit="7" topLeftCell="A8" activePane="bottomLeft" state="frozen"/>
      <selection pane="bottomLeft" activeCell="B22" sqref="B22"/>
    </sheetView>
  </sheetViews>
  <sheetFormatPr defaultColWidth="9.109375" defaultRowHeight="13.8" x14ac:dyDescent="0.25"/>
  <cols>
    <col min="1" max="1" width="6.88671875" style="1" customWidth="1"/>
    <col min="2" max="2" width="28.44140625" style="13" customWidth="1"/>
    <col min="3" max="3" width="10.88671875" style="15" customWidth="1"/>
    <col min="4" max="4" width="11.109375" style="809" customWidth="1"/>
    <col min="5" max="5" width="12.88671875" style="809" customWidth="1"/>
    <col min="6" max="6" width="12" style="809" customWidth="1"/>
    <col min="7" max="7" width="18.5546875" style="1" customWidth="1"/>
    <col min="8" max="16384" width="9.109375" style="1"/>
  </cols>
  <sheetData>
    <row r="1" spans="1:7" ht="16.8" x14ac:dyDescent="0.25">
      <c r="A1" s="5" t="s">
        <v>3</v>
      </c>
      <c r="B1" s="16"/>
      <c r="C1" s="33"/>
      <c r="D1" s="1216"/>
      <c r="E1" s="1216"/>
      <c r="F1" s="1216"/>
    </row>
    <row r="2" spans="1:7" x14ac:dyDescent="0.25">
      <c r="A2" s="7" t="s">
        <v>5</v>
      </c>
      <c r="B2" s="17"/>
      <c r="C2" s="34"/>
      <c r="D2" s="1217"/>
      <c r="E2" s="1217"/>
      <c r="F2" s="1217"/>
    </row>
    <row r="3" spans="1:7" s="24" customFormat="1" x14ac:dyDescent="0.25">
      <c r="A3" s="20"/>
      <c r="D3" s="511"/>
      <c r="E3" s="511"/>
      <c r="F3" s="511"/>
    </row>
    <row r="4" spans="1:7" ht="20.399999999999999" x14ac:dyDescent="0.35">
      <c r="A4" s="2124" t="s">
        <v>883</v>
      </c>
      <c r="B4" s="2124"/>
      <c r="C4" s="2124"/>
      <c r="D4" s="2124"/>
      <c r="E4" s="2124"/>
      <c r="F4" s="2124"/>
      <c r="G4" s="2124"/>
    </row>
    <row r="5" spans="1:7" ht="14.4" thickBot="1" x14ac:dyDescent="0.3">
      <c r="A5" s="2294" t="s">
        <v>1873</v>
      </c>
      <c r="B5" s="2294"/>
      <c r="C5" s="2294"/>
      <c r="D5" s="2294"/>
      <c r="E5" s="2294"/>
      <c r="F5" s="2294"/>
      <c r="G5" s="2294"/>
    </row>
    <row r="6" spans="1:7" s="452" customFormat="1" ht="14.4" thickTop="1" x14ac:dyDescent="0.25">
      <c r="A6" s="2295" t="s">
        <v>153</v>
      </c>
      <c r="B6" s="2297" t="s">
        <v>91</v>
      </c>
      <c r="C6" s="2299" t="s">
        <v>609</v>
      </c>
      <c r="D6" s="2299"/>
      <c r="E6" s="2299"/>
      <c r="F6" s="2299"/>
      <c r="G6" s="2300" t="s">
        <v>670</v>
      </c>
    </row>
    <row r="7" spans="1:7" s="452" customFormat="1" ht="26.4" x14ac:dyDescent="0.25">
      <c r="A7" s="2296"/>
      <c r="B7" s="2298"/>
      <c r="C7" s="605" t="s">
        <v>684</v>
      </c>
      <c r="D7" s="1172" t="s">
        <v>683</v>
      </c>
      <c r="E7" s="1172" t="s">
        <v>685</v>
      </c>
      <c r="F7" s="1172" t="s">
        <v>686</v>
      </c>
      <c r="G7" s="2301"/>
    </row>
    <row r="8" spans="1:7" s="90" customFormat="1" ht="13.2" x14ac:dyDescent="0.25">
      <c r="A8" s="1861" t="s">
        <v>260</v>
      </c>
      <c r="B8" s="36" t="s">
        <v>414</v>
      </c>
      <c r="C8" s="602"/>
      <c r="D8" s="1073">
        <v>18000000</v>
      </c>
      <c r="E8" s="1116"/>
      <c r="F8" s="94"/>
      <c r="G8" s="89"/>
    </row>
    <row r="9" spans="1:7" s="90" customFormat="1" ht="13.2" x14ac:dyDescent="0.25">
      <c r="A9" s="1861" t="s">
        <v>403</v>
      </c>
      <c r="B9" s="36" t="s">
        <v>415</v>
      </c>
      <c r="C9" s="602"/>
      <c r="D9" s="1116"/>
      <c r="E9" s="1073">
        <v>45000000</v>
      </c>
      <c r="F9" s="94"/>
      <c r="G9" s="89"/>
    </row>
    <row r="10" spans="1:7" s="90" customFormat="1" ht="13.2" x14ac:dyDescent="0.25">
      <c r="A10" s="1861" t="s">
        <v>432</v>
      </c>
      <c r="B10" s="40" t="s">
        <v>415</v>
      </c>
      <c r="C10" s="602"/>
      <c r="D10" s="1073">
        <v>45000000</v>
      </c>
      <c r="E10" s="1116"/>
      <c r="F10" s="93"/>
      <c r="G10" s="89"/>
    </row>
    <row r="11" spans="1:7" s="90" customFormat="1" ht="13.2" x14ac:dyDescent="0.25">
      <c r="A11" s="1861" t="s">
        <v>500</v>
      </c>
      <c r="B11" s="40" t="s">
        <v>414</v>
      </c>
      <c r="C11" s="602"/>
      <c r="D11" s="1116"/>
      <c r="E11" s="1116"/>
      <c r="F11" s="93">
        <v>5000000</v>
      </c>
      <c r="G11" s="89"/>
    </row>
    <row r="12" spans="1:7" s="90" customFormat="1" ht="13.2" x14ac:dyDescent="0.25">
      <c r="A12" s="1861" t="s">
        <v>634</v>
      </c>
      <c r="B12" s="40" t="s">
        <v>414</v>
      </c>
      <c r="C12" s="602"/>
      <c r="D12" s="1073">
        <v>30000000</v>
      </c>
      <c r="E12" s="1116"/>
      <c r="F12" s="94"/>
      <c r="G12" s="89"/>
    </row>
    <row r="13" spans="1:7" s="90" customFormat="1" ht="13.2" x14ac:dyDescent="0.25">
      <c r="A13" s="1861" t="s">
        <v>964</v>
      </c>
      <c r="B13" s="40" t="s">
        <v>414</v>
      </c>
      <c r="C13" s="602"/>
      <c r="D13" s="1073">
        <v>25000000</v>
      </c>
      <c r="E13" s="1116"/>
      <c r="F13" s="94"/>
      <c r="G13" s="89"/>
    </row>
    <row r="14" spans="1:7" s="90" customFormat="1" ht="13.2" x14ac:dyDescent="0.25">
      <c r="A14" s="1861" t="s">
        <v>1001</v>
      </c>
      <c r="B14" s="40" t="s">
        <v>415</v>
      </c>
      <c r="C14" s="602"/>
      <c r="D14" s="1073">
        <v>90000000</v>
      </c>
      <c r="E14" s="1116"/>
      <c r="F14" s="94"/>
      <c r="G14" s="89"/>
    </row>
    <row r="15" spans="1:7" s="90" customFormat="1" ht="13.2" x14ac:dyDescent="0.25">
      <c r="A15" s="1862" t="s">
        <v>1243</v>
      </c>
      <c r="B15" s="1330" t="s">
        <v>415</v>
      </c>
      <c r="C15" s="1358"/>
      <c r="D15" s="1331">
        <v>90000000</v>
      </c>
      <c r="E15" s="1332"/>
      <c r="F15" s="1333"/>
      <c r="G15" s="1359"/>
    </row>
    <row r="16" spans="1:7" s="599" customFormat="1" thickBot="1" x14ac:dyDescent="0.3">
      <c r="A16" s="2291" t="s">
        <v>2</v>
      </c>
      <c r="B16" s="2292"/>
      <c r="C16" s="1356">
        <f>SUM(C7:C15)</f>
        <v>0</v>
      </c>
      <c r="D16" s="1356">
        <f>SUM(D7:D15)</f>
        <v>298000000</v>
      </c>
      <c r="E16" s="1356">
        <f>SUM(E7:E15)</f>
        <v>45000000</v>
      </c>
      <c r="F16" s="1356">
        <f>SUM(F7:F15)</f>
        <v>5000000</v>
      </c>
      <c r="G16" s="1357"/>
    </row>
    <row r="17" spans="2:7" ht="14.4" thickTop="1" x14ac:dyDescent="0.25">
      <c r="C17" s="41"/>
      <c r="D17" s="1114"/>
      <c r="E17" s="1114"/>
      <c r="F17" s="1114"/>
    </row>
    <row r="18" spans="2:7" x14ac:dyDescent="0.25">
      <c r="C18" s="3"/>
      <c r="D18" s="808"/>
      <c r="E18" s="808"/>
      <c r="F18" s="808"/>
    </row>
    <row r="19" spans="2:7" x14ac:dyDescent="0.25">
      <c r="C19" s="2293"/>
      <c r="D19" s="2293"/>
      <c r="E19" s="2293"/>
      <c r="F19" s="2293"/>
    </row>
    <row r="20" spans="2:7" x14ac:dyDescent="0.25">
      <c r="B20" s="1853" t="s">
        <v>303</v>
      </c>
      <c r="C20" s="4"/>
      <c r="D20" s="2290" t="s">
        <v>2308</v>
      </c>
      <c r="E20" s="2290"/>
      <c r="F20" s="2290"/>
      <c r="G20" s="2290"/>
    </row>
    <row r="21" spans="2:7" x14ac:dyDescent="0.25">
      <c r="C21" s="3"/>
      <c r="D21" s="808"/>
      <c r="E21" s="808"/>
      <c r="F21" s="808"/>
    </row>
    <row r="22" spans="2:7" x14ac:dyDescent="0.25">
      <c r="C22" s="3"/>
      <c r="D22" s="808"/>
      <c r="E22" s="808"/>
      <c r="F22" s="808"/>
    </row>
    <row r="23" spans="2:7" x14ac:dyDescent="0.25">
      <c r="C23" s="3"/>
      <c r="D23" s="808"/>
      <c r="E23" s="808"/>
      <c r="F23" s="808"/>
    </row>
    <row r="24" spans="2:7" x14ac:dyDescent="0.25">
      <c r="C24" s="3"/>
      <c r="D24" s="808"/>
      <c r="E24" s="808"/>
      <c r="F24" s="808"/>
    </row>
    <row r="25" spans="2:7" x14ac:dyDescent="0.25">
      <c r="C25" s="3"/>
      <c r="D25" s="808"/>
      <c r="E25" s="808"/>
      <c r="F25" s="808"/>
    </row>
    <row r="26" spans="2:7" x14ac:dyDescent="0.25">
      <c r="C26" s="3"/>
      <c r="D26" s="808"/>
      <c r="E26" s="808"/>
      <c r="F26" s="808"/>
    </row>
    <row r="27" spans="2:7" x14ac:dyDescent="0.25">
      <c r="C27" s="3"/>
      <c r="D27" s="808"/>
      <c r="E27" s="808"/>
      <c r="F27" s="808"/>
    </row>
    <row r="28" spans="2:7" x14ac:dyDescent="0.25">
      <c r="B28" s="1"/>
      <c r="C28" s="3"/>
      <c r="D28" s="808"/>
      <c r="E28" s="808"/>
      <c r="F28" s="808"/>
    </row>
    <row r="29" spans="2:7" x14ac:dyDescent="0.25">
      <c r="B29" s="1"/>
      <c r="C29" s="3"/>
      <c r="D29" s="808"/>
      <c r="E29" s="808"/>
      <c r="F29" s="808"/>
    </row>
    <row r="30" spans="2:7" x14ac:dyDescent="0.25">
      <c r="B30" s="1"/>
      <c r="C30" s="3"/>
      <c r="D30" s="808"/>
      <c r="E30" s="808"/>
      <c r="F30" s="808"/>
    </row>
    <row r="31" spans="2:7" x14ac:dyDescent="0.25">
      <c r="B31" s="1"/>
      <c r="C31" s="3"/>
      <c r="D31" s="808"/>
      <c r="E31" s="808"/>
      <c r="F31" s="808"/>
    </row>
    <row r="32" spans="2:7" x14ac:dyDescent="0.25">
      <c r="B32" s="1"/>
      <c r="C32" s="3"/>
      <c r="D32" s="808"/>
      <c r="E32" s="808"/>
      <c r="F32" s="808"/>
    </row>
    <row r="33" spans="2:6" x14ac:dyDescent="0.25">
      <c r="B33" s="1"/>
      <c r="C33" s="3"/>
      <c r="D33" s="808"/>
      <c r="E33" s="808"/>
      <c r="F33" s="808"/>
    </row>
    <row r="34" spans="2:6" x14ac:dyDescent="0.25">
      <c r="B34" s="1"/>
      <c r="C34" s="3"/>
      <c r="D34" s="808"/>
      <c r="E34" s="808"/>
      <c r="F34" s="808"/>
    </row>
    <row r="35" spans="2:6" x14ac:dyDescent="0.25">
      <c r="B35" s="1"/>
      <c r="C35" s="3"/>
      <c r="D35" s="808"/>
      <c r="E35" s="808"/>
      <c r="F35" s="808"/>
    </row>
    <row r="36" spans="2:6" x14ac:dyDescent="0.25">
      <c r="B36" s="1"/>
      <c r="C36" s="3"/>
      <c r="D36" s="808"/>
      <c r="E36" s="808"/>
      <c r="F36" s="808"/>
    </row>
    <row r="37" spans="2:6" x14ac:dyDescent="0.25">
      <c r="B37" s="1"/>
      <c r="C37" s="3"/>
      <c r="D37" s="808"/>
      <c r="E37" s="808"/>
      <c r="F37" s="808"/>
    </row>
    <row r="38" spans="2:6" x14ac:dyDescent="0.25">
      <c r="B38" s="1"/>
      <c r="C38" s="3"/>
      <c r="D38" s="808"/>
      <c r="E38" s="808"/>
      <c r="F38" s="808"/>
    </row>
    <row r="39" spans="2:6" x14ac:dyDescent="0.25">
      <c r="B39" s="1"/>
      <c r="C39" s="3"/>
      <c r="D39" s="808"/>
      <c r="E39" s="808"/>
      <c r="F39" s="808"/>
    </row>
    <row r="40" spans="2:6" x14ac:dyDescent="0.25">
      <c r="B40" s="1"/>
      <c r="C40" s="3"/>
      <c r="D40" s="808"/>
      <c r="E40" s="808"/>
      <c r="F40" s="808"/>
    </row>
  </sheetData>
  <mergeCells count="9">
    <mergeCell ref="D20:G20"/>
    <mergeCell ref="A16:B16"/>
    <mergeCell ref="C19:F19"/>
    <mergeCell ref="A4:G4"/>
    <mergeCell ref="A5:G5"/>
    <mergeCell ref="A6:A7"/>
    <mergeCell ref="B6:B7"/>
    <mergeCell ref="C6:F6"/>
    <mergeCell ref="G6:G7"/>
  </mergeCells>
  <pageMargins left="0.7" right="0.7" top="0.75" bottom="0.75" header="0.3" footer="0.3"/>
  <pageSetup paperSize="256" scale="86"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10" sqref="C10"/>
    </sheetView>
  </sheetViews>
  <sheetFormatPr defaultColWidth="9.109375" defaultRowHeight="13.8" x14ac:dyDescent="0.25"/>
  <cols>
    <col min="1" max="1" width="4.44140625" style="1" customWidth="1"/>
    <col min="2" max="2" width="28.44140625" style="13" customWidth="1"/>
    <col min="3" max="3" width="10.88671875" style="15" customWidth="1"/>
    <col min="4" max="5" width="8.88671875" style="15" customWidth="1"/>
    <col min="6" max="6" width="12" style="15" customWidth="1"/>
    <col min="7" max="7" width="18.5546875" style="1" customWidth="1"/>
    <col min="8" max="16384" width="9.109375" style="1"/>
  </cols>
  <sheetData>
    <row r="1" spans="1:7" ht="16.8" x14ac:dyDescent="0.25">
      <c r="A1" s="5" t="s">
        <v>3</v>
      </c>
      <c r="B1" s="16"/>
      <c r="C1" s="33"/>
      <c r="D1" s="33"/>
      <c r="E1" s="33"/>
      <c r="F1" s="33"/>
    </row>
    <row r="2" spans="1:7" x14ac:dyDescent="0.25">
      <c r="A2" s="7" t="s">
        <v>5</v>
      </c>
      <c r="B2" s="17"/>
      <c r="C2" s="34"/>
      <c r="D2" s="34"/>
      <c r="E2" s="34"/>
      <c r="F2" s="34"/>
    </row>
    <row r="3" spans="1:7" s="24" customFormat="1" x14ac:dyDescent="0.25">
      <c r="A3" s="20"/>
    </row>
    <row r="4" spans="1:7" ht="20.399999999999999" x14ac:dyDescent="0.35">
      <c r="A4" s="2124" t="s">
        <v>884</v>
      </c>
      <c r="B4" s="2124"/>
      <c r="C4" s="2124"/>
      <c r="D4" s="2124"/>
      <c r="E4" s="2124"/>
      <c r="F4" s="2124"/>
      <c r="G4" s="2124"/>
    </row>
    <row r="5" spans="1:7" ht="14.4" thickBot="1" x14ac:dyDescent="0.3">
      <c r="A5" s="2294" t="s">
        <v>1874</v>
      </c>
      <c r="B5" s="2294"/>
      <c r="C5" s="2294"/>
      <c r="D5" s="2307"/>
      <c r="E5" s="2307"/>
      <c r="F5" s="2307"/>
      <c r="G5" s="2294"/>
    </row>
    <row r="6" spans="1:7" ht="14.4" thickTop="1" x14ac:dyDescent="0.25">
      <c r="A6" s="2308" t="s">
        <v>153</v>
      </c>
      <c r="B6" s="2310" t="s">
        <v>91</v>
      </c>
      <c r="C6" s="2304" t="s">
        <v>684</v>
      </c>
      <c r="D6" s="2306" t="s">
        <v>683</v>
      </c>
      <c r="E6" s="2306" t="s">
        <v>685</v>
      </c>
      <c r="F6" s="2306" t="s">
        <v>686</v>
      </c>
      <c r="G6" s="2312" t="s">
        <v>670</v>
      </c>
    </row>
    <row r="7" spans="1:7" x14ac:dyDescent="0.25">
      <c r="A7" s="2309"/>
      <c r="B7" s="2311"/>
      <c r="C7" s="2305"/>
      <c r="D7" s="2306"/>
      <c r="E7" s="2306"/>
      <c r="F7" s="2306"/>
      <c r="G7" s="2313"/>
    </row>
    <row r="8" spans="1:7" s="88" customFormat="1" ht="26.4" x14ac:dyDescent="0.25">
      <c r="A8" s="592" t="s">
        <v>409</v>
      </c>
      <c r="B8" s="80" t="s">
        <v>781</v>
      </c>
      <c r="C8" s="591"/>
      <c r="D8" s="591"/>
      <c r="E8" s="591"/>
      <c r="F8" s="1072">
        <v>819000</v>
      </c>
      <c r="G8" s="81"/>
    </row>
    <row r="9" spans="1:7" s="88" customFormat="1" ht="26.4" x14ac:dyDescent="0.25">
      <c r="A9" s="592" t="s">
        <v>565</v>
      </c>
      <c r="B9" s="80" t="s">
        <v>777</v>
      </c>
      <c r="C9" s="591"/>
      <c r="D9" s="1248">
        <v>2570000</v>
      </c>
      <c r="E9" s="591"/>
      <c r="F9" s="588"/>
      <c r="G9" s="81" t="s">
        <v>778</v>
      </c>
    </row>
    <row r="10" spans="1:7" s="88" customFormat="1" ht="26.4" x14ac:dyDescent="0.25">
      <c r="A10" s="592" t="s">
        <v>576</v>
      </c>
      <c r="B10" s="80" t="s">
        <v>577</v>
      </c>
      <c r="C10" s="591"/>
      <c r="D10" s="591"/>
      <c r="E10" s="591"/>
      <c r="F10" s="1260">
        <v>7250000</v>
      </c>
      <c r="G10" s="590" t="s">
        <v>610</v>
      </c>
    </row>
    <row r="11" spans="1:7" s="88" customFormat="1" ht="26.4" x14ac:dyDescent="0.25">
      <c r="A11" s="592" t="s">
        <v>1205</v>
      </c>
      <c r="B11" s="80" t="s">
        <v>1348</v>
      </c>
      <c r="C11" s="591"/>
      <c r="D11" s="591"/>
      <c r="E11" s="591"/>
      <c r="F11" s="1260">
        <v>15100000</v>
      </c>
      <c r="G11" s="81" t="s">
        <v>1349</v>
      </c>
    </row>
    <row r="12" spans="1:7" s="88" customFormat="1" ht="39.6" x14ac:dyDescent="0.25">
      <c r="A12" s="592" t="s">
        <v>1370</v>
      </c>
      <c r="B12" s="80" t="s">
        <v>1404</v>
      </c>
      <c r="C12" s="591"/>
      <c r="D12" s="591"/>
      <c r="E12" s="591"/>
      <c r="F12" s="1260">
        <v>1500000</v>
      </c>
      <c r="G12" s="81" t="s">
        <v>1403</v>
      </c>
    </row>
    <row r="13" spans="1:7" s="449" customFormat="1" thickBot="1" x14ac:dyDescent="0.3">
      <c r="A13" s="2302" t="s">
        <v>2</v>
      </c>
      <c r="B13" s="2303"/>
      <c r="C13" s="447">
        <f>SUM(C6:C12)</f>
        <v>0</v>
      </c>
      <c r="D13" s="447">
        <f>SUM(D6:D12)</f>
        <v>2570000</v>
      </c>
      <c r="E13" s="447">
        <f>SUM(E6:E12)</f>
        <v>0</v>
      </c>
      <c r="F13" s="447">
        <f>SUM(F6:F12)</f>
        <v>24669000</v>
      </c>
      <c r="G13" s="448"/>
    </row>
    <row r="14" spans="1:7" ht="14.4" thickTop="1" x14ac:dyDescent="0.25">
      <c r="C14" s="41"/>
      <c r="D14" s="41"/>
      <c r="E14" s="41"/>
      <c r="F14" s="41"/>
    </row>
    <row r="15" spans="1:7" x14ac:dyDescent="0.25">
      <c r="C15" s="3"/>
      <c r="D15" s="3"/>
      <c r="E15" s="3"/>
      <c r="F15" s="3"/>
    </row>
    <row r="16" spans="1:7" x14ac:dyDescent="0.25">
      <c r="C16" s="2293"/>
      <c r="D16" s="2293"/>
      <c r="E16" s="2293"/>
      <c r="F16" s="2293"/>
    </row>
    <row r="17" spans="2:6" x14ac:dyDescent="0.25">
      <c r="C17" s="4"/>
      <c r="D17" s="4"/>
      <c r="E17" s="4"/>
      <c r="F17" s="4"/>
    </row>
    <row r="18" spans="2:6" x14ac:dyDescent="0.25">
      <c r="C18" s="3"/>
      <c r="D18" s="3"/>
      <c r="E18" s="3"/>
      <c r="F18" s="3"/>
    </row>
    <row r="19" spans="2:6" x14ac:dyDescent="0.25">
      <c r="C19" s="3"/>
      <c r="D19" s="3"/>
      <c r="E19" s="3"/>
      <c r="F19" s="3"/>
    </row>
    <row r="20" spans="2:6" x14ac:dyDescent="0.25">
      <c r="C20" s="3"/>
      <c r="D20" s="3"/>
      <c r="E20" s="3"/>
      <c r="F20" s="3"/>
    </row>
    <row r="21" spans="2:6" x14ac:dyDescent="0.25">
      <c r="C21" s="3"/>
      <c r="D21" s="3"/>
      <c r="E21" s="3"/>
      <c r="F21" s="3"/>
    </row>
    <row r="22" spans="2:6" x14ac:dyDescent="0.25">
      <c r="C22" s="3"/>
      <c r="D22" s="3"/>
      <c r="E22" s="3"/>
      <c r="F22" s="3"/>
    </row>
    <row r="23" spans="2:6" x14ac:dyDescent="0.25">
      <c r="C23" s="3"/>
      <c r="D23" s="3"/>
      <c r="E23" s="3"/>
      <c r="F23" s="3"/>
    </row>
    <row r="24" spans="2:6" x14ac:dyDescent="0.25">
      <c r="C24" s="3"/>
      <c r="D24" s="3"/>
      <c r="E24" s="3"/>
      <c r="F24" s="3"/>
    </row>
    <row r="25" spans="2:6" x14ac:dyDescent="0.25">
      <c r="B25" s="1"/>
      <c r="C25" s="3"/>
      <c r="D25" s="3"/>
      <c r="E25" s="3"/>
      <c r="F25" s="3"/>
    </row>
    <row r="26" spans="2:6" x14ac:dyDescent="0.25">
      <c r="B26" s="1"/>
      <c r="C26" s="3"/>
      <c r="D26" s="3"/>
      <c r="E26" s="3"/>
      <c r="F26" s="3"/>
    </row>
    <row r="27" spans="2:6" x14ac:dyDescent="0.25">
      <c r="B27" s="1"/>
      <c r="C27" s="3"/>
      <c r="D27" s="3"/>
      <c r="E27" s="3"/>
      <c r="F27" s="3"/>
    </row>
    <row r="28" spans="2:6" x14ac:dyDescent="0.25">
      <c r="B28" s="1"/>
      <c r="C28" s="3"/>
      <c r="D28" s="3"/>
      <c r="E28" s="3"/>
      <c r="F28" s="3"/>
    </row>
    <row r="29" spans="2:6" x14ac:dyDescent="0.25">
      <c r="B29" s="1"/>
      <c r="C29" s="3"/>
      <c r="D29" s="3"/>
      <c r="E29" s="3"/>
      <c r="F29" s="3"/>
    </row>
    <row r="30" spans="2:6" x14ac:dyDescent="0.25">
      <c r="B30" s="1"/>
      <c r="C30" s="3"/>
      <c r="D30" s="3"/>
      <c r="E30" s="3"/>
      <c r="F30" s="3"/>
    </row>
    <row r="31" spans="2:6" x14ac:dyDescent="0.25">
      <c r="B31" s="1"/>
      <c r="C31" s="3"/>
      <c r="D31" s="3"/>
      <c r="E31" s="3"/>
      <c r="F31" s="3"/>
    </row>
    <row r="32" spans="2:6" x14ac:dyDescent="0.25">
      <c r="B32" s="1"/>
      <c r="C32" s="3"/>
      <c r="D32" s="3"/>
      <c r="E32" s="3"/>
      <c r="F32" s="3"/>
    </row>
    <row r="33" spans="2:6" x14ac:dyDescent="0.25">
      <c r="B33" s="1"/>
      <c r="C33" s="3"/>
      <c r="D33" s="3"/>
      <c r="E33" s="3"/>
      <c r="F33" s="3"/>
    </row>
    <row r="34" spans="2:6" x14ac:dyDescent="0.25">
      <c r="B34" s="1"/>
      <c r="C34" s="3"/>
      <c r="D34" s="3"/>
      <c r="E34" s="3"/>
      <c r="F34" s="3"/>
    </row>
    <row r="35" spans="2:6" x14ac:dyDescent="0.25">
      <c r="B35" s="1"/>
      <c r="C35" s="3"/>
      <c r="D35" s="3"/>
      <c r="E35" s="3"/>
      <c r="F35" s="3"/>
    </row>
    <row r="36" spans="2:6" x14ac:dyDescent="0.25">
      <c r="B36" s="1"/>
      <c r="C36" s="3"/>
      <c r="D36" s="3"/>
      <c r="E36" s="3"/>
      <c r="F36" s="3"/>
    </row>
    <row r="37" spans="2:6" x14ac:dyDescent="0.25">
      <c r="B37" s="1"/>
      <c r="C37" s="3"/>
      <c r="D37" s="3"/>
      <c r="E37" s="3"/>
      <c r="F37" s="3"/>
    </row>
  </sheetData>
  <mergeCells count="11">
    <mergeCell ref="A4:G4"/>
    <mergeCell ref="A5:G5"/>
    <mergeCell ref="A6:A7"/>
    <mergeCell ref="B6:B7"/>
    <mergeCell ref="G6:G7"/>
    <mergeCell ref="A13:B13"/>
    <mergeCell ref="C16:F16"/>
    <mergeCell ref="C6:C7"/>
    <mergeCell ref="D6:D7"/>
    <mergeCell ref="E6:E7"/>
    <mergeCell ref="F6:F7"/>
  </mergeCells>
  <pageMargins left="0.7" right="0.7" top="0.75" bottom="0.75" header="0.3" footer="0.3"/>
  <pageSetup paperSize="256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>
      <pane ySplit="7" topLeftCell="A8" activePane="bottomLeft" state="frozen"/>
      <selection pane="bottomLeft" activeCell="C23" sqref="C23"/>
    </sheetView>
  </sheetViews>
  <sheetFormatPr defaultColWidth="9.109375" defaultRowHeight="13.8" x14ac:dyDescent="0.25"/>
  <cols>
    <col min="1" max="1" width="4.44140625" style="511" customWidth="1"/>
    <col min="2" max="2" width="28.44140625" style="658" customWidth="1"/>
    <col min="3" max="3" width="11" style="658" customWidth="1"/>
    <col min="4" max="4" width="12.33203125" style="658" customWidth="1"/>
    <col min="5" max="5" width="13.109375" style="658" customWidth="1"/>
    <col min="6" max="6" width="10" style="13" customWidth="1"/>
    <col min="7" max="11" width="9.109375" style="1"/>
    <col min="12" max="12" width="28.44140625" style="1" customWidth="1"/>
    <col min="13" max="16384" width="9.109375" style="1"/>
  </cols>
  <sheetData>
    <row r="1" spans="1:12" ht="16.8" x14ac:dyDescent="0.3">
      <c r="A1" s="649" t="s">
        <v>3</v>
      </c>
      <c r="B1" s="1219"/>
      <c r="C1" s="1113"/>
      <c r="D1" s="1113"/>
      <c r="E1" s="1113"/>
      <c r="F1" s="111"/>
      <c r="G1" s="111"/>
      <c r="H1" s="111"/>
      <c r="I1" s="111"/>
    </row>
    <row r="2" spans="1:12" ht="15.6" x14ac:dyDescent="0.25">
      <c r="A2" s="654" t="s">
        <v>5</v>
      </c>
      <c r="B2" s="1220"/>
      <c r="C2" s="659"/>
      <c r="D2" s="659"/>
      <c r="E2" s="659"/>
      <c r="F2" s="10"/>
      <c r="G2" s="10"/>
      <c r="H2" s="10"/>
      <c r="I2" s="10"/>
    </row>
    <row r="3" spans="1:12" s="24" customFormat="1" x14ac:dyDescent="0.25">
      <c r="A3" s="520"/>
      <c r="B3" s="511"/>
      <c r="C3" s="1168"/>
      <c r="D3" s="1168"/>
      <c r="E3" s="1168"/>
      <c r="F3" s="1171"/>
      <c r="G3" s="1171"/>
      <c r="H3" s="1171"/>
      <c r="I3" s="1171"/>
    </row>
    <row r="4" spans="1:12" ht="20.399999999999999" x14ac:dyDescent="0.35">
      <c r="A4" s="2124" t="s">
        <v>1317</v>
      </c>
      <c r="B4" s="2124"/>
      <c r="C4" s="2124"/>
      <c r="D4" s="2124"/>
      <c r="E4" s="2124"/>
      <c r="F4" s="2124"/>
      <c r="G4" s="2124"/>
      <c r="H4" s="2124"/>
      <c r="I4" s="2124"/>
      <c r="J4" s="2124"/>
      <c r="K4" s="2124"/>
      <c r="L4" s="2124"/>
    </row>
    <row r="5" spans="1:12" ht="14.4" thickBot="1" x14ac:dyDescent="0.3">
      <c r="A5" s="2294" t="s">
        <v>1341</v>
      </c>
      <c r="B5" s="2294"/>
      <c r="C5" s="2294"/>
      <c r="D5" s="2294"/>
      <c r="E5" s="2294"/>
      <c r="F5" s="2294"/>
      <c r="G5" s="2294"/>
      <c r="H5" s="2294"/>
      <c r="I5" s="2294"/>
      <c r="J5" s="2294"/>
      <c r="K5" s="2294"/>
      <c r="L5" s="2294"/>
    </row>
    <row r="6" spans="1:12" s="606" customFormat="1" ht="14.4" thickTop="1" x14ac:dyDescent="0.25">
      <c r="A6" s="2308" t="s">
        <v>153</v>
      </c>
      <c r="B6" s="2310" t="s">
        <v>91</v>
      </c>
      <c r="C6" s="2314" t="s">
        <v>92</v>
      </c>
      <c r="D6" s="2314"/>
      <c r="E6" s="2314"/>
      <c r="F6" s="2314"/>
      <c r="G6" s="2314"/>
      <c r="H6" s="2314"/>
      <c r="I6" s="2314"/>
      <c r="J6" s="2314"/>
      <c r="K6" s="2314"/>
      <c r="L6" s="2312" t="s">
        <v>670</v>
      </c>
    </row>
    <row r="7" spans="1:12" s="606" customFormat="1" ht="39.6" x14ac:dyDescent="0.25">
      <c r="A7" s="2309"/>
      <c r="B7" s="2311"/>
      <c r="C7" s="1169" t="s">
        <v>687</v>
      </c>
      <c r="D7" s="608" t="s">
        <v>686</v>
      </c>
      <c r="E7" s="608" t="s">
        <v>683</v>
      </c>
      <c r="F7" s="608" t="s">
        <v>685</v>
      </c>
      <c r="G7" s="1169" t="s">
        <v>688</v>
      </c>
      <c r="H7" s="1169" t="s">
        <v>689</v>
      </c>
      <c r="I7" s="1169" t="s">
        <v>690</v>
      </c>
      <c r="J7" s="1169" t="s">
        <v>691</v>
      </c>
      <c r="K7" s="1169" t="s">
        <v>692</v>
      </c>
      <c r="L7" s="2313"/>
    </row>
    <row r="8" spans="1:12" s="599" customFormat="1" ht="15.75" customHeight="1" x14ac:dyDescent="0.25">
      <c r="A8" s="611" t="s">
        <v>434</v>
      </c>
      <c r="B8" s="36" t="s">
        <v>1318</v>
      </c>
      <c r="C8" s="594"/>
      <c r="D8" s="594"/>
      <c r="E8" s="1071">
        <v>20000000</v>
      </c>
      <c r="F8" s="594"/>
      <c r="G8" s="594"/>
      <c r="H8" s="594"/>
      <c r="I8" s="594"/>
      <c r="J8" s="594"/>
      <c r="K8" s="594"/>
      <c r="L8" s="35"/>
    </row>
    <row r="9" spans="1:12" s="599" customFormat="1" ht="13.2" x14ac:dyDescent="0.25">
      <c r="A9" s="611"/>
      <c r="B9" s="36" t="s">
        <v>1320</v>
      </c>
      <c r="C9" s="594"/>
      <c r="D9" s="594"/>
      <c r="E9" s="1252">
        <v>40000000</v>
      </c>
      <c r="F9" s="594"/>
      <c r="G9" s="594"/>
      <c r="H9" s="594"/>
      <c r="I9" s="594"/>
      <c r="J9" s="594"/>
      <c r="K9" s="594"/>
      <c r="L9" s="35"/>
    </row>
    <row r="10" spans="1:12" s="599" customFormat="1" ht="13.2" x14ac:dyDescent="0.25">
      <c r="A10" s="592"/>
      <c r="B10" s="80" t="s">
        <v>1320</v>
      </c>
      <c r="D10" s="1253">
        <v>49050000</v>
      </c>
      <c r="E10" s="609"/>
      <c r="F10" s="593"/>
      <c r="G10" s="593"/>
      <c r="H10" s="593"/>
      <c r="I10" s="593"/>
      <c r="J10" s="593"/>
      <c r="K10" s="593"/>
      <c r="L10" s="81"/>
    </row>
    <row r="11" spans="1:12" s="599" customFormat="1" ht="13.2" x14ac:dyDescent="0.25">
      <c r="A11" s="611" t="s">
        <v>634</v>
      </c>
      <c r="B11" s="1249" t="s">
        <v>1321</v>
      </c>
      <c r="C11" s="594"/>
      <c r="D11" s="1071"/>
      <c r="E11" s="1071">
        <v>10000000</v>
      </c>
      <c r="F11" s="594"/>
      <c r="G11" s="594"/>
      <c r="H11" s="594"/>
      <c r="I11" s="594"/>
      <c r="J11" s="594"/>
      <c r="K11" s="594"/>
      <c r="L11" s="1250" t="s">
        <v>941</v>
      </c>
    </row>
    <row r="12" spans="1:12" s="599" customFormat="1" ht="13.2" x14ac:dyDescent="0.25">
      <c r="A12" s="611"/>
      <c r="B12" s="1249" t="s">
        <v>518</v>
      </c>
      <c r="C12" s="594"/>
      <c r="D12" s="1071"/>
      <c r="E12" s="1071">
        <v>14000000</v>
      </c>
      <c r="F12" s="594"/>
      <c r="G12" s="594"/>
      <c r="H12" s="594"/>
      <c r="I12" s="594"/>
      <c r="J12" s="594"/>
      <c r="K12" s="594"/>
      <c r="L12" s="1250" t="s">
        <v>683</v>
      </c>
    </row>
    <row r="13" spans="1:12" s="599" customFormat="1" ht="13.2" x14ac:dyDescent="0.25">
      <c r="A13" s="611"/>
      <c r="B13" s="1249" t="s">
        <v>519</v>
      </c>
      <c r="C13" s="594"/>
      <c r="D13" s="1258">
        <v>9000000</v>
      </c>
      <c r="E13" s="1071"/>
      <c r="F13" s="594"/>
      <c r="G13" s="594"/>
      <c r="H13" s="594"/>
      <c r="I13" s="594"/>
      <c r="J13" s="594"/>
      <c r="K13" s="594"/>
      <c r="L13" s="1250" t="s">
        <v>941</v>
      </c>
    </row>
    <row r="14" spans="1:12" s="599" customFormat="1" ht="13.2" x14ac:dyDescent="0.25">
      <c r="A14" s="611" t="s">
        <v>792</v>
      </c>
      <c r="B14" s="609" t="s">
        <v>1322</v>
      </c>
      <c r="C14" s="594"/>
      <c r="D14" s="1336">
        <v>41600000</v>
      </c>
      <c r="E14" s="594"/>
      <c r="F14" s="594"/>
      <c r="G14" s="594"/>
      <c r="H14" s="594"/>
      <c r="I14" s="594"/>
      <c r="J14" s="594"/>
      <c r="K14" s="594"/>
      <c r="L14" s="35"/>
    </row>
    <row r="15" spans="1:12" s="599" customFormat="1" ht="13.2" x14ac:dyDescent="0.25">
      <c r="A15" s="611"/>
      <c r="B15" s="609" t="s">
        <v>519</v>
      </c>
      <c r="C15" s="594"/>
      <c r="D15" s="1336">
        <f>141700000-D14</f>
        <v>100100000</v>
      </c>
      <c r="E15" s="594"/>
      <c r="F15" s="594"/>
      <c r="G15" s="594"/>
      <c r="H15" s="594"/>
      <c r="I15" s="594"/>
      <c r="J15" s="594"/>
      <c r="K15" s="594"/>
      <c r="L15" s="35"/>
    </row>
    <row r="16" spans="1:12" s="599" customFormat="1" ht="26.4" x14ac:dyDescent="0.25">
      <c r="A16" s="611" t="s">
        <v>952</v>
      </c>
      <c r="B16" s="36" t="s">
        <v>1323</v>
      </c>
      <c r="C16" s="594"/>
      <c r="D16" s="1336">
        <v>6615000</v>
      </c>
      <c r="E16" s="594"/>
      <c r="F16" s="594"/>
      <c r="G16" s="594"/>
      <c r="H16" s="594"/>
      <c r="I16" s="594"/>
      <c r="J16" s="594"/>
      <c r="K16" s="594"/>
      <c r="L16" s="35"/>
    </row>
    <row r="17" spans="1:12" s="599" customFormat="1" ht="13.2" x14ac:dyDescent="0.25">
      <c r="A17" s="611" t="s">
        <v>1252</v>
      </c>
      <c r="B17" s="609" t="s">
        <v>1324</v>
      </c>
      <c r="C17" s="594"/>
      <c r="D17" s="609"/>
      <c r="E17" s="1336">
        <v>50000000</v>
      </c>
      <c r="F17" s="594"/>
      <c r="G17" s="594"/>
      <c r="H17" s="594"/>
      <c r="I17" s="594"/>
      <c r="J17" s="594"/>
      <c r="K17" s="594"/>
      <c r="L17" s="35"/>
    </row>
    <row r="18" spans="1:12" s="599" customFormat="1" ht="13.2" x14ac:dyDescent="0.25">
      <c r="A18" s="611"/>
      <c r="B18" s="609" t="s">
        <v>518</v>
      </c>
      <c r="C18" s="594"/>
      <c r="D18" s="609"/>
      <c r="E18" s="1336">
        <v>84000000</v>
      </c>
      <c r="F18" s="594"/>
      <c r="G18" s="594"/>
      <c r="H18" s="594"/>
      <c r="I18" s="594"/>
      <c r="J18" s="594"/>
      <c r="K18" s="594"/>
      <c r="L18" s="35"/>
    </row>
    <row r="19" spans="1:12" s="599" customFormat="1" ht="13.2" x14ac:dyDescent="0.25">
      <c r="A19" s="592"/>
      <c r="B19" s="1346" t="s">
        <v>519</v>
      </c>
      <c r="C19" s="593"/>
      <c r="D19" s="1347">
        <v>102450000</v>
      </c>
      <c r="E19" s="593"/>
      <c r="F19" s="593"/>
      <c r="G19" s="593"/>
      <c r="H19" s="593"/>
      <c r="I19" s="593"/>
      <c r="J19" s="593"/>
      <c r="K19" s="593"/>
      <c r="L19" s="81"/>
    </row>
    <row r="20" spans="1:12" s="599" customFormat="1" ht="19.5" customHeight="1" x14ac:dyDescent="0.25">
      <c r="A20" s="1338"/>
      <c r="B20" s="1355" t="s">
        <v>2</v>
      </c>
      <c r="C20" s="1339"/>
      <c r="D20" s="1348">
        <f>SUM(D8:D19)</f>
        <v>308815000</v>
      </c>
      <c r="E20" s="1348">
        <f>SUM(E8:E19)</f>
        <v>218000000</v>
      </c>
      <c r="F20" s="1339"/>
      <c r="G20" s="1339"/>
      <c r="H20" s="1339"/>
      <c r="I20" s="1339"/>
      <c r="J20" s="1339"/>
      <c r="K20" s="1339"/>
      <c r="L20" s="1340"/>
    </row>
    <row r="26" spans="1:12" x14ac:dyDescent="0.25">
      <c r="B26" s="511"/>
      <c r="C26" s="511"/>
      <c r="D26" s="511"/>
      <c r="E26" s="511"/>
      <c r="F26" s="1"/>
    </row>
    <row r="27" spans="1:12" x14ac:dyDescent="0.25">
      <c r="B27" s="511"/>
      <c r="C27" s="511"/>
      <c r="D27" s="511"/>
      <c r="E27" s="511"/>
      <c r="F27" s="1"/>
    </row>
    <row r="28" spans="1:12" x14ac:dyDescent="0.25">
      <c r="B28" s="511"/>
      <c r="C28" s="511"/>
      <c r="D28" s="511"/>
      <c r="E28" s="511"/>
      <c r="F28" s="1"/>
    </row>
    <row r="29" spans="1:12" x14ac:dyDescent="0.25">
      <c r="B29" s="511"/>
      <c r="C29" s="511"/>
      <c r="D29" s="511"/>
      <c r="E29" s="511"/>
      <c r="F29" s="1"/>
    </row>
    <row r="30" spans="1:12" x14ac:dyDescent="0.25">
      <c r="B30" s="511"/>
      <c r="C30" s="511"/>
      <c r="D30" s="511"/>
      <c r="E30" s="511"/>
      <c r="F30" s="1"/>
    </row>
    <row r="31" spans="1:12" x14ac:dyDescent="0.25">
      <c r="B31" s="511"/>
      <c r="C31" s="511"/>
      <c r="D31" s="511"/>
      <c r="E31" s="511"/>
      <c r="F31" s="1"/>
    </row>
    <row r="32" spans="1:12" x14ac:dyDescent="0.25">
      <c r="B32" s="511"/>
      <c r="C32" s="511"/>
      <c r="D32" s="511"/>
      <c r="E32" s="511"/>
      <c r="F32" s="1"/>
    </row>
    <row r="33" spans="2:6" x14ac:dyDescent="0.25">
      <c r="B33" s="511"/>
      <c r="C33" s="511"/>
      <c r="D33" s="511"/>
      <c r="E33" s="511"/>
      <c r="F33" s="1"/>
    </row>
    <row r="34" spans="2:6" x14ac:dyDescent="0.25">
      <c r="B34" s="511"/>
      <c r="C34" s="511"/>
      <c r="D34" s="511"/>
      <c r="E34" s="511"/>
      <c r="F34" s="1"/>
    </row>
    <row r="35" spans="2:6" x14ac:dyDescent="0.25">
      <c r="B35" s="511"/>
      <c r="C35" s="511"/>
      <c r="D35" s="511"/>
      <c r="E35" s="511"/>
      <c r="F35" s="1"/>
    </row>
    <row r="36" spans="2:6" x14ac:dyDescent="0.25">
      <c r="B36" s="511"/>
      <c r="C36" s="511"/>
      <c r="D36" s="511"/>
      <c r="E36" s="511"/>
      <c r="F36" s="1"/>
    </row>
    <row r="37" spans="2:6" x14ac:dyDescent="0.25">
      <c r="B37" s="511"/>
      <c r="C37" s="511"/>
      <c r="D37" s="511"/>
      <c r="E37" s="511"/>
      <c r="F37" s="1"/>
    </row>
    <row r="38" spans="2:6" x14ac:dyDescent="0.25">
      <c r="B38" s="511"/>
      <c r="C38" s="511"/>
      <c r="D38" s="511"/>
      <c r="E38" s="511"/>
      <c r="F38" s="1"/>
    </row>
  </sheetData>
  <mergeCells count="6">
    <mergeCell ref="A4:L4"/>
    <mergeCell ref="A5:L5"/>
    <mergeCell ref="A6:A7"/>
    <mergeCell ref="B6:B7"/>
    <mergeCell ref="C6:K6"/>
    <mergeCell ref="L6:L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opLeftCell="A4" workbookViewId="0">
      <pane ySplit="4" topLeftCell="A8" activePane="bottomLeft" state="frozen"/>
      <selection activeCell="A4" sqref="A4"/>
      <selection pane="bottomLeft" activeCell="D14" sqref="D14"/>
    </sheetView>
  </sheetViews>
  <sheetFormatPr defaultColWidth="9.109375" defaultRowHeight="13.8" x14ac:dyDescent="0.25"/>
  <cols>
    <col min="1" max="1" width="4.44140625" style="511" customWidth="1"/>
    <col min="2" max="2" width="28.44140625" style="658" customWidth="1"/>
    <col min="3" max="3" width="11" style="658" customWidth="1"/>
    <col min="4" max="4" width="10.88671875" style="658" customWidth="1"/>
    <col min="5" max="5" width="10" style="658" customWidth="1"/>
    <col min="6" max="6" width="13" style="13" customWidth="1"/>
    <col min="7" max="11" width="9.109375" style="1"/>
    <col min="12" max="12" width="28.44140625" style="1" customWidth="1"/>
    <col min="13" max="16384" width="9.109375" style="1"/>
  </cols>
  <sheetData>
    <row r="1" spans="1:12" ht="16.8" x14ac:dyDescent="0.3">
      <c r="A1" s="649" t="s">
        <v>3</v>
      </c>
      <c r="B1" s="1219"/>
      <c r="C1" s="1113"/>
      <c r="D1" s="1113"/>
      <c r="E1" s="1113"/>
      <c r="F1" s="111"/>
      <c r="G1" s="111"/>
      <c r="H1" s="111"/>
      <c r="I1" s="111"/>
    </row>
    <row r="2" spans="1:12" ht="15.6" x14ac:dyDescent="0.25">
      <c r="A2" s="654" t="s">
        <v>5</v>
      </c>
      <c r="B2" s="1220"/>
      <c r="C2" s="659"/>
      <c r="D2" s="659"/>
      <c r="E2" s="659"/>
      <c r="F2" s="10"/>
      <c r="G2" s="10"/>
      <c r="H2" s="10"/>
      <c r="I2" s="10"/>
    </row>
    <row r="3" spans="1:12" s="24" customFormat="1" x14ac:dyDescent="0.25">
      <c r="A3" s="520"/>
      <c r="B3" s="511"/>
      <c r="C3" s="1168"/>
      <c r="D3" s="1168"/>
      <c r="E3" s="1168"/>
      <c r="F3" s="1076"/>
      <c r="G3" s="1076"/>
      <c r="H3" s="1076"/>
      <c r="I3" s="1076"/>
    </row>
    <row r="4" spans="1:12" ht="20.399999999999999" x14ac:dyDescent="0.35">
      <c r="A4" s="2124" t="s">
        <v>1315</v>
      </c>
      <c r="B4" s="2124"/>
      <c r="C4" s="2124"/>
      <c r="D4" s="2124"/>
      <c r="E4" s="2124"/>
      <c r="F4" s="2124"/>
      <c r="G4" s="2124"/>
      <c r="H4" s="2124"/>
      <c r="I4" s="2124"/>
      <c r="J4" s="2124"/>
      <c r="K4" s="2124"/>
      <c r="L4" s="2124"/>
    </row>
    <row r="5" spans="1:12" ht="14.4" thickBot="1" x14ac:dyDescent="0.3">
      <c r="A5" s="2294" t="s">
        <v>1316</v>
      </c>
      <c r="B5" s="2294"/>
      <c r="C5" s="2294"/>
      <c r="D5" s="2294"/>
      <c r="E5" s="2294"/>
      <c r="F5" s="2294"/>
      <c r="G5" s="2294"/>
      <c r="H5" s="2294"/>
      <c r="I5" s="2294"/>
      <c r="J5" s="2294"/>
      <c r="K5" s="2294"/>
      <c r="L5" s="2294"/>
    </row>
    <row r="6" spans="1:12" s="606" customFormat="1" ht="14.4" thickTop="1" x14ac:dyDescent="0.25">
      <c r="A6" s="2308" t="s">
        <v>153</v>
      </c>
      <c r="B6" s="2310" t="s">
        <v>91</v>
      </c>
      <c r="C6" s="2314" t="s">
        <v>92</v>
      </c>
      <c r="D6" s="2314"/>
      <c r="E6" s="2314"/>
      <c r="F6" s="2314"/>
      <c r="G6" s="2314"/>
      <c r="H6" s="2314"/>
      <c r="I6" s="2314"/>
      <c r="J6" s="2314"/>
      <c r="K6" s="2314"/>
      <c r="L6" s="2312" t="s">
        <v>670</v>
      </c>
    </row>
    <row r="7" spans="1:12" s="606" customFormat="1" ht="39.6" x14ac:dyDescent="0.25">
      <c r="A7" s="2309"/>
      <c r="B7" s="2311"/>
      <c r="C7" s="1169" t="s">
        <v>687</v>
      </c>
      <c r="D7" s="608" t="s">
        <v>686</v>
      </c>
      <c r="E7" s="608" t="s">
        <v>683</v>
      </c>
      <c r="F7" s="608" t="s">
        <v>685</v>
      </c>
      <c r="G7" s="1074" t="s">
        <v>688</v>
      </c>
      <c r="H7" s="1074" t="s">
        <v>689</v>
      </c>
      <c r="I7" s="1074" t="s">
        <v>690</v>
      </c>
      <c r="J7" s="1074" t="s">
        <v>691</v>
      </c>
      <c r="K7" s="1074" t="s">
        <v>692</v>
      </c>
      <c r="L7" s="2313"/>
    </row>
    <row r="8" spans="1:12" s="599" customFormat="1" ht="15.75" customHeight="1" x14ac:dyDescent="0.25">
      <c r="A8" s="611" t="s">
        <v>388</v>
      </c>
      <c r="B8" s="36" t="s">
        <v>440</v>
      </c>
      <c r="C8" s="594"/>
      <c r="D8" s="1071">
        <v>2500000</v>
      </c>
      <c r="E8" s="594"/>
      <c r="F8" s="594"/>
      <c r="G8" s="594"/>
      <c r="H8" s="594"/>
      <c r="I8" s="594"/>
      <c r="J8" s="594"/>
      <c r="K8" s="594"/>
      <c r="L8" s="35" t="s">
        <v>441</v>
      </c>
    </row>
    <row r="9" spans="1:12" s="599" customFormat="1" ht="26.4" x14ac:dyDescent="0.25">
      <c r="A9" s="611" t="s">
        <v>388</v>
      </c>
      <c r="B9" s="36" t="s">
        <v>442</v>
      </c>
      <c r="C9" s="594"/>
      <c r="D9" s="1071">
        <v>2500000</v>
      </c>
      <c r="E9" s="594"/>
      <c r="F9" s="594"/>
      <c r="G9" s="594"/>
      <c r="H9" s="594"/>
      <c r="I9" s="594"/>
      <c r="J9" s="594"/>
      <c r="K9" s="594"/>
      <c r="L9" s="35"/>
    </row>
    <row r="10" spans="1:12" s="599" customFormat="1" ht="13.2" x14ac:dyDescent="0.25">
      <c r="A10" s="611" t="s">
        <v>388</v>
      </c>
      <c r="B10" s="36" t="s">
        <v>443</v>
      </c>
      <c r="C10" s="594"/>
      <c r="D10" s="1071">
        <v>4000000</v>
      </c>
      <c r="E10" s="594"/>
      <c r="F10" s="594"/>
      <c r="G10" s="594"/>
      <c r="H10" s="594"/>
      <c r="I10" s="594"/>
      <c r="J10" s="594"/>
      <c r="K10" s="594"/>
      <c r="L10" s="35"/>
    </row>
    <row r="11" spans="1:12" s="599" customFormat="1" ht="26.4" x14ac:dyDescent="0.25">
      <c r="A11" s="611" t="s">
        <v>432</v>
      </c>
      <c r="B11" s="36" t="s">
        <v>1260</v>
      </c>
      <c r="C11" s="609"/>
      <c r="D11" s="594"/>
      <c r="E11" s="1071">
        <v>5460000</v>
      </c>
      <c r="F11" s="594"/>
      <c r="G11" s="594"/>
      <c r="H11" s="594"/>
      <c r="I11" s="594"/>
      <c r="J11" s="594"/>
      <c r="K11" s="594"/>
      <c r="L11" s="35"/>
    </row>
    <row r="12" spans="1:12" s="599" customFormat="1" ht="13.2" x14ac:dyDescent="0.25">
      <c r="A12" s="611" t="s">
        <v>432</v>
      </c>
      <c r="B12" s="36" t="s">
        <v>1311</v>
      </c>
      <c r="C12" s="609"/>
      <c r="D12" s="594"/>
      <c r="E12" s="1071"/>
      <c r="F12" s="1071">
        <v>14937500</v>
      </c>
      <c r="G12" s="594"/>
      <c r="H12" s="594"/>
      <c r="I12" s="594"/>
      <c r="J12" s="594"/>
      <c r="K12" s="594"/>
      <c r="L12" s="35"/>
    </row>
    <row r="13" spans="1:12" s="599" customFormat="1" ht="13.2" x14ac:dyDescent="0.25">
      <c r="A13" s="611" t="s">
        <v>432</v>
      </c>
      <c r="B13" s="36" t="s">
        <v>129</v>
      </c>
      <c r="C13" s="609"/>
      <c r="D13" s="594"/>
      <c r="E13" s="1071"/>
      <c r="F13" s="1071">
        <v>15000</v>
      </c>
      <c r="G13" s="594"/>
      <c r="H13" s="594"/>
      <c r="I13" s="594"/>
      <c r="J13" s="594"/>
      <c r="K13" s="594"/>
      <c r="L13" s="35"/>
    </row>
    <row r="14" spans="1:12" s="599" customFormat="1" ht="13.2" x14ac:dyDescent="0.25">
      <c r="A14" s="611" t="s">
        <v>432</v>
      </c>
      <c r="B14" s="36" t="s">
        <v>1312</v>
      </c>
      <c r="C14" s="609"/>
      <c r="D14" s="594"/>
      <c r="E14" s="1071"/>
      <c r="F14" s="1071">
        <v>15100000</v>
      </c>
      <c r="G14" s="594"/>
      <c r="H14" s="594"/>
      <c r="I14" s="594"/>
      <c r="J14" s="594"/>
      <c r="K14" s="594"/>
      <c r="L14" s="35"/>
    </row>
    <row r="15" spans="1:12" s="599" customFormat="1" ht="13.2" x14ac:dyDescent="0.25">
      <c r="A15" s="611" t="s">
        <v>432</v>
      </c>
      <c r="B15" s="36" t="s">
        <v>129</v>
      </c>
      <c r="C15" s="609"/>
      <c r="D15" s="594"/>
      <c r="E15" s="1071"/>
      <c r="F15" s="1071">
        <v>15000</v>
      </c>
      <c r="G15" s="594"/>
      <c r="H15" s="594"/>
      <c r="I15" s="594"/>
      <c r="J15" s="594"/>
      <c r="K15" s="594"/>
      <c r="L15" s="35"/>
    </row>
    <row r="16" spans="1:12" s="599" customFormat="1" ht="13.2" x14ac:dyDescent="0.25">
      <c r="A16" s="611" t="s">
        <v>432</v>
      </c>
      <c r="B16" s="36" t="s">
        <v>1313</v>
      </c>
      <c r="C16" s="609"/>
      <c r="D16" s="594"/>
      <c r="E16" s="1071"/>
      <c r="F16" s="1071">
        <v>15187500</v>
      </c>
      <c r="G16" s="594"/>
      <c r="H16" s="594"/>
      <c r="I16" s="594"/>
      <c r="J16" s="594"/>
      <c r="K16" s="594"/>
      <c r="L16" s="35"/>
    </row>
    <row r="17" spans="1:12" s="599" customFormat="1" ht="13.2" x14ac:dyDescent="0.25">
      <c r="A17" s="611" t="s">
        <v>432</v>
      </c>
      <c r="B17" s="36" t="s">
        <v>129</v>
      </c>
      <c r="C17" s="609"/>
      <c r="D17" s="594"/>
      <c r="E17" s="1071"/>
      <c r="F17" s="1071">
        <v>15000</v>
      </c>
      <c r="G17" s="594"/>
      <c r="H17" s="594"/>
      <c r="I17" s="594"/>
      <c r="J17" s="594"/>
      <c r="K17" s="594"/>
      <c r="L17" s="35"/>
    </row>
    <row r="18" spans="1:12" s="599" customFormat="1" ht="13.2" x14ac:dyDescent="0.25">
      <c r="A18" s="611" t="s">
        <v>765</v>
      </c>
      <c r="B18" s="36" t="s">
        <v>1210</v>
      </c>
      <c r="C18" s="594"/>
      <c r="D18" s="1071">
        <v>4000000</v>
      </c>
      <c r="E18" s="594"/>
      <c r="F18" s="594"/>
      <c r="G18" s="594"/>
      <c r="H18" s="594"/>
      <c r="I18" s="594"/>
      <c r="J18" s="594"/>
      <c r="K18" s="594"/>
      <c r="L18" s="35"/>
    </row>
    <row r="19" spans="1:12" s="599" customFormat="1" ht="13.2" x14ac:dyDescent="0.25">
      <c r="A19" s="611" t="s">
        <v>823</v>
      </c>
      <c r="B19" s="36" t="s">
        <v>1194</v>
      </c>
      <c r="C19" s="594"/>
      <c r="D19" s="1071">
        <v>1000000</v>
      </c>
      <c r="E19" s="594"/>
      <c r="F19" s="594"/>
      <c r="G19" s="594"/>
      <c r="H19" s="594"/>
      <c r="I19" s="594"/>
      <c r="J19" s="594"/>
      <c r="K19" s="594"/>
      <c r="L19" s="35"/>
    </row>
    <row r="20" spans="1:12" s="599" customFormat="1" ht="13.2" x14ac:dyDescent="0.25">
      <c r="A20" s="611" t="s">
        <v>964</v>
      </c>
      <c r="B20" s="36" t="s">
        <v>1208</v>
      </c>
      <c r="C20" s="594"/>
      <c r="D20" s="1071">
        <v>2000000</v>
      </c>
      <c r="E20" s="594"/>
      <c r="F20" s="594"/>
      <c r="G20" s="594"/>
      <c r="H20" s="594"/>
      <c r="I20" s="594"/>
      <c r="J20" s="594"/>
      <c r="K20" s="594"/>
      <c r="L20" s="35"/>
    </row>
    <row r="21" spans="1:12" s="599" customFormat="1" ht="13.2" x14ac:dyDescent="0.25">
      <c r="A21" s="611" t="s">
        <v>952</v>
      </c>
      <c r="B21" s="36" t="s">
        <v>1208</v>
      </c>
      <c r="C21" s="594"/>
      <c r="D21" s="1071">
        <v>2500000</v>
      </c>
      <c r="E21" s="594"/>
      <c r="F21" s="594"/>
      <c r="G21" s="594"/>
      <c r="H21" s="594"/>
      <c r="I21" s="594"/>
      <c r="J21" s="594"/>
      <c r="K21" s="594"/>
      <c r="L21" s="35"/>
    </row>
    <row r="22" spans="1:12" s="599" customFormat="1" ht="13.2" x14ac:dyDescent="0.25">
      <c r="A22" s="611" t="s">
        <v>983</v>
      </c>
      <c r="B22" s="36" t="s">
        <v>1000</v>
      </c>
      <c r="C22" s="594"/>
      <c r="D22" s="1071">
        <v>5000000</v>
      </c>
      <c r="E22" s="594"/>
      <c r="F22" s="594"/>
      <c r="G22" s="594"/>
      <c r="H22" s="594"/>
      <c r="I22" s="594"/>
      <c r="J22" s="594"/>
      <c r="K22" s="594"/>
      <c r="L22" s="35"/>
    </row>
    <row r="23" spans="1:12" s="599" customFormat="1" ht="13.2" x14ac:dyDescent="0.25">
      <c r="A23" s="611" t="s">
        <v>1001</v>
      </c>
      <c r="B23" s="36" t="s">
        <v>1193</v>
      </c>
      <c r="C23" s="594"/>
      <c r="D23" s="1071">
        <v>3000000</v>
      </c>
      <c r="E23" s="594"/>
      <c r="F23" s="594"/>
      <c r="G23" s="594"/>
      <c r="H23" s="594"/>
      <c r="I23" s="594"/>
      <c r="J23" s="594"/>
      <c r="K23" s="594"/>
      <c r="L23" s="35"/>
    </row>
    <row r="24" spans="1:12" s="599" customFormat="1" ht="13.2" x14ac:dyDescent="0.25">
      <c r="A24" s="611" t="s">
        <v>1001</v>
      </c>
      <c r="B24" s="36" t="s">
        <v>129</v>
      </c>
      <c r="C24" s="594"/>
      <c r="D24" s="1071">
        <v>7700</v>
      </c>
      <c r="E24" s="594"/>
      <c r="F24" s="594"/>
      <c r="G24" s="594"/>
      <c r="H24" s="594"/>
      <c r="I24" s="594"/>
      <c r="J24" s="594"/>
      <c r="K24" s="594"/>
      <c r="L24" s="35"/>
    </row>
    <row r="25" spans="1:12" s="599" customFormat="1" ht="13.2" x14ac:dyDescent="0.25">
      <c r="A25" s="611" t="s">
        <v>1001</v>
      </c>
      <c r="B25" s="36" t="s">
        <v>1194</v>
      </c>
      <c r="C25" s="594"/>
      <c r="D25" s="1071">
        <v>2000000</v>
      </c>
      <c r="E25" s="594"/>
      <c r="F25" s="594"/>
      <c r="G25" s="594"/>
      <c r="H25" s="594"/>
      <c r="I25" s="594"/>
      <c r="J25" s="594"/>
      <c r="K25" s="594"/>
      <c r="L25" s="35"/>
    </row>
    <row r="26" spans="1:12" s="599" customFormat="1" ht="26.4" x14ac:dyDescent="0.25">
      <c r="A26" s="611" t="s">
        <v>1018</v>
      </c>
      <c r="B26" s="36" t="s">
        <v>1351</v>
      </c>
      <c r="C26" s="594"/>
      <c r="D26" s="1071">
        <v>4000000</v>
      </c>
      <c r="E26" s="594"/>
      <c r="F26" s="594"/>
      <c r="G26" s="594"/>
      <c r="H26" s="594"/>
      <c r="I26" s="594"/>
      <c r="J26" s="594"/>
      <c r="K26" s="594"/>
      <c r="L26" s="35"/>
    </row>
    <row r="27" spans="1:12" s="599" customFormat="1" ht="13.2" x14ac:dyDescent="0.25">
      <c r="A27" s="611" t="s">
        <v>1107</v>
      </c>
      <c r="B27" s="36" t="s">
        <v>1193</v>
      </c>
      <c r="C27" s="594"/>
      <c r="D27" s="1071">
        <v>5000000</v>
      </c>
      <c r="E27" s="594"/>
      <c r="F27" s="594"/>
      <c r="G27" s="594"/>
      <c r="H27" s="594"/>
      <c r="I27" s="594"/>
      <c r="J27" s="594"/>
      <c r="K27" s="594"/>
      <c r="L27" s="35"/>
    </row>
    <row r="28" spans="1:12" s="599" customFormat="1" ht="13.2" x14ac:dyDescent="0.25">
      <c r="A28" s="611" t="s">
        <v>1107</v>
      </c>
      <c r="B28" s="36" t="s">
        <v>129</v>
      </c>
      <c r="C28" s="594"/>
      <c r="D28" s="1071">
        <v>10000</v>
      </c>
      <c r="E28" s="594"/>
      <c r="F28" s="594"/>
      <c r="G28" s="594"/>
      <c r="H28" s="594"/>
      <c r="I28" s="594"/>
      <c r="J28" s="594"/>
      <c r="K28" s="594"/>
      <c r="L28" s="35"/>
    </row>
    <row r="29" spans="1:12" s="599" customFormat="1" ht="13.2" x14ac:dyDescent="0.25">
      <c r="A29" s="611" t="s">
        <v>1188</v>
      </c>
      <c r="B29" s="36" t="s">
        <v>1189</v>
      </c>
      <c r="C29" s="594"/>
      <c r="D29" s="1071">
        <v>500000</v>
      </c>
      <c r="E29" s="594"/>
      <c r="F29" s="594"/>
      <c r="G29" s="594"/>
      <c r="H29" s="594"/>
      <c r="I29" s="594"/>
      <c r="J29" s="594"/>
      <c r="K29" s="594"/>
      <c r="L29" s="35"/>
    </row>
    <row r="30" spans="1:12" s="599" customFormat="1" ht="13.2" x14ac:dyDescent="0.25">
      <c r="A30" s="611" t="s">
        <v>1188</v>
      </c>
      <c r="B30" s="36" t="s">
        <v>1225</v>
      </c>
      <c r="C30" s="594"/>
      <c r="D30" s="1071">
        <v>500000</v>
      </c>
      <c r="E30" s="594"/>
      <c r="F30" s="594"/>
      <c r="G30" s="594"/>
      <c r="H30" s="594"/>
      <c r="I30" s="594"/>
      <c r="J30" s="594"/>
      <c r="K30" s="594"/>
      <c r="L30" s="35"/>
    </row>
    <row r="31" spans="1:12" s="599" customFormat="1" ht="13.2" x14ac:dyDescent="0.25">
      <c r="A31" s="611" t="s">
        <v>1188</v>
      </c>
      <c r="B31" s="36" t="s">
        <v>1193</v>
      </c>
      <c r="C31" s="594"/>
      <c r="D31" s="1071">
        <v>4600000</v>
      </c>
      <c r="E31" s="594"/>
      <c r="F31" s="594"/>
      <c r="G31" s="594"/>
      <c r="H31" s="594"/>
      <c r="I31" s="594"/>
      <c r="J31" s="594"/>
      <c r="K31" s="594"/>
      <c r="L31" s="35"/>
    </row>
    <row r="32" spans="1:12" s="599" customFormat="1" ht="13.2" x14ac:dyDescent="0.25">
      <c r="A32" s="611" t="s">
        <v>1188</v>
      </c>
      <c r="B32" s="36" t="s">
        <v>129</v>
      </c>
      <c r="C32" s="594"/>
      <c r="D32" s="1071">
        <v>10000</v>
      </c>
      <c r="E32" s="594"/>
      <c r="F32" s="594"/>
      <c r="G32" s="594"/>
      <c r="H32" s="594"/>
      <c r="I32" s="594"/>
      <c r="J32" s="594"/>
      <c r="K32" s="594"/>
      <c r="L32" s="35"/>
    </row>
    <row r="33" spans="1:12" s="599" customFormat="1" ht="13.2" x14ac:dyDescent="0.25">
      <c r="A33" s="611" t="s">
        <v>1164</v>
      </c>
      <c r="B33" s="36" t="s">
        <v>1190</v>
      </c>
      <c r="C33" s="594"/>
      <c r="D33" s="1071">
        <v>2500000</v>
      </c>
      <c r="E33" s="594"/>
      <c r="F33" s="594"/>
      <c r="G33" s="594"/>
      <c r="H33" s="594"/>
      <c r="I33" s="594"/>
      <c r="J33" s="594"/>
      <c r="K33" s="594"/>
      <c r="L33" s="35"/>
    </row>
    <row r="34" spans="1:12" s="599" customFormat="1" ht="13.2" x14ac:dyDescent="0.25">
      <c r="A34" s="611" t="s">
        <v>1164</v>
      </c>
      <c r="B34" s="36" t="s">
        <v>129</v>
      </c>
      <c r="C34" s="594"/>
      <c r="D34" s="1071">
        <v>10000</v>
      </c>
      <c r="E34" s="594"/>
      <c r="F34" s="594"/>
      <c r="G34" s="594"/>
      <c r="H34" s="594"/>
      <c r="I34" s="594"/>
      <c r="J34" s="594"/>
      <c r="K34" s="594"/>
      <c r="L34" s="35"/>
    </row>
    <row r="35" spans="1:12" s="599" customFormat="1" ht="13.2" x14ac:dyDescent="0.25">
      <c r="A35" s="611" t="s">
        <v>1202</v>
      </c>
      <c r="B35" s="36" t="s">
        <v>1223</v>
      </c>
      <c r="C35" s="594"/>
      <c r="D35" s="1071">
        <v>1800000</v>
      </c>
      <c r="E35" s="594"/>
      <c r="F35" s="594"/>
      <c r="G35" s="594"/>
      <c r="H35" s="594"/>
      <c r="I35" s="594"/>
      <c r="J35" s="594"/>
      <c r="K35" s="594"/>
      <c r="L35" s="35" t="s">
        <v>1224</v>
      </c>
    </row>
    <row r="36" spans="1:12" s="599" customFormat="1" ht="26.4" x14ac:dyDescent="0.25">
      <c r="A36" s="592" t="s">
        <v>1205</v>
      </c>
      <c r="B36" s="80" t="s">
        <v>1222</v>
      </c>
      <c r="C36" s="593"/>
      <c r="D36" s="1072">
        <v>5000000</v>
      </c>
      <c r="E36" s="593"/>
      <c r="F36" s="593"/>
      <c r="G36" s="593"/>
      <c r="H36" s="593"/>
      <c r="I36" s="593"/>
      <c r="J36" s="593"/>
      <c r="K36" s="593"/>
      <c r="L36" s="81"/>
    </row>
    <row r="37" spans="1:12" s="599" customFormat="1" ht="13.2" x14ac:dyDescent="0.25">
      <c r="A37" s="108" t="s">
        <v>1252</v>
      </c>
      <c r="B37" s="36" t="s">
        <v>1223</v>
      </c>
      <c r="C37" s="594"/>
      <c r="D37" s="1071">
        <v>1000000</v>
      </c>
      <c r="E37" s="594"/>
      <c r="F37" s="594"/>
      <c r="G37" s="594"/>
      <c r="H37" s="594"/>
      <c r="I37" s="594"/>
      <c r="J37" s="594"/>
      <c r="K37" s="594"/>
      <c r="L37" s="107"/>
    </row>
    <row r="38" spans="1:12" s="599" customFormat="1" ht="66" x14ac:dyDescent="0.25">
      <c r="A38" s="1352" t="s">
        <v>1370</v>
      </c>
      <c r="B38" s="77" t="s">
        <v>1524</v>
      </c>
      <c r="C38" s="1351"/>
      <c r="D38" s="1353">
        <v>5087000</v>
      </c>
      <c r="E38" s="1351"/>
      <c r="F38" s="1351"/>
      <c r="G38" s="1351"/>
      <c r="H38" s="1351"/>
      <c r="I38" s="1351"/>
      <c r="J38" s="1351"/>
      <c r="K38" s="1351"/>
      <c r="L38" s="1350"/>
    </row>
    <row r="39" spans="1:12" s="599" customFormat="1" ht="26.4" x14ac:dyDescent="0.25">
      <c r="A39" s="1349" t="s">
        <v>1531</v>
      </c>
      <c r="B39" s="1040" t="s">
        <v>1567</v>
      </c>
      <c r="C39" s="1251"/>
      <c r="D39" s="1343">
        <v>3044000</v>
      </c>
      <c r="E39" s="1251"/>
      <c r="F39" s="1251"/>
      <c r="G39" s="1251"/>
      <c r="H39" s="1251"/>
      <c r="I39" s="1251"/>
      <c r="J39" s="1251"/>
      <c r="K39" s="1251"/>
      <c r="L39" s="1334"/>
    </row>
    <row r="40" spans="1:12" s="599" customFormat="1" ht="13.2" x14ac:dyDescent="0.25">
      <c r="A40" s="1349" t="s">
        <v>1531</v>
      </c>
      <c r="B40" s="1040" t="s">
        <v>1568</v>
      </c>
      <c r="C40" s="1251"/>
      <c r="D40" s="1343">
        <f>10000000-D39</f>
        <v>6956000</v>
      </c>
      <c r="E40" s="1251"/>
      <c r="F40" s="1251"/>
      <c r="G40" s="1251"/>
      <c r="H40" s="1251"/>
      <c r="I40" s="1251"/>
      <c r="J40" s="1251"/>
      <c r="K40" s="1251"/>
      <c r="L40" s="1334"/>
    </row>
    <row r="41" spans="1:12" x14ac:dyDescent="0.25">
      <c r="A41" s="1341"/>
      <c r="B41" s="1344" t="s">
        <v>2</v>
      </c>
      <c r="C41" s="1344"/>
      <c r="D41" s="1345">
        <f>SUM(D8:D40)</f>
        <v>68524700</v>
      </c>
      <c r="E41" s="1345">
        <f>SUM(E8:E40)</f>
        <v>5460000</v>
      </c>
      <c r="F41" s="1345">
        <f>SUM(F8:F40)</f>
        <v>45270000</v>
      </c>
      <c r="G41" s="1342"/>
      <c r="H41" s="1342"/>
      <c r="I41" s="1342"/>
      <c r="J41" s="1342"/>
      <c r="K41" s="1342"/>
      <c r="L41" s="1342"/>
    </row>
    <row r="46" spans="1:12" x14ac:dyDescent="0.25">
      <c r="B46" s="511"/>
      <c r="C46" s="511"/>
      <c r="D46" s="511"/>
      <c r="E46" s="511"/>
      <c r="F46" s="1"/>
    </row>
    <row r="47" spans="1:12" x14ac:dyDescent="0.25">
      <c r="B47" s="511"/>
      <c r="C47" s="511"/>
      <c r="D47" s="511"/>
      <c r="E47" s="511"/>
      <c r="F47" s="1"/>
    </row>
    <row r="48" spans="1:12" x14ac:dyDescent="0.25">
      <c r="B48" s="511"/>
      <c r="C48" s="511"/>
      <c r="D48" s="511"/>
      <c r="E48" s="511"/>
      <c r="F48" s="1"/>
    </row>
    <row r="49" spans="2:6" x14ac:dyDescent="0.25">
      <c r="B49" s="511"/>
      <c r="C49" s="511"/>
      <c r="D49" s="511"/>
      <c r="E49" s="511"/>
      <c r="F49" s="1"/>
    </row>
    <row r="50" spans="2:6" x14ac:dyDescent="0.25">
      <c r="B50" s="511"/>
      <c r="C50" s="511"/>
      <c r="D50" s="511"/>
      <c r="E50" s="511"/>
      <c r="F50" s="1"/>
    </row>
    <row r="51" spans="2:6" x14ac:dyDescent="0.25">
      <c r="B51" s="511"/>
      <c r="C51" s="511"/>
      <c r="D51" s="511"/>
      <c r="E51" s="511"/>
      <c r="F51" s="1"/>
    </row>
    <row r="52" spans="2:6" x14ac:dyDescent="0.25">
      <c r="B52" s="511"/>
      <c r="C52" s="511"/>
      <c r="D52" s="511"/>
      <c r="E52" s="511"/>
      <c r="F52" s="1"/>
    </row>
    <row r="53" spans="2:6" x14ac:dyDescent="0.25">
      <c r="B53" s="511"/>
      <c r="C53" s="511"/>
      <c r="D53" s="511"/>
      <c r="E53" s="511"/>
      <c r="F53" s="1"/>
    </row>
    <row r="54" spans="2:6" x14ac:dyDescent="0.25">
      <c r="B54" s="511"/>
      <c r="C54" s="511"/>
      <c r="D54" s="511"/>
      <c r="E54" s="511"/>
      <c r="F54" s="1"/>
    </row>
    <row r="55" spans="2:6" x14ac:dyDescent="0.25">
      <c r="B55" s="511"/>
      <c r="C55" s="511"/>
      <c r="D55" s="511"/>
      <c r="E55" s="511"/>
      <c r="F55" s="1"/>
    </row>
    <row r="56" spans="2:6" x14ac:dyDescent="0.25">
      <c r="B56" s="511"/>
      <c r="C56" s="511"/>
      <c r="D56" s="511"/>
      <c r="E56" s="511"/>
      <c r="F56" s="1"/>
    </row>
    <row r="57" spans="2:6" x14ac:dyDescent="0.25">
      <c r="B57" s="511"/>
      <c r="C57" s="511"/>
      <c r="D57" s="511"/>
      <c r="E57" s="511"/>
      <c r="F57" s="1"/>
    </row>
    <row r="58" spans="2:6" x14ac:dyDescent="0.25">
      <c r="B58" s="511"/>
      <c r="C58" s="511"/>
      <c r="D58" s="511"/>
      <c r="E58" s="511"/>
      <c r="F58" s="1"/>
    </row>
  </sheetData>
  <autoFilter ref="A7:N44"/>
  <mergeCells count="6">
    <mergeCell ref="A4:L4"/>
    <mergeCell ref="A5:L5"/>
    <mergeCell ref="A6:A7"/>
    <mergeCell ref="B6:B7"/>
    <mergeCell ref="C6:K6"/>
    <mergeCell ref="L6:L7"/>
  </mergeCells>
  <pageMargins left="0.7" right="0.7" top="0.75" bottom="0.75" header="0.3" footer="0.3"/>
  <pageSetup paperSize="256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88"/>
  <sheetViews>
    <sheetView zoomScaleNormal="100" workbookViewId="0">
      <pane xSplit="2" ySplit="7" topLeftCell="C259" activePane="bottomRight" state="frozen"/>
      <selection pane="topRight" activeCell="C1" sqref="C1"/>
      <selection pane="bottomLeft" activeCell="A8" sqref="A8"/>
      <selection pane="bottomRight" activeCell="I264" sqref="I264"/>
    </sheetView>
  </sheetViews>
  <sheetFormatPr defaultColWidth="9.109375" defaultRowHeight="13.8" x14ac:dyDescent="0.25"/>
  <cols>
    <col min="1" max="1" width="4.44140625" style="1" customWidth="1"/>
    <col min="2" max="2" width="28.44140625" style="13" customWidth="1"/>
    <col min="3" max="3" width="11" style="658" customWidth="1"/>
    <col min="4" max="4" width="10.88671875" style="658" customWidth="1"/>
    <col min="5" max="5" width="13.44140625" style="658" customWidth="1"/>
    <col min="6" max="6" width="10" style="658" customWidth="1"/>
    <col min="7" max="9" width="9.109375" style="1"/>
    <col min="10" max="10" width="9.109375" style="1" customWidth="1"/>
    <col min="11" max="11" width="9.109375" style="1"/>
    <col min="12" max="12" width="28.44140625" style="1" customWidth="1"/>
    <col min="13" max="13" width="9.109375" style="1"/>
    <col min="14" max="37" width="9.109375" style="452"/>
    <col min="38" max="16384" width="9.109375" style="1"/>
  </cols>
  <sheetData>
    <row r="1" spans="1:37" ht="16.8" x14ac:dyDescent="0.3">
      <c r="A1" s="5" t="s">
        <v>3</v>
      </c>
      <c r="B1" s="16"/>
      <c r="C1" s="1113"/>
      <c r="D1" s="1113"/>
      <c r="E1" s="1113"/>
      <c r="F1" s="1113"/>
      <c r="G1" s="111"/>
      <c r="H1" s="111"/>
      <c r="I1" s="111"/>
    </row>
    <row r="2" spans="1:37" ht="15.6" x14ac:dyDescent="0.25">
      <c r="A2" s="7" t="s">
        <v>5</v>
      </c>
      <c r="B2" s="17"/>
      <c r="C2" s="659"/>
      <c r="D2" s="659"/>
      <c r="E2" s="659"/>
      <c r="F2" s="659"/>
      <c r="G2" s="10"/>
      <c r="H2" s="10"/>
      <c r="I2" s="10"/>
    </row>
    <row r="3" spans="1:37" s="24" customFormat="1" x14ac:dyDescent="0.25">
      <c r="A3" s="20"/>
      <c r="C3" s="1168"/>
      <c r="D3" s="1168"/>
      <c r="E3" s="1168"/>
      <c r="F3" s="1168"/>
      <c r="G3" s="175"/>
      <c r="H3" s="379"/>
      <c r="I3" s="175"/>
      <c r="N3" s="346"/>
      <c r="O3" s="346"/>
      <c r="P3" s="346"/>
      <c r="Q3" s="346"/>
      <c r="R3" s="346"/>
      <c r="S3" s="346"/>
      <c r="T3" s="346"/>
      <c r="U3" s="346"/>
      <c r="V3" s="346"/>
      <c r="W3" s="346"/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6"/>
    </row>
    <row r="4" spans="1:37" ht="20.399999999999999" x14ac:dyDescent="0.35">
      <c r="A4" s="2124" t="s">
        <v>887</v>
      </c>
      <c r="B4" s="2124"/>
      <c r="C4" s="2124"/>
      <c r="D4" s="2124"/>
      <c r="E4" s="2124"/>
      <c r="F4" s="2124"/>
      <c r="G4" s="2124"/>
      <c r="H4" s="2124"/>
      <c r="I4" s="2124"/>
      <c r="J4" s="2124"/>
      <c r="K4" s="2124"/>
      <c r="L4" s="2124"/>
    </row>
    <row r="5" spans="1:37" ht="21.9" customHeight="1" thickBot="1" x14ac:dyDescent="0.3">
      <c r="A5" s="2294" t="s">
        <v>1326</v>
      </c>
      <c r="B5" s="2294"/>
      <c r="C5" s="2294"/>
      <c r="D5" s="2294"/>
      <c r="E5" s="2294"/>
      <c r="F5" s="2294"/>
      <c r="G5" s="2294"/>
      <c r="H5" s="2294"/>
      <c r="I5" s="2294"/>
      <c r="J5" s="2294"/>
      <c r="K5" s="2294"/>
      <c r="L5" s="2294"/>
    </row>
    <row r="6" spans="1:37" s="606" customFormat="1" ht="21.9" customHeight="1" thickTop="1" x14ac:dyDescent="0.25">
      <c r="A6" s="2308" t="s">
        <v>153</v>
      </c>
      <c r="B6" s="2310" t="s">
        <v>91</v>
      </c>
      <c r="C6" s="2314" t="s">
        <v>92</v>
      </c>
      <c r="D6" s="2314"/>
      <c r="E6" s="2314"/>
      <c r="F6" s="2314"/>
      <c r="G6" s="2314"/>
      <c r="H6" s="2314"/>
      <c r="I6" s="2314"/>
      <c r="J6" s="2314"/>
      <c r="K6" s="2314"/>
      <c r="L6" s="2312" t="s">
        <v>670</v>
      </c>
    </row>
    <row r="7" spans="1:37" s="606" customFormat="1" ht="55.5" customHeight="1" x14ac:dyDescent="0.25">
      <c r="A7" s="2315"/>
      <c r="B7" s="2311"/>
      <c r="C7" s="1169" t="s">
        <v>687</v>
      </c>
      <c r="D7" s="608" t="s">
        <v>686</v>
      </c>
      <c r="E7" s="608" t="s">
        <v>683</v>
      </c>
      <c r="F7" s="608" t="s">
        <v>685</v>
      </c>
      <c r="G7" s="607" t="s">
        <v>688</v>
      </c>
      <c r="H7" s="607" t="s">
        <v>689</v>
      </c>
      <c r="I7" s="607" t="s">
        <v>690</v>
      </c>
      <c r="J7" s="607" t="s">
        <v>691</v>
      </c>
      <c r="K7" s="607" t="s">
        <v>692</v>
      </c>
      <c r="L7" s="2313"/>
    </row>
    <row r="8" spans="1:37" s="614" customFormat="1" ht="25.5" customHeight="1" x14ac:dyDescent="0.25">
      <c r="A8" s="610" t="s">
        <v>527</v>
      </c>
      <c r="B8" s="36" t="s">
        <v>1319</v>
      </c>
      <c r="C8" s="594"/>
      <c r="D8" s="1071">
        <v>291700</v>
      </c>
      <c r="E8" s="594"/>
      <c r="F8" s="594"/>
      <c r="G8" s="594"/>
      <c r="H8" s="594"/>
      <c r="I8" s="594"/>
      <c r="J8" s="594"/>
      <c r="K8" s="594"/>
      <c r="L8" s="35"/>
      <c r="M8" s="606"/>
      <c r="N8" s="599"/>
      <c r="O8" s="599"/>
      <c r="P8" s="599"/>
      <c r="Q8" s="599"/>
      <c r="R8" s="599"/>
      <c r="S8" s="599"/>
      <c r="T8" s="599"/>
      <c r="U8" s="599"/>
      <c r="V8" s="599"/>
      <c r="W8" s="599"/>
      <c r="X8" s="599"/>
      <c r="Y8" s="599"/>
      <c r="Z8" s="599"/>
      <c r="AA8" s="599"/>
      <c r="AB8" s="599"/>
      <c r="AC8" s="599"/>
      <c r="AD8" s="599"/>
      <c r="AE8" s="599"/>
      <c r="AF8" s="599"/>
      <c r="AG8" s="599"/>
      <c r="AH8" s="599"/>
      <c r="AI8" s="599"/>
      <c r="AJ8" s="599"/>
      <c r="AK8" s="599"/>
    </row>
    <row r="9" spans="1:37" s="614" customFormat="1" ht="25.5" customHeight="1" x14ac:dyDescent="0.25">
      <c r="A9" s="610" t="s">
        <v>527</v>
      </c>
      <c r="B9" s="36" t="s">
        <v>1339</v>
      </c>
      <c r="C9" s="594"/>
      <c r="D9" s="1071">
        <v>745000</v>
      </c>
      <c r="E9" s="594"/>
      <c r="F9" s="594"/>
      <c r="G9" s="594"/>
      <c r="H9" s="594"/>
      <c r="I9" s="594"/>
      <c r="J9" s="594"/>
      <c r="K9" s="594"/>
      <c r="L9" s="35"/>
      <c r="M9" s="606"/>
      <c r="N9" s="599"/>
      <c r="O9" s="599"/>
      <c r="P9" s="599"/>
      <c r="Q9" s="599"/>
      <c r="R9" s="599"/>
      <c r="S9" s="599"/>
      <c r="T9" s="599"/>
      <c r="U9" s="599"/>
      <c r="V9" s="599"/>
      <c r="W9" s="599"/>
      <c r="X9" s="599"/>
      <c r="Y9" s="599"/>
      <c r="Z9" s="599"/>
      <c r="AA9" s="599"/>
      <c r="AB9" s="599"/>
      <c r="AC9" s="599"/>
      <c r="AD9" s="599"/>
      <c r="AE9" s="599"/>
      <c r="AF9" s="599"/>
      <c r="AG9" s="599"/>
      <c r="AH9" s="599"/>
      <c r="AI9" s="599"/>
      <c r="AJ9" s="599"/>
      <c r="AK9" s="599"/>
    </row>
    <row r="10" spans="1:37" s="614" customFormat="1" ht="25.5" customHeight="1" x14ac:dyDescent="0.25">
      <c r="A10" s="610" t="s">
        <v>237</v>
      </c>
      <c r="B10" s="36" t="s">
        <v>1261</v>
      </c>
      <c r="C10" s="594"/>
      <c r="D10" s="1071">
        <v>1300000</v>
      </c>
      <c r="E10" s="594"/>
      <c r="F10" s="594"/>
      <c r="G10" s="594"/>
      <c r="H10" s="594"/>
      <c r="I10" s="594"/>
      <c r="J10" s="594"/>
      <c r="K10" s="594"/>
      <c r="L10" s="35"/>
      <c r="M10" s="606"/>
      <c r="N10" s="599"/>
      <c r="O10" s="599"/>
      <c r="P10" s="599"/>
      <c r="Q10" s="599"/>
      <c r="R10" s="599"/>
      <c r="S10" s="599"/>
      <c r="T10" s="599"/>
      <c r="U10" s="599"/>
      <c r="V10" s="599"/>
      <c r="W10" s="599"/>
      <c r="X10" s="599"/>
      <c r="Y10" s="599"/>
      <c r="Z10" s="599"/>
      <c r="AA10" s="599"/>
      <c r="AB10" s="599"/>
      <c r="AC10" s="599"/>
      <c r="AD10" s="599"/>
      <c r="AE10" s="599"/>
      <c r="AF10" s="599"/>
      <c r="AG10" s="599"/>
      <c r="AH10" s="599"/>
      <c r="AI10" s="599"/>
      <c r="AJ10" s="599"/>
      <c r="AK10" s="599"/>
    </row>
    <row r="11" spans="1:37" s="614" customFormat="1" ht="25.5" customHeight="1" x14ac:dyDescent="0.25">
      <c r="A11" s="610" t="s">
        <v>237</v>
      </c>
      <c r="B11" s="36" t="s">
        <v>129</v>
      </c>
      <c r="C11" s="594"/>
      <c r="D11" s="1071">
        <v>7700</v>
      </c>
      <c r="E11" s="594"/>
      <c r="F11" s="594"/>
      <c r="G11" s="594"/>
      <c r="H11" s="594"/>
      <c r="I11" s="594"/>
      <c r="J11" s="594"/>
      <c r="K11" s="594"/>
      <c r="L11" s="35"/>
      <c r="M11" s="606"/>
      <c r="N11" s="599"/>
      <c r="O11" s="599"/>
      <c r="P11" s="599"/>
      <c r="Q11" s="599"/>
      <c r="R11" s="599"/>
      <c r="S11" s="599"/>
      <c r="T11" s="599"/>
      <c r="U11" s="599"/>
      <c r="V11" s="599"/>
      <c r="W11" s="599"/>
      <c r="X11" s="599"/>
      <c r="Y11" s="599"/>
      <c r="Z11" s="599"/>
      <c r="AA11" s="599"/>
      <c r="AB11" s="599"/>
      <c r="AC11" s="599"/>
      <c r="AD11" s="599"/>
      <c r="AE11" s="599"/>
      <c r="AF11" s="599"/>
      <c r="AG11" s="599"/>
      <c r="AH11" s="599"/>
      <c r="AI11" s="599"/>
      <c r="AJ11" s="599"/>
      <c r="AK11" s="599"/>
    </row>
    <row r="12" spans="1:37" s="599" customFormat="1" ht="37.5" customHeight="1" x14ac:dyDescent="0.25">
      <c r="A12" s="610" t="s">
        <v>239</v>
      </c>
      <c r="B12" s="36" t="s">
        <v>421</v>
      </c>
      <c r="C12" s="594"/>
      <c r="D12" s="594"/>
      <c r="E12" s="594"/>
      <c r="F12" s="594"/>
      <c r="G12" s="594"/>
      <c r="H12" s="594"/>
      <c r="I12" s="594"/>
      <c r="J12" s="1071">
        <f>15000+40000+60000+10000+15000</f>
        <v>140000</v>
      </c>
      <c r="K12" s="594"/>
      <c r="L12" s="35" t="s">
        <v>252</v>
      </c>
    </row>
    <row r="13" spans="1:37" s="599" customFormat="1" ht="52.5" customHeight="1" x14ac:dyDescent="0.25">
      <c r="A13" s="610" t="s">
        <v>239</v>
      </c>
      <c r="B13" s="36" t="s">
        <v>422</v>
      </c>
      <c r="C13" s="594"/>
      <c r="D13" s="594"/>
      <c r="E13" s="594"/>
      <c r="F13" s="594"/>
      <c r="G13" s="594"/>
      <c r="H13" s="594"/>
      <c r="I13" s="594"/>
      <c r="J13" s="1071">
        <v>550000</v>
      </c>
      <c r="K13" s="594"/>
      <c r="L13" s="35"/>
    </row>
    <row r="14" spans="1:37" s="599" customFormat="1" ht="42" customHeight="1" x14ac:dyDescent="0.25">
      <c r="A14" s="610" t="s">
        <v>239</v>
      </c>
      <c r="B14" s="36" t="s">
        <v>423</v>
      </c>
      <c r="C14" s="594"/>
      <c r="D14" s="594"/>
      <c r="E14" s="594"/>
      <c r="F14" s="594"/>
      <c r="G14" s="594"/>
      <c r="H14" s="594"/>
      <c r="I14" s="594"/>
      <c r="J14" s="1071">
        <v>790000</v>
      </c>
      <c r="K14" s="594"/>
      <c r="L14" s="35" t="s">
        <v>253</v>
      </c>
    </row>
    <row r="15" spans="1:37" s="599" customFormat="1" ht="42" customHeight="1" x14ac:dyDescent="0.25">
      <c r="A15" s="610" t="s">
        <v>241</v>
      </c>
      <c r="B15" s="36" t="s">
        <v>1314</v>
      </c>
      <c r="C15" s="594"/>
      <c r="D15" s="594"/>
      <c r="E15" s="1071">
        <v>110000</v>
      </c>
      <c r="F15" s="594"/>
      <c r="G15" s="594"/>
      <c r="H15" s="594"/>
      <c r="I15" s="594"/>
      <c r="J15" s="594"/>
      <c r="K15" s="594"/>
      <c r="L15" s="35"/>
    </row>
    <row r="16" spans="1:37" s="599" customFormat="1" ht="42" customHeight="1" x14ac:dyDescent="0.25">
      <c r="A16" s="610" t="s">
        <v>263</v>
      </c>
      <c r="B16" s="36" t="s">
        <v>1347</v>
      </c>
      <c r="C16" s="594"/>
      <c r="D16" s="1071">
        <v>499000</v>
      </c>
      <c r="E16" s="1071"/>
      <c r="F16" s="594"/>
      <c r="G16" s="594"/>
      <c r="H16" s="594"/>
      <c r="I16" s="594"/>
      <c r="J16" s="594"/>
      <c r="K16" s="594"/>
      <c r="L16" s="35"/>
    </row>
    <row r="17" spans="1:12" s="599" customFormat="1" ht="42" customHeight="1" x14ac:dyDescent="0.25">
      <c r="A17" s="610" t="s">
        <v>263</v>
      </c>
      <c r="B17" s="36" t="s">
        <v>1525</v>
      </c>
      <c r="C17" s="594"/>
      <c r="D17" s="1071">
        <v>500000</v>
      </c>
      <c r="E17" s="1071"/>
      <c r="F17" s="594"/>
      <c r="G17" s="594"/>
      <c r="H17" s="594"/>
      <c r="I17" s="594"/>
      <c r="J17" s="594"/>
      <c r="K17" s="594"/>
      <c r="L17" s="35"/>
    </row>
    <row r="18" spans="1:12" s="599" customFormat="1" ht="24" customHeight="1" x14ac:dyDescent="0.25">
      <c r="A18" s="610" t="s">
        <v>266</v>
      </c>
      <c r="B18" s="36" t="s">
        <v>1330</v>
      </c>
      <c r="C18" s="594"/>
      <c r="D18" s="93">
        <v>5850000</v>
      </c>
      <c r="E18" s="94"/>
      <c r="F18" s="94"/>
      <c r="G18" s="594"/>
      <c r="H18" s="594"/>
      <c r="I18" s="594"/>
      <c r="J18" s="594"/>
      <c r="K18" s="594"/>
      <c r="L18" s="35" t="s">
        <v>640</v>
      </c>
    </row>
    <row r="19" spans="1:12" s="599" customFormat="1" ht="52.8" x14ac:dyDescent="0.25">
      <c r="A19" s="611" t="s">
        <v>260</v>
      </c>
      <c r="B19" s="36" t="s">
        <v>1544</v>
      </c>
      <c r="C19" s="594"/>
      <c r="D19" s="594"/>
      <c r="E19" s="594"/>
      <c r="F19" s="594"/>
      <c r="G19" s="594"/>
      <c r="H19" s="594"/>
      <c r="I19" s="594"/>
      <c r="J19" s="1071">
        <v>15000</v>
      </c>
      <c r="K19" s="594"/>
      <c r="L19" s="35" t="s">
        <v>252</v>
      </c>
    </row>
    <row r="20" spans="1:12" s="599" customFormat="1" ht="52.8" x14ac:dyDescent="0.25">
      <c r="A20" s="611" t="s">
        <v>260</v>
      </c>
      <c r="B20" s="36" t="s">
        <v>1542</v>
      </c>
      <c r="C20" s="594"/>
      <c r="D20" s="594"/>
      <c r="E20" s="594"/>
      <c r="F20" s="594"/>
      <c r="G20" s="594"/>
      <c r="H20" s="594"/>
      <c r="I20" s="594"/>
      <c r="J20" s="1071">
        <f>120000*3*2</f>
        <v>720000</v>
      </c>
      <c r="K20" s="594"/>
      <c r="L20" s="35"/>
    </row>
    <row r="21" spans="1:12" s="599" customFormat="1" ht="52.8" x14ac:dyDescent="0.25">
      <c r="A21" s="611" t="s">
        <v>260</v>
      </c>
      <c r="B21" s="36" t="s">
        <v>1543</v>
      </c>
      <c r="C21" s="594"/>
      <c r="D21" s="594"/>
      <c r="E21" s="594"/>
      <c r="F21" s="594"/>
      <c r="G21" s="594"/>
      <c r="H21" s="594"/>
      <c r="I21" s="594"/>
      <c r="J21" s="1071">
        <f>420*2000</f>
        <v>840000</v>
      </c>
      <c r="K21" s="594"/>
      <c r="L21" s="35"/>
    </row>
    <row r="22" spans="1:12" s="599" customFormat="1" ht="39.6" x14ac:dyDescent="0.25">
      <c r="A22" s="611" t="s">
        <v>257</v>
      </c>
      <c r="B22" s="36" t="s">
        <v>427</v>
      </c>
      <c r="C22" s="594"/>
      <c r="D22" s="594"/>
      <c r="E22" s="594"/>
      <c r="F22" s="594"/>
      <c r="G22" s="594"/>
      <c r="H22" s="594"/>
      <c r="I22" s="594"/>
      <c r="J22" s="1071">
        <f>10000+10000+60000+60000</f>
        <v>140000</v>
      </c>
      <c r="K22" s="594"/>
      <c r="L22" s="35" t="s">
        <v>252</v>
      </c>
    </row>
    <row r="23" spans="1:12" s="599" customFormat="1" ht="39.6" x14ac:dyDescent="0.25">
      <c r="A23" s="611" t="s">
        <v>257</v>
      </c>
      <c r="B23" s="36" t="s">
        <v>420</v>
      </c>
      <c r="C23" s="594"/>
      <c r="D23" s="594"/>
      <c r="E23" s="594"/>
      <c r="F23" s="594"/>
      <c r="G23" s="594"/>
      <c r="H23" s="594"/>
      <c r="I23" s="594"/>
      <c r="J23" s="1071">
        <f>320*2000</f>
        <v>640000</v>
      </c>
      <c r="K23" s="594"/>
      <c r="L23" s="35"/>
    </row>
    <row r="24" spans="1:12" s="599" customFormat="1" ht="26.4" x14ac:dyDescent="0.25">
      <c r="A24" s="611" t="s">
        <v>257</v>
      </c>
      <c r="B24" s="36" t="s">
        <v>557</v>
      </c>
      <c r="C24" s="594"/>
      <c r="D24" s="1071">
        <v>520000</v>
      </c>
      <c r="E24" s="594"/>
      <c r="F24" s="594"/>
      <c r="G24" s="594"/>
      <c r="H24" s="594"/>
      <c r="I24" s="594"/>
      <c r="J24" s="594"/>
      <c r="K24" s="594"/>
      <c r="L24" s="35"/>
    </row>
    <row r="25" spans="1:12" s="599" customFormat="1" ht="13.2" x14ac:dyDescent="0.25">
      <c r="A25" s="611" t="s">
        <v>266</v>
      </c>
      <c r="B25" s="36" t="s">
        <v>408</v>
      </c>
      <c r="C25" s="594"/>
      <c r="D25" s="1071">
        <v>600000</v>
      </c>
      <c r="E25" s="594"/>
      <c r="F25" s="594"/>
      <c r="G25" s="594"/>
      <c r="H25" s="594"/>
      <c r="I25" s="594"/>
      <c r="J25" s="594"/>
      <c r="K25" s="594"/>
      <c r="L25" s="35"/>
    </row>
    <row r="26" spans="1:12" s="599" customFormat="1" ht="13.2" x14ac:dyDescent="0.25">
      <c r="A26" s="611" t="s">
        <v>409</v>
      </c>
      <c r="B26" s="36" t="s">
        <v>410</v>
      </c>
      <c r="C26" s="594"/>
      <c r="D26" s="1071">
        <v>870000</v>
      </c>
      <c r="E26" s="594"/>
      <c r="F26" s="594"/>
      <c r="G26" s="594"/>
      <c r="H26" s="594"/>
      <c r="I26" s="594"/>
      <c r="J26" s="594"/>
      <c r="K26" s="594"/>
      <c r="L26" s="35"/>
    </row>
    <row r="27" spans="1:12" s="599" customFormat="1" ht="26.4" x14ac:dyDescent="0.25">
      <c r="A27" s="611" t="s">
        <v>266</v>
      </c>
      <c r="B27" s="36" t="s">
        <v>1526</v>
      </c>
      <c r="C27" s="594"/>
      <c r="D27" s="1071">
        <v>200000</v>
      </c>
      <c r="E27" s="594"/>
      <c r="F27" s="594"/>
      <c r="G27" s="594"/>
      <c r="H27" s="594"/>
      <c r="I27" s="594"/>
      <c r="J27" s="594"/>
      <c r="K27" s="594"/>
      <c r="L27" s="35"/>
    </row>
    <row r="28" spans="1:12" s="599" customFormat="1" ht="13.2" x14ac:dyDescent="0.25">
      <c r="A28" s="611" t="s">
        <v>387</v>
      </c>
      <c r="B28" s="36" t="s">
        <v>1539</v>
      </c>
      <c r="C28" s="594"/>
      <c r="D28" s="1071">
        <v>1000000</v>
      </c>
      <c r="E28" s="594"/>
      <c r="F28" s="594"/>
      <c r="G28" s="594"/>
      <c r="H28" s="594"/>
      <c r="I28" s="594"/>
      <c r="J28" s="594"/>
      <c r="K28" s="594"/>
      <c r="L28" s="35" t="s">
        <v>1540</v>
      </c>
    </row>
    <row r="29" spans="1:12" s="599" customFormat="1" ht="13.2" x14ac:dyDescent="0.25">
      <c r="A29" s="611" t="s">
        <v>387</v>
      </c>
      <c r="B29" s="36" t="s">
        <v>410</v>
      </c>
      <c r="C29" s="594"/>
      <c r="D29" s="1071">
        <v>1885400</v>
      </c>
      <c r="E29" s="594"/>
      <c r="F29" s="594"/>
      <c r="G29" s="594"/>
      <c r="H29" s="594"/>
      <c r="I29" s="594"/>
      <c r="J29" s="594"/>
      <c r="K29" s="594"/>
      <c r="L29" s="35" t="s">
        <v>413</v>
      </c>
    </row>
    <row r="30" spans="1:12" s="599" customFormat="1" ht="13.2" x14ac:dyDescent="0.25">
      <c r="A30" s="611" t="s">
        <v>387</v>
      </c>
      <c r="B30" s="36" t="s">
        <v>1533</v>
      </c>
      <c r="C30" s="594"/>
      <c r="D30" s="1071">
        <v>60000</v>
      </c>
      <c r="E30" s="594"/>
      <c r="F30" s="594"/>
      <c r="G30" s="594"/>
      <c r="H30" s="594"/>
      <c r="I30" s="594"/>
      <c r="J30" s="594"/>
      <c r="K30" s="594"/>
      <c r="L30" s="35"/>
    </row>
    <row r="31" spans="1:12" s="599" customFormat="1" ht="13.2" x14ac:dyDescent="0.25">
      <c r="A31" s="611" t="s">
        <v>387</v>
      </c>
      <c r="B31" s="36" t="s">
        <v>1539</v>
      </c>
      <c r="C31" s="594"/>
      <c r="D31" s="1071">
        <v>809000</v>
      </c>
      <c r="E31" s="594"/>
      <c r="F31" s="594"/>
      <c r="G31" s="594"/>
      <c r="H31" s="594"/>
      <c r="I31" s="594"/>
      <c r="J31" s="594"/>
      <c r="K31" s="594"/>
      <c r="L31" s="35" t="s">
        <v>1541</v>
      </c>
    </row>
    <row r="32" spans="1:12" s="599" customFormat="1" ht="39.6" x14ac:dyDescent="0.25">
      <c r="A32" s="610" t="s">
        <v>388</v>
      </c>
      <c r="B32" s="36" t="s">
        <v>851</v>
      </c>
      <c r="C32" s="594"/>
      <c r="D32" s="93">
        <v>800000</v>
      </c>
      <c r="E32" s="594"/>
      <c r="F32" s="594"/>
      <c r="G32" s="609"/>
      <c r="H32" s="94"/>
      <c r="I32" s="594"/>
      <c r="J32" s="594"/>
      <c r="K32" s="594"/>
      <c r="L32" s="35" t="s">
        <v>389</v>
      </c>
    </row>
    <row r="33" spans="1:12" s="599" customFormat="1" ht="26.4" x14ac:dyDescent="0.25">
      <c r="A33" s="610" t="s">
        <v>942</v>
      </c>
      <c r="B33" s="36" t="s">
        <v>1538</v>
      </c>
      <c r="C33" s="594"/>
      <c r="D33" s="93">
        <v>1220000</v>
      </c>
      <c r="E33" s="594"/>
      <c r="F33" s="594"/>
      <c r="G33" s="609"/>
      <c r="H33" s="94"/>
      <c r="I33" s="594"/>
      <c r="J33" s="594"/>
      <c r="K33" s="594"/>
      <c r="L33" s="35"/>
    </row>
    <row r="34" spans="1:12" s="599" customFormat="1" ht="26.4" x14ac:dyDescent="0.25">
      <c r="A34" s="611" t="s">
        <v>434</v>
      </c>
      <c r="B34" s="36" t="s">
        <v>568</v>
      </c>
      <c r="C34" s="594"/>
      <c r="D34" s="594"/>
      <c r="E34" s="594"/>
      <c r="F34" s="594"/>
      <c r="G34" s="594"/>
      <c r="H34" s="594"/>
      <c r="I34" s="594"/>
      <c r="J34" s="1071">
        <v>130000</v>
      </c>
      <c r="K34" s="594"/>
      <c r="L34" s="35"/>
    </row>
    <row r="35" spans="1:12" s="599" customFormat="1" ht="26.4" x14ac:dyDescent="0.25">
      <c r="A35" s="611" t="s">
        <v>434</v>
      </c>
      <c r="B35" s="36" t="s">
        <v>569</v>
      </c>
      <c r="C35" s="594"/>
      <c r="D35" s="594"/>
      <c r="E35" s="594"/>
      <c r="F35" s="594"/>
      <c r="G35" s="594"/>
      <c r="H35" s="594"/>
      <c r="I35" s="594"/>
      <c r="J35" s="1071">
        <v>840000</v>
      </c>
      <c r="K35" s="594"/>
      <c r="L35" s="35"/>
    </row>
    <row r="36" spans="1:12" s="599" customFormat="1" ht="13.2" x14ac:dyDescent="0.25">
      <c r="A36" s="611" t="s">
        <v>434</v>
      </c>
      <c r="B36" s="36" t="s">
        <v>558</v>
      </c>
      <c r="C36" s="594"/>
      <c r="D36" s="1071">
        <v>73000</v>
      </c>
      <c r="E36" s="594"/>
      <c r="F36" s="594"/>
      <c r="G36" s="594"/>
      <c r="H36" s="594"/>
      <c r="I36" s="594"/>
      <c r="J36" s="594"/>
      <c r="K36" s="594"/>
      <c r="L36" s="35"/>
    </row>
    <row r="37" spans="1:12" s="599" customFormat="1" ht="26.4" x14ac:dyDescent="0.25">
      <c r="A37" s="611" t="s">
        <v>434</v>
      </c>
      <c r="B37" s="36" t="s">
        <v>435</v>
      </c>
      <c r="C37" s="594"/>
      <c r="D37" s="1071">
        <f>510000+185000</f>
        <v>695000</v>
      </c>
      <c r="E37" s="594"/>
      <c r="F37" s="594"/>
      <c r="G37" s="594"/>
      <c r="H37" s="594"/>
      <c r="I37" s="594"/>
      <c r="J37" s="594"/>
      <c r="K37" s="594"/>
      <c r="L37" s="35"/>
    </row>
    <row r="38" spans="1:12" s="599" customFormat="1" ht="13.2" x14ac:dyDescent="0.25">
      <c r="A38" s="611" t="s">
        <v>434</v>
      </c>
      <c r="B38" s="36" t="s">
        <v>779</v>
      </c>
      <c r="C38" s="594"/>
      <c r="D38" s="594"/>
      <c r="E38" s="1071">
        <v>55000</v>
      </c>
      <c r="F38" s="594"/>
      <c r="G38" s="594"/>
      <c r="H38" s="594"/>
      <c r="I38" s="594"/>
      <c r="J38" s="594"/>
      <c r="K38" s="594"/>
      <c r="L38" s="35"/>
    </row>
    <row r="39" spans="1:12" s="599" customFormat="1" ht="13.2" x14ac:dyDescent="0.25">
      <c r="A39" s="611" t="s">
        <v>434</v>
      </c>
      <c r="B39" s="36" t="s">
        <v>780</v>
      </c>
      <c r="C39" s="594"/>
      <c r="D39" s="594"/>
      <c r="E39" s="1071">
        <v>55000</v>
      </c>
      <c r="F39" s="594"/>
      <c r="G39" s="594"/>
      <c r="H39" s="594"/>
      <c r="I39" s="594"/>
      <c r="J39" s="594"/>
      <c r="K39" s="594"/>
      <c r="L39" s="35"/>
    </row>
    <row r="40" spans="1:12" s="599" customFormat="1" ht="26.4" x14ac:dyDescent="0.25">
      <c r="A40" s="611" t="s">
        <v>434</v>
      </c>
      <c r="B40" s="36" t="s">
        <v>1557</v>
      </c>
      <c r="C40" s="594"/>
      <c r="D40" s="594"/>
      <c r="E40" s="1071">
        <v>22000</v>
      </c>
      <c r="F40" s="594"/>
      <c r="G40" s="594"/>
      <c r="H40" s="594"/>
      <c r="I40" s="594"/>
      <c r="J40" s="594"/>
      <c r="K40" s="594"/>
      <c r="L40" s="35"/>
    </row>
    <row r="41" spans="1:12" s="599" customFormat="1" ht="26.4" x14ac:dyDescent="0.25">
      <c r="A41" s="611" t="s">
        <v>419</v>
      </c>
      <c r="B41" s="36" t="s">
        <v>850</v>
      </c>
      <c r="C41" s="594"/>
      <c r="D41" s="1071">
        <v>2750000</v>
      </c>
      <c r="E41" s="594"/>
      <c r="F41" s="594"/>
      <c r="G41" s="594"/>
      <c r="H41" s="594"/>
      <c r="I41" s="594"/>
      <c r="J41" s="594"/>
      <c r="K41" s="594"/>
      <c r="L41" s="35"/>
    </row>
    <row r="42" spans="1:12" s="599" customFormat="1" ht="26.4" x14ac:dyDescent="0.25">
      <c r="A42" s="611" t="s">
        <v>432</v>
      </c>
      <c r="B42" s="36" t="s">
        <v>436</v>
      </c>
      <c r="C42" s="594"/>
      <c r="D42" s="1071">
        <v>2400000</v>
      </c>
      <c r="E42" s="594"/>
      <c r="F42" s="594"/>
      <c r="G42" s="594"/>
      <c r="H42" s="594"/>
      <c r="I42" s="594"/>
      <c r="J42" s="594"/>
      <c r="K42" s="594"/>
      <c r="L42" s="35"/>
    </row>
    <row r="43" spans="1:12" s="599" customFormat="1" ht="26.4" x14ac:dyDescent="0.25">
      <c r="A43" s="611" t="s">
        <v>432</v>
      </c>
      <c r="B43" s="36" t="s">
        <v>437</v>
      </c>
      <c r="C43" s="594"/>
      <c r="D43" s="1071">
        <v>1200000</v>
      </c>
      <c r="E43" s="1071"/>
      <c r="F43" s="594"/>
      <c r="G43" s="594"/>
      <c r="H43" s="594"/>
      <c r="I43" s="594"/>
      <c r="J43" s="594"/>
      <c r="K43" s="594"/>
      <c r="L43" s="35"/>
    </row>
    <row r="44" spans="1:12" s="599" customFormat="1" ht="26.4" x14ac:dyDescent="0.25">
      <c r="A44" s="611" t="s">
        <v>432</v>
      </c>
      <c r="B44" s="36" t="s">
        <v>438</v>
      </c>
      <c r="C44" s="594"/>
      <c r="D44" s="1071">
        <v>1000000</v>
      </c>
      <c r="E44" s="1071"/>
      <c r="F44" s="594"/>
      <c r="G44" s="594"/>
      <c r="H44" s="594"/>
      <c r="I44" s="594"/>
      <c r="J44" s="594"/>
      <c r="K44" s="594"/>
      <c r="L44" s="35"/>
    </row>
    <row r="45" spans="1:12" s="599" customFormat="1" ht="26.4" x14ac:dyDescent="0.25">
      <c r="A45" s="611" t="s">
        <v>432</v>
      </c>
      <c r="B45" s="36" t="s">
        <v>439</v>
      </c>
      <c r="C45" s="594"/>
      <c r="D45" s="1071">
        <v>200000</v>
      </c>
      <c r="E45" s="594"/>
      <c r="F45" s="594"/>
      <c r="G45" s="594"/>
      <c r="H45" s="594"/>
      <c r="I45" s="594"/>
      <c r="J45" s="594"/>
      <c r="K45" s="594"/>
      <c r="L45" s="35" t="s">
        <v>1471</v>
      </c>
    </row>
    <row r="46" spans="1:12" s="599" customFormat="1" ht="26.4" x14ac:dyDescent="0.25">
      <c r="A46" s="611" t="s">
        <v>432</v>
      </c>
      <c r="B46" s="36" t="s">
        <v>433</v>
      </c>
      <c r="C46" s="594"/>
      <c r="D46" s="1071">
        <v>1300000</v>
      </c>
      <c r="E46" s="594"/>
      <c r="F46" s="594"/>
      <c r="G46" s="594"/>
      <c r="H46" s="594"/>
      <c r="I46" s="594"/>
      <c r="J46" s="594"/>
      <c r="K46" s="594"/>
      <c r="L46" s="35"/>
    </row>
    <row r="47" spans="1:12" s="599" customFormat="1" ht="26.4" x14ac:dyDescent="0.25">
      <c r="A47" s="611" t="s">
        <v>432</v>
      </c>
      <c r="B47" s="36" t="s">
        <v>1235</v>
      </c>
      <c r="C47" s="594"/>
      <c r="D47" s="1071">
        <v>1000000</v>
      </c>
      <c r="E47" s="594"/>
      <c r="F47" s="594"/>
      <c r="G47" s="594"/>
      <c r="H47" s="594"/>
      <c r="I47" s="594"/>
      <c r="J47" s="594"/>
      <c r="K47" s="594"/>
      <c r="L47" s="35"/>
    </row>
    <row r="48" spans="1:12" s="599" customFormat="1" ht="26.4" x14ac:dyDescent="0.25">
      <c r="A48" s="611" t="s">
        <v>432</v>
      </c>
      <c r="B48" s="36" t="s">
        <v>1236</v>
      </c>
      <c r="C48" s="594"/>
      <c r="D48" s="1071">
        <v>110000</v>
      </c>
      <c r="E48" s="594"/>
      <c r="F48" s="594"/>
      <c r="G48" s="594"/>
      <c r="H48" s="594"/>
      <c r="I48" s="594"/>
      <c r="J48" s="594"/>
      <c r="K48" s="594"/>
      <c r="L48" s="35"/>
    </row>
    <row r="49" spans="1:12" s="599" customFormat="1" ht="13.2" x14ac:dyDescent="0.25">
      <c r="A49" s="611" t="s">
        <v>432</v>
      </c>
      <c r="B49" s="36" t="s">
        <v>458</v>
      </c>
      <c r="C49" s="594"/>
      <c r="D49" s="1071">
        <v>1070000</v>
      </c>
      <c r="E49" s="594"/>
      <c r="F49" s="594"/>
      <c r="G49" s="594"/>
      <c r="H49" s="594"/>
      <c r="I49" s="594"/>
      <c r="J49" s="594"/>
      <c r="K49" s="594"/>
      <c r="L49" s="35"/>
    </row>
    <row r="50" spans="1:12" s="599" customFormat="1" ht="26.4" x14ac:dyDescent="0.25">
      <c r="A50" s="611" t="s">
        <v>500</v>
      </c>
      <c r="B50" s="36" t="s">
        <v>1535</v>
      </c>
      <c r="C50" s="594"/>
      <c r="D50" s="1071">
        <v>700000</v>
      </c>
      <c r="E50" s="594"/>
      <c r="F50" s="594"/>
      <c r="G50" s="594"/>
      <c r="H50" s="594"/>
      <c r="I50" s="594"/>
      <c r="J50" s="594"/>
      <c r="K50" s="594"/>
      <c r="L50" s="35"/>
    </row>
    <row r="51" spans="1:12" s="599" customFormat="1" ht="26.4" x14ac:dyDescent="0.25">
      <c r="A51" s="611" t="s">
        <v>500</v>
      </c>
      <c r="B51" s="36" t="s">
        <v>1534</v>
      </c>
      <c r="C51" s="594"/>
      <c r="D51" s="1071">
        <v>2800000</v>
      </c>
      <c r="E51" s="594"/>
      <c r="F51" s="594"/>
      <c r="G51" s="594"/>
      <c r="H51" s="594"/>
      <c r="I51" s="594"/>
      <c r="J51" s="594"/>
      <c r="K51" s="594"/>
      <c r="L51" s="35"/>
    </row>
    <row r="52" spans="1:12" s="599" customFormat="1" ht="26.4" x14ac:dyDescent="0.25">
      <c r="A52" s="611" t="s">
        <v>500</v>
      </c>
      <c r="B52" s="36" t="s">
        <v>1536</v>
      </c>
      <c r="C52" s="594"/>
      <c r="D52" s="1071">
        <v>2000000</v>
      </c>
      <c r="E52" s="594"/>
      <c r="F52" s="594"/>
      <c r="G52" s="594"/>
      <c r="H52" s="594"/>
      <c r="I52" s="594"/>
      <c r="J52" s="594"/>
      <c r="K52" s="594"/>
      <c r="L52" s="35"/>
    </row>
    <row r="53" spans="1:12" s="599" customFormat="1" ht="26.4" x14ac:dyDescent="0.25">
      <c r="A53" s="611" t="s">
        <v>500</v>
      </c>
      <c r="B53" s="36" t="s">
        <v>513</v>
      </c>
      <c r="C53" s="594"/>
      <c r="D53" s="1071">
        <v>1000000</v>
      </c>
      <c r="E53" s="594"/>
      <c r="F53" s="594"/>
      <c r="G53" s="594"/>
      <c r="H53" s="594"/>
      <c r="I53" s="594"/>
      <c r="J53" s="594"/>
      <c r="K53" s="594"/>
      <c r="L53" s="35"/>
    </row>
    <row r="54" spans="1:12" s="599" customFormat="1" ht="26.4" x14ac:dyDescent="0.25">
      <c r="A54" s="611" t="s">
        <v>500</v>
      </c>
      <c r="B54" s="36" t="s">
        <v>514</v>
      </c>
      <c r="C54" s="594"/>
      <c r="D54" s="1071">
        <v>1000000</v>
      </c>
      <c r="E54" s="594"/>
      <c r="F54" s="594"/>
      <c r="G54" s="594"/>
      <c r="H54" s="594"/>
      <c r="I54" s="594"/>
      <c r="J54" s="594"/>
      <c r="K54" s="594"/>
      <c r="L54" s="35"/>
    </row>
    <row r="55" spans="1:12" s="599" customFormat="1" ht="26.4" x14ac:dyDescent="0.25">
      <c r="A55" s="611" t="s">
        <v>500</v>
      </c>
      <c r="B55" s="36" t="s">
        <v>1234</v>
      </c>
      <c r="C55" s="594"/>
      <c r="D55" s="1071">
        <v>120000</v>
      </c>
      <c r="E55" s="594"/>
      <c r="F55" s="594"/>
      <c r="G55" s="594"/>
      <c r="H55" s="594"/>
      <c r="I55" s="594"/>
      <c r="J55" s="594"/>
      <c r="K55" s="594"/>
      <c r="L55" s="35"/>
    </row>
    <row r="56" spans="1:12" s="599" customFormat="1" ht="26.4" x14ac:dyDescent="0.25">
      <c r="A56" s="611" t="s">
        <v>500</v>
      </c>
      <c r="B56" s="36" t="s">
        <v>1233</v>
      </c>
      <c r="C56" s="594"/>
      <c r="D56" s="1071">
        <v>70000</v>
      </c>
      <c r="E56" s="594"/>
      <c r="F56" s="594"/>
      <c r="G56" s="594"/>
      <c r="H56" s="594"/>
      <c r="I56" s="594"/>
      <c r="J56" s="594"/>
      <c r="K56" s="594"/>
      <c r="L56" s="35"/>
    </row>
    <row r="57" spans="1:12" s="599" customFormat="1" ht="26.4" x14ac:dyDescent="0.25">
      <c r="A57" s="611" t="s">
        <v>500</v>
      </c>
      <c r="B57" s="36" t="s">
        <v>560</v>
      </c>
      <c r="C57" s="594"/>
      <c r="D57" s="594"/>
      <c r="E57" s="594"/>
      <c r="F57" s="594"/>
      <c r="G57" s="594"/>
      <c r="H57" s="594"/>
      <c r="I57" s="594"/>
      <c r="J57" s="1071">
        <v>190000</v>
      </c>
      <c r="K57" s="594"/>
      <c r="L57" s="35"/>
    </row>
    <row r="58" spans="1:12" s="599" customFormat="1" ht="26.4" x14ac:dyDescent="0.25">
      <c r="A58" s="611" t="s">
        <v>500</v>
      </c>
      <c r="B58" s="36" t="s">
        <v>561</v>
      </c>
      <c r="C58" s="594"/>
      <c r="D58" s="594"/>
      <c r="E58" s="594"/>
      <c r="F58" s="594"/>
      <c r="G58" s="594"/>
      <c r="H58" s="594"/>
      <c r="I58" s="594"/>
      <c r="J58" s="1071">
        <v>50000</v>
      </c>
      <c r="K58" s="594"/>
      <c r="L58" s="35"/>
    </row>
    <row r="59" spans="1:12" s="599" customFormat="1" ht="26.4" x14ac:dyDescent="0.25">
      <c r="A59" s="611" t="s">
        <v>500</v>
      </c>
      <c r="B59" s="36" t="s">
        <v>562</v>
      </c>
      <c r="C59" s="594"/>
      <c r="D59" s="594"/>
      <c r="E59" s="594"/>
      <c r="F59" s="594"/>
      <c r="G59" s="594"/>
      <c r="H59" s="594"/>
      <c r="I59" s="594"/>
      <c r="J59" s="1071">
        <v>140000</v>
      </c>
      <c r="K59" s="594"/>
      <c r="L59" s="35"/>
    </row>
    <row r="60" spans="1:12" s="599" customFormat="1" ht="26.4" x14ac:dyDescent="0.25">
      <c r="A60" s="611" t="s">
        <v>500</v>
      </c>
      <c r="B60" s="36" t="s">
        <v>563</v>
      </c>
      <c r="C60" s="594"/>
      <c r="D60" s="594"/>
      <c r="E60" s="594"/>
      <c r="F60" s="594"/>
      <c r="G60" s="594"/>
      <c r="H60" s="594"/>
      <c r="I60" s="594"/>
      <c r="J60" s="1071">
        <v>860000</v>
      </c>
      <c r="K60" s="594"/>
      <c r="L60" s="35" t="s">
        <v>1545</v>
      </c>
    </row>
    <row r="61" spans="1:12" s="599" customFormat="1" ht="39.6" x14ac:dyDescent="0.25">
      <c r="A61" s="611" t="s">
        <v>500</v>
      </c>
      <c r="B61" s="36" t="s">
        <v>564</v>
      </c>
      <c r="C61" s="594"/>
      <c r="D61" s="1071">
        <v>60000</v>
      </c>
      <c r="E61" s="594"/>
      <c r="F61" s="594"/>
      <c r="G61" s="594"/>
      <c r="H61" s="594"/>
      <c r="I61" s="594"/>
      <c r="J61" s="594"/>
      <c r="K61" s="594"/>
      <c r="L61" s="35"/>
    </row>
    <row r="62" spans="1:12" s="599" customFormat="1" ht="26.4" x14ac:dyDescent="0.25">
      <c r="A62" s="611" t="s">
        <v>500</v>
      </c>
      <c r="B62" s="36" t="s">
        <v>1238</v>
      </c>
      <c r="C62" s="594"/>
      <c r="D62" s="1071">
        <v>200000</v>
      </c>
      <c r="E62" s="594"/>
      <c r="F62" s="594"/>
      <c r="G62" s="594"/>
      <c r="H62" s="594"/>
      <c r="I62" s="594"/>
      <c r="J62" s="594"/>
      <c r="K62" s="594"/>
      <c r="L62" s="35"/>
    </row>
    <row r="63" spans="1:12" s="599" customFormat="1" ht="26.4" x14ac:dyDescent="0.25">
      <c r="A63" s="611" t="s">
        <v>500</v>
      </c>
      <c r="B63" s="36" t="s">
        <v>574</v>
      </c>
      <c r="C63" s="594"/>
      <c r="D63" s="1071">
        <v>905000</v>
      </c>
      <c r="E63" s="594"/>
      <c r="F63" s="594"/>
      <c r="G63" s="594"/>
      <c r="H63" s="594"/>
      <c r="I63" s="594"/>
      <c r="J63" s="594"/>
      <c r="K63" s="594"/>
      <c r="L63" s="35"/>
    </row>
    <row r="64" spans="1:12" s="599" customFormat="1" ht="26.4" x14ac:dyDescent="0.25">
      <c r="A64" s="611" t="s">
        <v>500</v>
      </c>
      <c r="B64" s="36" t="s">
        <v>575</v>
      </c>
      <c r="C64" s="594"/>
      <c r="D64" s="1071">
        <v>1000000</v>
      </c>
      <c r="E64" s="594"/>
      <c r="F64" s="594"/>
      <c r="G64" s="594"/>
      <c r="H64" s="594"/>
      <c r="I64" s="594"/>
      <c r="J64" s="594"/>
      <c r="K64" s="594"/>
      <c r="L64" s="35"/>
    </row>
    <row r="65" spans="1:12" s="599" customFormat="1" ht="39.6" x14ac:dyDescent="0.25">
      <c r="A65" s="611" t="s">
        <v>500</v>
      </c>
      <c r="B65" s="36" t="s">
        <v>1239</v>
      </c>
      <c r="C65" s="594"/>
      <c r="D65" s="1071">
        <v>1818000</v>
      </c>
      <c r="E65" s="594"/>
      <c r="F65" s="594"/>
      <c r="G65" s="594"/>
      <c r="H65" s="594"/>
      <c r="I65" s="594"/>
      <c r="J65" s="594"/>
      <c r="K65" s="594"/>
      <c r="L65" s="35"/>
    </row>
    <row r="66" spans="1:12" s="599" customFormat="1" ht="39.6" x14ac:dyDescent="0.25">
      <c r="A66" s="611" t="s">
        <v>500</v>
      </c>
      <c r="B66" s="36" t="s">
        <v>1240</v>
      </c>
      <c r="C66" s="594"/>
      <c r="D66" s="1071">
        <v>11400000</v>
      </c>
      <c r="E66" s="594"/>
      <c r="F66" s="594"/>
      <c r="G66" s="594"/>
      <c r="H66" s="594"/>
      <c r="I66" s="594"/>
      <c r="J66" s="594"/>
      <c r="K66" s="594"/>
      <c r="L66" s="35"/>
    </row>
    <row r="67" spans="1:12" s="599" customFormat="1" ht="26.4" x14ac:dyDescent="0.25">
      <c r="A67" s="611" t="s">
        <v>570</v>
      </c>
      <c r="B67" s="36" t="s">
        <v>571</v>
      </c>
      <c r="C67" s="594"/>
      <c r="D67" s="1071">
        <v>380000</v>
      </c>
      <c r="E67" s="594"/>
      <c r="F67" s="594"/>
      <c r="G67" s="594"/>
      <c r="H67" s="594"/>
      <c r="I67" s="594"/>
      <c r="J67" s="594"/>
      <c r="K67" s="594"/>
      <c r="L67" s="35"/>
    </row>
    <row r="68" spans="1:12" s="599" customFormat="1" ht="26.4" x14ac:dyDescent="0.25">
      <c r="A68" s="611" t="s">
        <v>570</v>
      </c>
      <c r="B68" s="36" t="s">
        <v>572</v>
      </c>
      <c r="C68" s="594"/>
      <c r="D68" s="1071">
        <v>500000</v>
      </c>
      <c r="E68" s="594"/>
      <c r="F68" s="594"/>
      <c r="G68" s="594"/>
      <c r="H68" s="594"/>
      <c r="I68" s="594"/>
      <c r="J68" s="594"/>
      <c r="K68" s="594"/>
      <c r="L68" s="35"/>
    </row>
    <row r="69" spans="1:12" s="599" customFormat="1" ht="26.4" x14ac:dyDescent="0.25">
      <c r="A69" s="611" t="s">
        <v>570</v>
      </c>
      <c r="B69" s="36" t="s">
        <v>573</v>
      </c>
      <c r="C69" s="594"/>
      <c r="D69" s="1071">
        <v>1000000</v>
      </c>
      <c r="E69" s="594"/>
      <c r="F69" s="594"/>
      <c r="G69" s="594"/>
      <c r="H69" s="594"/>
      <c r="I69" s="594"/>
      <c r="J69" s="594"/>
      <c r="K69" s="594"/>
      <c r="L69" s="35"/>
    </row>
    <row r="70" spans="1:12" s="599" customFormat="1" ht="39.6" x14ac:dyDescent="0.25">
      <c r="A70" s="611" t="s">
        <v>565</v>
      </c>
      <c r="B70" s="36" t="s">
        <v>566</v>
      </c>
      <c r="C70" s="594"/>
      <c r="D70" s="1071">
        <v>1000000</v>
      </c>
      <c r="E70" s="594"/>
      <c r="F70" s="594"/>
      <c r="G70" s="594"/>
      <c r="H70" s="594"/>
      <c r="I70" s="594"/>
      <c r="J70" s="594"/>
      <c r="K70" s="594"/>
      <c r="L70" s="35"/>
    </row>
    <row r="71" spans="1:12" s="599" customFormat="1" ht="26.4" x14ac:dyDescent="0.25">
      <c r="A71" s="611" t="s">
        <v>565</v>
      </c>
      <c r="B71" s="36" t="s">
        <v>567</v>
      </c>
      <c r="C71" s="594"/>
      <c r="D71" s="1071">
        <v>500000</v>
      </c>
      <c r="E71" s="594"/>
      <c r="F71" s="594"/>
      <c r="G71" s="594"/>
      <c r="H71" s="594"/>
      <c r="I71" s="594"/>
      <c r="J71" s="594"/>
      <c r="K71" s="594"/>
      <c r="L71" s="35"/>
    </row>
    <row r="72" spans="1:12" s="599" customFormat="1" ht="26.4" x14ac:dyDescent="0.25">
      <c r="A72" s="611" t="s">
        <v>565</v>
      </c>
      <c r="B72" s="36" t="s">
        <v>1214</v>
      </c>
      <c r="C72" s="594"/>
      <c r="D72" s="1071">
        <v>3200000</v>
      </c>
      <c r="E72" s="594"/>
      <c r="F72" s="594"/>
      <c r="G72" s="594"/>
      <c r="H72" s="594"/>
      <c r="I72" s="594"/>
      <c r="J72" s="594"/>
      <c r="K72" s="594"/>
      <c r="L72" s="35" t="s">
        <v>1215</v>
      </c>
    </row>
    <row r="73" spans="1:12" s="599" customFormat="1" ht="26.4" x14ac:dyDescent="0.25">
      <c r="A73" s="611" t="s">
        <v>576</v>
      </c>
      <c r="B73" s="36" t="s">
        <v>606</v>
      </c>
      <c r="C73" s="594"/>
      <c r="D73" s="594"/>
      <c r="E73" s="594"/>
      <c r="F73" s="594"/>
      <c r="G73" s="594"/>
      <c r="H73" s="594"/>
      <c r="I73" s="594"/>
      <c r="J73" s="1071">
        <v>135000</v>
      </c>
      <c r="K73" s="594"/>
      <c r="L73" s="35"/>
    </row>
    <row r="74" spans="1:12" s="599" customFormat="1" ht="26.4" x14ac:dyDescent="0.25">
      <c r="A74" s="611" t="s">
        <v>576</v>
      </c>
      <c r="B74" s="36" t="s">
        <v>607</v>
      </c>
      <c r="C74" s="594"/>
      <c r="D74" s="594"/>
      <c r="E74" s="594"/>
      <c r="F74" s="594"/>
      <c r="G74" s="594"/>
      <c r="H74" s="594"/>
      <c r="I74" s="594"/>
      <c r="J74" s="1071">
        <v>145000</v>
      </c>
      <c r="K74" s="594"/>
      <c r="L74" s="35"/>
    </row>
    <row r="75" spans="1:12" s="599" customFormat="1" ht="26.4" x14ac:dyDescent="0.25">
      <c r="A75" s="611" t="s">
        <v>576</v>
      </c>
      <c r="B75" s="36" t="s">
        <v>608</v>
      </c>
      <c r="C75" s="594"/>
      <c r="D75" s="594"/>
      <c r="E75" s="594"/>
      <c r="F75" s="594"/>
      <c r="G75" s="594"/>
      <c r="H75" s="594"/>
      <c r="I75" s="594"/>
      <c r="J75" s="1071">
        <v>580000</v>
      </c>
      <c r="K75" s="594"/>
      <c r="L75" s="35"/>
    </row>
    <row r="76" spans="1:12" s="599" customFormat="1" ht="26.4" x14ac:dyDescent="0.25">
      <c r="A76" s="611" t="s">
        <v>576</v>
      </c>
      <c r="B76" s="36" t="s">
        <v>1338</v>
      </c>
      <c r="C76" s="594"/>
      <c r="D76" s="1071">
        <v>900000</v>
      </c>
      <c r="E76" s="594"/>
      <c r="F76" s="594"/>
      <c r="G76" s="594"/>
      <c r="H76" s="594"/>
      <c r="I76" s="594"/>
      <c r="J76" s="594"/>
      <c r="K76" s="594"/>
      <c r="L76" s="35"/>
    </row>
    <row r="77" spans="1:12" s="599" customFormat="1" ht="13.2" x14ac:dyDescent="0.25">
      <c r="A77" s="611" t="s">
        <v>576</v>
      </c>
      <c r="B77" s="36" t="s">
        <v>129</v>
      </c>
      <c r="C77" s="594"/>
      <c r="D77" s="1071">
        <v>2200</v>
      </c>
      <c r="E77" s="594"/>
      <c r="F77" s="594"/>
      <c r="G77" s="594"/>
      <c r="H77" s="594"/>
      <c r="I77" s="594"/>
      <c r="J77" s="594"/>
      <c r="K77" s="594"/>
      <c r="L77" s="35"/>
    </row>
    <row r="78" spans="1:12" s="599" customFormat="1" ht="26.4" x14ac:dyDescent="0.25">
      <c r="A78" s="611" t="s">
        <v>553</v>
      </c>
      <c r="B78" s="36" t="s">
        <v>604</v>
      </c>
      <c r="C78" s="594"/>
      <c r="D78" s="594"/>
      <c r="E78" s="594"/>
      <c r="F78" s="594"/>
      <c r="G78" s="594"/>
      <c r="H78" s="594"/>
      <c r="I78" s="594"/>
      <c r="J78" s="1071">
        <v>100000</v>
      </c>
      <c r="K78" s="594"/>
      <c r="L78" s="612"/>
    </row>
    <row r="79" spans="1:12" s="599" customFormat="1" ht="26.4" x14ac:dyDescent="0.25">
      <c r="A79" s="611" t="s">
        <v>553</v>
      </c>
      <c r="B79" s="36" t="s">
        <v>605</v>
      </c>
      <c r="C79" s="594"/>
      <c r="D79" s="594"/>
      <c r="E79" s="594"/>
      <c r="F79" s="594"/>
      <c r="G79" s="594"/>
      <c r="H79" s="594"/>
      <c r="I79" s="594"/>
      <c r="J79" s="1071">
        <v>640000</v>
      </c>
      <c r="K79" s="594"/>
      <c r="L79" s="612"/>
    </row>
    <row r="80" spans="1:12" s="599" customFormat="1" ht="66" x14ac:dyDescent="0.25">
      <c r="A80" s="611" t="s">
        <v>553</v>
      </c>
      <c r="B80" s="36" t="s">
        <v>1523</v>
      </c>
      <c r="C80" s="594"/>
      <c r="D80" s="1071">
        <f>241000+647000+392000</f>
        <v>1280000</v>
      </c>
      <c r="E80" s="594"/>
      <c r="F80" s="594"/>
      <c r="G80" s="594"/>
      <c r="H80" s="594"/>
      <c r="I80" s="594"/>
      <c r="J80" s="594"/>
      <c r="K80" s="594"/>
      <c r="L80" s="35" t="s">
        <v>1237</v>
      </c>
    </row>
    <row r="81" spans="1:12" s="599" customFormat="1" ht="26.4" x14ac:dyDescent="0.25">
      <c r="A81" s="611" t="s">
        <v>554</v>
      </c>
      <c r="B81" s="36" t="s">
        <v>555</v>
      </c>
      <c r="C81" s="594"/>
      <c r="D81" s="1071">
        <v>1114000</v>
      </c>
      <c r="E81" s="594"/>
      <c r="F81" s="594"/>
      <c r="G81" s="594"/>
      <c r="H81" s="594"/>
      <c r="I81" s="594"/>
      <c r="J81" s="594"/>
      <c r="K81" s="594"/>
      <c r="L81" s="35"/>
    </row>
    <row r="82" spans="1:12" s="599" customFormat="1" ht="13.2" x14ac:dyDescent="0.25">
      <c r="A82" s="611" t="s">
        <v>554</v>
      </c>
      <c r="B82" s="36" t="s">
        <v>1241</v>
      </c>
      <c r="C82" s="594"/>
      <c r="D82" s="1071">
        <v>100000</v>
      </c>
      <c r="E82" s="594"/>
      <c r="F82" s="594"/>
      <c r="G82" s="594"/>
      <c r="H82" s="594"/>
      <c r="I82" s="594"/>
      <c r="J82" s="594"/>
      <c r="K82" s="594"/>
      <c r="L82" s="35"/>
    </row>
    <row r="83" spans="1:12" s="599" customFormat="1" ht="13.2" x14ac:dyDescent="0.25">
      <c r="A83" s="611" t="s">
        <v>554</v>
      </c>
      <c r="B83" s="36" t="s">
        <v>556</v>
      </c>
      <c r="C83" s="594"/>
      <c r="D83" s="1071">
        <v>50000</v>
      </c>
      <c r="E83" s="594"/>
      <c r="F83" s="594"/>
      <c r="G83" s="594"/>
      <c r="H83" s="594"/>
      <c r="I83" s="594"/>
      <c r="J83" s="594"/>
      <c r="K83" s="594"/>
      <c r="L83" s="35"/>
    </row>
    <row r="84" spans="1:12" s="599" customFormat="1" ht="13.2" x14ac:dyDescent="0.25">
      <c r="A84" s="611" t="s">
        <v>579</v>
      </c>
      <c r="B84" s="36" t="s">
        <v>558</v>
      </c>
      <c r="C84" s="594"/>
      <c r="D84" s="1071">
        <v>108000</v>
      </c>
      <c r="E84" s="594"/>
      <c r="F84" s="594"/>
      <c r="G84" s="594"/>
      <c r="H84" s="594"/>
      <c r="I84" s="594"/>
      <c r="J84" s="594"/>
      <c r="K84" s="594"/>
      <c r="L84" s="35"/>
    </row>
    <row r="85" spans="1:12" s="599" customFormat="1" ht="39.6" x14ac:dyDescent="0.25">
      <c r="A85" s="611" t="s">
        <v>579</v>
      </c>
      <c r="B85" s="36" t="s">
        <v>1470</v>
      </c>
      <c r="C85" s="594"/>
      <c r="D85" s="1071">
        <v>4555000</v>
      </c>
      <c r="E85" s="594"/>
      <c r="F85" s="594"/>
      <c r="G85" s="594"/>
      <c r="H85" s="594"/>
      <c r="I85" s="594"/>
      <c r="J85" s="594"/>
      <c r="K85" s="594"/>
      <c r="L85" s="35" t="s">
        <v>1537</v>
      </c>
    </row>
    <row r="86" spans="1:12" s="599" customFormat="1" ht="13.2" x14ac:dyDescent="0.25">
      <c r="A86" s="611" t="s">
        <v>579</v>
      </c>
      <c r="B86" s="36" t="s">
        <v>129</v>
      </c>
      <c r="C86" s="594"/>
      <c r="D86" s="1071">
        <v>2200</v>
      </c>
      <c r="E86" s="594"/>
      <c r="F86" s="594"/>
      <c r="G86" s="594"/>
      <c r="H86" s="594"/>
      <c r="I86" s="594"/>
      <c r="J86" s="594"/>
      <c r="K86" s="594"/>
      <c r="L86" s="35"/>
    </row>
    <row r="87" spans="1:12" s="599" customFormat="1" ht="26.4" x14ac:dyDescent="0.25">
      <c r="A87" s="611" t="s">
        <v>579</v>
      </c>
      <c r="B87" s="36" t="s">
        <v>559</v>
      </c>
      <c r="C87" s="594"/>
      <c r="D87" s="1071">
        <v>13180000</v>
      </c>
      <c r="E87" s="594"/>
      <c r="F87" s="594"/>
      <c r="G87" s="594"/>
      <c r="H87" s="594"/>
      <c r="I87" s="594"/>
      <c r="J87" s="594"/>
      <c r="K87" s="594"/>
      <c r="L87" s="35"/>
    </row>
    <row r="88" spans="1:12" s="599" customFormat="1" ht="26.4" x14ac:dyDescent="0.25">
      <c r="A88" s="611" t="s">
        <v>579</v>
      </c>
      <c r="B88" s="36" t="s">
        <v>611</v>
      </c>
      <c r="C88" s="594"/>
      <c r="D88" s="1071">
        <v>6171000</v>
      </c>
      <c r="E88" s="594"/>
      <c r="F88" s="594"/>
      <c r="G88" s="594"/>
      <c r="H88" s="594"/>
      <c r="I88" s="594"/>
      <c r="J88" s="594"/>
      <c r="K88" s="594"/>
      <c r="L88" s="35"/>
    </row>
    <row r="89" spans="1:12" s="599" customFormat="1" ht="13.2" x14ac:dyDescent="0.25">
      <c r="A89" s="611" t="s">
        <v>579</v>
      </c>
      <c r="B89" s="36" t="s">
        <v>129</v>
      </c>
      <c r="C89" s="594"/>
      <c r="D89" s="1071">
        <v>7700</v>
      </c>
      <c r="E89" s="594"/>
      <c r="F89" s="594"/>
      <c r="G89" s="594"/>
      <c r="H89" s="594"/>
      <c r="I89" s="594"/>
      <c r="J89" s="594"/>
      <c r="K89" s="594"/>
      <c r="L89" s="35"/>
    </row>
    <row r="90" spans="1:12" s="599" customFormat="1" ht="26.4" x14ac:dyDescent="0.25">
      <c r="A90" s="611" t="s">
        <v>602</v>
      </c>
      <c r="B90" s="36" t="s">
        <v>612</v>
      </c>
      <c r="C90" s="594"/>
      <c r="D90" s="1329">
        <v>3200000</v>
      </c>
      <c r="E90" s="594"/>
      <c r="F90" s="594"/>
      <c r="G90" s="594"/>
      <c r="H90" s="594"/>
      <c r="I90" s="594"/>
      <c r="J90" s="594"/>
      <c r="K90" s="594"/>
      <c r="L90" s="35"/>
    </row>
    <row r="91" spans="1:12" s="599" customFormat="1" ht="13.2" x14ac:dyDescent="0.25">
      <c r="A91" s="611" t="s">
        <v>602</v>
      </c>
      <c r="B91" s="36" t="s">
        <v>624</v>
      </c>
      <c r="C91" s="594"/>
      <c r="D91" s="1071">
        <v>1200000</v>
      </c>
      <c r="E91" s="594"/>
      <c r="F91" s="594"/>
      <c r="G91" s="594"/>
      <c r="H91" s="594"/>
      <c r="I91" s="594"/>
      <c r="J91" s="594"/>
      <c r="K91" s="594"/>
      <c r="L91" s="35" t="s">
        <v>641</v>
      </c>
    </row>
    <row r="92" spans="1:12" s="599" customFormat="1" ht="26.4" x14ac:dyDescent="0.25">
      <c r="A92" s="611" t="s">
        <v>623</v>
      </c>
      <c r="B92" s="36" t="s">
        <v>625</v>
      </c>
      <c r="C92" s="594"/>
      <c r="D92" s="1071">
        <v>2340000</v>
      </c>
      <c r="E92" s="594"/>
      <c r="F92" s="594"/>
      <c r="G92" s="594"/>
      <c r="H92" s="594"/>
      <c r="I92" s="594"/>
      <c r="J92" s="594"/>
      <c r="K92" s="594"/>
      <c r="L92" s="35"/>
    </row>
    <row r="93" spans="1:12" s="599" customFormat="1" ht="26.4" x14ac:dyDescent="0.25">
      <c r="A93" s="611" t="s">
        <v>623</v>
      </c>
      <c r="B93" s="36" t="s">
        <v>1211</v>
      </c>
      <c r="C93" s="594"/>
      <c r="D93" s="1071">
        <v>800000</v>
      </c>
      <c r="E93" s="594"/>
      <c r="F93" s="594"/>
      <c r="G93" s="594"/>
      <c r="H93" s="594"/>
      <c r="I93" s="594"/>
      <c r="J93" s="594"/>
      <c r="K93" s="594"/>
      <c r="L93" s="35" t="s">
        <v>1213</v>
      </c>
    </row>
    <row r="94" spans="1:12" s="599" customFormat="1" ht="13.2" x14ac:dyDescent="0.25">
      <c r="A94" s="611" t="s">
        <v>623</v>
      </c>
      <c r="B94" s="36" t="s">
        <v>632</v>
      </c>
      <c r="C94" s="594"/>
      <c r="D94" s="1071">
        <v>10200000</v>
      </c>
      <c r="E94" s="594"/>
      <c r="F94" s="594"/>
      <c r="G94" s="594"/>
      <c r="H94" s="594"/>
      <c r="I94" s="594"/>
      <c r="J94" s="594"/>
      <c r="K94" s="594"/>
      <c r="L94" s="35" t="s">
        <v>1212</v>
      </c>
    </row>
    <row r="95" spans="1:12" s="599" customFormat="1" ht="13.2" x14ac:dyDescent="0.25">
      <c r="A95" s="611" t="s">
        <v>623</v>
      </c>
      <c r="B95" s="36" t="s">
        <v>1242</v>
      </c>
      <c r="C95" s="594"/>
      <c r="D95" s="1071">
        <v>500000</v>
      </c>
      <c r="E95" s="594"/>
      <c r="F95" s="594"/>
      <c r="G95" s="594"/>
      <c r="H95" s="594"/>
      <c r="I95" s="594"/>
      <c r="J95" s="594"/>
      <c r="K95" s="594"/>
      <c r="L95" s="35"/>
    </row>
    <row r="96" spans="1:12" s="599" customFormat="1" ht="26.4" x14ac:dyDescent="0.25">
      <c r="A96" s="611" t="s">
        <v>623</v>
      </c>
      <c r="B96" s="36" t="s">
        <v>1518</v>
      </c>
      <c r="C96" s="594"/>
      <c r="D96" s="1071">
        <v>75000</v>
      </c>
      <c r="E96" s="594"/>
      <c r="F96" s="594"/>
      <c r="G96" s="594"/>
      <c r="H96" s="594"/>
      <c r="I96" s="594"/>
      <c r="J96" s="594"/>
      <c r="K96" s="594"/>
      <c r="L96" s="35"/>
    </row>
    <row r="97" spans="1:12" s="599" customFormat="1" ht="26.4" x14ac:dyDescent="0.25">
      <c r="A97" s="611" t="s">
        <v>623</v>
      </c>
      <c r="B97" s="36" t="s">
        <v>1519</v>
      </c>
      <c r="C97" s="594"/>
      <c r="D97" s="1071">
        <v>1200000</v>
      </c>
      <c r="E97" s="594"/>
      <c r="F97" s="594"/>
      <c r="G97" s="594"/>
      <c r="H97" s="594"/>
      <c r="I97" s="594"/>
      <c r="J97" s="594"/>
      <c r="K97" s="594"/>
      <c r="L97" s="35"/>
    </row>
    <row r="98" spans="1:12" s="599" customFormat="1" ht="26.4" x14ac:dyDescent="0.25">
      <c r="A98" s="611" t="s">
        <v>623</v>
      </c>
      <c r="B98" s="36" t="s">
        <v>1520</v>
      </c>
      <c r="C98" s="594"/>
      <c r="D98" s="1071">
        <v>60000</v>
      </c>
      <c r="E98" s="594"/>
      <c r="F98" s="594"/>
      <c r="G98" s="594"/>
      <c r="H98" s="594"/>
      <c r="I98" s="594"/>
      <c r="J98" s="594"/>
      <c r="K98" s="594"/>
      <c r="L98" s="35"/>
    </row>
    <row r="99" spans="1:12" s="599" customFormat="1" ht="26.4" x14ac:dyDescent="0.25">
      <c r="A99" s="611" t="s">
        <v>623</v>
      </c>
      <c r="B99" s="36" t="s">
        <v>1521</v>
      </c>
      <c r="C99" s="594"/>
      <c r="D99" s="1071">
        <v>500000</v>
      </c>
      <c r="E99" s="594"/>
      <c r="F99" s="594"/>
      <c r="G99" s="594"/>
      <c r="H99" s="594"/>
      <c r="I99" s="594"/>
      <c r="J99" s="594"/>
      <c r="K99" s="594"/>
      <c r="L99" s="35" t="s">
        <v>1522</v>
      </c>
    </row>
    <row r="100" spans="1:12" s="599" customFormat="1" ht="13.2" x14ac:dyDescent="0.25">
      <c r="A100" s="611" t="s">
        <v>633</v>
      </c>
      <c r="B100" s="36" t="s">
        <v>849</v>
      </c>
      <c r="C100" s="594"/>
      <c r="D100" s="1071">
        <v>1023000</v>
      </c>
      <c r="E100" s="594"/>
      <c r="F100" s="594"/>
      <c r="G100" s="594"/>
      <c r="H100" s="594"/>
      <c r="I100" s="594"/>
      <c r="J100" s="594"/>
      <c r="K100" s="594"/>
      <c r="L100" s="35"/>
    </row>
    <row r="101" spans="1:12" s="599" customFormat="1" ht="26.4" x14ac:dyDescent="0.25">
      <c r="A101" s="611" t="s">
        <v>633</v>
      </c>
      <c r="B101" s="36" t="s">
        <v>1517</v>
      </c>
      <c r="C101" s="594"/>
      <c r="D101" s="1071">
        <v>1380000</v>
      </c>
      <c r="E101" s="594"/>
      <c r="F101" s="594"/>
      <c r="G101" s="594"/>
      <c r="H101" s="594"/>
      <c r="I101" s="594"/>
      <c r="J101" s="594"/>
      <c r="K101" s="594"/>
      <c r="L101" s="35"/>
    </row>
    <row r="102" spans="1:12" s="599" customFormat="1" ht="26.4" x14ac:dyDescent="0.25">
      <c r="A102" s="611" t="s">
        <v>655</v>
      </c>
      <c r="B102" s="36" t="s">
        <v>782</v>
      </c>
      <c r="C102" s="594"/>
      <c r="D102" s="1071">
        <v>7000000</v>
      </c>
      <c r="E102" s="594"/>
      <c r="F102" s="594"/>
      <c r="G102" s="609"/>
      <c r="H102" s="594"/>
      <c r="I102" s="594"/>
      <c r="J102" s="594"/>
      <c r="K102" s="594"/>
      <c r="L102" s="35"/>
    </row>
    <row r="103" spans="1:12" s="599" customFormat="1" ht="13.2" x14ac:dyDescent="0.25">
      <c r="A103" s="611" t="s">
        <v>655</v>
      </c>
      <c r="B103" s="36" t="s">
        <v>129</v>
      </c>
      <c r="C103" s="594"/>
      <c r="D103" s="1071">
        <v>10000</v>
      </c>
      <c r="E103" s="594"/>
      <c r="F103" s="594"/>
      <c r="G103" s="609"/>
      <c r="H103" s="594"/>
      <c r="I103" s="594"/>
      <c r="J103" s="594"/>
      <c r="K103" s="594"/>
      <c r="L103" s="35"/>
    </row>
    <row r="104" spans="1:12" s="599" customFormat="1" ht="39.6" x14ac:dyDescent="0.25">
      <c r="A104" s="611" t="s">
        <v>655</v>
      </c>
      <c r="B104" s="36" t="s">
        <v>1333</v>
      </c>
      <c r="C104" s="594"/>
      <c r="D104" s="1071">
        <v>11000</v>
      </c>
      <c r="E104" s="594"/>
      <c r="F104" s="594"/>
      <c r="G104" s="609"/>
      <c r="H104" s="594"/>
      <c r="I104" s="594"/>
      <c r="J104" s="594"/>
      <c r="K104" s="594"/>
      <c r="L104" s="35"/>
    </row>
    <row r="105" spans="1:12" s="599" customFormat="1" ht="39.6" x14ac:dyDescent="0.25">
      <c r="A105" s="611" t="s">
        <v>655</v>
      </c>
      <c r="B105" s="36" t="s">
        <v>1334</v>
      </c>
      <c r="C105" s="594"/>
      <c r="D105" s="1071">
        <v>10000</v>
      </c>
      <c r="E105" s="594"/>
      <c r="F105" s="594"/>
      <c r="G105" s="609"/>
      <c r="H105" s="594"/>
      <c r="I105" s="594"/>
      <c r="J105" s="594"/>
      <c r="K105" s="594"/>
      <c r="L105" s="35"/>
    </row>
    <row r="106" spans="1:12" s="599" customFormat="1" ht="39.6" x14ac:dyDescent="0.25">
      <c r="A106" s="611" t="s">
        <v>655</v>
      </c>
      <c r="B106" s="36" t="s">
        <v>1335</v>
      </c>
      <c r="C106" s="594"/>
      <c r="D106" s="1071">
        <v>11000</v>
      </c>
      <c r="E106" s="594"/>
      <c r="F106" s="594"/>
      <c r="G106" s="609"/>
      <c r="H106" s="594"/>
      <c r="I106" s="594"/>
      <c r="J106" s="594"/>
      <c r="K106" s="594"/>
      <c r="L106" s="35"/>
    </row>
    <row r="107" spans="1:12" s="599" customFormat="1" ht="26.4" x14ac:dyDescent="0.25">
      <c r="A107" s="611" t="s">
        <v>634</v>
      </c>
      <c r="B107" s="36" t="s">
        <v>643</v>
      </c>
      <c r="C107" s="594"/>
      <c r="D107" s="1071">
        <v>250000</v>
      </c>
      <c r="E107" s="594"/>
      <c r="F107" s="594"/>
      <c r="G107" s="594"/>
      <c r="H107" s="594"/>
      <c r="I107" s="594"/>
      <c r="J107" s="594"/>
      <c r="K107" s="594"/>
      <c r="L107" s="35"/>
    </row>
    <row r="108" spans="1:12" s="599" customFormat="1" ht="26.4" x14ac:dyDescent="0.25">
      <c r="A108" s="611" t="s">
        <v>634</v>
      </c>
      <c r="B108" s="36" t="s">
        <v>644</v>
      </c>
      <c r="C108" s="594"/>
      <c r="D108" s="1071">
        <v>70000</v>
      </c>
      <c r="E108" s="594"/>
      <c r="F108" s="594"/>
      <c r="G108" s="594"/>
      <c r="H108" s="594"/>
      <c r="I108" s="594"/>
      <c r="J108" s="594"/>
      <c r="K108" s="594"/>
      <c r="L108" s="35"/>
    </row>
    <row r="109" spans="1:12" s="599" customFormat="1" ht="26.4" x14ac:dyDescent="0.25">
      <c r="A109" s="611" t="s">
        <v>634</v>
      </c>
      <c r="B109" s="36" t="s">
        <v>645</v>
      </c>
      <c r="C109" s="594"/>
      <c r="D109" s="1071">
        <v>1200000</v>
      </c>
      <c r="E109" s="594"/>
      <c r="F109" s="594"/>
      <c r="G109" s="594"/>
      <c r="H109" s="594"/>
      <c r="I109" s="594"/>
      <c r="J109" s="594"/>
      <c r="K109" s="594"/>
      <c r="L109" s="35"/>
    </row>
    <row r="110" spans="1:12" s="599" customFormat="1" ht="26.4" x14ac:dyDescent="0.25">
      <c r="A110" s="611" t="s">
        <v>634</v>
      </c>
      <c r="B110" s="36" t="s">
        <v>646</v>
      </c>
      <c r="C110" s="594"/>
      <c r="D110" s="1071">
        <v>1000000</v>
      </c>
      <c r="E110" s="594"/>
      <c r="F110" s="594"/>
      <c r="G110" s="594"/>
      <c r="H110" s="594"/>
      <c r="I110" s="594"/>
      <c r="J110" s="594"/>
      <c r="K110" s="594"/>
      <c r="L110" s="35"/>
    </row>
    <row r="111" spans="1:12" s="599" customFormat="1" ht="13.2" x14ac:dyDescent="0.25">
      <c r="A111" s="611" t="s">
        <v>634</v>
      </c>
      <c r="B111" s="36" t="s">
        <v>648</v>
      </c>
      <c r="C111" s="594"/>
      <c r="D111" s="1071">
        <v>10000000</v>
      </c>
      <c r="E111" s="594"/>
      <c r="F111" s="594"/>
      <c r="G111" s="594"/>
      <c r="H111" s="594"/>
      <c r="I111" s="594"/>
      <c r="J111" s="594"/>
      <c r="K111" s="594"/>
      <c r="L111" s="35"/>
    </row>
    <row r="112" spans="1:12" s="599" customFormat="1" ht="26.4" x14ac:dyDescent="0.25">
      <c r="A112" s="611" t="s">
        <v>651</v>
      </c>
      <c r="B112" s="36" t="s">
        <v>775</v>
      </c>
      <c r="C112" s="594"/>
      <c r="D112" s="594"/>
      <c r="E112" s="1071">
        <v>10000000</v>
      </c>
      <c r="F112" s="594"/>
      <c r="G112" s="594"/>
      <c r="H112" s="594"/>
      <c r="I112" s="594"/>
      <c r="J112" s="594"/>
      <c r="K112" s="594"/>
      <c r="L112" s="35"/>
    </row>
    <row r="113" spans="1:12" s="599" customFormat="1" ht="26.4" x14ac:dyDescent="0.25">
      <c r="A113" s="611" t="s">
        <v>651</v>
      </c>
      <c r="B113" s="36" t="s">
        <v>776</v>
      </c>
      <c r="C113" s="594"/>
      <c r="D113" s="594"/>
      <c r="E113" s="594"/>
      <c r="F113" s="594"/>
      <c r="G113" s="594"/>
      <c r="H113" s="594"/>
      <c r="I113" s="594"/>
      <c r="J113" s="1071">
        <v>3140000</v>
      </c>
      <c r="K113" s="594"/>
      <c r="L113" s="35"/>
    </row>
    <row r="114" spans="1:12" s="599" customFormat="1" ht="39.6" x14ac:dyDescent="0.25">
      <c r="A114" s="611" t="s">
        <v>651</v>
      </c>
      <c r="B114" s="36" t="s">
        <v>1176</v>
      </c>
      <c r="C114" s="594"/>
      <c r="E114" s="594"/>
      <c r="F114" s="594"/>
      <c r="G114" s="594"/>
      <c r="H114" s="594"/>
      <c r="I114" s="594"/>
      <c r="J114" s="1071">
        <v>120000</v>
      </c>
      <c r="K114" s="594"/>
      <c r="L114" s="35"/>
    </row>
    <row r="115" spans="1:12" s="599" customFormat="1" ht="39.6" x14ac:dyDescent="0.25">
      <c r="A115" s="611" t="s">
        <v>651</v>
      </c>
      <c r="B115" s="36" t="s">
        <v>1177</v>
      </c>
      <c r="C115" s="594"/>
      <c r="E115" s="594"/>
      <c r="F115" s="594"/>
      <c r="G115" s="594"/>
      <c r="H115" s="594"/>
      <c r="I115" s="594"/>
      <c r="J115" s="1071">
        <v>490000</v>
      </c>
      <c r="K115" s="594"/>
      <c r="L115" s="35"/>
    </row>
    <row r="116" spans="1:12" s="599" customFormat="1" ht="39.6" x14ac:dyDescent="0.25">
      <c r="A116" s="611" t="s">
        <v>651</v>
      </c>
      <c r="B116" s="36" t="s">
        <v>1178</v>
      </c>
      <c r="C116" s="594"/>
      <c r="E116" s="594"/>
      <c r="F116" s="594"/>
      <c r="G116" s="594"/>
      <c r="H116" s="594"/>
      <c r="I116" s="594"/>
      <c r="J116" s="1071">
        <v>780000</v>
      </c>
      <c r="K116" s="594"/>
      <c r="L116" s="35"/>
    </row>
    <row r="117" spans="1:12" s="599" customFormat="1" ht="26.4" x14ac:dyDescent="0.25">
      <c r="A117" s="611" t="s">
        <v>642</v>
      </c>
      <c r="B117" s="36" t="s">
        <v>1346</v>
      </c>
      <c r="C117" s="594"/>
      <c r="D117" s="1071">
        <v>300000</v>
      </c>
      <c r="E117" s="594"/>
      <c r="F117" s="594"/>
      <c r="G117" s="594"/>
      <c r="H117" s="594"/>
      <c r="I117" s="594"/>
      <c r="J117" s="594"/>
      <c r="K117" s="594"/>
      <c r="L117" s="35"/>
    </row>
    <row r="118" spans="1:12" s="599" customFormat="1" ht="13.2" x14ac:dyDescent="0.25">
      <c r="A118" s="611" t="s">
        <v>642</v>
      </c>
      <c r="B118" s="36" t="s">
        <v>682</v>
      </c>
      <c r="C118" s="594"/>
      <c r="D118" s="1071">
        <v>625000</v>
      </c>
      <c r="E118" s="594"/>
      <c r="F118" s="594"/>
      <c r="G118" s="594"/>
      <c r="H118" s="594"/>
      <c r="I118" s="594"/>
      <c r="J118" s="594"/>
      <c r="K118" s="594"/>
      <c r="L118" s="35"/>
    </row>
    <row r="119" spans="1:12" s="599" customFormat="1" ht="13.2" x14ac:dyDescent="0.25">
      <c r="A119" s="611" t="s">
        <v>642</v>
      </c>
      <c r="B119" s="36" t="s">
        <v>652</v>
      </c>
      <c r="C119" s="594"/>
      <c r="D119" s="1071">
        <v>382000</v>
      </c>
      <c r="E119" s="594"/>
      <c r="F119" s="594"/>
      <c r="G119" s="594"/>
      <c r="H119" s="594"/>
      <c r="I119" s="594"/>
      <c r="J119" s="594"/>
      <c r="K119" s="594"/>
      <c r="L119" s="35"/>
    </row>
    <row r="120" spans="1:12" s="599" customFormat="1" ht="13.2" x14ac:dyDescent="0.25">
      <c r="A120" s="611" t="s">
        <v>649</v>
      </c>
      <c r="B120" s="36" t="s">
        <v>940</v>
      </c>
      <c r="C120" s="594"/>
      <c r="D120" s="594"/>
      <c r="E120" s="1071">
        <v>114012000</v>
      </c>
      <c r="F120" s="594"/>
      <c r="G120" s="594"/>
      <c r="H120" s="594"/>
      <c r="I120" s="594"/>
      <c r="J120" s="594"/>
      <c r="K120" s="594"/>
      <c r="L120" s="35"/>
    </row>
    <row r="121" spans="1:12" s="599" customFormat="1" ht="13.2" x14ac:dyDescent="0.25">
      <c r="A121" s="611" t="s">
        <v>649</v>
      </c>
      <c r="B121" s="36" t="s">
        <v>650</v>
      </c>
      <c r="C121" s="594"/>
      <c r="D121" s="1071">
        <v>499000</v>
      </c>
      <c r="E121" s="594"/>
      <c r="F121" s="594"/>
      <c r="G121" s="594"/>
      <c r="H121" s="594"/>
      <c r="I121" s="594"/>
      <c r="J121" s="594"/>
      <c r="K121" s="594"/>
      <c r="L121" s="35"/>
    </row>
    <row r="122" spans="1:12" s="599" customFormat="1" ht="26.4" x14ac:dyDescent="0.25">
      <c r="A122" s="611" t="s">
        <v>649</v>
      </c>
      <c r="B122" s="36" t="s">
        <v>1527</v>
      </c>
      <c r="C122" s="594"/>
      <c r="D122" s="1256">
        <v>500000</v>
      </c>
      <c r="E122" s="594"/>
      <c r="F122" s="594"/>
      <c r="G122" s="594"/>
      <c r="H122" s="594"/>
      <c r="I122" s="594"/>
      <c r="J122" s="594"/>
      <c r="K122" s="594"/>
      <c r="L122" s="35"/>
    </row>
    <row r="123" spans="1:12" s="599" customFormat="1" ht="39.6" x14ac:dyDescent="0.25">
      <c r="A123" s="611" t="s">
        <v>718</v>
      </c>
      <c r="B123" s="36" t="s">
        <v>1170</v>
      </c>
      <c r="C123" s="594"/>
      <c r="E123" s="594"/>
      <c r="F123" s="594"/>
      <c r="G123" s="594"/>
      <c r="H123" s="594"/>
      <c r="I123" s="594"/>
      <c r="J123" s="1071">
        <v>145000</v>
      </c>
      <c r="K123" s="594"/>
      <c r="L123" s="35"/>
    </row>
    <row r="124" spans="1:12" s="599" customFormat="1" ht="39.6" x14ac:dyDescent="0.25">
      <c r="A124" s="611" t="s">
        <v>718</v>
      </c>
      <c r="B124" s="36" t="s">
        <v>1171</v>
      </c>
      <c r="C124" s="594"/>
      <c r="E124" s="594"/>
      <c r="F124" s="594"/>
      <c r="G124" s="594"/>
      <c r="H124" s="594"/>
      <c r="I124" s="594"/>
      <c r="J124" s="1071">
        <v>250000</v>
      </c>
      <c r="K124" s="594"/>
      <c r="L124" s="35"/>
    </row>
    <row r="125" spans="1:12" s="599" customFormat="1" ht="39.6" x14ac:dyDescent="0.25">
      <c r="A125" s="611" t="s">
        <v>718</v>
      </c>
      <c r="B125" s="36" t="s">
        <v>1172</v>
      </c>
      <c r="C125" s="594"/>
      <c r="E125" s="594"/>
      <c r="F125" s="594"/>
      <c r="G125" s="594"/>
      <c r="H125" s="594"/>
      <c r="I125" s="594"/>
      <c r="J125" s="1071">
        <v>980000</v>
      </c>
      <c r="K125" s="594"/>
      <c r="L125" s="35"/>
    </row>
    <row r="126" spans="1:12" s="599" customFormat="1" ht="13.2" x14ac:dyDescent="0.25">
      <c r="A126" s="611" t="s">
        <v>680</v>
      </c>
      <c r="B126" s="36" t="s">
        <v>681</v>
      </c>
      <c r="C126" s="594"/>
      <c r="D126" s="1071">
        <v>1500000</v>
      </c>
      <c r="E126" s="594"/>
      <c r="F126" s="594"/>
      <c r="G126" s="594"/>
      <c r="H126" s="594"/>
      <c r="I126" s="594"/>
      <c r="J126" s="594"/>
      <c r="K126" s="594"/>
      <c r="L126" s="35"/>
    </row>
    <row r="127" spans="1:12" s="599" customFormat="1" ht="13.2" x14ac:dyDescent="0.25">
      <c r="A127" s="611" t="s">
        <v>680</v>
      </c>
      <c r="B127" s="36" t="s">
        <v>129</v>
      </c>
      <c r="C127" s="594"/>
      <c r="D127" s="1256">
        <v>10000</v>
      </c>
      <c r="E127" s="594"/>
      <c r="F127" s="594"/>
      <c r="G127" s="594"/>
      <c r="H127" s="594"/>
      <c r="I127" s="594"/>
      <c r="J127" s="594"/>
      <c r="K127" s="594"/>
      <c r="L127" s="35"/>
    </row>
    <row r="128" spans="1:12" s="599" customFormat="1" ht="39.6" x14ac:dyDescent="0.25">
      <c r="A128" s="611" t="s">
        <v>1035</v>
      </c>
      <c r="B128" s="36" t="s">
        <v>1173</v>
      </c>
      <c r="C128" s="594"/>
      <c r="E128" s="594"/>
      <c r="F128" s="594"/>
      <c r="G128" s="594"/>
      <c r="H128" s="594"/>
      <c r="I128" s="594"/>
      <c r="J128" s="1071">
        <v>30000</v>
      </c>
      <c r="K128" s="594"/>
      <c r="L128" s="35"/>
    </row>
    <row r="129" spans="1:12" s="599" customFormat="1" ht="26.4" x14ac:dyDescent="0.25">
      <c r="A129" s="611" t="s">
        <v>1035</v>
      </c>
      <c r="B129" s="36" t="s">
        <v>1174</v>
      </c>
      <c r="C129" s="594"/>
      <c r="E129" s="594"/>
      <c r="F129" s="594"/>
      <c r="G129" s="594"/>
      <c r="H129" s="594"/>
      <c r="I129" s="594"/>
      <c r="J129" s="1071">
        <v>80000</v>
      </c>
      <c r="K129" s="594"/>
      <c r="L129" s="35"/>
    </row>
    <row r="130" spans="1:12" s="599" customFormat="1" ht="26.4" x14ac:dyDescent="0.25">
      <c r="A130" s="611" t="s">
        <v>1035</v>
      </c>
      <c r="B130" s="36" t="s">
        <v>1175</v>
      </c>
      <c r="C130" s="594"/>
      <c r="E130" s="594"/>
      <c r="F130" s="594"/>
      <c r="G130" s="594"/>
      <c r="H130" s="594"/>
      <c r="I130" s="594"/>
      <c r="J130" s="1071">
        <v>380000</v>
      </c>
      <c r="K130" s="594"/>
      <c r="L130" s="35"/>
    </row>
    <row r="131" spans="1:12" s="599" customFormat="1" ht="26.4" x14ac:dyDescent="0.25">
      <c r="A131" s="611" t="s">
        <v>700</v>
      </c>
      <c r="B131" s="36" t="s">
        <v>701</v>
      </c>
      <c r="C131" s="594"/>
      <c r="D131" s="1071">
        <v>47000</v>
      </c>
      <c r="E131" s="594"/>
      <c r="F131" s="594"/>
      <c r="G131" s="594"/>
      <c r="H131" s="594"/>
      <c r="I131" s="594"/>
      <c r="J131" s="594"/>
      <c r="K131" s="594"/>
      <c r="L131" s="35"/>
    </row>
    <row r="132" spans="1:12" s="599" customFormat="1" ht="39.6" x14ac:dyDescent="0.25">
      <c r="A132" s="611" t="s">
        <v>700</v>
      </c>
      <c r="B132" s="36" t="s">
        <v>703</v>
      </c>
      <c r="C132" s="594"/>
      <c r="D132" s="1071">
        <v>1160000</v>
      </c>
      <c r="E132" s="594"/>
      <c r="F132" s="594"/>
      <c r="G132" s="594"/>
      <c r="H132" s="594"/>
      <c r="I132" s="594"/>
      <c r="J132" s="594"/>
      <c r="K132" s="594"/>
      <c r="L132" s="35" t="s">
        <v>758</v>
      </c>
    </row>
    <row r="133" spans="1:12" s="599" customFormat="1" ht="39.6" x14ac:dyDescent="0.25">
      <c r="A133" s="611" t="s">
        <v>700</v>
      </c>
      <c r="B133" s="36" t="s">
        <v>704</v>
      </c>
      <c r="C133" s="594"/>
      <c r="D133" s="1071">
        <v>75000</v>
      </c>
      <c r="E133" s="594"/>
      <c r="F133" s="594"/>
      <c r="G133" s="609"/>
      <c r="H133" s="594"/>
      <c r="I133" s="594"/>
      <c r="J133" s="594"/>
      <c r="K133" s="594"/>
      <c r="L133" s="35" t="s">
        <v>759</v>
      </c>
    </row>
    <row r="134" spans="1:12" s="599" customFormat="1" ht="39.6" x14ac:dyDescent="0.25">
      <c r="A134" s="611" t="s">
        <v>700</v>
      </c>
      <c r="B134" s="36" t="s">
        <v>705</v>
      </c>
      <c r="C134" s="594"/>
      <c r="D134" s="1071">
        <v>1600000</v>
      </c>
      <c r="E134" s="594"/>
      <c r="F134" s="594"/>
      <c r="G134" s="594"/>
      <c r="H134" s="594"/>
      <c r="I134" s="594"/>
      <c r="J134" s="594"/>
      <c r="K134" s="594"/>
      <c r="L134" s="35"/>
    </row>
    <row r="135" spans="1:12" s="599" customFormat="1" ht="52.8" x14ac:dyDescent="0.25">
      <c r="A135" s="611" t="s">
        <v>700</v>
      </c>
      <c r="B135" s="36" t="s">
        <v>706</v>
      </c>
      <c r="C135" s="594"/>
      <c r="D135" s="1071">
        <v>190000</v>
      </c>
      <c r="E135" s="594"/>
      <c r="F135" s="594"/>
      <c r="G135" s="594"/>
      <c r="H135" s="594"/>
      <c r="I135" s="594"/>
      <c r="J135" s="594"/>
      <c r="K135" s="594"/>
      <c r="L135" s="35"/>
    </row>
    <row r="136" spans="1:12" s="599" customFormat="1" ht="39.6" x14ac:dyDescent="0.25">
      <c r="A136" s="611" t="s">
        <v>700</v>
      </c>
      <c r="B136" s="36" t="s">
        <v>707</v>
      </c>
      <c r="C136" s="594"/>
      <c r="D136" s="1071">
        <v>1000000</v>
      </c>
      <c r="E136" s="594"/>
      <c r="F136" s="594"/>
      <c r="G136" s="609"/>
      <c r="H136" s="594"/>
      <c r="I136" s="594"/>
      <c r="J136" s="594"/>
      <c r="K136" s="594"/>
      <c r="L136" s="35" t="s">
        <v>759</v>
      </c>
    </row>
    <row r="137" spans="1:12" s="599" customFormat="1" ht="52.8" x14ac:dyDescent="0.25">
      <c r="A137" s="611" t="s">
        <v>700</v>
      </c>
      <c r="B137" s="36" t="s">
        <v>708</v>
      </c>
      <c r="C137" s="594"/>
      <c r="D137" s="1071">
        <v>1000000</v>
      </c>
      <c r="E137" s="594"/>
      <c r="F137" s="594"/>
      <c r="G137" s="609"/>
      <c r="H137" s="594"/>
      <c r="I137" s="594"/>
      <c r="J137" s="594"/>
      <c r="K137" s="594"/>
      <c r="L137" s="35" t="s">
        <v>759</v>
      </c>
    </row>
    <row r="138" spans="1:12" s="599" customFormat="1" ht="39.6" x14ac:dyDescent="0.25">
      <c r="A138" s="611" t="s">
        <v>700</v>
      </c>
      <c r="B138" s="36" t="s">
        <v>1516</v>
      </c>
      <c r="C138" s="594"/>
      <c r="D138" s="1071">
        <v>230000</v>
      </c>
      <c r="E138" s="594"/>
      <c r="F138" s="594"/>
      <c r="G138" s="609"/>
      <c r="H138" s="594"/>
      <c r="I138" s="594"/>
      <c r="J138" s="594"/>
      <c r="K138" s="594"/>
      <c r="L138" s="35" t="s">
        <v>759</v>
      </c>
    </row>
    <row r="139" spans="1:12" s="599" customFormat="1" ht="26.4" x14ac:dyDescent="0.25">
      <c r="A139" s="611" t="s">
        <v>700</v>
      </c>
      <c r="B139" s="36" t="s">
        <v>1179</v>
      </c>
      <c r="C139" s="594"/>
      <c r="E139" s="594"/>
      <c r="F139" s="594"/>
      <c r="G139" s="594"/>
      <c r="H139" s="594"/>
      <c r="I139" s="594"/>
      <c r="J139" s="1071">
        <v>460000</v>
      </c>
      <c r="K139" s="594"/>
      <c r="L139" s="35"/>
    </row>
    <row r="140" spans="1:12" s="599" customFormat="1" ht="26.4" x14ac:dyDescent="0.25">
      <c r="A140" s="611" t="s">
        <v>764</v>
      </c>
      <c r="B140" s="36" t="s">
        <v>763</v>
      </c>
      <c r="C140" s="594"/>
      <c r="D140" s="1071">
        <v>3000000</v>
      </c>
      <c r="E140" s="594"/>
      <c r="F140" s="594"/>
      <c r="G140" s="594"/>
      <c r="H140" s="594"/>
      <c r="I140" s="594"/>
      <c r="J140" s="594"/>
      <c r="K140" s="594"/>
      <c r="L140" s="35"/>
    </row>
    <row r="141" spans="1:12" s="599" customFormat="1" ht="26.4" x14ac:dyDescent="0.25">
      <c r="A141" s="611" t="s">
        <v>764</v>
      </c>
      <c r="B141" s="36" t="s">
        <v>1547</v>
      </c>
      <c r="C141" s="594"/>
      <c r="D141" s="1071">
        <v>9000000</v>
      </c>
      <c r="E141" s="594"/>
      <c r="F141" s="594"/>
      <c r="G141" s="594"/>
      <c r="H141" s="594"/>
      <c r="I141" s="594"/>
      <c r="J141" s="594"/>
      <c r="K141" s="594"/>
      <c r="L141" s="35"/>
    </row>
    <row r="142" spans="1:12" s="599" customFormat="1" ht="13.2" x14ac:dyDescent="0.25">
      <c r="A142" s="611" t="s">
        <v>764</v>
      </c>
      <c r="B142" s="36" t="s">
        <v>129</v>
      </c>
      <c r="C142" s="594"/>
      <c r="D142" s="1071">
        <v>10000</v>
      </c>
      <c r="E142" s="594"/>
      <c r="F142" s="594"/>
      <c r="G142" s="594"/>
      <c r="H142" s="594"/>
      <c r="I142" s="594"/>
      <c r="J142" s="594"/>
      <c r="K142" s="594"/>
      <c r="L142" s="35"/>
    </row>
    <row r="143" spans="1:12" s="599" customFormat="1" ht="39.6" x14ac:dyDescent="0.25">
      <c r="A143" s="611" t="s">
        <v>852</v>
      </c>
      <c r="B143" s="36" t="s">
        <v>855</v>
      </c>
      <c r="C143" s="594"/>
      <c r="D143" s="594"/>
      <c r="E143" s="594"/>
      <c r="F143" s="594"/>
      <c r="G143" s="1327">
        <v>85000</v>
      </c>
      <c r="H143" s="594"/>
      <c r="I143" s="594"/>
      <c r="J143" s="594"/>
      <c r="K143" s="594"/>
      <c r="L143" s="35"/>
    </row>
    <row r="144" spans="1:12" s="599" customFormat="1" ht="39.6" x14ac:dyDescent="0.25">
      <c r="A144" s="611" t="s">
        <v>852</v>
      </c>
      <c r="B144" s="36" t="s">
        <v>856</v>
      </c>
      <c r="C144" s="594"/>
      <c r="D144" s="1071">
        <v>3200000</v>
      </c>
      <c r="E144" s="594"/>
      <c r="F144" s="594"/>
      <c r="G144" s="594"/>
      <c r="H144" s="594"/>
      <c r="I144" s="594"/>
      <c r="J144" s="594"/>
      <c r="K144" s="594"/>
      <c r="L144" s="35"/>
    </row>
    <row r="145" spans="1:12" s="599" customFormat="1" ht="39.6" x14ac:dyDescent="0.25">
      <c r="A145" s="611" t="s">
        <v>852</v>
      </c>
      <c r="B145" s="36" t="s">
        <v>857</v>
      </c>
      <c r="C145" s="594"/>
      <c r="D145" s="594"/>
      <c r="E145" s="594"/>
      <c r="F145" s="594"/>
      <c r="G145" s="1071">
        <v>180000</v>
      </c>
      <c r="H145" s="594"/>
      <c r="I145" s="594"/>
      <c r="J145" s="594"/>
      <c r="K145" s="594"/>
      <c r="L145" s="35"/>
    </row>
    <row r="146" spans="1:12" s="599" customFormat="1" ht="26.4" x14ac:dyDescent="0.25">
      <c r="A146" s="611" t="s">
        <v>852</v>
      </c>
      <c r="B146" s="36" t="s">
        <v>858</v>
      </c>
      <c r="C146" s="594"/>
      <c r="D146" s="594">
        <v>700000</v>
      </c>
      <c r="E146" s="594"/>
      <c r="F146" s="594"/>
      <c r="G146" s="594"/>
      <c r="H146" s="594"/>
      <c r="I146" s="594"/>
      <c r="J146" s="594"/>
      <c r="K146" s="594"/>
      <c r="L146" s="35" t="s">
        <v>1496</v>
      </c>
    </row>
    <row r="147" spans="1:12" s="599" customFormat="1" ht="26.4" x14ac:dyDescent="0.25">
      <c r="A147" s="611" t="s">
        <v>852</v>
      </c>
      <c r="B147" s="36" t="s">
        <v>859</v>
      </c>
      <c r="C147" s="594"/>
      <c r="D147" s="594"/>
      <c r="E147" s="594"/>
      <c r="F147" s="594"/>
      <c r="G147" s="1071">
        <v>1500000</v>
      </c>
      <c r="H147" s="594"/>
      <c r="I147" s="594"/>
      <c r="J147" s="594"/>
      <c r="K147" s="594"/>
      <c r="L147" s="35"/>
    </row>
    <row r="148" spans="1:12" s="599" customFormat="1" ht="26.4" x14ac:dyDescent="0.25">
      <c r="A148" s="611" t="s">
        <v>742</v>
      </c>
      <c r="B148" s="36" t="s">
        <v>1181</v>
      </c>
      <c r="C148" s="594"/>
      <c r="D148" s="594"/>
      <c r="E148" s="594"/>
      <c r="F148" s="594"/>
      <c r="G148" s="594"/>
      <c r="H148" s="594"/>
      <c r="I148" s="594"/>
      <c r="J148" s="1071">
        <v>75000</v>
      </c>
      <c r="K148" s="594"/>
      <c r="L148" s="35"/>
    </row>
    <row r="149" spans="1:12" s="599" customFormat="1" ht="26.4" x14ac:dyDescent="0.25">
      <c r="A149" s="611" t="s">
        <v>742</v>
      </c>
      <c r="B149" s="36" t="s">
        <v>1180</v>
      </c>
      <c r="C149" s="594"/>
      <c r="D149" s="594"/>
      <c r="E149" s="594"/>
      <c r="F149" s="594"/>
      <c r="G149" s="594"/>
      <c r="H149" s="594"/>
      <c r="I149" s="594"/>
      <c r="J149" s="1071">
        <v>250000</v>
      </c>
      <c r="K149" s="594"/>
      <c r="L149" s="35"/>
    </row>
    <row r="150" spans="1:12" s="599" customFormat="1" ht="26.4" x14ac:dyDescent="0.25">
      <c r="A150" s="611" t="s">
        <v>742</v>
      </c>
      <c r="B150" s="36" t="s">
        <v>1182</v>
      </c>
      <c r="C150" s="594"/>
      <c r="D150" s="594"/>
      <c r="E150" s="594"/>
      <c r="F150" s="594"/>
      <c r="G150" s="594"/>
      <c r="H150" s="594"/>
      <c r="I150" s="594"/>
      <c r="J150" s="1071">
        <v>680000</v>
      </c>
      <c r="K150" s="594"/>
      <c r="L150" s="35"/>
    </row>
    <row r="151" spans="1:12" s="599" customFormat="1" ht="13.2" x14ac:dyDescent="0.25">
      <c r="A151" s="611" t="s">
        <v>761</v>
      </c>
      <c r="B151" s="36" t="s">
        <v>762</v>
      </c>
      <c r="C151" s="594"/>
      <c r="D151" s="1071">
        <v>330000</v>
      </c>
      <c r="E151" s="594"/>
      <c r="F151" s="594"/>
      <c r="G151" s="594"/>
      <c r="H151" s="594"/>
      <c r="I151" s="594"/>
      <c r="J151" s="594"/>
      <c r="K151" s="594"/>
      <c r="L151" s="35"/>
    </row>
    <row r="152" spans="1:12" s="599" customFormat="1" ht="26.4" x14ac:dyDescent="0.25">
      <c r="A152" s="611" t="s">
        <v>792</v>
      </c>
      <c r="B152" s="36" t="s">
        <v>860</v>
      </c>
      <c r="C152" s="594"/>
      <c r="D152" s="594"/>
      <c r="E152" s="594"/>
      <c r="F152" s="594"/>
      <c r="G152" s="1071">
        <v>70000</v>
      </c>
      <c r="H152" s="594"/>
      <c r="I152" s="594"/>
      <c r="J152" s="594"/>
      <c r="K152" s="594"/>
      <c r="L152" s="35"/>
    </row>
    <row r="153" spans="1:12" s="599" customFormat="1" ht="26.4" x14ac:dyDescent="0.25">
      <c r="A153" s="611" t="s">
        <v>792</v>
      </c>
      <c r="B153" s="36" t="s">
        <v>1498</v>
      </c>
      <c r="C153" s="594"/>
      <c r="D153" s="1071">
        <v>1000000</v>
      </c>
      <c r="E153" s="594"/>
      <c r="F153" s="594"/>
      <c r="G153" s="594"/>
      <c r="H153" s="594"/>
      <c r="I153" s="594"/>
      <c r="J153" s="594"/>
      <c r="K153" s="594"/>
      <c r="L153" s="35"/>
    </row>
    <row r="154" spans="1:12" s="599" customFormat="1" ht="26.4" x14ac:dyDescent="0.25">
      <c r="A154" s="611" t="s">
        <v>792</v>
      </c>
      <c r="B154" s="36" t="s">
        <v>861</v>
      </c>
      <c r="C154" s="594"/>
      <c r="D154" s="594"/>
      <c r="E154" s="594"/>
      <c r="F154" s="594"/>
      <c r="G154" s="1071">
        <v>75000</v>
      </c>
      <c r="H154" s="594"/>
      <c r="I154" s="594"/>
      <c r="J154" s="594"/>
      <c r="K154" s="594"/>
      <c r="L154" s="35"/>
    </row>
    <row r="155" spans="1:12" s="599" customFormat="1" ht="26.4" x14ac:dyDescent="0.25">
      <c r="A155" s="611" t="s">
        <v>792</v>
      </c>
      <c r="B155" s="36" t="s">
        <v>862</v>
      </c>
      <c r="C155" s="594"/>
      <c r="D155" s="594"/>
      <c r="E155" s="594"/>
      <c r="F155" s="594"/>
      <c r="G155" s="1071">
        <v>500000</v>
      </c>
      <c r="H155" s="594"/>
      <c r="I155" s="594"/>
      <c r="J155" s="594"/>
      <c r="K155" s="594"/>
      <c r="L155" s="35" t="s">
        <v>1497</v>
      </c>
    </row>
    <row r="156" spans="1:12" s="599" customFormat="1" ht="26.4" x14ac:dyDescent="0.25">
      <c r="A156" s="611" t="s">
        <v>765</v>
      </c>
      <c r="B156" s="36" t="s">
        <v>1259</v>
      </c>
      <c r="C156" s="594"/>
      <c r="D156" s="1071">
        <v>5000000</v>
      </c>
      <c r="E156" s="594"/>
      <c r="F156" s="594"/>
      <c r="G156" s="594"/>
      <c r="H156" s="594"/>
      <c r="I156" s="594"/>
      <c r="J156" s="594"/>
      <c r="K156" s="594"/>
      <c r="L156" s="35"/>
    </row>
    <row r="157" spans="1:12" s="599" customFormat="1" ht="13.2" x14ac:dyDescent="0.25">
      <c r="A157" s="611" t="s">
        <v>765</v>
      </c>
      <c r="B157" s="36" t="s">
        <v>129</v>
      </c>
      <c r="C157" s="594"/>
      <c r="D157" s="1071">
        <v>10000</v>
      </c>
      <c r="E157" s="594"/>
      <c r="F157" s="594"/>
      <c r="G157" s="594"/>
      <c r="H157" s="594"/>
      <c r="I157" s="594"/>
      <c r="J157" s="594"/>
      <c r="K157" s="594"/>
      <c r="L157" s="35"/>
    </row>
    <row r="158" spans="1:12" s="599" customFormat="1" ht="36" customHeight="1" x14ac:dyDescent="0.25">
      <c r="A158" s="611" t="s">
        <v>765</v>
      </c>
      <c r="B158" s="36" t="s">
        <v>1344</v>
      </c>
      <c r="C158" s="594"/>
      <c r="D158" s="1071">
        <v>10000000</v>
      </c>
      <c r="E158" s="594"/>
      <c r="F158" s="594"/>
      <c r="G158" s="594"/>
      <c r="H158" s="594"/>
      <c r="I158" s="594"/>
      <c r="J158" s="594"/>
      <c r="K158" s="594"/>
      <c r="L158" s="35"/>
    </row>
    <row r="159" spans="1:12" s="599" customFormat="1" ht="26.4" x14ac:dyDescent="0.25">
      <c r="A159" s="611" t="s">
        <v>843</v>
      </c>
      <c r="B159" s="36" t="s">
        <v>1343</v>
      </c>
      <c r="C159" s="594"/>
      <c r="D159" s="1071">
        <v>10000000</v>
      </c>
      <c r="E159" s="594"/>
      <c r="F159" s="594"/>
      <c r="G159" s="594"/>
      <c r="H159" s="594"/>
      <c r="I159" s="594"/>
      <c r="J159" s="594"/>
      <c r="K159" s="594"/>
      <c r="L159" s="35" t="s">
        <v>769</v>
      </c>
    </row>
    <row r="160" spans="1:12" s="599" customFormat="1" ht="39.6" x14ac:dyDescent="0.25">
      <c r="A160" s="611" t="s">
        <v>844</v>
      </c>
      <c r="B160" s="36" t="s">
        <v>1499</v>
      </c>
      <c r="C160" s="594"/>
      <c r="D160" s="1071">
        <v>150000</v>
      </c>
      <c r="E160" s="594"/>
      <c r="F160" s="594"/>
      <c r="G160" s="594"/>
      <c r="H160" s="594"/>
      <c r="I160" s="594"/>
      <c r="J160" s="594"/>
      <c r="K160" s="594"/>
      <c r="L160" s="35"/>
    </row>
    <row r="161" spans="1:12" s="599" customFormat="1" ht="39.6" x14ac:dyDescent="0.25">
      <c r="A161" s="611" t="s">
        <v>844</v>
      </c>
      <c r="B161" s="36" t="s">
        <v>1501</v>
      </c>
      <c r="C161" s="594"/>
      <c r="D161" s="1071">
        <v>100000</v>
      </c>
      <c r="E161" s="594"/>
      <c r="F161" s="594"/>
      <c r="G161" s="594"/>
      <c r="H161" s="594"/>
      <c r="I161" s="594"/>
      <c r="J161" s="594"/>
      <c r="K161" s="594"/>
      <c r="L161" s="35"/>
    </row>
    <row r="162" spans="1:12" s="599" customFormat="1" ht="39.6" x14ac:dyDescent="0.25">
      <c r="A162" s="611" t="s">
        <v>844</v>
      </c>
      <c r="B162" s="36" t="s">
        <v>1502</v>
      </c>
      <c r="C162" s="594"/>
      <c r="D162" s="1071">
        <v>200000</v>
      </c>
      <c r="E162" s="594"/>
      <c r="F162" s="594"/>
      <c r="G162" s="594"/>
      <c r="H162" s="594"/>
      <c r="I162" s="594"/>
      <c r="J162" s="594"/>
      <c r="K162" s="594"/>
      <c r="L162" s="35"/>
    </row>
    <row r="163" spans="1:12" s="599" customFormat="1" ht="39.6" x14ac:dyDescent="0.25">
      <c r="A163" s="611" t="s">
        <v>844</v>
      </c>
      <c r="B163" s="36" t="s">
        <v>1503</v>
      </c>
      <c r="C163" s="594"/>
      <c r="D163" s="1071">
        <v>1000000</v>
      </c>
      <c r="E163" s="594"/>
      <c r="F163" s="594"/>
      <c r="G163" s="594"/>
      <c r="H163" s="594"/>
      <c r="I163" s="594"/>
      <c r="J163" s="594"/>
      <c r="K163" s="594"/>
      <c r="L163" s="35" t="s">
        <v>1504</v>
      </c>
    </row>
    <row r="164" spans="1:12" s="599" customFormat="1" ht="39.6" x14ac:dyDescent="0.25">
      <c r="A164" s="611" t="s">
        <v>844</v>
      </c>
      <c r="B164" s="36" t="s">
        <v>1505</v>
      </c>
      <c r="C164" s="594"/>
      <c r="D164" s="1071">
        <v>1500000</v>
      </c>
      <c r="E164" s="594"/>
      <c r="F164" s="594"/>
      <c r="G164" s="594"/>
      <c r="H164" s="594"/>
      <c r="I164" s="594"/>
      <c r="J164" s="594"/>
      <c r="K164" s="594"/>
      <c r="L164" s="35" t="s">
        <v>1509</v>
      </c>
    </row>
    <row r="165" spans="1:12" s="599" customFormat="1" ht="39.6" x14ac:dyDescent="0.25">
      <c r="A165" s="611" t="s">
        <v>844</v>
      </c>
      <c r="B165" s="36" t="s">
        <v>1506</v>
      </c>
      <c r="C165" s="594"/>
      <c r="D165" s="1071">
        <v>740000</v>
      </c>
      <c r="E165" s="594"/>
      <c r="F165" s="594"/>
      <c r="G165" s="594"/>
      <c r="H165" s="594"/>
      <c r="I165" s="594"/>
      <c r="J165" s="594"/>
      <c r="K165" s="594"/>
      <c r="L165" s="35"/>
    </row>
    <row r="166" spans="1:12" s="599" customFormat="1" ht="39.6" x14ac:dyDescent="0.25">
      <c r="A166" s="611" t="s">
        <v>844</v>
      </c>
      <c r="B166" s="36" t="s">
        <v>1507</v>
      </c>
      <c r="C166" s="594"/>
      <c r="D166" s="1071">
        <v>350000</v>
      </c>
      <c r="E166" s="594"/>
      <c r="F166" s="594"/>
      <c r="G166" s="594"/>
      <c r="H166" s="594"/>
      <c r="I166" s="594"/>
      <c r="J166" s="594"/>
      <c r="K166" s="594"/>
      <c r="L166" s="35"/>
    </row>
    <row r="167" spans="1:12" s="599" customFormat="1" ht="52.8" x14ac:dyDescent="0.25">
      <c r="A167" s="611" t="s">
        <v>844</v>
      </c>
      <c r="B167" s="36" t="s">
        <v>1500</v>
      </c>
      <c r="C167" s="594"/>
      <c r="D167" s="594"/>
      <c r="E167" s="594"/>
      <c r="F167" s="594"/>
      <c r="G167" s="1071">
        <v>1000000</v>
      </c>
      <c r="H167" s="594"/>
      <c r="I167" s="594"/>
      <c r="J167" s="594"/>
      <c r="K167" s="594"/>
      <c r="L167" s="35"/>
    </row>
    <row r="168" spans="1:12" s="599" customFormat="1" ht="39.6" x14ac:dyDescent="0.25">
      <c r="A168" s="611" t="s">
        <v>844</v>
      </c>
      <c r="B168" s="36" t="s">
        <v>1508</v>
      </c>
      <c r="C168" s="594"/>
      <c r="D168" s="1071">
        <v>500000</v>
      </c>
      <c r="E168" s="594"/>
      <c r="F168" s="594"/>
      <c r="G168" s="1071"/>
      <c r="H168" s="594"/>
      <c r="I168" s="594"/>
      <c r="J168" s="594"/>
      <c r="K168" s="594"/>
      <c r="L168" s="35"/>
    </row>
    <row r="169" spans="1:12" s="599" customFormat="1" ht="39.6" x14ac:dyDescent="0.25">
      <c r="A169" s="611" t="s">
        <v>844</v>
      </c>
      <c r="B169" s="36" t="s">
        <v>1510</v>
      </c>
      <c r="C169" s="594"/>
      <c r="D169" s="1071">
        <v>270000</v>
      </c>
      <c r="E169" s="594"/>
      <c r="F169" s="594"/>
      <c r="G169" s="1071"/>
      <c r="H169" s="594"/>
      <c r="I169" s="594"/>
      <c r="J169" s="594"/>
      <c r="K169" s="594"/>
      <c r="L169" s="35"/>
    </row>
    <row r="170" spans="1:12" s="599" customFormat="1" ht="26.4" x14ac:dyDescent="0.25">
      <c r="A170" s="611" t="s">
        <v>844</v>
      </c>
      <c r="B170" s="36" t="s">
        <v>863</v>
      </c>
      <c r="C170" s="594"/>
      <c r="D170" s="1071">
        <v>17500000</v>
      </c>
      <c r="E170" s="594"/>
      <c r="F170" s="594"/>
      <c r="G170" s="594"/>
      <c r="H170" s="594"/>
      <c r="I170" s="594"/>
      <c r="J170" s="594"/>
      <c r="K170" s="594"/>
      <c r="L170" s="35"/>
    </row>
    <row r="171" spans="1:12" s="599" customFormat="1" ht="52.8" x14ac:dyDescent="0.25">
      <c r="A171" s="611" t="s">
        <v>864</v>
      </c>
      <c r="B171" s="36" t="s">
        <v>889</v>
      </c>
      <c r="C171" s="594"/>
      <c r="D171" s="1071">
        <v>500000</v>
      </c>
      <c r="E171" s="594"/>
      <c r="F171" s="594"/>
      <c r="G171" s="594"/>
      <c r="H171" s="594"/>
      <c r="I171" s="594"/>
      <c r="J171" s="594"/>
      <c r="K171" s="594"/>
      <c r="L171" s="35"/>
    </row>
    <row r="172" spans="1:12" s="599" customFormat="1" ht="52.8" x14ac:dyDescent="0.25">
      <c r="A172" s="611" t="s">
        <v>864</v>
      </c>
      <c r="B172" s="36" t="s">
        <v>868</v>
      </c>
      <c r="C172" s="594"/>
      <c r="D172" s="1071">
        <v>120000</v>
      </c>
      <c r="E172" s="594"/>
      <c r="F172" s="594"/>
      <c r="G172" s="594"/>
      <c r="H172" s="594"/>
      <c r="I172" s="594"/>
      <c r="J172" s="594"/>
      <c r="K172" s="594"/>
      <c r="L172" s="35"/>
    </row>
    <row r="173" spans="1:12" s="599" customFormat="1" ht="52.8" x14ac:dyDescent="0.25">
      <c r="A173" s="611" t="s">
        <v>864</v>
      </c>
      <c r="B173" s="36" t="s">
        <v>865</v>
      </c>
      <c r="C173" s="594"/>
      <c r="D173" s="1071">
        <v>200000</v>
      </c>
      <c r="E173" s="594"/>
      <c r="F173" s="594"/>
      <c r="G173" s="594"/>
      <c r="H173" s="594"/>
      <c r="I173" s="594"/>
      <c r="J173" s="594"/>
      <c r="K173" s="594"/>
      <c r="L173" s="35"/>
    </row>
    <row r="174" spans="1:12" s="599" customFormat="1" ht="52.8" x14ac:dyDescent="0.25">
      <c r="A174" s="611" t="s">
        <v>864</v>
      </c>
      <c r="B174" s="36" t="s">
        <v>866</v>
      </c>
      <c r="C174" s="594"/>
      <c r="D174" s="1071">
        <v>1200000</v>
      </c>
      <c r="E174" s="594"/>
      <c r="F174" s="594"/>
      <c r="G174" s="594"/>
      <c r="H174" s="594"/>
      <c r="I174" s="594"/>
      <c r="J174" s="594"/>
      <c r="K174" s="594"/>
      <c r="L174" s="35"/>
    </row>
    <row r="175" spans="1:12" s="599" customFormat="1" ht="52.8" x14ac:dyDescent="0.25">
      <c r="A175" s="611" t="s">
        <v>864</v>
      </c>
      <c r="B175" s="36" t="s">
        <v>867</v>
      </c>
      <c r="C175" s="594"/>
      <c r="D175" s="1071">
        <v>150000</v>
      </c>
      <c r="E175" s="594"/>
      <c r="F175" s="594"/>
      <c r="G175" s="594"/>
      <c r="H175" s="594"/>
      <c r="I175" s="594"/>
      <c r="J175" s="594"/>
      <c r="K175" s="594"/>
      <c r="L175" s="35"/>
    </row>
    <row r="176" spans="1:12" s="599" customFormat="1" ht="39.6" x14ac:dyDescent="0.25">
      <c r="A176" s="611" t="s">
        <v>864</v>
      </c>
      <c r="B176" s="36" t="s">
        <v>869</v>
      </c>
      <c r="C176" s="594"/>
      <c r="D176" s="1071">
        <v>135000</v>
      </c>
      <c r="E176" s="594"/>
      <c r="F176" s="594"/>
      <c r="G176" s="594"/>
      <c r="H176" s="594"/>
      <c r="I176" s="594"/>
      <c r="J176" s="594"/>
      <c r="K176" s="594"/>
      <c r="L176" s="35"/>
    </row>
    <row r="177" spans="1:12" s="599" customFormat="1" ht="52.8" x14ac:dyDescent="0.25">
      <c r="A177" s="611" t="s">
        <v>864</v>
      </c>
      <c r="B177" s="36" t="s">
        <v>870</v>
      </c>
      <c r="C177" s="594"/>
      <c r="D177" s="1071">
        <v>500000</v>
      </c>
      <c r="E177" s="594"/>
      <c r="F177" s="594"/>
      <c r="G177" s="594"/>
      <c r="H177" s="594"/>
      <c r="I177" s="594"/>
      <c r="J177" s="594"/>
      <c r="K177" s="594"/>
      <c r="L177" s="35"/>
    </row>
    <row r="178" spans="1:12" s="599" customFormat="1" ht="52.8" x14ac:dyDescent="0.25">
      <c r="A178" s="611" t="s">
        <v>864</v>
      </c>
      <c r="B178" s="36" t="s">
        <v>871</v>
      </c>
      <c r="C178" s="594"/>
      <c r="D178" s="1071">
        <v>1650000</v>
      </c>
      <c r="E178" s="594"/>
      <c r="F178" s="594"/>
      <c r="G178" s="594"/>
      <c r="H178" s="594"/>
      <c r="I178" s="594"/>
      <c r="J178" s="594"/>
      <c r="K178" s="594"/>
      <c r="L178" s="35"/>
    </row>
    <row r="179" spans="1:12" s="599" customFormat="1" ht="52.8" x14ac:dyDescent="0.25">
      <c r="A179" s="611" t="s">
        <v>864</v>
      </c>
      <c r="B179" s="36" t="s">
        <v>888</v>
      </c>
      <c r="C179" s="594"/>
      <c r="D179" s="1071">
        <v>1000000</v>
      </c>
      <c r="E179" s="594"/>
      <c r="F179" s="594"/>
      <c r="G179" s="594"/>
      <c r="H179" s="594"/>
      <c r="I179" s="594"/>
      <c r="J179" s="594"/>
      <c r="K179" s="594"/>
      <c r="L179" s="35" t="s">
        <v>1512</v>
      </c>
    </row>
    <row r="180" spans="1:12" s="599" customFormat="1" ht="52.8" x14ac:dyDescent="0.25">
      <c r="A180" s="611" t="s">
        <v>864</v>
      </c>
      <c r="B180" s="36" t="s">
        <v>1511</v>
      </c>
      <c r="C180" s="594"/>
      <c r="D180" s="1071">
        <v>60000</v>
      </c>
      <c r="E180" s="594"/>
      <c r="F180" s="594"/>
      <c r="G180" s="594"/>
      <c r="H180" s="594"/>
      <c r="I180" s="594"/>
      <c r="J180" s="594"/>
      <c r="K180" s="594"/>
      <c r="L180" s="35"/>
    </row>
    <row r="181" spans="1:12" s="599" customFormat="1" ht="52.8" x14ac:dyDescent="0.25">
      <c r="A181" s="611" t="s">
        <v>864</v>
      </c>
      <c r="B181" s="36" t="s">
        <v>872</v>
      </c>
      <c r="C181" s="594"/>
      <c r="D181" s="1071">
        <v>530000</v>
      </c>
      <c r="E181" s="594"/>
      <c r="F181" s="594"/>
      <c r="G181" s="594"/>
      <c r="H181" s="594"/>
      <c r="I181" s="594"/>
      <c r="J181" s="594"/>
      <c r="K181" s="594"/>
      <c r="L181" s="35"/>
    </row>
    <row r="182" spans="1:12" s="599" customFormat="1" ht="52.8" x14ac:dyDescent="0.25">
      <c r="A182" s="611" t="s">
        <v>864</v>
      </c>
      <c r="B182" s="36" t="s">
        <v>873</v>
      </c>
      <c r="C182" s="594"/>
      <c r="D182" s="1071">
        <v>100000</v>
      </c>
      <c r="E182" s="594"/>
      <c r="F182" s="594"/>
      <c r="G182" s="594"/>
      <c r="H182" s="594"/>
      <c r="I182" s="594"/>
      <c r="J182" s="594"/>
      <c r="K182" s="594"/>
      <c r="L182" s="35"/>
    </row>
    <row r="183" spans="1:12" s="599" customFormat="1" ht="39.6" x14ac:dyDescent="0.25">
      <c r="A183" s="611" t="s">
        <v>864</v>
      </c>
      <c r="B183" s="36" t="s">
        <v>874</v>
      </c>
      <c r="C183" s="594"/>
      <c r="D183" s="1071">
        <v>200000</v>
      </c>
      <c r="E183" s="594"/>
      <c r="F183" s="594"/>
      <c r="G183" s="594"/>
      <c r="H183" s="594"/>
      <c r="I183" s="594"/>
      <c r="J183" s="594"/>
      <c r="K183" s="594"/>
      <c r="L183" s="35"/>
    </row>
    <row r="184" spans="1:12" s="599" customFormat="1" ht="26.4" x14ac:dyDescent="0.25">
      <c r="A184" s="611" t="s">
        <v>839</v>
      </c>
      <c r="B184" s="36" t="s">
        <v>1209</v>
      </c>
      <c r="C184" s="594"/>
      <c r="D184" s="1325">
        <v>4555000</v>
      </c>
      <c r="E184" s="594"/>
      <c r="F184" s="594"/>
      <c r="G184" s="594"/>
      <c r="H184" s="594"/>
      <c r="I184" s="594"/>
      <c r="J184" s="594"/>
      <c r="K184" s="594"/>
      <c r="L184" s="35" t="s">
        <v>848</v>
      </c>
    </row>
    <row r="185" spans="1:12" s="599" customFormat="1" ht="39.6" x14ac:dyDescent="0.25">
      <c r="A185" s="611" t="s">
        <v>875</v>
      </c>
      <c r="B185" s="36" t="s">
        <v>876</v>
      </c>
      <c r="C185" s="594"/>
      <c r="D185" s="1071">
        <v>120000</v>
      </c>
      <c r="E185" s="594"/>
      <c r="F185" s="594"/>
      <c r="G185" s="594"/>
      <c r="H185" s="594"/>
      <c r="I185" s="594"/>
      <c r="J185" s="594"/>
      <c r="K185" s="594"/>
      <c r="L185" s="35"/>
    </row>
    <row r="186" spans="1:12" s="599" customFormat="1" ht="39.6" x14ac:dyDescent="0.25">
      <c r="A186" s="611" t="s">
        <v>875</v>
      </c>
      <c r="B186" s="36" t="s">
        <v>877</v>
      </c>
      <c r="C186" s="594"/>
      <c r="D186" s="1071">
        <v>1000000</v>
      </c>
      <c r="E186" s="594"/>
      <c r="F186" s="594"/>
      <c r="G186" s="594"/>
      <c r="H186" s="594"/>
      <c r="I186" s="594"/>
      <c r="J186" s="594"/>
      <c r="K186" s="594"/>
      <c r="L186" s="35"/>
    </row>
    <row r="187" spans="1:12" s="599" customFormat="1" ht="26.4" x14ac:dyDescent="0.25">
      <c r="A187" s="611" t="s">
        <v>875</v>
      </c>
      <c r="B187" s="36" t="s">
        <v>878</v>
      </c>
      <c r="C187" s="594"/>
      <c r="D187" s="1071">
        <v>1000000</v>
      </c>
      <c r="E187" s="594"/>
      <c r="F187" s="594"/>
      <c r="G187" s="594"/>
      <c r="H187" s="594"/>
      <c r="I187" s="594"/>
      <c r="J187" s="594"/>
      <c r="K187" s="594"/>
      <c r="L187" s="35" t="s">
        <v>1513</v>
      </c>
    </row>
    <row r="188" spans="1:12" s="599" customFormat="1" ht="26.4" x14ac:dyDescent="0.25">
      <c r="A188" s="611" t="s">
        <v>875</v>
      </c>
      <c r="B188" s="36" t="s">
        <v>879</v>
      </c>
      <c r="C188" s="594"/>
      <c r="D188" s="1071">
        <v>190000</v>
      </c>
      <c r="E188" s="594"/>
      <c r="F188" s="594"/>
      <c r="G188" s="594"/>
      <c r="H188" s="594"/>
      <c r="I188" s="594"/>
      <c r="J188" s="594"/>
      <c r="K188" s="594"/>
      <c r="L188" s="35"/>
    </row>
    <row r="189" spans="1:12" s="599" customFormat="1" ht="39.6" x14ac:dyDescent="0.25">
      <c r="A189" s="611" t="s">
        <v>823</v>
      </c>
      <c r="B189" s="36" t="s">
        <v>880</v>
      </c>
      <c r="C189" s="594"/>
      <c r="D189" s="1071">
        <v>120000</v>
      </c>
      <c r="E189" s="594"/>
      <c r="F189" s="594"/>
      <c r="G189" s="594"/>
      <c r="H189" s="594"/>
      <c r="I189" s="594"/>
      <c r="J189" s="594"/>
      <c r="K189" s="594"/>
      <c r="L189" s="35"/>
    </row>
    <row r="190" spans="1:12" s="599" customFormat="1" ht="26.4" x14ac:dyDescent="0.25">
      <c r="A190" s="611" t="s">
        <v>823</v>
      </c>
      <c r="B190" s="36" t="s">
        <v>881</v>
      </c>
      <c r="C190" s="594"/>
      <c r="D190" s="1071">
        <v>500000</v>
      </c>
      <c r="E190" s="594"/>
      <c r="F190" s="594"/>
      <c r="G190" s="594"/>
      <c r="H190" s="594"/>
      <c r="I190" s="594"/>
      <c r="J190" s="594"/>
      <c r="K190" s="594"/>
      <c r="L190" s="35" t="s">
        <v>1514</v>
      </c>
    </row>
    <row r="191" spans="1:12" s="599" customFormat="1" ht="39.6" x14ac:dyDescent="0.25">
      <c r="A191" s="611" t="s">
        <v>823</v>
      </c>
      <c r="B191" s="36" t="s">
        <v>882</v>
      </c>
      <c r="C191" s="594"/>
      <c r="D191" s="1071">
        <v>250000</v>
      </c>
      <c r="E191" s="594"/>
      <c r="F191" s="594"/>
      <c r="G191" s="594"/>
      <c r="H191" s="594"/>
      <c r="I191" s="594"/>
      <c r="J191" s="594"/>
      <c r="K191" s="594"/>
      <c r="L191" s="35"/>
    </row>
    <row r="192" spans="1:12" s="599" customFormat="1" ht="26.4" x14ac:dyDescent="0.25">
      <c r="A192" s="611" t="s">
        <v>823</v>
      </c>
      <c r="B192" s="36" t="s">
        <v>1232</v>
      </c>
      <c r="C192" s="594"/>
      <c r="D192" s="1071">
        <v>1000000</v>
      </c>
      <c r="E192" s="594"/>
      <c r="F192" s="594"/>
      <c r="G192" s="594"/>
      <c r="H192" s="594"/>
      <c r="I192" s="594"/>
      <c r="J192" s="594"/>
      <c r="K192" s="594"/>
      <c r="L192" s="35"/>
    </row>
    <row r="193" spans="1:12" s="599" customFormat="1" ht="26.4" x14ac:dyDescent="0.25">
      <c r="A193" s="611" t="s">
        <v>823</v>
      </c>
      <c r="B193" s="36" t="s">
        <v>1257</v>
      </c>
      <c r="C193" s="594"/>
      <c r="D193" s="1071">
        <v>332000</v>
      </c>
      <c r="E193" s="594"/>
      <c r="F193" s="594"/>
      <c r="G193" s="594"/>
      <c r="H193" s="594"/>
      <c r="I193" s="594"/>
      <c r="J193" s="594"/>
      <c r="K193" s="594"/>
      <c r="L193" s="35"/>
    </row>
    <row r="194" spans="1:12" s="599" customFormat="1" ht="13.2" x14ac:dyDescent="0.25">
      <c r="A194" s="611" t="s">
        <v>823</v>
      </c>
      <c r="B194" s="36" t="s">
        <v>1258</v>
      </c>
      <c r="C194" s="594"/>
      <c r="D194" s="1071">
        <v>636000</v>
      </c>
      <c r="E194" s="594"/>
      <c r="F194" s="594"/>
      <c r="G194" s="594"/>
      <c r="H194" s="594"/>
      <c r="I194" s="594"/>
      <c r="J194" s="594"/>
      <c r="K194" s="594"/>
      <c r="L194" s="35"/>
    </row>
    <row r="195" spans="1:12" s="599" customFormat="1" ht="13.2" x14ac:dyDescent="0.25">
      <c r="A195" s="611" t="s">
        <v>823</v>
      </c>
      <c r="B195" s="36" t="s">
        <v>129</v>
      </c>
      <c r="C195" s="594"/>
      <c r="D195" s="1071">
        <v>10000</v>
      </c>
      <c r="E195" s="594"/>
      <c r="F195" s="594"/>
      <c r="G195" s="594"/>
      <c r="H195" s="594"/>
      <c r="I195" s="594"/>
      <c r="J195" s="594"/>
      <c r="K195" s="594"/>
      <c r="L195" s="35"/>
    </row>
    <row r="196" spans="1:12" s="599" customFormat="1" ht="13.2" x14ac:dyDescent="0.25">
      <c r="A196" s="611" t="s">
        <v>902</v>
      </c>
      <c r="B196" s="36" t="s">
        <v>903</v>
      </c>
      <c r="C196" s="594"/>
      <c r="D196" s="1071">
        <v>500000</v>
      </c>
      <c r="E196" s="594"/>
      <c r="F196" s="594"/>
      <c r="G196" s="594"/>
      <c r="H196" s="594"/>
      <c r="I196" s="594"/>
      <c r="J196" s="594"/>
      <c r="K196" s="594"/>
      <c r="L196" s="35"/>
    </row>
    <row r="197" spans="1:12" s="599" customFormat="1" ht="26.4" x14ac:dyDescent="0.25">
      <c r="A197" s="611" t="s">
        <v>981</v>
      </c>
      <c r="B197" s="36" t="s">
        <v>1527</v>
      </c>
      <c r="C197" s="594"/>
      <c r="D197" s="1071">
        <v>500000</v>
      </c>
      <c r="E197" s="594"/>
      <c r="F197" s="594"/>
      <c r="G197" s="594"/>
      <c r="H197" s="594"/>
      <c r="I197" s="594"/>
      <c r="J197" s="594"/>
      <c r="K197" s="594"/>
      <c r="L197" s="35"/>
    </row>
    <row r="198" spans="1:12" s="599" customFormat="1" ht="26.4" x14ac:dyDescent="0.25">
      <c r="A198" s="611" t="s">
        <v>1006</v>
      </c>
      <c r="B198" s="36" t="s">
        <v>1007</v>
      </c>
      <c r="C198" s="594"/>
      <c r="D198" s="594"/>
      <c r="E198" s="594"/>
      <c r="F198" s="594"/>
      <c r="G198" s="1071">
        <v>120000</v>
      </c>
      <c r="H198" s="594"/>
      <c r="I198" s="594"/>
      <c r="J198" s="594"/>
      <c r="K198" s="594"/>
      <c r="L198" s="35"/>
    </row>
    <row r="199" spans="1:12" s="599" customFormat="1" ht="26.4" x14ac:dyDescent="0.25">
      <c r="A199" s="611" t="s">
        <v>1006</v>
      </c>
      <c r="B199" s="36" t="s">
        <v>1008</v>
      </c>
      <c r="C199" s="594"/>
      <c r="D199" s="594"/>
      <c r="E199" s="594"/>
      <c r="F199" s="594"/>
      <c r="G199" s="1071">
        <v>500000</v>
      </c>
      <c r="H199" s="594"/>
      <c r="I199" s="594"/>
      <c r="J199" s="594"/>
      <c r="K199" s="594"/>
      <c r="L199" s="35" t="s">
        <v>1515</v>
      </c>
    </row>
    <row r="200" spans="1:12" s="599" customFormat="1" ht="26.4" x14ac:dyDescent="0.25">
      <c r="A200" s="611" t="s">
        <v>983</v>
      </c>
      <c r="B200" s="36" t="s">
        <v>1075</v>
      </c>
      <c r="C200" s="594"/>
      <c r="D200" s="1071">
        <v>150000</v>
      </c>
      <c r="E200" s="594"/>
      <c r="F200" s="594"/>
      <c r="G200" s="594"/>
      <c r="H200" s="594"/>
      <c r="I200" s="594"/>
      <c r="J200" s="594"/>
      <c r="K200" s="594"/>
      <c r="L200" s="35"/>
    </row>
    <row r="201" spans="1:12" s="599" customFormat="1" ht="26.4" x14ac:dyDescent="0.25">
      <c r="A201" s="611" t="s">
        <v>983</v>
      </c>
      <c r="B201" s="36" t="s">
        <v>1076</v>
      </c>
      <c r="C201" s="594"/>
      <c r="D201" s="1071">
        <v>560000</v>
      </c>
      <c r="E201" s="594"/>
      <c r="F201" s="594"/>
      <c r="G201" s="594"/>
      <c r="H201" s="594"/>
      <c r="I201" s="594"/>
      <c r="J201" s="594"/>
      <c r="K201" s="594"/>
      <c r="L201" s="35"/>
    </row>
    <row r="202" spans="1:12" s="599" customFormat="1" ht="26.4" x14ac:dyDescent="0.25">
      <c r="A202" s="611" t="s">
        <v>983</v>
      </c>
      <c r="B202" s="36" t="s">
        <v>1077</v>
      </c>
      <c r="C202" s="594"/>
      <c r="D202" s="594">
        <v>800000</v>
      </c>
      <c r="E202" s="594"/>
      <c r="F202" s="594"/>
      <c r="G202" s="594"/>
      <c r="H202" s="594"/>
      <c r="I202" s="594"/>
      <c r="J202" s="594"/>
      <c r="K202" s="594"/>
      <c r="L202" s="35"/>
    </row>
    <row r="203" spans="1:12" s="599" customFormat="1" ht="26.4" x14ac:dyDescent="0.25">
      <c r="A203" s="611" t="s">
        <v>984</v>
      </c>
      <c r="B203" s="36" t="s">
        <v>1207</v>
      </c>
      <c r="C203" s="594"/>
      <c r="D203" s="1071">
        <v>9240000</v>
      </c>
      <c r="E203" s="594"/>
      <c r="F203" s="594"/>
      <c r="G203" s="594"/>
      <c r="H203" s="594"/>
      <c r="I203" s="594"/>
      <c r="J203" s="594"/>
      <c r="K203" s="594"/>
      <c r="L203" s="35"/>
    </row>
    <row r="204" spans="1:12" s="599" customFormat="1" ht="26.4" x14ac:dyDescent="0.25">
      <c r="A204" s="611" t="s">
        <v>1105</v>
      </c>
      <c r="B204" s="36" t="s">
        <v>1186</v>
      </c>
      <c r="C204" s="594"/>
      <c r="D204" s="1071">
        <v>250000</v>
      </c>
      <c r="E204" s="594"/>
      <c r="F204" s="594"/>
      <c r="G204" s="594"/>
      <c r="H204" s="594"/>
      <c r="I204" s="594"/>
      <c r="J204" s="594"/>
      <c r="K204" s="594"/>
      <c r="L204" s="35"/>
    </row>
    <row r="205" spans="1:12" s="599" customFormat="1" ht="26.4" x14ac:dyDescent="0.25">
      <c r="A205" s="611" t="s">
        <v>1105</v>
      </c>
      <c r="B205" s="36" t="s">
        <v>1187</v>
      </c>
      <c r="C205" s="594"/>
      <c r="D205" s="1071">
        <v>3500000</v>
      </c>
      <c r="E205" s="594"/>
      <c r="F205" s="594"/>
      <c r="G205" s="594"/>
      <c r="H205" s="594"/>
      <c r="I205" s="594"/>
      <c r="J205" s="594"/>
      <c r="K205" s="594"/>
      <c r="L205" s="35" t="s">
        <v>1494</v>
      </c>
    </row>
    <row r="206" spans="1:12" s="599" customFormat="1" ht="13.2" x14ac:dyDescent="0.25">
      <c r="A206" s="611" t="s">
        <v>1001</v>
      </c>
      <c r="B206" s="36" t="s">
        <v>1002</v>
      </c>
      <c r="C206" s="594"/>
      <c r="D206" s="594"/>
      <c r="E206" s="1071">
        <v>110000000</v>
      </c>
      <c r="F206" s="594"/>
      <c r="G206" s="594"/>
      <c r="H206" s="594"/>
      <c r="I206" s="594"/>
      <c r="J206" s="594"/>
      <c r="K206" s="594"/>
      <c r="L206" s="35"/>
    </row>
    <row r="207" spans="1:12" s="599" customFormat="1" ht="13.2" x14ac:dyDescent="0.25">
      <c r="A207" s="611" t="s">
        <v>1001</v>
      </c>
      <c r="B207" s="36" t="s">
        <v>1003</v>
      </c>
      <c r="C207" s="594"/>
      <c r="D207" s="1071">
        <v>800000</v>
      </c>
      <c r="E207" s="594"/>
      <c r="F207" s="594"/>
      <c r="G207" s="594"/>
      <c r="H207" s="594"/>
      <c r="I207" s="594"/>
      <c r="J207" s="594"/>
      <c r="K207" s="594"/>
      <c r="L207" s="35"/>
    </row>
    <row r="208" spans="1:12" s="599" customFormat="1" ht="26.4" x14ac:dyDescent="0.25">
      <c r="A208" s="611" t="s">
        <v>1018</v>
      </c>
      <c r="B208" s="36" t="s">
        <v>1019</v>
      </c>
      <c r="C208" s="594"/>
      <c r="D208" s="1071">
        <v>10000000</v>
      </c>
      <c r="E208" s="594"/>
      <c r="F208" s="594"/>
      <c r="G208" s="594"/>
      <c r="H208" s="594"/>
      <c r="I208" s="594"/>
      <c r="J208" s="594"/>
      <c r="K208" s="594"/>
      <c r="L208" s="35"/>
    </row>
    <row r="209" spans="1:12" s="599" customFormat="1" ht="13.2" x14ac:dyDescent="0.25">
      <c r="A209" s="611" t="s">
        <v>1018</v>
      </c>
      <c r="B209" s="36" t="s">
        <v>129</v>
      </c>
      <c r="C209" s="594"/>
      <c r="D209" s="1071">
        <v>11000</v>
      </c>
      <c r="E209" s="594"/>
      <c r="F209" s="594"/>
      <c r="G209" s="594"/>
      <c r="H209" s="594"/>
      <c r="I209" s="594"/>
      <c r="J209" s="594"/>
      <c r="K209" s="594"/>
      <c r="L209" s="35"/>
    </row>
    <row r="210" spans="1:12" s="599" customFormat="1" ht="26.4" x14ac:dyDescent="0.25">
      <c r="A210" s="611" t="s">
        <v>1018</v>
      </c>
      <c r="B210" s="36" t="s">
        <v>1183</v>
      </c>
      <c r="C210" s="594"/>
      <c r="D210" s="1071">
        <v>60000</v>
      </c>
      <c r="E210" s="594"/>
      <c r="F210" s="594"/>
      <c r="G210" s="594"/>
      <c r="H210" s="594"/>
      <c r="I210" s="594"/>
      <c r="J210" s="594"/>
      <c r="K210" s="594"/>
      <c r="L210" s="35"/>
    </row>
    <row r="211" spans="1:12" s="599" customFormat="1" ht="26.4" x14ac:dyDescent="0.25">
      <c r="A211" s="611" t="s">
        <v>1018</v>
      </c>
      <c r="B211" s="36" t="s">
        <v>1184</v>
      </c>
      <c r="C211" s="594"/>
      <c r="D211" s="1071">
        <v>230000</v>
      </c>
      <c r="E211" s="594"/>
      <c r="F211" s="594"/>
      <c r="G211" s="594"/>
      <c r="H211" s="594"/>
      <c r="I211" s="594"/>
      <c r="J211" s="594"/>
      <c r="K211" s="594"/>
      <c r="L211" s="35"/>
    </row>
    <row r="212" spans="1:12" s="599" customFormat="1" ht="26.4" x14ac:dyDescent="0.25">
      <c r="A212" s="611" t="s">
        <v>1018</v>
      </c>
      <c r="B212" s="36" t="s">
        <v>1185</v>
      </c>
      <c r="C212" s="594"/>
      <c r="D212" s="1071">
        <v>1018000</v>
      </c>
      <c r="E212" s="594"/>
      <c r="F212" s="594"/>
      <c r="G212" s="594"/>
      <c r="H212" s="594"/>
      <c r="I212" s="594"/>
      <c r="J212" s="594"/>
      <c r="K212" s="594"/>
      <c r="L212" s="35" t="s">
        <v>1493</v>
      </c>
    </row>
    <row r="213" spans="1:12" s="599" customFormat="1" ht="79.2" x14ac:dyDescent="0.25">
      <c r="A213" s="611" t="s">
        <v>1030</v>
      </c>
      <c r="B213" s="36" t="s">
        <v>1031</v>
      </c>
      <c r="C213" s="594"/>
      <c r="D213" s="1071">
        <v>1420000</v>
      </c>
      <c r="E213" s="594"/>
      <c r="F213" s="594"/>
      <c r="G213" s="594"/>
      <c r="H213" s="594"/>
      <c r="I213" s="594"/>
      <c r="J213" s="594"/>
      <c r="K213" s="594"/>
      <c r="L213" s="35"/>
    </row>
    <row r="214" spans="1:12" s="599" customFormat="1" ht="13.2" x14ac:dyDescent="0.25">
      <c r="A214" s="611" t="s">
        <v>1030</v>
      </c>
      <c r="B214" s="36" t="s">
        <v>129</v>
      </c>
      <c r="C214" s="594"/>
      <c r="D214" s="1071">
        <v>8000</v>
      </c>
      <c r="E214" s="594"/>
      <c r="F214" s="594"/>
      <c r="G214" s="594"/>
      <c r="H214" s="594"/>
      <c r="I214" s="594"/>
      <c r="J214" s="594"/>
      <c r="K214" s="594"/>
      <c r="L214" s="35"/>
    </row>
    <row r="215" spans="1:12" s="599" customFormat="1" ht="13.2" x14ac:dyDescent="0.25">
      <c r="A215" s="611" t="s">
        <v>1030</v>
      </c>
      <c r="B215" s="36" t="s">
        <v>903</v>
      </c>
      <c r="C215" s="594"/>
      <c r="D215" s="1071">
        <v>1000000</v>
      </c>
      <c r="E215" s="594"/>
      <c r="F215" s="594"/>
      <c r="G215" s="594"/>
      <c r="H215" s="594"/>
      <c r="I215" s="594"/>
      <c r="J215" s="594"/>
      <c r="K215" s="594"/>
      <c r="L215" s="35" t="s">
        <v>1492</v>
      </c>
    </row>
    <row r="216" spans="1:12" s="599" customFormat="1" ht="26.4" x14ac:dyDescent="0.25">
      <c r="A216" s="611" t="s">
        <v>1126</v>
      </c>
      <c r="B216" s="36" t="s">
        <v>1402</v>
      </c>
      <c r="C216" s="594"/>
      <c r="D216" s="1071">
        <v>2160000</v>
      </c>
      <c r="E216" s="594"/>
      <c r="F216" s="594"/>
      <c r="G216" s="594"/>
      <c r="H216" s="594"/>
      <c r="I216" s="594"/>
      <c r="J216" s="594"/>
      <c r="K216" s="594"/>
      <c r="L216" s="35"/>
    </row>
    <row r="217" spans="1:12" s="599" customFormat="1" ht="13.2" x14ac:dyDescent="0.25">
      <c r="A217" s="611" t="s">
        <v>1126</v>
      </c>
      <c r="B217" s="36" t="s">
        <v>1401</v>
      </c>
      <c r="C217" s="594"/>
      <c r="D217" s="1071">
        <v>794000</v>
      </c>
      <c r="E217" s="594"/>
      <c r="F217" s="594"/>
      <c r="G217" s="594"/>
      <c r="H217" s="594"/>
      <c r="I217" s="594"/>
      <c r="J217" s="594"/>
      <c r="K217" s="594"/>
      <c r="L217" s="35"/>
    </row>
    <row r="218" spans="1:12" s="599" customFormat="1" ht="26.4" x14ac:dyDescent="0.25">
      <c r="A218" s="611" t="s">
        <v>1126</v>
      </c>
      <c r="B218" s="36" t="s">
        <v>1527</v>
      </c>
      <c r="C218" s="594"/>
      <c r="D218" s="1071">
        <v>500000</v>
      </c>
      <c r="E218" s="594"/>
      <c r="F218" s="594"/>
      <c r="G218" s="594"/>
      <c r="H218" s="594"/>
      <c r="I218" s="594"/>
      <c r="J218" s="594"/>
      <c r="K218" s="594"/>
      <c r="L218" s="35"/>
    </row>
    <row r="219" spans="1:12" s="599" customFormat="1" ht="26.4" x14ac:dyDescent="0.25">
      <c r="A219" s="611" t="s">
        <v>1033</v>
      </c>
      <c r="B219" s="36" t="s">
        <v>1167</v>
      </c>
      <c r="C219" s="594"/>
      <c r="D219" s="1071">
        <v>1000000</v>
      </c>
      <c r="E219" s="594"/>
      <c r="F219" s="594"/>
      <c r="G219" s="594"/>
      <c r="H219" s="594"/>
      <c r="I219" s="594"/>
      <c r="J219" s="594"/>
      <c r="K219" s="594"/>
      <c r="L219" s="35" t="s">
        <v>1491</v>
      </c>
    </row>
    <row r="220" spans="1:12" s="599" customFormat="1" ht="26.4" x14ac:dyDescent="0.25">
      <c r="A220" s="611" t="s">
        <v>1033</v>
      </c>
      <c r="B220" s="36" t="s">
        <v>1168</v>
      </c>
      <c r="C220" s="594"/>
      <c r="D220" s="1071">
        <v>470000</v>
      </c>
      <c r="E220" s="594"/>
      <c r="F220" s="594"/>
      <c r="G220" s="594"/>
      <c r="H220" s="594"/>
      <c r="I220" s="594"/>
      <c r="J220" s="594"/>
      <c r="K220" s="594"/>
      <c r="L220" s="35"/>
    </row>
    <row r="221" spans="1:12" s="599" customFormat="1" ht="26.4" x14ac:dyDescent="0.25">
      <c r="A221" s="611" t="s">
        <v>1033</v>
      </c>
      <c r="B221" s="36" t="s">
        <v>1169</v>
      </c>
      <c r="C221" s="594"/>
      <c r="D221" s="1071">
        <v>120000</v>
      </c>
      <c r="E221" s="594"/>
      <c r="F221" s="594"/>
      <c r="G221" s="594"/>
      <c r="H221" s="594"/>
      <c r="I221" s="594"/>
      <c r="J221" s="594"/>
      <c r="K221" s="594"/>
      <c r="L221" s="35"/>
    </row>
    <row r="222" spans="1:12" s="599" customFormat="1" ht="39.6" x14ac:dyDescent="0.25">
      <c r="A222" s="611" t="s">
        <v>1033</v>
      </c>
      <c r="B222" s="36" t="s">
        <v>1034</v>
      </c>
      <c r="C222" s="594"/>
      <c r="D222" s="1071">
        <v>2420000</v>
      </c>
      <c r="E222" s="594"/>
      <c r="F222" s="594"/>
      <c r="G222" s="594"/>
      <c r="H222" s="594"/>
      <c r="I222" s="594"/>
      <c r="J222" s="594"/>
      <c r="K222" s="594"/>
      <c r="L222" s="35" t="s">
        <v>1165</v>
      </c>
    </row>
    <row r="223" spans="1:12" s="599" customFormat="1" ht="13.2" x14ac:dyDescent="0.25">
      <c r="A223" s="611" t="s">
        <v>1033</v>
      </c>
      <c r="B223" s="36" t="s">
        <v>129</v>
      </c>
      <c r="C223" s="594"/>
      <c r="D223" s="1071">
        <v>10000</v>
      </c>
      <c r="E223" s="594"/>
      <c r="F223" s="594"/>
      <c r="G223" s="594"/>
      <c r="H223" s="594"/>
      <c r="I223" s="594"/>
      <c r="J223" s="594"/>
      <c r="K223" s="594"/>
      <c r="L223" s="35"/>
    </row>
    <row r="224" spans="1:12" s="599" customFormat="1" ht="26.4" x14ac:dyDescent="0.25">
      <c r="A224" s="611" t="s">
        <v>1107</v>
      </c>
      <c r="B224" s="36" t="s">
        <v>1228</v>
      </c>
      <c r="C224" s="594"/>
      <c r="D224" s="1071">
        <v>8800000</v>
      </c>
      <c r="E224" s="594"/>
      <c r="F224" s="594"/>
      <c r="G224" s="594"/>
      <c r="H224" s="594"/>
      <c r="I224" s="594"/>
      <c r="J224" s="594"/>
      <c r="K224" s="594"/>
      <c r="L224" s="35" t="s">
        <v>1229</v>
      </c>
    </row>
    <row r="225" spans="1:12" s="599" customFormat="1" ht="13.2" x14ac:dyDescent="0.25">
      <c r="A225" s="611" t="s">
        <v>1162</v>
      </c>
      <c r="B225" s="36" t="s">
        <v>410</v>
      </c>
      <c r="C225" s="594"/>
      <c r="D225" s="1071">
        <v>430000</v>
      </c>
      <c r="E225" s="594"/>
      <c r="F225" s="594"/>
      <c r="G225" s="594"/>
      <c r="H225" s="594"/>
      <c r="I225" s="594"/>
      <c r="J225" s="594"/>
      <c r="K225" s="594"/>
      <c r="L225" s="35"/>
    </row>
    <row r="226" spans="1:12" s="599" customFormat="1" ht="26.4" x14ac:dyDescent="0.25">
      <c r="A226" s="611" t="s">
        <v>1162</v>
      </c>
      <c r="B226" s="36" t="s">
        <v>1163</v>
      </c>
      <c r="C226" s="594"/>
      <c r="D226" s="1071">
        <v>2600000</v>
      </c>
      <c r="E226" s="594"/>
      <c r="F226" s="594"/>
      <c r="G226" s="594"/>
      <c r="H226" s="594"/>
      <c r="I226" s="594"/>
      <c r="J226" s="594"/>
      <c r="K226" s="594"/>
      <c r="L226" s="35"/>
    </row>
    <row r="227" spans="1:12" s="599" customFormat="1" ht="26.4" x14ac:dyDescent="0.25">
      <c r="A227" s="611" t="s">
        <v>1032</v>
      </c>
      <c r="B227" s="36" t="s">
        <v>1490</v>
      </c>
      <c r="C227" s="594"/>
      <c r="D227" s="1071">
        <v>1170000</v>
      </c>
      <c r="E227" s="594"/>
      <c r="F227" s="594"/>
      <c r="G227" s="594"/>
      <c r="H227" s="594"/>
      <c r="I227" s="594"/>
      <c r="J227" s="594"/>
      <c r="K227" s="594"/>
      <c r="L227" s="35"/>
    </row>
    <row r="228" spans="1:12" s="599" customFormat="1" ht="26.4" x14ac:dyDescent="0.25">
      <c r="A228" s="611" t="s">
        <v>1166</v>
      </c>
      <c r="B228" s="36" t="s">
        <v>1489</v>
      </c>
      <c r="C228" s="594"/>
      <c r="D228" s="1071">
        <v>1156000</v>
      </c>
      <c r="E228" s="594"/>
      <c r="F228" s="594"/>
      <c r="G228" s="594"/>
      <c r="H228" s="594"/>
      <c r="I228" s="594"/>
      <c r="J228" s="594"/>
      <c r="K228" s="594"/>
      <c r="L228" s="35"/>
    </row>
    <row r="229" spans="1:12" s="599" customFormat="1" ht="13.2" x14ac:dyDescent="0.25">
      <c r="A229" s="611" t="s">
        <v>1188</v>
      </c>
      <c r="B229" s="36" t="s">
        <v>652</v>
      </c>
      <c r="C229" s="594"/>
      <c r="D229" s="1071">
        <v>260000</v>
      </c>
      <c r="E229" s="594"/>
      <c r="F229" s="594"/>
      <c r="G229" s="594"/>
      <c r="H229" s="594"/>
      <c r="I229" s="594"/>
      <c r="J229" s="594"/>
      <c r="K229" s="594"/>
      <c r="L229" s="35"/>
    </row>
    <row r="230" spans="1:12" s="599" customFormat="1" ht="52.8" x14ac:dyDescent="0.25">
      <c r="A230" s="611" t="s">
        <v>1188</v>
      </c>
      <c r="B230" s="36" t="s">
        <v>1191</v>
      </c>
      <c r="C230" s="594"/>
      <c r="D230" s="1071">
        <v>2000000</v>
      </c>
      <c r="E230" s="594"/>
      <c r="F230" s="594"/>
      <c r="G230" s="594"/>
      <c r="H230" s="594"/>
      <c r="I230" s="594"/>
      <c r="J230" s="594"/>
      <c r="K230" s="594"/>
      <c r="L230" s="35" t="s">
        <v>1329</v>
      </c>
    </row>
    <row r="231" spans="1:12" s="599" customFormat="1" ht="13.2" x14ac:dyDescent="0.25">
      <c r="A231" s="611" t="s">
        <v>1188</v>
      </c>
      <c r="B231" s="36" t="s">
        <v>129</v>
      </c>
      <c r="C231" s="594"/>
      <c r="D231" s="1071">
        <v>7700</v>
      </c>
      <c r="E231" s="594"/>
      <c r="F231" s="594"/>
      <c r="G231" s="594"/>
      <c r="H231" s="594"/>
      <c r="I231" s="594"/>
      <c r="J231" s="594"/>
      <c r="K231" s="594"/>
      <c r="L231" s="35"/>
    </row>
    <row r="232" spans="1:12" s="599" customFormat="1" ht="13.2" x14ac:dyDescent="0.25">
      <c r="A232" s="611" t="s">
        <v>1188</v>
      </c>
      <c r="B232" s="36" t="s">
        <v>1192</v>
      </c>
      <c r="C232" s="594"/>
      <c r="D232" s="594">
        <v>3600000</v>
      </c>
      <c r="E232" s="594"/>
      <c r="F232" s="594"/>
      <c r="G232" s="594"/>
      <c r="H232" s="594"/>
      <c r="I232" s="594"/>
      <c r="J232" s="594"/>
      <c r="K232" s="594"/>
      <c r="L232" s="35" t="s">
        <v>1472</v>
      </c>
    </row>
    <row r="233" spans="1:12" s="599" customFormat="1" ht="13.2" x14ac:dyDescent="0.25">
      <c r="A233" s="611" t="s">
        <v>1164</v>
      </c>
      <c r="B233" s="80" t="s">
        <v>1197</v>
      </c>
      <c r="C233" s="593"/>
      <c r="D233" s="1072">
        <v>130000</v>
      </c>
      <c r="E233" s="593"/>
      <c r="F233" s="593"/>
      <c r="G233" s="593"/>
      <c r="H233" s="593"/>
      <c r="I233" s="593"/>
      <c r="J233" s="593"/>
      <c r="K233" s="593"/>
      <c r="L233" s="81"/>
    </row>
    <row r="234" spans="1:12" s="599" customFormat="1" ht="13.2" x14ac:dyDescent="0.25">
      <c r="A234" s="611" t="s">
        <v>1164</v>
      </c>
      <c r="B234" s="80" t="s">
        <v>1198</v>
      </c>
      <c r="C234" s="593"/>
      <c r="D234" s="593">
        <v>110000</v>
      </c>
      <c r="E234" s="593"/>
      <c r="F234" s="593"/>
      <c r="G234" s="593"/>
      <c r="H234" s="593"/>
      <c r="I234" s="593"/>
      <c r="J234" s="593"/>
      <c r="K234" s="593"/>
      <c r="L234" s="81"/>
    </row>
    <row r="235" spans="1:12" s="599" customFormat="1" ht="26.4" x14ac:dyDescent="0.25">
      <c r="A235" s="611" t="s">
        <v>1202</v>
      </c>
      <c r="B235" s="36" t="s">
        <v>1256</v>
      </c>
      <c r="C235" s="594"/>
      <c r="D235" s="1071">
        <v>2500000</v>
      </c>
      <c r="E235" s="594"/>
      <c r="F235" s="594"/>
      <c r="G235" s="594"/>
      <c r="H235" s="594"/>
      <c r="I235" s="594"/>
      <c r="J235" s="594"/>
      <c r="K235" s="594"/>
      <c r="L235" s="35"/>
    </row>
    <row r="236" spans="1:12" s="599" customFormat="1" ht="13.2" x14ac:dyDescent="0.25">
      <c r="A236" s="611" t="s">
        <v>1202</v>
      </c>
      <c r="B236" s="36" t="s">
        <v>129</v>
      </c>
      <c r="C236" s="594"/>
      <c r="D236" s="1071">
        <v>20000</v>
      </c>
      <c r="E236" s="594"/>
      <c r="F236" s="594"/>
      <c r="G236" s="594"/>
      <c r="H236" s="594"/>
      <c r="I236" s="594"/>
      <c r="J236" s="594"/>
      <c r="K236" s="594"/>
      <c r="L236" s="35"/>
    </row>
    <row r="237" spans="1:12" s="599" customFormat="1" ht="26.4" x14ac:dyDescent="0.25">
      <c r="A237" s="611" t="s">
        <v>1205</v>
      </c>
      <c r="B237" s="36" t="s">
        <v>1495</v>
      </c>
      <c r="C237" s="594"/>
      <c r="D237" s="1071">
        <v>2000000</v>
      </c>
      <c r="E237" s="594"/>
      <c r="F237" s="594"/>
      <c r="G237" s="594"/>
      <c r="H237" s="594"/>
      <c r="I237" s="594"/>
      <c r="J237" s="594"/>
      <c r="K237" s="594"/>
      <c r="L237" s="35" t="s">
        <v>1342</v>
      </c>
    </row>
    <row r="238" spans="1:12" s="599" customFormat="1" ht="26.4" x14ac:dyDescent="0.25">
      <c r="A238" s="611" t="s">
        <v>1205</v>
      </c>
      <c r="B238" s="36" t="s">
        <v>1254</v>
      </c>
      <c r="C238" s="594"/>
      <c r="D238" s="1071">
        <v>4000000</v>
      </c>
      <c r="E238" s="594"/>
      <c r="F238" s="594"/>
      <c r="G238" s="594"/>
      <c r="H238" s="594"/>
      <c r="I238" s="594"/>
      <c r="J238" s="594"/>
      <c r="K238" s="594"/>
      <c r="L238" s="35"/>
    </row>
    <row r="239" spans="1:12" s="599" customFormat="1" ht="13.2" x14ac:dyDescent="0.25">
      <c r="A239" s="611" t="s">
        <v>1205</v>
      </c>
      <c r="B239" s="80" t="s">
        <v>129</v>
      </c>
      <c r="C239" s="593"/>
      <c r="D239" s="1072">
        <v>10000</v>
      </c>
      <c r="E239" s="593"/>
      <c r="F239" s="593"/>
      <c r="G239" s="593"/>
      <c r="H239" s="593"/>
      <c r="I239" s="593"/>
      <c r="J239" s="593"/>
      <c r="K239" s="593"/>
      <c r="L239" s="81"/>
    </row>
    <row r="240" spans="1:12" s="599" customFormat="1" ht="26.4" x14ac:dyDescent="0.25">
      <c r="A240" s="589" t="s">
        <v>1205</v>
      </c>
      <c r="B240" s="80" t="s">
        <v>1328</v>
      </c>
      <c r="C240" s="593"/>
      <c r="D240" s="1072">
        <v>10000000</v>
      </c>
      <c r="E240" s="593"/>
      <c r="F240" s="593"/>
      <c r="G240" s="593"/>
      <c r="H240" s="593"/>
      <c r="I240" s="593"/>
      <c r="J240" s="593"/>
      <c r="K240" s="593"/>
      <c r="L240" s="81"/>
    </row>
    <row r="241" spans="1:12" s="599" customFormat="1" ht="39.6" x14ac:dyDescent="0.25">
      <c r="A241" s="589" t="s">
        <v>1205</v>
      </c>
      <c r="B241" s="36" t="s">
        <v>1327</v>
      </c>
      <c r="C241" s="594"/>
      <c r="D241" s="1071">
        <v>2500000</v>
      </c>
      <c r="E241" s="594"/>
      <c r="F241" s="594"/>
      <c r="G241" s="594"/>
      <c r="H241" s="594"/>
      <c r="I241" s="594"/>
      <c r="J241" s="594"/>
      <c r="K241" s="594"/>
      <c r="L241" s="35"/>
    </row>
    <row r="242" spans="1:12" s="599" customFormat="1" ht="39.6" x14ac:dyDescent="0.25">
      <c r="A242" s="611" t="s">
        <v>1226</v>
      </c>
      <c r="B242" s="36" t="s">
        <v>1227</v>
      </c>
      <c r="C242" s="594"/>
      <c r="D242" s="1071">
        <v>3200000</v>
      </c>
      <c r="E242" s="594"/>
      <c r="F242" s="594"/>
      <c r="G242" s="594"/>
      <c r="H242" s="594"/>
      <c r="I242" s="594"/>
      <c r="J242" s="594"/>
      <c r="K242" s="594"/>
      <c r="L242" s="35"/>
    </row>
    <row r="243" spans="1:12" s="599" customFormat="1" ht="13.2" x14ac:dyDescent="0.25">
      <c r="A243" s="611" t="s">
        <v>1226</v>
      </c>
      <c r="B243" s="36" t="s">
        <v>129</v>
      </c>
      <c r="C243" s="594"/>
      <c r="D243" s="1071">
        <v>10000</v>
      </c>
      <c r="E243" s="594"/>
      <c r="F243" s="594"/>
      <c r="G243" s="594"/>
      <c r="H243" s="594"/>
      <c r="I243" s="594"/>
      <c r="J243" s="594"/>
      <c r="K243" s="594"/>
      <c r="L243" s="35"/>
    </row>
    <row r="244" spans="1:12" s="599" customFormat="1" ht="26.4" x14ac:dyDescent="0.25">
      <c r="A244" s="611" t="s">
        <v>1226</v>
      </c>
      <c r="B244" s="36" t="s">
        <v>1488</v>
      </c>
      <c r="C244" s="594"/>
      <c r="D244" s="1071">
        <v>678000</v>
      </c>
      <c r="E244" s="594"/>
      <c r="F244" s="594"/>
      <c r="G244" s="594"/>
      <c r="H244" s="594"/>
      <c r="I244" s="594"/>
      <c r="J244" s="594"/>
      <c r="K244" s="594"/>
      <c r="L244" s="35"/>
    </row>
    <row r="245" spans="1:12" s="599" customFormat="1" ht="13.2" x14ac:dyDescent="0.25">
      <c r="A245" s="611"/>
      <c r="B245" s="36"/>
      <c r="C245" s="594"/>
      <c r="D245" s="1071"/>
      <c r="E245" s="594"/>
      <c r="F245" s="594"/>
      <c r="G245" s="594"/>
      <c r="H245" s="594"/>
      <c r="I245" s="594"/>
      <c r="J245" s="594"/>
      <c r="K245" s="594"/>
      <c r="L245" s="35"/>
    </row>
    <row r="246" spans="1:12" s="599" customFormat="1" ht="13.2" x14ac:dyDescent="0.25">
      <c r="A246" s="611" t="s">
        <v>1252</v>
      </c>
      <c r="B246" s="36" t="s">
        <v>1482</v>
      </c>
      <c r="C246" s="594"/>
      <c r="D246" s="1071">
        <v>390000</v>
      </c>
      <c r="E246" s="594"/>
      <c r="F246" s="594"/>
      <c r="G246" s="594"/>
      <c r="H246" s="594"/>
      <c r="I246" s="594"/>
      <c r="J246" s="594"/>
      <c r="K246" s="594"/>
      <c r="L246" s="35"/>
    </row>
    <row r="247" spans="1:12" s="599" customFormat="1" ht="39.6" x14ac:dyDescent="0.25">
      <c r="A247" s="611" t="s">
        <v>1252</v>
      </c>
      <c r="B247" s="36" t="s">
        <v>1468</v>
      </c>
      <c r="C247" s="594"/>
      <c r="D247" s="1071">
        <v>390000</v>
      </c>
      <c r="E247" s="594"/>
      <c r="F247" s="594"/>
      <c r="G247" s="594"/>
      <c r="H247" s="594"/>
      <c r="I247" s="594"/>
      <c r="J247" s="594"/>
      <c r="K247" s="594"/>
      <c r="L247" s="35" t="s">
        <v>1469</v>
      </c>
    </row>
    <row r="248" spans="1:12" s="599" customFormat="1" ht="13.2" x14ac:dyDescent="0.25">
      <c r="A248" s="611" t="s">
        <v>1357</v>
      </c>
      <c r="B248" s="36" t="s">
        <v>1399</v>
      </c>
      <c r="C248" s="594"/>
      <c r="D248" s="1071">
        <v>1002720</v>
      </c>
      <c r="E248" s="594"/>
      <c r="F248" s="594"/>
      <c r="G248" s="594"/>
      <c r="H248" s="594"/>
      <c r="I248" s="594"/>
      <c r="J248" s="594"/>
      <c r="K248" s="594"/>
      <c r="L248" s="35"/>
    </row>
    <row r="249" spans="1:12" s="599" customFormat="1" ht="26.4" x14ac:dyDescent="0.25">
      <c r="A249" s="611" t="s">
        <v>1301</v>
      </c>
      <c r="B249" s="36" t="s">
        <v>1546</v>
      </c>
      <c r="C249" s="594"/>
      <c r="D249" s="1071">
        <v>8800000</v>
      </c>
      <c r="E249" s="594"/>
      <c r="F249" s="594"/>
      <c r="G249" s="594"/>
      <c r="H249" s="594"/>
      <c r="I249" s="594"/>
      <c r="J249" s="594"/>
      <c r="K249" s="594"/>
      <c r="L249" s="35"/>
    </row>
    <row r="250" spans="1:12" s="599" customFormat="1" ht="26.4" x14ac:dyDescent="0.25">
      <c r="A250" s="611" t="s">
        <v>1301</v>
      </c>
      <c r="B250" s="36" t="s">
        <v>1393</v>
      </c>
      <c r="C250" s="594"/>
      <c r="D250" s="1071">
        <v>250000</v>
      </c>
      <c r="E250" s="594"/>
      <c r="F250" s="594"/>
      <c r="G250" s="594"/>
      <c r="H250" s="594"/>
      <c r="I250" s="594"/>
      <c r="J250" s="594"/>
      <c r="K250" s="594"/>
      <c r="L250" s="35"/>
    </row>
    <row r="251" spans="1:12" s="599" customFormat="1" ht="13.2" x14ac:dyDescent="0.25">
      <c r="A251" s="611" t="s">
        <v>1301</v>
      </c>
      <c r="B251" s="36" t="s">
        <v>1400</v>
      </c>
      <c r="C251" s="594"/>
      <c r="D251" s="1071">
        <v>1018710</v>
      </c>
      <c r="E251" s="594"/>
      <c r="F251" s="594"/>
      <c r="G251" s="594"/>
      <c r="H251" s="594"/>
      <c r="I251" s="594"/>
      <c r="J251" s="594"/>
      <c r="K251" s="594"/>
      <c r="L251" s="35"/>
    </row>
    <row r="252" spans="1:12" s="599" customFormat="1" ht="26.4" x14ac:dyDescent="0.25">
      <c r="A252" s="611" t="s">
        <v>1301</v>
      </c>
      <c r="B252" s="36" t="s">
        <v>1397</v>
      </c>
      <c r="C252" s="594"/>
      <c r="D252" s="1071">
        <v>640000</v>
      </c>
      <c r="E252" s="594"/>
      <c r="F252" s="594"/>
      <c r="G252" s="594"/>
      <c r="H252" s="594"/>
      <c r="I252" s="594"/>
      <c r="J252" s="594"/>
      <c r="K252" s="594"/>
      <c r="L252" s="35"/>
    </row>
    <row r="253" spans="1:12" s="599" customFormat="1" ht="26.4" x14ac:dyDescent="0.25">
      <c r="A253" s="611" t="s">
        <v>1372</v>
      </c>
      <c r="B253" s="36" t="s">
        <v>1396</v>
      </c>
      <c r="C253" s="594"/>
      <c r="D253" s="1071">
        <v>351000</v>
      </c>
      <c r="E253" s="594"/>
      <c r="F253" s="594"/>
      <c r="G253" s="594"/>
      <c r="H253" s="594"/>
      <c r="I253" s="594"/>
      <c r="J253" s="594"/>
      <c r="K253" s="594"/>
      <c r="L253" s="35"/>
    </row>
    <row r="254" spans="1:12" s="599" customFormat="1" ht="26.4" x14ac:dyDescent="0.25">
      <c r="A254" s="611" t="s">
        <v>1372</v>
      </c>
      <c r="B254" s="36" t="s">
        <v>1398</v>
      </c>
      <c r="C254" s="594"/>
      <c r="D254" s="1071">
        <v>213000</v>
      </c>
      <c r="E254" s="594"/>
      <c r="F254" s="594"/>
      <c r="G254" s="594"/>
      <c r="H254" s="594"/>
      <c r="I254" s="594"/>
      <c r="J254" s="594"/>
      <c r="K254" s="594"/>
      <c r="L254" s="35"/>
    </row>
    <row r="255" spans="1:12" s="599" customFormat="1" ht="39.6" x14ac:dyDescent="0.25">
      <c r="A255" s="611" t="s">
        <v>1368</v>
      </c>
      <c r="B255" s="36" t="s">
        <v>1467</v>
      </c>
      <c r="C255" s="594"/>
      <c r="D255" s="1071">
        <v>950000</v>
      </c>
      <c r="E255" s="594"/>
      <c r="F255" s="594"/>
      <c r="G255" s="594"/>
      <c r="H255" s="594"/>
      <c r="I255" s="594"/>
      <c r="J255" s="594"/>
      <c r="K255" s="594"/>
      <c r="L255" s="35"/>
    </row>
    <row r="256" spans="1:12" s="599" customFormat="1" ht="26.4" x14ac:dyDescent="0.25">
      <c r="A256" s="611" t="s">
        <v>1370</v>
      </c>
      <c r="B256" s="36" t="s">
        <v>1466</v>
      </c>
      <c r="C256" s="594"/>
      <c r="D256" s="1071">
        <v>3000000</v>
      </c>
      <c r="E256" s="594"/>
      <c r="F256" s="594"/>
      <c r="G256" s="594"/>
      <c r="H256" s="594"/>
      <c r="I256" s="594"/>
      <c r="J256" s="594"/>
      <c r="K256" s="594"/>
      <c r="L256" s="35"/>
    </row>
    <row r="257" spans="1:37" s="599" customFormat="1" ht="39.6" x14ac:dyDescent="0.25">
      <c r="A257" s="611" t="s">
        <v>1370</v>
      </c>
      <c r="B257" s="36" t="s">
        <v>1394</v>
      </c>
      <c r="C257" s="594"/>
      <c r="D257" s="1071">
        <v>1000000</v>
      </c>
      <c r="E257" s="594"/>
      <c r="F257" s="594"/>
      <c r="G257" s="594"/>
      <c r="H257" s="594"/>
      <c r="I257" s="594"/>
      <c r="J257" s="594"/>
      <c r="K257" s="594"/>
      <c r="L257" s="35"/>
    </row>
    <row r="258" spans="1:37" s="599" customFormat="1" ht="39.6" x14ac:dyDescent="0.25">
      <c r="A258" s="611" t="s">
        <v>1370</v>
      </c>
      <c r="B258" s="80" t="s">
        <v>1395</v>
      </c>
      <c r="C258" s="593"/>
      <c r="D258" s="1072">
        <v>50000</v>
      </c>
      <c r="E258" s="593"/>
      <c r="F258" s="593"/>
      <c r="G258" s="593"/>
      <c r="H258" s="593"/>
      <c r="I258" s="593"/>
      <c r="J258" s="593"/>
      <c r="K258" s="593"/>
      <c r="L258" s="81"/>
    </row>
    <row r="259" spans="1:37" s="599" customFormat="1" ht="26.4" x14ac:dyDescent="0.25">
      <c r="A259" s="589" t="s">
        <v>1478</v>
      </c>
      <c r="B259" s="80" t="s">
        <v>1484</v>
      </c>
      <c r="C259" s="593"/>
      <c r="D259" s="1072">
        <v>15000000</v>
      </c>
      <c r="E259" s="593"/>
      <c r="F259" s="593"/>
      <c r="G259" s="593"/>
      <c r="H259" s="593"/>
      <c r="I259" s="593"/>
      <c r="J259" s="593"/>
      <c r="K259" s="593"/>
      <c r="L259" s="81" t="s">
        <v>1483</v>
      </c>
    </row>
    <row r="260" spans="1:37" s="599" customFormat="1" ht="26.4" x14ac:dyDescent="0.25">
      <c r="A260" s="611" t="s">
        <v>1531</v>
      </c>
      <c r="B260" s="36" t="s">
        <v>1532</v>
      </c>
      <c r="C260" s="594"/>
      <c r="D260" s="1071">
        <v>352000</v>
      </c>
      <c r="E260" s="594"/>
      <c r="F260" s="594"/>
      <c r="G260" s="594"/>
      <c r="H260" s="594"/>
      <c r="I260" s="594"/>
      <c r="J260" s="594"/>
      <c r="K260" s="594"/>
      <c r="L260" s="35"/>
    </row>
    <row r="261" spans="1:37" s="599" customFormat="1" ht="26.4" x14ac:dyDescent="0.25">
      <c r="A261" s="611" t="s">
        <v>1531</v>
      </c>
      <c r="B261" s="36" t="s">
        <v>1558</v>
      </c>
      <c r="C261" s="594"/>
      <c r="D261" s="1071">
        <v>12815000</v>
      </c>
      <c r="E261" s="594"/>
      <c r="F261" s="594"/>
      <c r="G261" s="594"/>
      <c r="H261" s="594"/>
      <c r="I261" s="594"/>
      <c r="J261" s="594"/>
      <c r="K261" s="594"/>
      <c r="L261" s="35"/>
    </row>
    <row r="262" spans="1:37" s="599" customFormat="1" ht="13.2" x14ac:dyDescent="0.25">
      <c r="A262" s="611"/>
      <c r="B262" s="36"/>
      <c r="C262" s="594"/>
      <c r="D262" s="594"/>
      <c r="E262" s="594"/>
      <c r="F262" s="594"/>
      <c r="G262" s="594"/>
      <c r="H262" s="594"/>
      <c r="I262" s="594"/>
      <c r="J262" s="594"/>
      <c r="K262" s="594"/>
      <c r="L262" s="35"/>
    </row>
    <row r="263" spans="1:37" s="599" customFormat="1" ht="13.2" x14ac:dyDescent="0.25">
      <c r="A263" s="589"/>
      <c r="B263" s="80"/>
      <c r="C263" s="593"/>
      <c r="D263" s="593"/>
      <c r="E263" s="593"/>
      <c r="F263" s="593"/>
      <c r="G263" s="593"/>
      <c r="H263" s="593"/>
      <c r="I263" s="593"/>
      <c r="J263" s="593"/>
      <c r="K263" s="593"/>
      <c r="L263" s="81"/>
    </row>
    <row r="264" spans="1:37" s="449" customFormat="1" ht="25.5" customHeight="1" thickBot="1" x14ac:dyDescent="0.3">
      <c r="A264" s="2302" t="s">
        <v>2</v>
      </c>
      <c r="B264" s="2303"/>
      <c r="C264" s="447">
        <f t="shared" ref="C264:I264" si="0">SUM(C7:C263)</f>
        <v>0</v>
      </c>
      <c r="D264" s="447">
        <f t="shared" si="0"/>
        <v>346780030</v>
      </c>
      <c r="E264" s="447">
        <f t="shared" si="0"/>
        <v>234254000</v>
      </c>
      <c r="F264" s="447">
        <f t="shared" si="0"/>
        <v>0</v>
      </c>
      <c r="G264" s="447">
        <f t="shared" si="0"/>
        <v>4030000</v>
      </c>
      <c r="H264" s="447">
        <f t="shared" si="0"/>
        <v>0</v>
      </c>
      <c r="I264" s="447">
        <f t="shared" si="0"/>
        <v>0</v>
      </c>
      <c r="J264" s="447">
        <f>SUM(J12:J263)</f>
        <v>15505000</v>
      </c>
      <c r="K264" s="447">
        <f>SUM(K7:K263)</f>
        <v>0</v>
      </c>
      <c r="L264" s="448"/>
      <c r="N264" s="599"/>
      <c r="O264" s="599"/>
      <c r="P264" s="599"/>
      <c r="Q264" s="599"/>
      <c r="R264" s="599"/>
      <c r="S264" s="599"/>
      <c r="T264" s="599"/>
      <c r="U264" s="599"/>
      <c r="V264" s="599"/>
      <c r="W264" s="599"/>
      <c r="X264" s="599"/>
      <c r="Y264" s="599"/>
      <c r="Z264" s="599"/>
      <c r="AA264" s="599"/>
      <c r="AB264" s="599"/>
      <c r="AC264" s="599"/>
      <c r="AD264" s="599"/>
      <c r="AE264" s="599"/>
      <c r="AF264" s="599"/>
      <c r="AG264" s="599"/>
      <c r="AH264" s="599"/>
      <c r="AI264" s="599"/>
      <c r="AJ264" s="599"/>
      <c r="AK264" s="599"/>
    </row>
    <row r="265" spans="1:37" ht="14.4" thickTop="1" x14ac:dyDescent="0.25">
      <c r="C265" s="1114"/>
      <c r="D265" s="1114"/>
      <c r="E265" s="1114"/>
      <c r="F265" s="1114"/>
    </row>
    <row r="266" spans="1:37" x14ac:dyDescent="0.25">
      <c r="C266" s="1115"/>
      <c r="D266" s="1115"/>
      <c r="E266" s="1115"/>
      <c r="F266" s="1115"/>
    </row>
    <row r="267" spans="1:37" x14ac:dyDescent="0.25">
      <c r="C267" s="1115"/>
      <c r="D267" s="1115"/>
      <c r="E267" s="1115"/>
      <c r="F267" s="1115"/>
    </row>
    <row r="269" spans="1:37" x14ac:dyDescent="0.25">
      <c r="C269" s="1115"/>
      <c r="D269" s="1115"/>
      <c r="E269" s="1115"/>
      <c r="F269" s="1115"/>
    </row>
    <row r="276" spans="2:6" x14ac:dyDescent="0.25">
      <c r="B276" s="1"/>
      <c r="C276" s="511"/>
      <c r="D276" s="511"/>
      <c r="E276" s="511"/>
      <c r="F276" s="511"/>
    </row>
    <row r="277" spans="2:6" x14ac:dyDescent="0.25">
      <c r="B277" s="1"/>
      <c r="C277" s="511"/>
      <c r="D277" s="511"/>
      <c r="E277" s="511"/>
      <c r="F277" s="511"/>
    </row>
    <row r="278" spans="2:6" x14ac:dyDescent="0.25">
      <c r="B278" s="1"/>
      <c r="C278" s="511"/>
      <c r="D278" s="511"/>
      <c r="E278" s="511"/>
      <c r="F278" s="511"/>
    </row>
    <row r="279" spans="2:6" x14ac:dyDescent="0.25">
      <c r="B279" s="1"/>
      <c r="C279" s="511"/>
      <c r="D279" s="511"/>
      <c r="E279" s="511"/>
      <c r="F279" s="511"/>
    </row>
    <row r="280" spans="2:6" x14ac:dyDescent="0.25">
      <c r="B280" s="1"/>
      <c r="C280" s="511"/>
      <c r="D280" s="511"/>
      <c r="E280" s="511"/>
      <c r="F280" s="511"/>
    </row>
    <row r="281" spans="2:6" x14ac:dyDescent="0.25">
      <c r="B281" s="1"/>
      <c r="C281" s="511"/>
      <c r="D281" s="511"/>
      <c r="E281" s="511"/>
      <c r="F281" s="511"/>
    </row>
    <row r="282" spans="2:6" x14ac:dyDescent="0.25">
      <c r="B282" s="1"/>
      <c r="C282" s="511"/>
      <c r="D282" s="511"/>
      <c r="E282" s="511"/>
      <c r="F282" s="511"/>
    </row>
    <row r="283" spans="2:6" x14ac:dyDescent="0.25">
      <c r="B283" s="1"/>
      <c r="C283" s="511"/>
      <c r="D283" s="511"/>
      <c r="E283" s="511"/>
      <c r="F283" s="511"/>
    </row>
    <row r="284" spans="2:6" x14ac:dyDescent="0.25">
      <c r="B284" s="1"/>
      <c r="C284" s="511"/>
      <c r="D284" s="511"/>
      <c r="E284" s="511"/>
      <c r="F284" s="511"/>
    </row>
    <row r="285" spans="2:6" x14ac:dyDescent="0.25">
      <c r="B285" s="1"/>
      <c r="C285" s="511"/>
      <c r="D285" s="511"/>
      <c r="E285" s="511"/>
      <c r="F285" s="511"/>
    </row>
    <row r="286" spans="2:6" x14ac:dyDescent="0.25">
      <c r="B286" s="1"/>
      <c r="C286" s="511"/>
      <c r="D286" s="511"/>
      <c r="E286" s="511"/>
      <c r="F286" s="511"/>
    </row>
    <row r="287" spans="2:6" x14ac:dyDescent="0.25">
      <c r="B287" s="1"/>
      <c r="C287" s="511"/>
      <c r="D287" s="511"/>
      <c r="E287" s="511"/>
      <c r="F287" s="511"/>
    </row>
    <row r="288" spans="2:6" x14ac:dyDescent="0.25">
      <c r="B288" s="1"/>
      <c r="C288" s="511"/>
      <c r="D288" s="511"/>
      <c r="E288" s="511"/>
      <c r="F288" s="511"/>
    </row>
  </sheetData>
  <autoFilter ref="A7:N264"/>
  <mergeCells count="7">
    <mergeCell ref="L6:L7"/>
    <mergeCell ref="A4:L4"/>
    <mergeCell ref="A5:L5"/>
    <mergeCell ref="A264:B264"/>
    <mergeCell ref="C6:K6"/>
    <mergeCell ref="A6:A7"/>
    <mergeCell ref="B6:B7"/>
  </mergeCells>
  <pageMargins left="0.7" right="0.7" top="0.75" bottom="0.75" header="0.3" footer="0.3"/>
  <pageSetup paperSize="9" orientation="landscape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A4" sqref="A4"/>
    </sheetView>
  </sheetViews>
  <sheetFormatPr defaultColWidth="9" defaultRowHeight="14.4" x14ac:dyDescent="0.3"/>
  <cols>
    <col min="1" max="16384" width="9" style="454"/>
  </cols>
  <sheetData>
    <row r="1" spans="1:8" ht="25.8" x14ac:dyDescent="0.3">
      <c r="A1" s="2103" t="s">
        <v>676</v>
      </c>
      <c r="B1" s="2103"/>
      <c r="C1" s="2103"/>
      <c r="D1" s="2103"/>
      <c r="E1" s="2103"/>
      <c r="F1" s="2103"/>
      <c r="G1" s="2103"/>
      <c r="H1" s="2103"/>
    </row>
    <row r="2" spans="1:8" s="457" customFormat="1" x14ac:dyDescent="0.3">
      <c r="A2" s="455" t="s">
        <v>678</v>
      </c>
      <c r="B2" s="456"/>
      <c r="C2" s="456"/>
      <c r="D2" s="456"/>
      <c r="E2" s="456"/>
      <c r="F2" s="456"/>
      <c r="G2" s="456"/>
    </row>
    <row r="3" spans="1:8" s="457" customFormat="1" x14ac:dyDescent="0.3">
      <c r="A3" s="458" t="s">
        <v>672</v>
      </c>
      <c r="B3" s="456"/>
      <c r="C3" s="456"/>
      <c r="D3" s="456"/>
      <c r="E3" s="456"/>
      <c r="F3" s="456"/>
      <c r="G3" s="456"/>
    </row>
    <row r="4" spans="1:8" s="457" customFormat="1" x14ac:dyDescent="0.3">
      <c r="A4" s="455" t="s">
        <v>673</v>
      </c>
      <c r="B4" s="456"/>
      <c r="C4" s="456"/>
      <c r="D4" s="456"/>
      <c r="E4" s="456"/>
      <c r="F4" s="456"/>
      <c r="G4" s="456"/>
    </row>
    <row r="5" spans="1:8" s="457" customFormat="1" x14ac:dyDescent="0.3">
      <c r="A5" s="455" t="s">
        <v>674</v>
      </c>
      <c r="B5" s="456"/>
      <c r="C5" s="456"/>
      <c r="D5" s="456"/>
      <c r="E5" s="456"/>
      <c r="F5" s="456"/>
      <c r="G5" s="456"/>
    </row>
    <row r="6" spans="1:8" s="457" customFormat="1" x14ac:dyDescent="0.3">
      <c r="A6" s="455" t="s">
        <v>675</v>
      </c>
      <c r="B6" s="456"/>
      <c r="C6" s="456"/>
      <c r="D6" s="456"/>
      <c r="E6" s="456"/>
      <c r="F6" s="456"/>
      <c r="G6" s="456"/>
    </row>
    <row r="7" spans="1:8" s="457" customFormat="1" x14ac:dyDescent="0.3">
      <c r="A7" s="459" t="s">
        <v>679</v>
      </c>
      <c r="B7" s="456"/>
      <c r="C7" s="456"/>
      <c r="D7" s="456"/>
      <c r="E7" s="456"/>
      <c r="F7" s="456"/>
      <c r="G7" s="456"/>
    </row>
    <row r="8" spans="1:8" s="457" customFormat="1" x14ac:dyDescent="0.3"/>
    <row r="9" spans="1:8" s="457" customFormat="1" ht="23.4" x14ac:dyDescent="0.3">
      <c r="A9" s="2102" t="s">
        <v>677</v>
      </c>
      <c r="B9" s="2102"/>
      <c r="C9" s="2102"/>
      <c r="D9" s="2102"/>
      <c r="E9" s="2102"/>
      <c r="F9" s="2102"/>
      <c r="G9" s="2102"/>
      <c r="H9" s="2102"/>
    </row>
    <row r="10" spans="1:8" s="457" customFormat="1" x14ac:dyDescent="0.3">
      <c r="A10" s="455" t="s">
        <v>711</v>
      </c>
      <c r="B10" s="456"/>
      <c r="C10" s="456"/>
      <c r="D10" s="456"/>
      <c r="E10" s="456"/>
      <c r="F10" s="456"/>
      <c r="G10" s="456"/>
      <c r="H10" s="456"/>
    </row>
    <row r="11" spans="1:8" s="457" customFormat="1" x14ac:dyDescent="0.3">
      <c r="A11" s="455" t="s">
        <v>712</v>
      </c>
      <c r="B11" s="456"/>
      <c r="C11" s="456"/>
      <c r="D11" s="456"/>
      <c r="E11" s="456"/>
      <c r="F11" s="456"/>
      <c r="G11" s="456"/>
      <c r="H11" s="456"/>
    </row>
    <row r="12" spans="1:8" s="457" customFormat="1" x14ac:dyDescent="0.3">
      <c r="A12" s="455" t="s">
        <v>713</v>
      </c>
      <c r="B12" s="456"/>
      <c r="C12" s="456"/>
      <c r="D12" s="456"/>
      <c r="E12" s="456"/>
      <c r="F12" s="456"/>
      <c r="G12" s="456"/>
      <c r="H12" s="456"/>
    </row>
  </sheetData>
  <mergeCells count="2">
    <mergeCell ref="A9:H9"/>
    <mergeCell ref="A1:H1"/>
  </mergeCells>
  <hyperlinks>
    <hyperlink ref="A3" r:id="rId1" display="mailto:SUANANO.VN@GMAIL.COM"/>
  </hyperlinks>
  <pageMargins left="0.7" right="0.7" top="0.75" bottom="0.75" header="0.3" footer="0.3"/>
  <pageSetup paperSize="256" orientation="portrait" horizontalDpi="0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94" workbookViewId="0">
      <selection activeCell="A63" sqref="A63:XFD63"/>
    </sheetView>
  </sheetViews>
  <sheetFormatPr defaultRowHeight="14.4" x14ac:dyDescent="0.3"/>
  <cols>
    <col min="1" max="1" width="8" customWidth="1"/>
    <col min="2" max="2" width="7.33203125" customWidth="1"/>
    <col min="3" max="3" width="9" customWidth="1"/>
    <col min="4" max="4" width="10.5546875" customWidth="1"/>
    <col min="5" max="5" width="52.109375" customWidth="1"/>
    <col min="6" max="6" width="7.33203125" customWidth="1"/>
    <col min="7" max="7" width="11.33203125" customWidth="1"/>
    <col min="8" max="8" width="15.33203125" bestFit="1" customWidth="1"/>
    <col min="9" max="9" width="13" customWidth="1"/>
  </cols>
  <sheetData>
    <row r="1" spans="1:14" ht="16.8" x14ac:dyDescent="0.3">
      <c r="A1" s="22" t="s">
        <v>3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x14ac:dyDescent="0.3">
      <c r="A4" s="24"/>
      <c r="B4" s="24"/>
      <c r="C4" s="24"/>
      <c r="D4" s="470" t="s">
        <v>2082</v>
      </c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x14ac:dyDescent="0.3">
      <c r="A5" s="24"/>
      <c r="B5" s="24"/>
      <c r="C5" s="24"/>
      <c r="D5" s="24"/>
      <c r="E5" s="24" t="s">
        <v>1958</v>
      </c>
      <c r="F5" s="24"/>
      <c r="G5" s="24"/>
      <c r="H5" s="24"/>
      <c r="I5" s="24"/>
      <c r="J5" s="24"/>
      <c r="K5" s="24"/>
      <c r="L5" s="24"/>
      <c r="M5" s="24"/>
      <c r="N5" s="24"/>
    </row>
    <row r="6" spans="1:14" x14ac:dyDescent="0.3">
      <c r="A6" s="24"/>
      <c r="B6" s="24"/>
      <c r="C6" s="24"/>
      <c r="D6" s="24"/>
      <c r="E6" s="24" t="s">
        <v>1959</v>
      </c>
      <c r="F6" s="24"/>
      <c r="G6" s="24"/>
      <c r="H6" s="24"/>
      <c r="I6" s="24"/>
      <c r="J6" s="24"/>
      <c r="K6" s="24"/>
      <c r="L6" s="24"/>
      <c r="M6" s="24"/>
      <c r="N6" s="24"/>
    </row>
    <row r="7" spans="1:14" x14ac:dyDescent="0.3">
      <c r="A7" s="24"/>
      <c r="B7" s="24"/>
      <c r="C7" s="24"/>
      <c r="D7" s="24"/>
      <c r="E7" s="24" t="s">
        <v>1960</v>
      </c>
      <c r="F7" s="24"/>
      <c r="G7" s="24"/>
      <c r="H7" s="24"/>
      <c r="I7" s="24"/>
      <c r="J7" s="24"/>
      <c r="K7" s="24"/>
      <c r="L7" s="24"/>
      <c r="M7" s="24"/>
      <c r="N7" s="24"/>
    </row>
    <row r="8" spans="1:14" x14ac:dyDescent="0.3">
      <c r="A8" s="2317" t="s">
        <v>1961</v>
      </c>
      <c r="B8" s="2317" t="s">
        <v>1962</v>
      </c>
      <c r="C8" s="2319" t="s">
        <v>1963</v>
      </c>
      <c r="D8" s="2319"/>
      <c r="E8" s="2317" t="s">
        <v>91</v>
      </c>
      <c r="F8" s="2317" t="s">
        <v>1966</v>
      </c>
      <c r="G8" s="2320" t="s">
        <v>1967</v>
      </c>
      <c r="H8" s="2321"/>
      <c r="I8" s="2317" t="s">
        <v>1970</v>
      </c>
      <c r="J8" s="2317" t="s">
        <v>1</v>
      </c>
      <c r="K8" s="24"/>
      <c r="L8" s="24"/>
      <c r="M8" s="24"/>
      <c r="N8" s="24"/>
    </row>
    <row r="9" spans="1:14" x14ac:dyDescent="0.3">
      <c r="A9" s="2318"/>
      <c r="B9" s="2318"/>
      <c r="C9" s="1719" t="s">
        <v>1964</v>
      </c>
      <c r="D9" s="1719" t="s">
        <v>1965</v>
      </c>
      <c r="E9" s="2318"/>
      <c r="F9" s="2318"/>
      <c r="G9" s="1719" t="s">
        <v>1968</v>
      </c>
      <c r="H9" s="1719" t="s">
        <v>1969</v>
      </c>
      <c r="I9" s="2318"/>
      <c r="J9" s="2318"/>
      <c r="K9" s="24"/>
      <c r="L9" s="24"/>
      <c r="M9" s="24"/>
      <c r="N9" s="24"/>
    </row>
    <row r="10" spans="1:14" x14ac:dyDescent="0.3">
      <c r="A10" s="1759"/>
      <c r="B10" s="1721"/>
      <c r="C10" s="1719"/>
      <c r="D10" s="1719"/>
      <c r="E10" s="1721" t="s">
        <v>1986</v>
      </c>
      <c r="F10" s="1721"/>
      <c r="G10" s="1723"/>
      <c r="H10" s="1719"/>
      <c r="I10" s="1721"/>
      <c r="J10" s="1721"/>
      <c r="K10" s="24"/>
      <c r="L10" s="24"/>
      <c r="M10" s="24"/>
      <c r="N10" s="24"/>
    </row>
    <row r="11" spans="1:14" x14ac:dyDescent="0.3">
      <c r="A11" s="1766" t="s">
        <v>1988</v>
      </c>
      <c r="B11" s="1722"/>
      <c r="C11" s="1769"/>
      <c r="D11" s="1769"/>
      <c r="E11" s="1770" t="s">
        <v>1989</v>
      </c>
      <c r="F11" s="1722"/>
      <c r="G11" s="1723"/>
      <c r="H11" s="1723">
        <v>66000</v>
      </c>
      <c r="I11" s="1722"/>
      <c r="J11" s="1783" t="s">
        <v>2046</v>
      </c>
      <c r="K11" s="24"/>
      <c r="L11" s="24"/>
      <c r="M11" s="24"/>
      <c r="N11" s="24"/>
    </row>
    <row r="12" spans="1:14" x14ac:dyDescent="0.3">
      <c r="A12" s="1766" t="s">
        <v>2036</v>
      </c>
      <c r="B12" s="1722"/>
      <c r="C12" s="1769"/>
      <c r="D12" s="1769"/>
      <c r="E12" s="1770" t="s">
        <v>2037</v>
      </c>
      <c r="F12" s="1722"/>
      <c r="G12" s="1723"/>
      <c r="H12" s="1723">
        <v>12000000</v>
      </c>
      <c r="I12" s="1722"/>
      <c r="J12" s="1722"/>
      <c r="K12" s="24"/>
      <c r="L12" s="24"/>
      <c r="M12" s="24"/>
      <c r="N12" s="24"/>
    </row>
    <row r="13" spans="1:14" x14ac:dyDescent="0.3">
      <c r="A13" s="1766">
        <v>43477</v>
      </c>
      <c r="B13" s="1722"/>
      <c r="C13" s="1769"/>
      <c r="D13" s="1769"/>
      <c r="E13" s="1770" t="s">
        <v>1999</v>
      </c>
      <c r="F13" s="1722"/>
      <c r="G13" s="1723"/>
      <c r="H13" s="1723">
        <v>10000</v>
      </c>
      <c r="I13" s="1722"/>
      <c r="J13" s="1722"/>
      <c r="K13" s="24"/>
      <c r="L13" s="24"/>
      <c r="M13" s="24"/>
      <c r="N13" s="24"/>
    </row>
    <row r="14" spans="1:14" x14ac:dyDescent="0.3">
      <c r="A14" s="1766">
        <v>43477</v>
      </c>
      <c r="B14" s="1722"/>
      <c r="C14" s="1769"/>
      <c r="D14" s="1769"/>
      <c r="E14" s="1770" t="s">
        <v>1990</v>
      </c>
      <c r="F14" s="1722"/>
      <c r="G14" s="1723"/>
      <c r="H14" s="1723">
        <v>205000</v>
      </c>
      <c r="I14" s="1722"/>
      <c r="J14" s="1783" t="s">
        <v>2046</v>
      </c>
      <c r="K14" s="24"/>
      <c r="L14" s="24"/>
      <c r="M14" s="24"/>
      <c r="N14" s="24"/>
    </row>
    <row r="15" spans="1:14" x14ac:dyDescent="0.3">
      <c r="A15" s="1766">
        <v>43477</v>
      </c>
      <c r="B15" s="1722"/>
      <c r="C15" s="1769"/>
      <c r="D15" s="1769"/>
      <c r="E15" s="1770" t="s">
        <v>322</v>
      </c>
      <c r="F15" s="1722"/>
      <c r="G15" s="1723"/>
      <c r="H15" s="1723">
        <v>650000</v>
      </c>
      <c r="I15" s="1722"/>
      <c r="J15" s="1783" t="s">
        <v>2045</v>
      </c>
      <c r="K15" s="24"/>
      <c r="L15" s="24"/>
      <c r="M15" s="24"/>
      <c r="N15" s="24"/>
    </row>
    <row r="16" spans="1:14" x14ac:dyDescent="0.3">
      <c r="A16" s="1766">
        <v>43842</v>
      </c>
      <c r="B16" s="1722"/>
      <c r="C16" s="1769"/>
      <c r="D16" s="1769"/>
      <c r="E16" s="1770" t="s">
        <v>1991</v>
      </c>
      <c r="F16" s="1722"/>
      <c r="G16" s="1723"/>
      <c r="H16" s="1723">
        <v>1055000</v>
      </c>
      <c r="I16" s="1722"/>
      <c r="J16" s="1722"/>
      <c r="K16" s="24"/>
      <c r="L16" s="24"/>
      <c r="M16" s="24"/>
      <c r="N16" s="24"/>
    </row>
    <row r="17" spans="1:14" x14ac:dyDescent="0.3">
      <c r="A17" s="1766">
        <v>43477</v>
      </c>
      <c r="B17" s="1721"/>
      <c r="C17" s="1769"/>
      <c r="D17" s="1769"/>
      <c r="E17" s="1770" t="s">
        <v>1987</v>
      </c>
      <c r="F17" s="1721"/>
      <c r="G17" s="1723"/>
      <c r="H17" s="1723">
        <v>5490000</v>
      </c>
      <c r="I17" s="1721"/>
      <c r="J17" s="1721"/>
      <c r="K17" s="24"/>
      <c r="L17" s="24"/>
      <c r="M17" s="24"/>
      <c r="N17" s="24"/>
    </row>
    <row r="18" spans="1:14" x14ac:dyDescent="0.3">
      <c r="A18" s="1766">
        <v>43873</v>
      </c>
      <c r="B18" s="1753"/>
      <c r="C18" s="1769"/>
      <c r="D18" s="1769"/>
      <c r="E18" s="1770" t="s">
        <v>2070</v>
      </c>
      <c r="F18" s="1753"/>
      <c r="G18" s="1723"/>
      <c r="H18" s="1723">
        <v>145000</v>
      </c>
      <c r="I18" s="1753"/>
      <c r="J18" s="1753"/>
      <c r="K18" s="24"/>
      <c r="L18" s="24"/>
      <c r="M18" s="24"/>
      <c r="N18" s="24"/>
    </row>
    <row r="19" spans="1:14" x14ac:dyDescent="0.3">
      <c r="A19" s="1766">
        <v>43508</v>
      </c>
      <c r="B19" s="1724"/>
      <c r="C19" s="1769"/>
      <c r="D19" s="1769"/>
      <c r="E19" s="1770" t="s">
        <v>1996</v>
      </c>
      <c r="F19" s="1724"/>
      <c r="G19" s="1723"/>
      <c r="H19" s="1723">
        <v>1045000</v>
      </c>
      <c r="I19" s="1724"/>
      <c r="J19" s="1783" t="s">
        <v>2046</v>
      </c>
      <c r="K19" s="24"/>
      <c r="L19" s="24"/>
      <c r="M19" s="24"/>
      <c r="N19" s="24"/>
    </row>
    <row r="20" spans="1:14" x14ac:dyDescent="0.3">
      <c r="A20" s="1766">
        <v>43873</v>
      </c>
      <c r="B20" s="1724"/>
      <c r="C20" s="1769"/>
      <c r="D20" s="1769"/>
      <c r="E20" s="1770" t="s">
        <v>1997</v>
      </c>
      <c r="F20" s="1724"/>
      <c r="G20" s="1723"/>
      <c r="H20" s="1723">
        <v>50000</v>
      </c>
      <c r="I20" s="1724"/>
      <c r="J20" s="1724"/>
      <c r="K20" s="24"/>
      <c r="L20" s="24"/>
      <c r="M20" s="24"/>
      <c r="N20" s="24"/>
    </row>
    <row r="21" spans="1:14" x14ac:dyDescent="0.3">
      <c r="A21" s="1766">
        <v>43902</v>
      </c>
      <c r="B21" s="1724"/>
      <c r="C21" s="1769"/>
      <c r="D21" s="1769"/>
      <c r="E21" s="1770" t="s">
        <v>1999</v>
      </c>
      <c r="F21" s="1724"/>
      <c r="G21" s="1723"/>
      <c r="H21" s="1723">
        <v>70000</v>
      </c>
      <c r="I21" s="1724"/>
      <c r="J21" s="1783" t="s">
        <v>2046</v>
      </c>
      <c r="K21" s="24"/>
      <c r="L21" s="24"/>
      <c r="M21" s="24"/>
      <c r="N21" s="24"/>
    </row>
    <row r="22" spans="1:14" x14ac:dyDescent="0.3">
      <c r="A22" s="1766">
        <v>43902</v>
      </c>
      <c r="B22" s="1753"/>
      <c r="C22" s="1769"/>
      <c r="D22" s="1769"/>
      <c r="E22" s="1770" t="s">
        <v>2070</v>
      </c>
      <c r="F22" s="1753"/>
      <c r="G22" s="1723"/>
      <c r="H22" s="1723">
        <v>260000</v>
      </c>
      <c r="I22" s="1753"/>
      <c r="J22" s="1753"/>
      <c r="K22" s="24"/>
      <c r="L22" s="24"/>
      <c r="M22" s="24"/>
      <c r="N22" s="24"/>
    </row>
    <row r="23" spans="1:14" x14ac:dyDescent="0.3">
      <c r="A23" s="1766">
        <v>43902</v>
      </c>
      <c r="B23" s="1753"/>
      <c r="C23" s="1769"/>
      <c r="D23" s="1769"/>
      <c r="E23" s="1770" t="s">
        <v>1991</v>
      </c>
      <c r="F23" s="1755"/>
      <c r="G23" s="1754"/>
      <c r="H23" s="1723">
        <v>632000</v>
      </c>
      <c r="I23" s="1753"/>
      <c r="J23" s="1753"/>
      <c r="K23" s="24"/>
      <c r="L23" s="24"/>
      <c r="M23" s="24"/>
      <c r="N23" s="24"/>
    </row>
    <row r="24" spans="1:14" x14ac:dyDescent="0.3">
      <c r="A24" s="1766">
        <v>43902</v>
      </c>
      <c r="B24" s="1739"/>
      <c r="C24" s="1769"/>
      <c r="D24" s="1769"/>
      <c r="E24" s="1770" t="s">
        <v>2041</v>
      </c>
      <c r="F24" s="1739"/>
      <c r="G24" s="1723"/>
      <c r="H24" s="1723">
        <v>345000</v>
      </c>
      <c r="I24" s="1739"/>
      <c r="J24" s="1739" t="s">
        <v>2046</v>
      </c>
      <c r="K24" s="24"/>
      <c r="L24" s="24"/>
      <c r="M24" s="24"/>
      <c r="N24" s="24"/>
    </row>
    <row r="25" spans="1:14" x14ac:dyDescent="0.3">
      <c r="A25" s="1766">
        <v>43933</v>
      </c>
      <c r="B25" s="1739"/>
      <c r="C25" s="1769"/>
      <c r="D25" s="1769"/>
      <c r="E25" s="1770" t="s">
        <v>2042</v>
      </c>
      <c r="F25" s="1739"/>
      <c r="G25" s="1723"/>
      <c r="H25" s="1723">
        <v>643000</v>
      </c>
      <c r="I25" s="1739"/>
      <c r="J25" s="1739" t="s">
        <v>2046</v>
      </c>
      <c r="K25" s="24"/>
      <c r="L25" s="24"/>
      <c r="M25" s="24"/>
      <c r="N25" s="24"/>
    </row>
    <row r="26" spans="1:14" x14ac:dyDescent="0.3">
      <c r="A26" s="1766">
        <v>43933</v>
      </c>
      <c r="B26" s="1739"/>
      <c r="C26" s="1769"/>
      <c r="D26" s="1769"/>
      <c r="E26" s="1770" t="s">
        <v>2043</v>
      </c>
      <c r="F26" s="1739"/>
      <c r="G26" s="1723"/>
      <c r="H26" s="1723">
        <v>136000</v>
      </c>
      <c r="I26" s="1739"/>
      <c r="J26" s="1739" t="s">
        <v>2046</v>
      </c>
      <c r="K26" s="24"/>
      <c r="L26" s="24"/>
      <c r="M26" s="24"/>
      <c r="N26" s="24"/>
    </row>
    <row r="27" spans="1:14" x14ac:dyDescent="0.3">
      <c r="A27" s="1766">
        <v>43933</v>
      </c>
      <c r="B27" s="1739"/>
      <c r="C27" s="1769"/>
      <c r="D27" s="1769"/>
      <c r="E27" s="1770" t="s">
        <v>2094</v>
      </c>
      <c r="F27" s="1739"/>
      <c r="G27" s="1723"/>
      <c r="H27" s="1723">
        <v>198000</v>
      </c>
      <c r="I27" s="1739"/>
      <c r="J27" s="1739" t="s">
        <v>2046</v>
      </c>
      <c r="K27" s="24"/>
      <c r="L27" s="24"/>
      <c r="M27" s="24"/>
      <c r="N27" s="24"/>
    </row>
    <row r="28" spans="1:14" x14ac:dyDescent="0.3">
      <c r="A28" s="1766">
        <v>43933</v>
      </c>
      <c r="B28" s="1739"/>
      <c r="C28" s="1769"/>
      <c r="D28" s="1769"/>
      <c r="E28" s="1770" t="s">
        <v>2044</v>
      </c>
      <c r="F28" s="1739"/>
      <c r="G28" s="1723"/>
      <c r="H28" s="1723">
        <v>1006740</v>
      </c>
      <c r="I28" s="1739"/>
      <c r="J28" s="1739" t="s">
        <v>2045</v>
      </c>
      <c r="K28" s="24"/>
      <c r="L28" s="24"/>
      <c r="M28" s="24"/>
      <c r="N28" s="24"/>
    </row>
    <row r="29" spans="1:14" x14ac:dyDescent="0.3">
      <c r="A29" s="1766">
        <v>43963</v>
      </c>
      <c r="B29" s="1739"/>
      <c r="C29" s="1769"/>
      <c r="D29" s="1769"/>
      <c r="E29" s="1770" t="s">
        <v>2062</v>
      </c>
      <c r="F29" s="1739"/>
      <c r="G29" s="1723"/>
      <c r="H29" s="1723">
        <v>750000</v>
      </c>
      <c r="I29" s="1739"/>
      <c r="J29" s="1739" t="s">
        <v>2045</v>
      </c>
      <c r="K29" s="24"/>
      <c r="L29" s="24"/>
      <c r="M29" s="24"/>
      <c r="N29" s="24"/>
    </row>
    <row r="30" spans="1:14" x14ac:dyDescent="0.3">
      <c r="A30" s="1766">
        <v>43963</v>
      </c>
      <c r="B30" s="1739"/>
      <c r="C30" s="1769"/>
      <c r="D30" s="1769"/>
      <c r="E30" s="1770" t="s">
        <v>2047</v>
      </c>
      <c r="F30" s="1739"/>
      <c r="G30" s="1723"/>
      <c r="H30" s="1723">
        <v>625000</v>
      </c>
      <c r="I30" s="1739"/>
      <c r="J30" s="1783" t="s">
        <v>2046</v>
      </c>
      <c r="K30" s="24"/>
      <c r="L30" s="24"/>
      <c r="M30" s="24"/>
      <c r="N30" s="24"/>
    </row>
    <row r="31" spans="1:14" x14ac:dyDescent="0.3">
      <c r="A31" s="1766">
        <v>43963</v>
      </c>
      <c r="B31" s="1739"/>
      <c r="C31" s="1769"/>
      <c r="D31" s="1769"/>
      <c r="E31" s="1770" t="s">
        <v>321</v>
      </c>
      <c r="F31" s="1739"/>
      <c r="G31" s="1723"/>
      <c r="H31" s="1723">
        <v>265000</v>
      </c>
      <c r="I31" s="1739"/>
      <c r="J31" s="1739" t="s">
        <v>2046</v>
      </c>
      <c r="K31" s="24"/>
      <c r="L31" s="24"/>
      <c r="M31" s="24"/>
      <c r="N31" s="24"/>
    </row>
    <row r="32" spans="1:14" x14ac:dyDescent="0.3">
      <c r="A32" s="1766">
        <v>43963</v>
      </c>
      <c r="B32" s="1739"/>
      <c r="C32" s="1769"/>
      <c r="D32" s="1769"/>
      <c r="E32" s="1770" t="s">
        <v>2048</v>
      </c>
      <c r="F32" s="1739"/>
      <c r="G32" s="1723"/>
      <c r="H32" s="1723">
        <v>1950000</v>
      </c>
      <c r="I32" s="1739"/>
      <c r="J32" s="1739" t="s">
        <v>2046</v>
      </c>
      <c r="K32" s="24"/>
      <c r="L32" s="24"/>
      <c r="M32" s="24"/>
      <c r="N32" s="24"/>
    </row>
    <row r="33" spans="1:14" x14ac:dyDescent="0.3">
      <c r="A33" s="1766">
        <v>43994</v>
      </c>
      <c r="B33" s="1739"/>
      <c r="C33" s="1769"/>
      <c r="D33" s="1769"/>
      <c r="E33" s="1770" t="s">
        <v>2049</v>
      </c>
      <c r="F33" s="1739"/>
      <c r="G33" s="1723"/>
      <c r="H33" s="1723">
        <v>202000</v>
      </c>
      <c r="I33" s="1739"/>
      <c r="J33" s="1739" t="s">
        <v>2046</v>
      </c>
      <c r="K33" s="24"/>
      <c r="L33" s="24"/>
      <c r="M33" s="24"/>
      <c r="N33" s="24"/>
    </row>
    <row r="34" spans="1:14" x14ac:dyDescent="0.3">
      <c r="A34" s="1766">
        <v>43994</v>
      </c>
      <c r="B34" s="1739"/>
      <c r="C34" s="1769"/>
      <c r="D34" s="1769"/>
      <c r="E34" s="1770" t="s">
        <v>2050</v>
      </c>
      <c r="F34" s="1739"/>
      <c r="G34" s="1723"/>
      <c r="H34" s="1723">
        <v>183000</v>
      </c>
      <c r="I34" s="1739"/>
      <c r="J34" s="1739"/>
      <c r="K34" s="24"/>
      <c r="L34" s="24"/>
      <c r="M34" s="24"/>
      <c r="N34" s="24"/>
    </row>
    <row r="35" spans="1:14" x14ac:dyDescent="0.3">
      <c r="A35" s="1766">
        <v>43628</v>
      </c>
      <c r="B35" s="1739"/>
      <c r="C35" s="1769"/>
      <c r="D35" s="1769"/>
      <c r="E35" s="1770" t="s">
        <v>2048</v>
      </c>
      <c r="F35" s="1739"/>
      <c r="G35" s="1723"/>
      <c r="H35" s="1723">
        <v>861000</v>
      </c>
      <c r="I35" s="1739"/>
      <c r="J35" s="1739" t="s">
        <v>2046</v>
      </c>
      <c r="K35" s="24"/>
      <c r="L35" s="24"/>
      <c r="M35" s="24"/>
      <c r="N35" s="24"/>
    </row>
    <row r="36" spans="1:14" x14ac:dyDescent="0.3">
      <c r="A36" s="1766">
        <v>43628</v>
      </c>
      <c r="B36" s="1724"/>
      <c r="C36" s="1769"/>
      <c r="D36" s="1769"/>
      <c r="E36" s="1770" t="s">
        <v>322</v>
      </c>
      <c r="F36" s="1724"/>
      <c r="G36" s="1723"/>
      <c r="H36" s="1723">
        <v>300000</v>
      </c>
      <c r="I36" s="1724"/>
      <c r="J36" s="1718" t="s">
        <v>2063</v>
      </c>
      <c r="K36" s="24"/>
      <c r="L36" s="24"/>
      <c r="M36" s="24"/>
      <c r="N36" s="24"/>
    </row>
    <row r="37" spans="1:14" x14ac:dyDescent="0.3">
      <c r="A37" s="1766">
        <v>43994</v>
      </c>
      <c r="B37" s="1721"/>
      <c r="C37" s="1769"/>
      <c r="D37" s="1769"/>
      <c r="E37" s="1770" t="s">
        <v>2000</v>
      </c>
      <c r="F37" s="1721"/>
      <c r="G37" s="1723"/>
      <c r="H37" s="1723">
        <v>50000</v>
      </c>
      <c r="I37" s="1721"/>
      <c r="J37" s="1721"/>
      <c r="K37" s="24"/>
      <c r="L37" s="24"/>
      <c r="M37" s="24"/>
      <c r="N37" s="24"/>
    </row>
    <row r="38" spans="1:14" x14ac:dyDescent="0.3">
      <c r="A38" s="1766">
        <v>43658</v>
      </c>
      <c r="B38" s="1739"/>
      <c r="C38" s="1769"/>
      <c r="D38" s="1769"/>
      <c r="E38" s="1770" t="s">
        <v>2052</v>
      </c>
      <c r="F38" s="1739"/>
      <c r="G38" s="1723"/>
      <c r="H38" s="1723">
        <v>300000</v>
      </c>
      <c r="I38" s="1722"/>
      <c r="J38" s="1739"/>
      <c r="K38" s="24"/>
      <c r="L38" s="24"/>
      <c r="M38" s="24"/>
      <c r="N38" s="24"/>
    </row>
    <row r="39" spans="1:14" x14ac:dyDescent="0.3">
      <c r="A39" s="1766">
        <v>44024</v>
      </c>
      <c r="B39" s="1753"/>
      <c r="C39" s="1769"/>
      <c r="D39" s="1769"/>
      <c r="E39" s="1770" t="s">
        <v>2069</v>
      </c>
      <c r="F39" s="1753"/>
      <c r="G39" s="1723"/>
      <c r="H39" s="1723">
        <v>765000</v>
      </c>
      <c r="I39" s="1722"/>
      <c r="J39" s="1753"/>
      <c r="K39" s="24"/>
      <c r="L39" s="24"/>
      <c r="M39" s="24"/>
      <c r="N39" s="24"/>
    </row>
    <row r="40" spans="1:14" x14ac:dyDescent="0.3">
      <c r="A40" s="1766">
        <v>44024</v>
      </c>
      <c r="B40" s="1739"/>
      <c r="C40" s="1769"/>
      <c r="D40" s="1769"/>
      <c r="E40" s="1770" t="s">
        <v>2022</v>
      </c>
      <c r="F40" s="1739"/>
      <c r="G40" s="1723"/>
      <c r="H40" s="1723">
        <v>1500000</v>
      </c>
      <c r="I40" s="1739"/>
      <c r="J40" s="1739"/>
      <c r="K40" s="24"/>
      <c r="L40" s="24"/>
      <c r="M40" s="24"/>
      <c r="N40" s="24"/>
    </row>
    <row r="41" spans="1:14" x14ac:dyDescent="0.3">
      <c r="A41" s="1766">
        <v>44024</v>
      </c>
      <c r="B41" s="1753"/>
      <c r="C41" s="1769"/>
      <c r="D41" s="1769"/>
      <c r="E41" s="1770" t="s">
        <v>2069</v>
      </c>
      <c r="F41" s="1753"/>
      <c r="G41" s="1723"/>
      <c r="H41" s="1723">
        <v>270000</v>
      </c>
      <c r="I41" s="1753"/>
      <c r="J41" s="1753"/>
      <c r="K41" s="24"/>
      <c r="L41" s="24"/>
      <c r="M41" s="24"/>
      <c r="N41" s="24"/>
    </row>
    <row r="42" spans="1:14" ht="27.6" x14ac:dyDescent="0.3">
      <c r="A42" s="1766">
        <v>44055</v>
      </c>
      <c r="B42" s="1783"/>
      <c r="C42" s="1769"/>
      <c r="D42" s="1769"/>
      <c r="E42" s="1770" t="s">
        <v>2102</v>
      </c>
      <c r="F42" s="1783"/>
      <c r="G42" s="1723"/>
      <c r="H42" s="1723">
        <v>500000</v>
      </c>
      <c r="I42" s="1783"/>
      <c r="J42" s="1783" t="s">
        <v>2103</v>
      </c>
      <c r="K42" s="24"/>
      <c r="L42" s="24"/>
      <c r="M42" s="24"/>
      <c r="N42" s="24"/>
    </row>
    <row r="43" spans="1:14" x14ac:dyDescent="0.3">
      <c r="A43" s="1766">
        <v>44055</v>
      </c>
      <c r="B43" s="1751"/>
      <c r="C43" s="1769"/>
      <c r="D43" s="1769"/>
      <c r="E43" s="1770" t="s">
        <v>2070</v>
      </c>
      <c r="F43" s="1751"/>
      <c r="G43" s="1723"/>
      <c r="H43" s="1723">
        <v>367000</v>
      </c>
      <c r="I43" s="1751"/>
      <c r="J43" s="1751"/>
      <c r="K43" s="24"/>
      <c r="L43" s="24"/>
      <c r="M43" s="24"/>
      <c r="N43" s="24"/>
    </row>
    <row r="44" spans="1:14" x14ac:dyDescent="0.3">
      <c r="A44" s="1766">
        <v>44055</v>
      </c>
      <c r="B44" s="1739"/>
      <c r="C44" s="1769"/>
      <c r="D44" s="1769"/>
      <c r="E44" s="1770" t="s">
        <v>2057</v>
      </c>
      <c r="F44" s="1739"/>
      <c r="G44" s="1723"/>
      <c r="H44" s="1723">
        <v>15000</v>
      </c>
      <c r="I44" s="1739"/>
      <c r="J44" s="1739"/>
      <c r="K44" s="24"/>
      <c r="L44" s="24"/>
      <c r="M44" s="24"/>
      <c r="N44" s="24"/>
    </row>
    <row r="45" spans="1:14" ht="27.6" x14ac:dyDescent="0.3">
      <c r="A45" s="1767">
        <v>43750</v>
      </c>
      <c r="B45" s="1739"/>
      <c r="C45" s="1769"/>
      <c r="D45" s="1769"/>
      <c r="E45" s="1770" t="s">
        <v>2051</v>
      </c>
      <c r="F45" s="1739"/>
      <c r="G45" s="1723"/>
      <c r="H45" s="1723">
        <v>500000</v>
      </c>
      <c r="I45" s="1739"/>
      <c r="J45" s="1783" t="s">
        <v>2095</v>
      </c>
      <c r="K45" s="24"/>
      <c r="L45" s="24"/>
      <c r="M45" s="24"/>
      <c r="N45" s="24"/>
    </row>
    <row r="46" spans="1:14" x14ac:dyDescent="0.3">
      <c r="A46" s="1767">
        <v>43750</v>
      </c>
      <c r="B46" s="1718"/>
      <c r="C46" s="1769"/>
      <c r="D46" s="1769"/>
      <c r="E46" s="1769" t="s">
        <v>1971</v>
      </c>
      <c r="F46" s="1718"/>
      <c r="G46" s="1720"/>
      <c r="H46" s="1720">
        <v>10500000</v>
      </c>
      <c r="I46" s="1718"/>
      <c r="J46" s="1739" t="s">
        <v>2046</v>
      </c>
      <c r="K46" s="24"/>
      <c r="L46" s="24"/>
      <c r="M46" s="24"/>
      <c r="N46" s="24"/>
    </row>
    <row r="47" spans="1:14" x14ac:dyDescent="0.3">
      <c r="A47" s="1767">
        <v>44116</v>
      </c>
      <c r="B47" s="1718"/>
      <c r="C47" s="1769"/>
      <c r="D47" s="1769"/>
      <c r="E47" s="1769" t="s">
        <v>1972</v>
      </c>
      <c r="F47" s="1718"/>
      <c r="G47" s="1720"/>
      <c r="H47" s="1720">
        <v>1800000</v>
      </c>
      <c r="I47" s="1718"/>
      <c r="J47" s="1718"/>
      <c r="K47" s="24"/>
      <c r="L47" s="24"/>
      <c r="M47" s="24"/>
      <c r="N47" s="24"/>
    </row>
    <row r="48" spans="1:14" x14ac:dyDescent="0.3">
      <c r="A48" s="1767">
        <v>44116</v>
      </c>
      <c r="B48" s="1718"/>
      <c r="C48" s="1769"/>
      <c r="D48" s="1769"/>
      <c r="E48" s="1769" t="s">
        <v>2058</v>
      </c>
      <c r="F48" s="1718"/>
      <c r="G48" s="1720"/>
      <c r="H48" s="1720">
        <v>40000</v>
      </c>
      <c r="I48" s="1718"/>
      <c r="J48" s="1155"/>
      <c r="K48" s="24"/>
      <c r="L48" s="24"/>
      <c r="M48" s="24"/>
      <c r="N48" s="24"/>
    </row>
    <row r="49" spans="1:14" x14ac:dyDescent="0.3">
      <c r="A49" s="1767">
        <v>44116</v>
      </c>
      <c r="B49" s="1718"/>
      <c r="C49" s="1769"/>
      <c r="D49" s="1769"/>
      <c r="E49" s="1769" t="s">
        <v>2053</v>
      </c>
      <c r="F49" s="1718"/>
      <c r="G49" s="1720"/>
      <c r="H49" s="1720">
        <v>800000</v>
      </c>
      <c r="I49" s="1718"/>
      <c r="J49" s="1718" t="s">
        <v>2063</v>
      </c>
      <c r="K49" s="24"/>
      <c r="L49" s="24"/>
      <c r="M49" s="24"/>
      <c r="N49" s="24"/>
    </row>
    <row r="50" spans="1:14" x14ac:dyDescent="0.3">
      <c r="A50" s="1767">
        <v>44147</v>
      </c>
      <c r="B50" s="1718"/>
      <c r="C50" s="1769"/>
      <c r="D50" s="1769"/>
      <c r="E50" s="1769" t="s">
        <v>2071</v>
      </c>
      <c r="F50" s="1718"/>
      <c r="G50" s="1720"/>
      <c r="H50" s="1720">
        <v>10000</v>
      </c>
      <c r="I50" s="1718"/>
      <c r="J50" s="1753"/>
      <c r="K50" s="24"/>
      <c r="L50" s="24"/>
      <c r="M50" s="24"/>
      <c r="N50" s="24"/>
    </row>
    <row r="51" spans="1:14" x14ac:dyDescent="0.3">
      <c r="A51" s="1767">
        <v>44147</v>
      </c>
      <c r="B51" s="1718"/>
      <c r="C51" s="1769"/>
      <c r="D51" s="1769"/>
      <c r="E51" s="1769" t="s">
        <v>2056</v>
      </c>
      <c r="F51" s="1718"/>
      <c r="G51" s="1720"/>
      <c r="H51" s="1720">
        <v>30000</v>
      </c>
      <c r="I51" s="1718"/>
      <c r="J51" s="1739"/>
      <c r="K51" s="24"/>
      <c r="L51" s="24"/>
      <c r="M51" s="24"/>
      <c r="N51" s="24"/>
    </row>
    <row r="52" spans="1:14" x14ac:dyDescent="0.3">
      <c r="A52" s="1767">
        <v>44177</v>
      </c>
      <c r="B52" s="1718"/>
      <c r="C52" s="1769"/>
      <c r="D52" s="1769"/>
      <c r="E52" s="1769" t="s">
        <v>2054</v>
      </c>
      <c r="F52" s="1718"/>
      <c r="G52" s="1720"/>
      <c r="H52" s="1720">
        <v>35000</v>
      </c>
      <c r="I52" s="1718"/>
      <c r="J52" s="1739" t="s">
        <v>2046</v>
      </c>
      <c r="K52" s="24"/>
      <c r="L52" s="24"/>
      <c r="M52" s="24"/>
      <c r="N52" s="24"/>
    </row>
    <row r="53" spans="1:14" x14ac:dyDescent="0.3">
      <c r="A53" s="1767">
        <v>44177</v>
      </c>
      <c r="B53" s="1718"/>
      <c r="C53" s="1769"/>
      <c r="D53" s="1769"/>
      <c r="E53" s="1769" t="s">
        <v>2055</v>
      </c>
      <c r="F53" s="1718"/>
      <c r="G53" s="1720"/>
      <c r="H53" s="1720">
        <v>992000</v>
      </c>
      <c r="I53" s="1718"/>
      <c r="J53" s="1739" t="s">
        <v>2046</v>
      </c>
      <c r="K53" s="24"/>
      <c r="L53" s="24"/>
      <c r="M53" s="24"/>
      <c r="N53" s="24"/>
    </row>
    <row r="54" spans="1:14" x14ac:dyDescent="0.3">
      <c r="A54" s="1767">
        <v>44177</v>
      </c>
      <c r="B54" s="1718"/>
      <c r="C54" s="1769"/>
      <c r="D54" s="1769"/>
      <c r="E54" s="1769" t="s">
        <v>2023</v>
      </c>
      <c r="F54" s="1718"/>
      <c r="G54" s="1720"/>
      <c r="H54" s="1720">
        <v>1200000</v>
      </c>
      <c r="I54" s="1718"/>
      <c r="J54" s="1718"/>
      <c r="K54" s="24"/>
      <c r="L54" s="24"/>
      <c r="M54" s="24"/>
      <c r="N54" s="24"/>
    </row>
    <row r="55" spans="1:14" x14ac:dyDescent="0.3">
      <c r="A55" s="1767" t="s">
        <v>1939</v>
      </c>
      <c r="B55" s="1718"/>
      <c r="C55" s="1769"/>
      <c r="D55" s="1769"/>
      <c r="E55" s="1769" t="s">
        <v>2060</v>
      </c>
      <c r="F55" s="1718"/>
      <c r="G55" s="1720"/>
      <c r="H55" s="1720">
        <v>95000</v>
      </c>
      <c r="I55" s="1718"/>
      <c r="J55" s="1718"/>
      <c r="K55" s="24"/>
      <c r="L55" s="24"/>
      <c r="M55" s="24"/>
      <c r="N55" s="24"/>
    </row>
    <row r="56" spans="1:14" x14ac:dyDescent="0.3">
      <c r="A56" s="1767" t="s">
        <v>1973</v>
      </c>
      <c r="B56" s="1718"/>
      <c r="C56" s="1769"/>
      <c r="D56" s="1769"/>
      <c r="E56" s="1769" t="s">
        <v>2058</v>
      </c>
      <c r="F56" s="1718"/>
      <c r="G56" s="1720"/>
      <c r="H56" s="1720">
        <v>40000</v>
      </c>
      <c r="I56" s="1718"/>
      <c r="J56" s="1718"/>
      <c r="K56" s="24"/>
      <c r="L56" s="24"/>
      <c r="M56" s="24"/>
      <c r="N56" s="24"/>
    </row>
    <row r="57" spans="1:14" x14ac:dyDescent="0.3">
      <c r="A57" s="1767" t="s">
        <v>1939</v>
      </c>
      <c r="B57" s="1718"/>
      <c r="C57" s="1769"/>
      <c r="D57" s="1769"/>
      <c r="E57" s="1769" t="s">
        <v>2073</v>
      </c>
      <c r="F57" s="1718"/>
      <c r="G57" s="1720"/>
      <c r="H57" s="1792">
        <v>1434000</v>
      </c>
      <c r="I57" s="1718"/>
      <c r="J57" s="1718"/>
      <c r="K57" s="24"/>
      <c r="L57" s="24"/>
      <c r="M57" s="24"/>
      <c r="N57" s="24"/>
    </row>
    <row r="58" spans="1:14" x14ac:dyDescent="0.3">
      <c r="A58" s="1767" t="s">
        <v>1939</v>
      </c>
      <c r="B58" s="1718"/>
      <c r="C58" s="1769"/>
      <c r="D58" s="1769"/>
      <c r="E58" s="1769" t="s">
        <v>2072</v>
      </c>
      <c r="F58" s="1718"/>
      <c r="G58" s="1720"/>
      <c r="H58" s="1792">
        <v>235000</v>
      </c>
      <c r="I58" s="1718"/>
      <c r="J58" s="1718"/>
      <c r="K58" s="24"/>
      <c r="L58" s="24"/>
      <c r="M58" s="24"/>
      <c r="N58" s="24"/>
    </row>
    <row r="59" spans="1:14" x14ac:dyDescent="0.3">
      <c r="A59" s="1767" t="s">
        <v>1939</v>
      </c>
      <c r="B59" s="1718"/>
      <c r="C59" s="1769"/>
      <c r="D59" s="1769"/>
      <c r="E59" s="1769" t="s">
        <v>2069</v>
      </c>
      <c r="F59" s="1718"/>
      <c r="G59" s="1720"/>
      <c r="H59" s="1792">
        <v>350000</v>
      </c>
      <c r="I59" s="1718"/>
      <c r="J59" s="1718"/>
      <c r="K59" s="24"/>
      <c r="L59" s="24"/>
      <c r="M59" s="24"/>
      <c r="N59" s="24"/>
    </row>
    <row r="60" spans="1:14" x14ac:dyDescent="0.3">
      <c r="A60" s="1767" t="s">
        <v>1939</v>
      </c>
      <c r="B60" s="1718"/>
      <c r="C60" s="1769"/>
      <c r="D60" s="1769"/>
      <c r="E60" s="1769" t="s">
        <v>2074</v>
      </c>
      <c r="F60" s="1718"/>
      <c r="G60" s="1720"/>
      <c r="H60" s="1792">
        <v>1140000</v>
      </c>
      <c r="I60" s="1718"/>
      <c r="J60" s="1718"/>
      <c r="K60" s="24"/>
      <c r="L60" s="24"/>
      <c r="M60" s="24"/>
      <c r="N60" s="24"/>
    </row>
    <row r="61" spans="1:14" x14ac:dyDescent="0.3">
      <c r="A61" s="1767" t="s">
        <v>1939</v>
      </c>
      <c r="B61" s="1718"/>
      <c r="C61" s="1769"/>
      <c r="D61" s="1769"/>
      <c r="E61" s="1769" t="s">
        <v>2064</v>
      </c>
      <c r="F61" s="1718"/>
      <c r="G61" s="1720"/>
      <c r="H61" s="1720">
        <v>1011360</v>
      </c>
      <c r="I61" s="1718"/>
      <c r="J61" s="1718" t="s">
        <v>2063</v>
      </c>
      <c r="K61" s="24"/>
      <c r="L61" s="24"/>
      <c r="M61" s="24"/>
      <c r="N61" s="24"/>
    </row>
    <row r="62" spans="1:14" x14ac:dyDescent="0.3">
      <c r="A62" s="1767" t="s">
        <v>1939</v>
      </c>
      <c r="B62" s="1718"/>
      <c r="C62" s="1769"/>
      <c r="D62" s="1769"/>
      <c r="E62" s="1769" t="s">
        <v>2096</v>
      </c>
      <c r="F62" s="1718"/>
      <c r="G62" s="1720"/>
      <c r="H62" s="1720">
        <f>200000+300000</f>
        <v>500000</v>
      </c>
      <c r="I62" s="1718"/>
      <c r="J62" s="1718" t="s">
        <v>2097</v>
      </c>
      <c r="K62" s="24"/>
      <c r="L62" s="24"/>
      <c r="M62" s="24"/>
      <c r="N62" s="24"/>
    </row>
    <row r="63" spans="1:14" x14ac:dyDescent="0.3">
      <c r="A63" s="1767" t="s">
        <v>1975</v>
      </c>
      <c r="B63" s="1718"/>
      <c r="C63" s="1769"/>
      <c r="D63" s="1769"/>
      <c r="E63" s="1769" t="s">
        <v>1974</v>
      </c>
      <c r="F63" s="1718"/>
      <c r="G63" s="1720"/>
      <c r="H63" s="1720">
        <v>4566000</v>
      </c>
      <c r="I63" s="1718"/>
      <c r="J63" s="1718"/>
      <c r="K63" s="24"/>
      <c r="L63" s="24"/>
      <c r="M63" s="24"/>
      <c r="N63" s="24"/>
    </row>
    <row r="64" spans="1:14" x14ac:dyDescent="0.3">
      <c r="A64" s="1767" t="s">
        <v>2076</v>
      </c>
      <c r="B64" s="1718"/>
      <c r="C64" s="1769"/>
      <c r="D64" s="1769"/>
      <c r="E64" s="1769" t="s">
        <v>2077</v>
      </c>
      <c r="F64" s="1718"/>
      <c r="G64" s="1720"/>
      <c r="H64" s="1720">
        <v>2000000</v>
      </c>
      <c r="I64" s="1718"/>
      <c r="J64" s="1718"/>
      <c r="K64" s="24"/>
      <c r="L64" s="24"/>
      <c r="M64" s="24"/>
      <c r="N64" s="24"/>
    </row>
    <row r="65" spans="1:14" x14ac:dyDescent="0.3">
      <c r="A65" s="1767" t="s">
        <v>2059</v>
      </c>
      <c r="B65" s="1718"/>
      <c r="C65" s="1769"/>
      <c r="D65" s="1769"/>
      <c r="E65" s="1769" t="s">
        <v>1976</v>
      </c>
      <c r="F65" s="1718"/>
      <c r="G65" s="1720"/>
      <c r="H65" s="1720">
        <v>105000</v>
      </c>
      <c r="I65" s="1718"/>
      <c r="J65" s="1718"/>
      <c r="K65" s="24"/>
      <c r="L65" s="24"/>
      <c r="M65" s="24"/>
      <c r="N65" s="24"/>
    </row>
    <row r="66" spans="1:14" x14ac:dyDescent="0.3">
      <c r="A66" s="1767" t="s">
        <v>2059</v>
      </c>
      <c r="B66" s="1718"/>
      <c r="C66" s="1769"/>
      <c r="D66" s="1769"/>
      <c r="E66" s="1769" t="s">
        <v>2058</v>
      </c>
      <c r="F66" s="1718"/>
      <c r="G66" s="1720"/>
      <c r="H66" s="1720">
        <v>40000</v>
      </c>
      <c r="I66" s="1718"/>
      <c r="J66" s="1718"/>
      <c r="K66" s="24"/>
      <c r="L66" s="24"/>
      <c r="M66" s="24"/>
      <c r="N66" s="24"/>
    </row>
    <row r="67" spans="1:14" x14ac:dyDescent="0.3">
      <c r="A67" s="1767" t="s">
        <v>2059</v>
      </c>
      <c r="B67" s="1718"/>
      <c r="C67" s="1769"/>
      <c r="D67" s="1769"/>
      <c r="E67" s="1769" t="s">
        <v>2065</v>
      </c>
      <c r="F67" s="1718"/>
      <c r="G67" s="1720"/>
      <c r="H67" s="1720">
        <v>500000</v>
      </c>
      <c r="I67" s="1718"/>
      <c r="J67" s="1718" t="s">
        <v>2063</v>
      </c>
      <c r="K67" s="24"/>
      <c r="L67" s="24"/>
      <c r="M67" s="24"/>
      <c r="N67" s="24"/>
    </row>
    <row r="68" spans="1:14" x14ac:dyDescent="0.3">
      <c r="A68" s="1767" t="s">
        <v>1977</v>
      </c>
      <c r="B68" s="1718"/>
      <c r="C68" s="1769" t="s">
        <v>2012</v>
      </c>
      <c r="D68" s="1769"/>
      <c r="E68" s="1769" t="s">
        <v>2008</v>
      </c>
      <c r="F68" s="1718">
        <v>112</v>
      </c>
      <c r="G68" s="1720">
        <v>2000000</v>
      </c>
      <c r="H68" s="1720"/>
      <c r="I68" s="1718"/>
      <c r="J68" s="1718"/>
      <c r="K68" s="24"/>
      <c r="L68" s="24"/>
      <c r="M68" s="24"/>
      <c r="N68" s="24"/>
    </row>
    <row r="69" spans="1:14" x14ac:dyDescent="0.3">
      <c r="A69" s="1767" t="s">
        <v>1977</v>
      </c>
      <c r="B69" s="1718"/>
      <c r="C69" s="1769"/>
      <c r="D69" s="1769"/>
      <c r="E69" s="1769" t="s">
        <v>2026</v>
      </c>
      <c r="F69" s="1718"/>
      <c r="G69" s="1720"/>
      <c r="H69" s="1720">
        <v>240000</v>
      </c>
      <c r="I69" s="1718"/>
      <c r="J69" s="1718"/>
      <c r="K69" s="24"/>
      <c r="L69" s="24"/>
      <c r="M69" s="24"/>
      <c r="N69" s="24"/>
    </row>
    <row r="70" spans="1:14" x14ac:dyDescent="0.3">
      <c r="A70" s="1767" t="s">
        <v>2009</v>
      </c>
      <c r="B70" s="1718"/>
      <c r="C70" s="1769"/>
      <c r="D70" s="1769"/>
      <c r="E70" s="1769" t="s">
        <v>1978</v>
      </c>
      <c r="F70" s="1718"/>
      <c r="G70" s="1720"/>
      <c r="H70" s="1720">
        <v>262800</v>
      </c>
      <c r="I70" s="1718"/>
      <c r="J70" s="1718"/>
      <c r="K70" s="24"/>
      <c r="L70" s="24"/>
      <c r="M70" s="24"/>
      <c r="N70" s="24"/>
    </row>
    <row r="71" spans="1:14" x14ac:dyDescent="0.3">
      <c r="A71" s="1767" t="s">
        <v>2009</v>
      </c>
      <c r="B71" s="1718"/>
      <c r="C71" s="1769" t="s">
        <v>2011</v>
      </c>
      <c r="D71" s="1769"/>
      <c r="E71" s="1769" t="s">
        <v>2010</v>
      </c>
      <c r="F71" s="1718">
        <v>112</v>
      </c>
      <c r="G71" s="1720">
        <v>7458000</v>
      </c>
      <c r="H71" s="1720"/>
      <c r="I71" s="1718"/>
      <c r="J71" s="1718"/>
      <c r="K71" s="24"/>
      <c r="L71" s="24"/>
      <c r="M71" s="24"/>
      <c r="N71" s="24"/>
    </row>
    <row r="72" spans="1:14" x14ac:dyDescent="0.3">
      <c r="A72" s="1767" t="s">
        <v>1945</v>
      </c>
      <c r="B72" s="1718"/>
      <c r="C72" s="1769"/>
      <c r="D72" s="1769"/>
      <c r="E72" s="1769" t="s">
        <v>2024</v>
      </c>
      <c r="F72" s="1718"/>
      <c r="G72" s="1720"/>
      <c r="H72" s="1720">
        <v>205000</v>
      </c>
      <c r="I72" s="1718"/>
      <c r="J72" s="1718"/>
      <c r="K72" s="24"/>
      <c r="L72" s="24"/>
      <c r="M72" s="24"/>
      <c r="N72" s="24"/>
    </row>
    <row r="73" spans="1:14" x14ac:dyDescent="0.3">
      <c r="A73" s="1767" t="s">
        <v>2009</v>
      </c>
      <c r="B73" s="1718"/>
      <c r="C73" s="1769"/>
      <c r="D73" s="1769"/>
      <c r="E73" s="1769" t="s">
        <v>2038</v>
      </c>
      <c r="F73" s="1718"/>
      <c r="G73" s="1720"/>
      <c r="H73" s="1720">
        <v>205000</v>
      </c>
      <c r="I73" s="1718"/>
      <c r="J73" s="1718"/>
      <c r="K73" s="24"/>
      <c r="L73" s="24"/>
      <c r="M73" s="24"/>
      <c r="N73" s="24"/>
    </row>
    <row r="74" spans="1:14" x14ac:dyDescent="0.3">
      <c r="A74" s="1767" t="s">
        <v>1945</v>
      </c>
      <c r="B74" s="1718"/>
      <c r="C74" s="1769"/>
      <c r="D74" s="1769"/>
      <c r="E74" s="1769" t="s">
        <v>2025</v>
      </c>
      <c r="F74" s="1718"/>
      <c r="G74" s="1720"/>
      <c r="H74" s="1720">
        <v>1730000</v>
      </c>
      <c r="I74" s="1718"/>
      <c r="J74" s="1783" t="s">
        <v>2045</v>
      </c>
      <c r="K74" s="24"/>
      <c r="L74" s="24"/>
      <c r="M74" s="24"/>
      <c r="N74" s="24"/>
    </row>
    <row r="75" spans="1:14" x14ac:dyDescent="0.3">
      <c r="A75" s="1767" t="s">
        <v>2009</v>
      </c>
      <c r="B75" s="1718"/>
      <c r="C75" s="1769"/>
      <c r="D75" s="1769"/>
      <c r="E75" s="1769" t="s">
        <v>2066</v>
      </c>
      <c r="F75" s="1748"/>
      <c r="G75" s="1749"/>
      <c r="H75" s="1720">
        <v>470000</v>
      </c>
      <c r="I75" s="1718"/>
      <c r="J75" s="1718"/>
      <c r="K75" s="24"/>
      <c r="L75" s="24"/>
      <c r="M75" s="24"/>
      <c r="N75" s="24"/>
    </row>
    <row r="76" spans="1:14" x14ac:dyDescent="0.3">
      <c r="A76" s="1767" t="s">
        <v>2009</v>
      </c>
      <c r="B76" s="1718"/>
      <c r="C76" s="1769"/>
      <c r="D76" s="1769"/>
      <c r="E76" s="1769" t="s">
        <v>2027</v>
      </c>
      <c r="F76" s="1718"/>
      <c r="G76" s="1720"/>
      <c r="H76" s="1720">
        <v>500000</v>
      </c>
      <c r="I76" s="1718"/>
      <c r="J76" s="1718"/>
      <c r="K76" s="24"/>
      <c r="L76" s="24"/>
      <c r="M76" s="24"/>
      <c r="N76" s="24"/>
    </row>
    <row r="77" spans="1:14" x14ac:dyDescent="0.3">
      <c r="A77" s="1767" t="s">
        <v>1945</v>
      </c>
      <c r="B77" s="1718"/>
      <c r="C77" s="1769"/>
      <c r="D77" s="1769" t="s">
        <v>187</v>
      </c>
      <c r="E77" s="1769" t="s">
        <v>2075</v>
      </c>
      <c r="F77" s="1718"/>
      <c r="G77" s="1720"/>
      <c r="H77" s="1720">
        <v>2000000</v>
      </c>
      <c r="I77" s="1718"/>
      <c r="J77" s="1718"/>
      <c r="K77" s="24"/>
      <c r="L77" s="24"/>
      <c r="M77" s="24"/>
      <c r="N77" s="24"/>
    </row>
    <row r="78" spans="1:14" x14ac:dyDescent="0.3">
      <c r="A78" s="1767" t="s">
        <v>1992</v>
      </c>
      <c r="B78" s="1718"/>
      <c r="C78" s="1769"/>
      <c r="D78" s="1769" t="s">
        <v>2083</v>
      </c>
      <c r="E78" s="1769" t="s">
        <v>2021</v>
      </c>
      <c r="F78" s="1718"/>
      <c r="G78" s="1720"/>
      <c r="H78" s="1720">
        <v>1000000</v>
      </c>
      <c r="I78" s="1718"/>
      <c r="J78" s="1718"/>
      <c r="K78" s="24"/>
      <c r="L78" s="24"/>
      <c r="M78" s="24"/>
      <c r="N78" s="24"/>
    </row>
    <row r="79" spans="1:14" x14ac:dyDescent="0.3">
      <c r="A79" s="1767" t="s">
        <v>1992</v>
      </c>
      <c r="B79" s="1718"/>
      <c r="C79" s="1769"/>
      <c r="D79" s="1771"/>
      <c r="E79" s="1769" t="s">
        <v>1993</v>
      </c>
      <c r="F79" s="1718"/>
      <c r="G79" s="1720"/>
      <c r="H79" s="1720">
        <v>540000</v>
      </c>
      <c r="I79" s="1748"/>
      <c r="J79" s="1718"/>
      <c r="K79" s="24"/>
      <c r="L79" s="24"/>
      <c r="M79" s="24"/>
      <c r="N79" s="24"/>
    </row>
    <row r="80" spans="1:14" x14ac:dyDescent="0.3">
      <c r="A80" s="1767" t="s">
        <v>2016</v>
      </c>
      <c r="B80" s="1718"/>
      <c r="C80" s="1769"/>
      <c r="D80" s="1771"/>
      <c r="E80" s="1769" t="s">
        <v>1994</v>
      </c>
      <c r="F80" s="1718"/>
      <c r="G80" s="1720"/>
      <c r="H80" s="1720">
        <v>250000</v>
      </c>
      <c r="I80" s="1718"/>
      <c r="J80" s="1718"/>
      <c r="K80" s="24"/>
      <c r="L80" s="24"/>
      <c r="M80" s="24"/>
      <c r="N80" s="24"/>
    </row>
    <row r="81" spans="1:14" x14ac:dyDescent="0.3">
      <c r="A81" s="1767" t="s">
        <v>2034</v>
      </c>
      <c r="B81" s="1718"/>
      <c r="C81" s="1769" t="s">
        <v>2011</v>
      </c>
      <c r="D81" s="1769"/>
      <c r="E81" s="1769" t="s">
        <v>2015</v>
      </c>
      <c r="F81" s="1718">
        <v>112</v>
      </c>
      <c r="G81" s="1720">
        <v>4030000</v>
      </c>
      <c r="H81" s="1720"/>
      <c r="I81" s="1718"/>
      <c r="J81" s="1718"/>
      <c r="K81" s="24"/>
      <c r="L81" s="24"/>
      <c r="M81" s="24"/>
      <c r="N81" s="24"/>
    </row>
    <row r="82" spans="1:14" x14ac:dyDescent="0.3">
      <c r="A82" s="1767" t="s">
        <v>2034</v>
      </c>
      <c r="B82" s="1718"/>
      <c r="C82" s="1769"/>
      <c r="D82" s="1769"/>
      <c r="E82" s="1769" t="s">
        <v>2035</v>
      </c>
      <c r="F82" s="1718"/>
      <c r="G82" s="1720"/>
      <c r="H82" s="1720">
        <v>70000</v>
      </c>
      <c r="I82" s="1718"/>
      <c r="J82" s="1718"/>
      <c r="K82" s="24"/>
      <c r="L82" s="24"/>
      <c r="M82" s="24"/>
      <c r="N82" s="24"/>
    </row>
    <row r="83" spans="1:14" x14ac:dyDescent="0.3">
      <c r="A83" s="1767" t="s">
        <v>2099</v>
      </c>
      <c r="B83" s="1718"/>
      <c r="C83" s="1769"/>
      <c r="D83" s="1769"/>
      <c r="E83" s="1769" t="s">
        <v>1995</v>
      </c>
      <c r="F83" s="1718"/>
      <c r="G83" s="1720"/>
      <c r="H83" s="1720">
        <v>1000000</v>
      </c>
      <c r="I83" s="1718"/>
      <c r="J83" s="1718" t="s">
        <v>2063</v>
      </c>
      <c r="K83" s="24"/>
      <c r="L83" s="24"/>
      <c r="M83" s="24"/>
      <c r="N83" s="24"/>
    </row>
    <row r="84" spans="1:14" x14ac:dyDescent="0.3">
      <c r="A84" s="1767" t="s">
        <v>2099</v>
      </c>
      <c r="B84" s="1718"/>
      <c r="C84" s="1769"/>
      <c r="D84" s="1769"/>
      <c r="E84" s="1769" t="s">
        <v>1999</v>
      </c>
      <c r="F84" s="1718"/>
      <c r="G84" s="1720"/>
      <c r="H84" s="1720">
        <v>545000</v>
      </c>
      <c r="I84" s="1718"/>
      <c r="J84" s="1718" t="s">
        <v>2100</v>
      </c>
      <c r="K84" s="24"/>
      <c r="L84" s="24"/>
      <c r="M84" s="24"/>
      <c r="N84" s="24"/>
    </row>
    <row r="85" spans="1:14" x14ac:dyDescent="0.3">
      <c r="A85" s="1767" t="s">
        <v>1955</v>
      </c>
      <c r="B85" s="1718"/>
      <c r="C85" s="1769"/>
      <c r="D85" s="1769"/>
      <c r="E85" s="1771" t="s">
        <v>2078</v>
      </c>
      <c r="F85" s="1748"/>
      <c r="G85" s="1749"/>
      <c r="H85" s="1720">
        <v>3616000</v>
      </c>
      <c r="I85" s="1718"/>
      <c r="J85" s="1718"/>
      <c r="K85" s="24"/>
      <c r="L85" s="24"/>
      <c r="M85" s="24"/>
      <c r="N85" s="24"/>
    </row>
    <row r="86" spans="1:14" x14ac:dyDescent="0.3">
      <c r="A86" s="1767" t="s">
        <v>2013</v>
      </c>
      <c r="B86" s="1718"/>
      <c r="C86" s="1769"/>
      <c r="D86" s="1769"/>
      <c r="E86" s="1769" t="s">
        <v>1979</v>
      </c>
      <c r="F86" s="1718"/>
      <c r="G86" s="1720"/>
      <c r="H86" s="1720">
        <v>2600000</v>
      </c>
      <c r="I86" s="1718"/>
      <c r="J86" s="1718"/>
      <c r="K86" s="24"/>
      <c r="L86" s="24"/>
      <c r="M86" s="24"/>
      <c r="N86" s="24"/>
    </row>
    <row r="87" spans="1:14" x14ac:dyDescent="0.3">
      <c r="A87" s="1767" t="s">
        <v>2013</v>
      </c>
      <c r="B87" s="1718"/>
      <c r="C87" s="1769" t="s">
        <v>2014</v>
      </c>
      <c r="D87" s="1769"/>
      <c r="E87" s="1769" t="s">
        <v>2015</v>
      </c>
      <c r="F87" s="1718">
        <v>112</v>
      </c>
      <c r="G87" s="1720">
        <v>3070000</v>
      </c>
      <c r="H87" s="1720"/>
      <c r="I87" s="1718"/>
      <c r="J87" s="1718"/>
      <c r="K87" s="24"/>
      <c r="L87" s="24"/>
      <c r="M87" s="24"/>
      <c r="N87" s="24"/>
    </row>
    <row r="88" spans="1:14" x14ac:dyDescent="0.3">
      <c r="A88" s="1767" t="s">
        <v>2013</v>
      </c>
      <c r="B88" s="1718"/>
      <c r="C88" s="1769"/>
      <c r="D88" s="1769" t="s">
        <v>2083</v>
      </c>
      <c r="E88" s="1769" t="s">
        <v>2029</v>
      </c>
      <c r="F88" s="1718"/>
      <c r="G88" s="1720"/>
      <c r="H88" s="1720">
        <v>300000</v>
      </c>
      <c r="I88" s="1718"/>
      <c r="J88" s="1718"/>
      <c r="K88" s="24"/>
      <c r="L88" s="24"/>
      <c r="M88" s="24"/>
      <c r="N88" s="24"/>
    </row>
    <row r="89" spans="1:14" x14ac:dyDescent="0.3">
      <c r="A89" s="1767" t="s">
        <v>2013</v>
      </c>
      <c r="B89" s="1756"/>
      <c r="C89" s="1772"/>
      <c r="D89" s="1772"/>
      <c r="E89" s="1769" t="s">
        <v>2033</v>
      </c>
      <c r="F89" s="1756"/>
      <c r="G89" s="1750"/>
      <c r="H89" s="1720">
        <v>97000</v>
      </c>
      <c r="I89" s="1756"/>
      <c r="J89" s="1756"/>
      <c r="K89" s="24"/>
      <c r="L89" s="24"/>
      <c r="M89" s="24"/>
      <c r="N89" s="24"/>
    </row>
    <row r="90" spans="1:14" s="1758" customFormat="1" x14ac:dyDescent="0.3">
      <c r="A90" s="1767" t="s">
        <v>1980</v>
      </c>
      <c r="B90" s="1718"/>
      <c r="C90" s="1769"/>
      <c r="D90" s="1769"/>
      <c r="E90" s="1769" t="s">
        <v>2028</v>
      </c>
      <c r="F90" s="1718"/>
      <c r="G90" s="1720"/>
      <c r="H90" s="1720">
        <v>421661</v>
      </c>
      <c r="I90" s="1718"/>
      <c r="J90" s="1718"/>
      <c r="K90" s="1757"/>
      <c r="L90" s="1757"/>
      <c r="M90" s="1757"/>
      <c r="N90" s="1757"/>
    </row>
    <row r="91" spans="1:14" x14ac:dyDescent="0.3">
      <c r="A91" s="1767" t="s">
        <v>1980</v>
      </c>
      <c r="B91" s="1718"/>
      <c r="C91" s="1769"/>
      <c r="D91" s="1771"/>
      <c r="E91" s="1771" t="s">
        <v>2032</v>
      </c>
      <c r="F91" s="1748"/>
      <c r="G91" s="1749"/>
      <c r="H91" s="1720">
        <v>1350000</v>
      </c>
      <c r="I91" s="1718"/>
      <c r="J91" s="1718"/>
      <c r="K91" s="24"/>
      <c r="L91" s="24"/>
      <c r="M91" s="24"/>
      <c r="N91" s="24"/>
    </row>
    <row r="92" spans="1:14" x14ac:dyDescent="0.3">
      <c r="A92" s="1767" t="s">
        <v>1949</v>
      </c>
      <c r="B92" s="1718"/>
      <c r="C92" s="1769"/>
      <c r="D92" s="1769"/>
      <c r="E92" s="1769" t="s">
        <v>1981</v>
      </c>
      <c r="F92" s="1718"/>
      <c r="G92" s="1720"/>
      <c r="H92" s="1720">
        <v>1580000</v>
      </c>
      <c r="I92" s="1718"/>
      <c r="J92" s="1718"/>
      <c r="K92" s="24"/>
      <c r="L92" s="24"/>
      <c r="M92" s="24"/>
      <c r="N92" s="24"/>
    </row>
    <row r="93" spans="1:14" x14ac:dyDescent="0.3">
      <c r="A93" s="1767" t="s">
        <v>2079</v>
      </c>
      <c r="B93" s="1718"/>
      <c r="C93" s="1769"/>
      <c r="D93" s="1769"/>
      <c r="E93" s="1769" t="s">
        <v>2031</v>
      </c>
      <c r="F93" s="1718"/>
      <c r="G93" s="1720"/>
      <c r="H93" s="1720">
        <v>4000000</v>
      </c>
      <c r="I93" s="1718"/>
      <c r="J93" s="1718"/>
      <c r="K93" s="24"/>
      <c r="L93" s="24"/>
      <c r="M93" s="24"/>
      <c r="N93" s="24"/>
    </row>
    <row r="94" spans="1:14" x14ac:dyDescent="0.3">
      <c r="A94" s="1767" t="s">
        <v>1949</v>
      </c>
      <c r="B94" s="1718"/>
      <c r="C94" s="1769"/>
      <c r="D94" s="1769"/>
      <c r="E94" s="1769" t="s">
        <v>2065</v>
      </c>
      <c r="F94" s="1748"/>
      <c r="G94" s="1749"/>
      <c r="H94" s="1720">
        <v>1026720</v>
      </c>
      <c r="I94" s="1718"/>
      <c r="J94" s="1718" t="s">
        <v>2063</v>
      </c>
      <c r="K94" s="24"/>
      <c r="L94" s="24"/>
      <c r="M94" s="24"/>
      <c r="N94" s="24"/>
    </row>
    <row r="95" spans="1:14" x14ac:dyDescent="0.3">
      <c r="A95" s="1767" t="s">
        <v>1950</v>
      </c>
      <c r="B95" s="1718"/>
      <c r="C95" s="1769"/>
      <c r="D95" s="1769"/>
      <c r="E95" s="1769" t="s">
        <v>2058</v>
      </c>
      <c r="F95" s="1718"/>
      <c r="G95" s="1720"/>
      <c r="H95" s="1720">
        <v>40000</v>
      </c>
      <c r="I95" s="1718"/>
      <c r="J95" s="1718"/>
      <c r="K95" s="24"/>
      <c r="L95" s="24"/>
      <c r="M95" s="24"/>
      <c r="N95" s="24"/>
    </row>
    <row r="96" spans="1:14" x14ac:dyDescent="0.3">
      <c r="A96" s="1767" t="s">
        <v>1950</v>
      </c>
      <c r="B96" s="1718"/>
      <c r="C96" s="1769"/>
      <c r="D96" s="1769"/>
      <c r="E96" s="1769" t="s">
        <v>2058</v>
      </c>
      <c r="F96" s="1718"/>
      <c r="G96" s="1720"/>
      <c r="H96" s="1720">
        <v>60000</v>
      </c>
      <c r="I96" s="1718"/>
      <c r="J96" s="1718"/>
      <c r="K96" s="24"/>
      <c r="L96" s="24"/>
      <c r="M96" s="24"/>
      <c r="N96" s="24"/>
    </row>
    <row r="97" spans="1:14" x14ac:dyDescent="0.3">
      <c r="A97" s="1767" t="s">
        <v>1950</v>
      </c>
      <c r="B97" s="1718"/>
      <c r="C97" s="1769"/>
      <c r="D97" s="1769"/>
      <c r="E97" s="1769" t="s">
        <v>2060</v>
      </c>
      <c r="F97" s="1718"/>
      <c r="G97" s="1720"/>
      <c r="H97" s="1720">
        <v>115000</v>
      </c>
      <c r="I97" s="1718"/>
      <c r="J97" s="1718"/>
      <c r="K97" s="24"/>
      <c r="L97" s="24"/>
      <c r="M97" s="24"/>
      <c r="N97" s="24"/>
    </row>
    <row r="98" spans="1:14" x14ac:dyDescent="0.3">
      <c r="A98" s="1767" t="s">
        <v>1950</v>
      </c>
      <c r="B98" s="1718"/>
      <c r="C98" s="1769"/>
      <c r="D98" s="1769"/>
      <c r="E98" s="1769" t="s">
        <v>2065</v>
      </c>
      <c r="F98" s="1748"/>
      <c r="G98" s="1749"/>
      <c r="H98" s="1720">
        <v>1000000</v>
      </c>
      <c r="I98" s="1718"/>
      <c r="J98" s="1718" t="s">
        <v>2063</v>
      </c>
      <c r="K98" s="24"/>
      <c r="L98" s="24"/>
      <c r="M98" s="24"/>
      <c r="N98" s="24"/>
    </row>
    <row r="99" spans="1:14" x14ac:dyDescent="0.3">
      <c r="A99" s="1767" t="s">
        <v>2030</v>
      </c>
      <c r="B99" s="1718"/>
      <c r="C99" s="1769"/>
      <c r="D99" s="1769" t="s">
        <v>2083</v>
      </c>
      <c r="E99" s="1769" t="s">
        <v>2029</v>
      </c>
      <c r="F99" s="1718"/>
      <c r="G99" s="1720"/>
      <c r="H99" s="1720">
        <v>5000000</v>
      </c>
      <c r="I99" s="1718"/>
      <c r="J99" s="1718"/>
      <c r="K99" s="24"/>
      <c r="L99" s="24"/>
      <c r="M99" s="24"/>
      <c r="N99" s="24"/>
    </row>
    <row r="100" spans="1:14" x14ac:dyDescent="0.3">
      <c r="A100" s="1767"/>
      <c r="B100" s="1718"/>
      <c r="C100" s="1769" t="s">
        <v>2018</v>
      </c>
      <c r="D100" s="1769"/>
      <c r="E100" s="1769" t="s">
        <v>2015</v>
      </c>
      <c r="F100" s="1718">
        <v>111</v>
      </c>
      <c r="G100" s="1720">
        <v>20000000</v>
      </c>
      <c r="H100" s="1720"/>
      <c r="I100" s="1718"/>
      <c r="J100" s="1718"/>
      <c r="K100" s="24"/>
      <c r="L100" s="24"/>
      <c r="M100" s="24"/>
      <c r="N100" s="24"/>
    </row>
    <row r="101" spans="1:14" x14ac:dyDescent="0.3">
      <c r="A101" s="1767"/>
      <c r="B101" s="1718"/>
      <c r="C101" s="1769" t="s">
        <v>2017</v>
      </c>
      <c r="D101" s="1769"/>
      <c r="E101" s="1769" t="s">
        <v>2015</v>
      </c>
      <c r="F101" s="1718">
        <v>112</v>
      </c>
      <c r="G101" s="1720">
        <v>10160000</v>
      </c>
      <c r="H101" s="1720"/>
      <c r="I101" s="1718"/>
      <c r="J101" s="1718"/>
      <c r="K101" s="24"/>
      <c r="L101" s="24"/>
      <c r="M101" s="24"/>
      <c r="N101" s="24"/>
    </row>
    <row r="102" spans="1:14" x14ac:dyDescent="0.3">
      <c r="A102" s="1766" t="s">
        <v>2093</v>
      </c>
      <c r="B102" s="1739"/>
      <c r="C102" s="1769"/>
      <c r="D102" s="1769"/>
      <c r="E102" s="1770" t="s">
        <v>2056</v>
      </c>
      <c r="F102" s="1739"/>
      <c r="G102" s="1723"/>
      <c r="H102" s="1723">
        <v>120000</v>
      </c>
      <c r="I102" s="1739"/>
      <c r="J102" s="1739"/>
      <c r="K102" s="24"/>
      <c r="L102" s="24"/>
      <c r="M102" s="24"/>
      <c r="N102" s="24"/>
    </row>
    <row r="103" spans="1:14" x14ac:dyDescent="0.3">
      <c r="A103" s="1767" t="s">
        <v>1998</v>
      </c>
      <c r="B103" s="1718"/>
      <c r="C103" s="1769"/>
      <c r="D103" s="1769"/>
      <c r="E103" s="1769" t="s">
        <v>2065</v>
      </c>
      <c r="F103" s="1748"/>
      <c r="G103" s="1749"/>
      <c r="H103" s="1720">
        <v>1064000</v>
      </c>
      <c r="I103" s="1718"/>
      <c r="J103" s="1718" t="s">
        <v>2063</v>
      </c>
      <c r="K103" s="24"/>
      <c r="L103" s="24"/>
      <c r="M103" s="24"/>
      <c r="N103" s="24"/>
    </row>
    <row r="104" spans="1:14" x14ac:dyDescent="0.3">
      <c r="A104" s="1767" t="s">
        <v>1998</v>
      </c>
      <c r="B104" s="1718"/>
      <c r="C104" s="1769"/>
      <c r="D104" s="1769"/>
      <c r="E104" s="1769" t="s">
        <v>1999</v>
      </c>
      <c r="F104" s="1718"/>
      <c r="G104" s="1720"/>
      <c r="H104" s="1720">
        <v>170000</v>
      </c>
      <c r="I104" s="1718"/>
      <c r="J104" s="1718"/>
      <c r="K104" s="24"/>
      <c r="L104" s="24"/>
      <c r="M104" s="24"/>
      <c r="N104" s="24"/>
    </row>
    <row r="105" spans="1:14" x14ac:dyDescent="0.3">
      <c r="A105" s="1767" t="s">
        <v>1956</v>
      </c>
      <c r="B105" s="1718"/>
      <c r="C105" s="1769"/>
      <c r="D105" s="1769"/>
      <c r="E105" s="1769" t="s">
        <v>2065</v>
      </c>
      <c r="F105" s="1748"/>
      <c r="G105" s="1749"/>
      <c r="H105" s="1720">
        <v>1005720</v>
      </c>
      <c r="I105" s="1718"/>
      <c r="J105" s="1718" t="s">
        <v>2063</v>
      </c>
      <c r="K105" s="24"/>
      <c r="L105" s="24"/>
      <c r="M105" s="24"/>
      <c r="N105" s="24"/>
    </row>
    <row r="106" spans="1:14" x14ac:dyDescent="0.3">
      <c r="A106" s="1767" t="s">
        <v>1956</v>
      </c>
      <c r="B106" s="1718"/>
      <c r="C106" s="1769"/>
      <c r="D106" s="1769"/>
      <c r="E106" s="1769" t="s">
        <v>2067</v>
      </c>
      <c r="F106" s="1718"/>
      <c r="G106" s="1720"/>
      <c r="H106" s="1720">
        <v>180000</v>
      </c>
      <c r="I106" s="1718"/>
      <c r="J106" s="1718"/>
      <c r="K106" s="24"/>
      <c r="L106" s="24"/>
      <c r="M106" s="24"/>
      <c r="N106" s="24"/>
    </row>
    <row r="107" spans="1:14" x14ac:dyDescent="0.3">
      <c r="A107" s="1767" t="s">
        <v>2090</v>
      </c>
      <c r="B107" s="1718"/>
      <c r="C107" s="1769"/>
      <c r="D107" s="1769"/>
      <c r="E107" s="1769" t="s">
        <v>1983</v>
      </c>
      <c r="F107" s="1718"/>
      <c r="G107" s="1720"/>
      <c r="H107" s="1720">
        <v>50000000</v>
      </c>
      <c r="I107" s="1718"/>
      <c r="J107" s="1718"/>
      <c r="K107" s="24"/>
      <c r="L107" s="24"/>
      <c r="M107" s="24"/>
      <c r="N107" s="24"/>
    </row>
    <row r="108" spans="1:14" x14ac:dyDescent="0.3">
      <c r="A108" s="1767" t="s">
        <v>1982</v>
      </c>
      <c r="B108" s="1718"/>
      <c r="C108" s="1769"/>
      <c r="D108" s="1769"/>
      <c r="E108" s="1769" t="s">
        <v>1984</v>
      </c>
      <c r="F108" s="1718"/>
      <c r="G108" s="1720"/>
      <c r="H108" s="1720">
        <v>11200000</v>
      </c>
      <c r="I108" s="1718"/>
      <c r="J108" s="1718"/>
      <c r="K108" s="24"/>
      <c r="L108" s="24"/>
      <c r="M108" s="24"/>
      <c r="N108" s="24"/>
    </row>
    <row r="109" spans="1:14" x14ac:dyDescent="0.3">
      <c r="A109" s="1767" t="s">
        <v>1982</v>
      </c>
      <c r="B109" s="1718"/>
      <c r="C109" s="1769"/>
      <c r="D109" s="1769"/>
      <c r="E109" s="1769" t="s">
        <v>2039</v>
      </c>
      <c r="F109" s="1718"/>
      <c r="H109" s="1720">
        <v>4700000</v>
      </c>
      <c r="I109" s="1718"/>
      <c r="J109" s="1718"/>
      <c r="K109" s="24"/>
      <c r="L109" s="24"/>
      <c r="M109" s="24"/>
      <c r="N109" s="24"/>
    </row>
    <row r="110" spans="1:14" x14ac:dyDescent="0.3">
      <c r="A110" s="1767" t="s">
        <v>2019</v>
      </c>
      <c r="B110" s="1718"/>
      <c r="C110" s="1769"/>
      <c r="D110" s="1769"/>
      <c r="E110" s="1769" t="s">
        <v>1985</v>
      </c>
      <c r="F110" s="1718"/>
      <c r="G110" s="1720"/>
      <c r="H110" s="1720">
        <v>5490000</v>
      </c>
      <c r="I110" s="1718"/>
      <c r="J110" s="1718"/>
      <c r="K110" s="24"/>
      <c r="L110" s="24"/>
      <c r="M110" s="24"/>
      <c r="N110" s="24"/>
    </row>
    <row r="111" spans="1:14" x14ac:dyDescent="0.3">
      <c r="A111" s="1767" t="s">
        <v>2019</v>
      </c>
      <c r="B111" s="1718"/>
      <c r="C111" s="1769" t="s">
        <v>2104</v>
      </c>
      <c r="D111" s="1769"/>
      <c r="E111" s="1769" t="s">
        <v>2020</v>
      </c>
      <c r="F111" s="1718">
        <v>112</v>
      </c>
      <c r="G111" s="1720">
        <v>10000000</v>
      </c>
      <c r="H111" s="1720"/>
      <c r="I111" s="1718"/>
      <c r="J111" s="1718"/>
      <c r="K111" s="24"/>
      <c r="L111" s="24"/>
      <c r="M111" s="24"/>
      <c r="N111" s="24"/>
    </row>
    <row r="112" spans="1:14" x14ac:dyDescent="0.3">
      <c r="A112" s="1767" t="s">
        <v>2019</v>
      </c>
      <c r="B112" s="1718"/>
      <c r="C112" s="1769" t="s">
        <v>2104</v>
      </c>
      <c r="D112" s="1769"/>
      <c r="E112" s="1769" t="s">
        <v>2015</v>
      </c>
      <c r="F112" s="1718">
        <v>112</v>
      </c>
      <c r="G112" s="1720">
        <v>40000000</v>
      </c>
      <c r="H112" s="1720"/>
      <c r="I112" s="1718"/>
      <c r="J112" s="1718"/>
      <c r="K112" s="24"/>
      <c r="L112" s="24"/>
      <c r="M112" s="24"/>
      <c r="N112" s="24"/>
    </row>
    <row r="113" spans="1:14" x14ac:dyDescent="0.3">
      <c r="A113" s="1767" t="s">
        <v>2061</v>
      </c>
      <c r="B113" s="1718"/>
      <c r="C113" s="1769"/>
      <c r="D113" s="1769"/>
      <c r="E113" s="1769" t="s">
        <v>2040</v>
      </c>
      <c r="F113" s="1718"/>
      <c r="G113" s="1720"/>
      <c r="H113" s="1720">
        <f>760000+300000</f>
        <v>1060000</v>
      </c>
      <c r="I113" s="1718"/>
      <c r="J113" s="1718" t="s">
        <v>2063</v>
      </c>
      <c r="K113" s="24"/>
      <c r="L113" s="24"/>
      <c r="M113" s="24"/>
      <c r="N113" s="24"/>
    </row>
    <row r="114" spans="1:14" x14ac:dyDescent="0.3">
      <c r="A114" s="1767" t="s">
        <v>2061</v>
      </c>
      <c r="B114" s="1718"/>
      <c r="C114" s="1769"/>
      <c r="D114" s="1769"/>
      <c r="E114" s="1769" t="s">
        <v>2056</v>
      </c>
      <c r="F114" s="1718"/>
      <c r="G114" s="1720"/>
      <c r="H114" s="1720">
        <v>109000</v>
      </c>
      <c r="I114" s="1718"/>
      <c r="J114" s="1718"/>
    </row>
    <row r="115" spans="1:14" x14ac:dyDescent="0.3">
      <c r="A115" s="1767"/>
      <c r="B115" s="1718"/>
      <c r="C115" s="1769"/>
      <c r="D115" s="1769"/>
      <c r="E115" s="1769" t="s">
        <v>2058</v>
      </c>
      <c r="F115" s="1718"/>
      <c r="G115" s="1720"/>
      <c r="H115" s="1720">
        <v>545000</v>
      </c>
      <c r="I115" s="1718"/>
      <c r="J115" s="1718"/>
    </row>
    <row r="116" spans="1:14" x14ac:dyDescent="0.3">
      <c r="A116" s="1767"/>
      <c r="B116" s="1718"/>
      <c r="C116" s="1769"/>
      <c r="D116" s="1769"/>
      <c r="E116" s="1769" t="s">
        <v>2068</v>
      </c>
      <c r="F116" s="1718"/>
      <c r="G116" s="1720"/>
      <c r="H116" s="1720">
        <v>470000</v>
      </c>
      <c r="I116" s="1718"/>
      <c r="J116" s="1718"/>
    </row>
    <row r="117" spans="1:14" x14ac:dyDescent="0.3">
      <c r="A117" s="1768" t="s">
        <v>2061</v>
      </c>
      <c r="B117" s="1718"/>
      <c r="C117" s="1769"/>
      <c r="D117" s="1769"/>
      <c r="E117" s="1769" t="s">
        <v>2098</v>
      </c>
      <c r="F117" s="1718"/>
      <c r="G117" s="1720"/>
      <c r="H117" s="1720">
        <v>198000000</v>
      </c>
      <c r="I117" s="1718"/>
      <c r="J117" s="1718"/>
    </row>
    <row r="118" spans="1:14" x14ac:dyDescent="0.3">
      <c r="A118" s="1768" t="s">
        <v>2061</v>
      </c>
      <c r="B118" s="1718"/>
      <c r="C118" s="1769"/>
      <c r="D118" s="1769"/>
      <c r="E118" s="1769" t="s">
        <v>2101</v>
      </c>
      <c r="F118" s="1718"/>
      <c r="G118" s="1720"/>
      <c r="H118" s="1720">
        <v>12500000</v>
      </c>
      <c r="I118" s="1718"/>
      <c r="J118" s="1718" t="s">
        <v>2063</v>
      </c>
    </row>
    <row r="119" spans="1:14" x14ac:dyDescent="0.3">
      <c r="A119" s="1717"/>
      <c r="B119" s="2316" t="s">
        <v>2</v>
      </c>
      <c r="C119" s="2316"/>
      <c r="D119" s="2316"/>
      <c r="E119" s="1717"/>
      <c r="F119" s="1717"/>
      <c r="G119" s="1794">
        <f>SUM(G10:G118)</f>
        <v>96718000</v>
      </c>
      <c r="H119" s="1793">
        <f>SUM(H10:H118)</f>
        <v>377671001</v>
      </c>
      <c r="I119" s="1717"/>
      <c r="J119" s="1717"/>
    </row>
  </sheetData>
  <mergeCells count="9">
    <mergeCell ref="B119:D119"/>
    <mergeCell ref="I8:I9"/>
    <mergeCell ref="J8:J9"/>
    <mergeCell ref="C8:D8"/>
    <mergeCell ref="A8:A9"/>
    <mergeCell ref="B8:B9"/>
    <mergeCell ref="E8:E9"/>
    <mergeCell ref="F8:F9"/>
    <mergeCell ref="G8:H8"/>
  </mergeCells>
  <pageMargins left="0.7" right="0.7" top="0.75" bottom="0.75" header="0.3" footer="0.3"/>
  <pageSetup orientation="portrait" horizontalDpi="300" verticalDpi="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H1" sqref="H1"/>
    </sheetView>
  </sheetViews>
  <sheetFormatPr defaultRowHeight="14.4" x14ac:dyDescent="0.3"/>
  <cols>
    <col min="2" max="2" width="34.88671875" customWidth="1"/>
    <col min="3" max="3" width="18.33203125" customWidth="1"/>
    <col min="4" max="4" width="10" bestFit="1" customWidth="1"/>
    <col min="5" max="6" width="16.88671875" bestFit="1" customWidth="1"/>
  </cols>
  <sheetData>
    <row r="1" spans="1:6" ht="16.8" x14ac:dyDescent="0.3">
      <c r="A1" s="5" t="s">
        <v>3</v>
      </c>
    </row>
    <row r="2" spans="1:6" x14ac:dyDescent="0.3">
      <c r="A2" s="7" t="s">
        <v>5</v>
      </c>
    </row>
    <row r="4" spans="1:6" x14ac:dyDescent="0.3">
      <c r="B4" s="2190" t="s">
        <v>2350</v>
      </c>
      <c r="C4" s="2190"/>
      <c r="D4" s="2190"/>
      <c r="E4" s="2190"/>
      <c r="F4" s="2190"/>
    </row>
    <row r="5" spans="1:6" x14ac:dyDescent="0.3">
      <c r="B5" s="2278" t="s">
        <v>2345</v>
      </c>
      <c r="C5" s="2278"/>
      <c r="D5" s="2278"/>
      <c r="E5" s="2278"/>
      <c r="F5" s="2278"/>
    </row>
    <row r="6" spans="1:6" x14ac:dyDescent="0.3">
      <c r="D6" s="2322" t="s">
        <v>1</v>
      </c>
      <c r="E6" s="2323"/>
      <c r="F6" s="2324"/>
    </row>
    <row r="7" spans="1:6" x14ac:dyDescent="0.3">
      <c r="B7" s="1999" t="s">
        <v>2335</v>
      </c>
      <c r="C7" s="2014">
        <v>441079600</v>
      </c>
      <c r="D7" s="1999"/>
      <c r="E7" s="2023"/>
      <c r="F7" s="2000"/>
    </row>
    <row r="8" spans="1:6" x14ac:dyDescent="0.3">
      <c r="B8" s="2001" t="s">
        <v>2336</v>
      </c>
      <c r="C8" s="2015">
        <v>683992230</v>
      </c>
      <c r="D8" s="2001"/>
      <c r="E8" s="2012"/>
      <c r="F8" s="2002"/>
    </row>
    <row r="9" spans="1:6" x14ac:dyDescent="0.3">
      <c r="B9" s="2005" t="s">
        <v>2337</v>
      </c>
      <c r="C9" s="2016">
        <f>C7-C8</f>
        <v>-242912630</v>
      </c>
      <c r="D9" s="2019"/>
      <c r="E9" s="2013"/>
      <c r="F9" s="2004"/>
    </row>
    <row r="10" spans="1:6" ht="31.5" customHeight="1" x14ac:dyDescent="0.3">
      <c r="B10" s="2021" t="s">
        <v>2338</v>
      </c>
      <c r="C10" s="2022">
        <v>1613880800</v>
      </c>
      <c r="D10" s="2325" t="s">
        <v>2349</v>
      </c>
      <c r="E10" s="2326"/>
      <c r="F10" s="2327"/>
    </row>
    <row r="11" spans="1:6" ht="34.5" customHeight="1" x14ac:dyDescent="0.3">
      <c r="B11" s="2020" t="s">
        <v>2339</v>
      </c>
      <c r="C11" s="2015">
        <v>1676977720</v>
      </c>
      <c r="D11" s="2328" t="s">
        <v>2347</v>
      </c>
      <c r="E11" s="2329"/>
      <c r="F11" s="2330"/>
    </row>
    <row r="12" spans="1:6" x14ac:dyDescent="0.3">
      <c r="B12" s="2007" t="s">
        <v>2340</v>
      </c>
      <c r="C12" s="2016">
        <f>C10-C11</f>
        <v>-63096920</v>
      </c>
      <c r="D12" s="2001"/>
      <c r="E12" s="2012"/>
      <c r="F12" s="2018"/>
    </row>
    <row r="13" spans="1:6" x14ac:dyDescent="0.3">
      <c r="B13" s="2006" t="s">
        <v>2341</v>
      </c>
      <c r="C13" s="2014">
        <v>154904000</v>
      </c>
      <c r="D13" s="2001" t="s">
        <v>2346</v>
      </c>
      <c r="E13" s="2012"/>
      <c r="F13" s="2002"/>
    </row>
    <row r="14" spans="1:6" x14ac:dyDescent="0.3">
      <c r="B14" s="2003" t="s">
        <v>2342</v>
      </c>
      <c r="C14" s="2015">
        <v>200582663</v>
      </c>
      <c r="D14" s="2001" t="s">
        <v>2348</v>
      </c>
      <c r="E14" s="2012"/>
      <c r="F14" s="2002"/>
    </row>
    <row r="15" spans="1:6" x14ac:dyDescent="0.3">
      <c r="B15" s="2007" t="s">
        <v>2343</v>
      </c>
      <c r="C15" s="2016">
        <f>C13-C14</f>
        <v>-45678663</v>
      </c>
      <c r="D15" s="2001"/>
      <c r="E15" s="2012"/>
      <c r="F15" s="2002"/>
    </row>
    <row r="16" spans="1:6" ht="31.5" customHeight="1" x14ac:dyDescent="0.3">
      <c r="B16" s="2009" t="s">
        <v>2344</v>
      </c>
      <c r="C16" s="2017">
        <f>C9+C12+C15</f>
        <v>-351688213</v>
      </c>
      <c r="D16" s="2019"/>
      <c r="E16" s="2013"/>
      <c r="F16" s="2004"/>
    </row>
    <row r="17" spans="2:9" x14ac:dyDescent="0.3">
      <c r="C17" s="1998"/>
    </row>
    <row r="18" spans="2:9" x14ac:dyDescent="0.3">
      <c r="B18" s="1914" t="s">
        <v>2115</v>
      </c>
      <c r="D18" s="2190" t="s">
        <v>293</v>
      </c>
      <c r="E18" s="2190"/>
      <c r="F18" s="2190"/>
      <c r="G18" s="2010"/>
      <c r="H18" s="2010"/>
      <c r="I18" s="2010"/>
    </row>
    <row r="19" spans="2:9" x14ac:dyDescent="0.3">
      <c r="B19" s="1958" t="s">
        <v>2333</v>
      </c>
      <c r="D19" s="2278" t="s">
        <v>2332</v>
      </c>
      <c r="E19" s="2278"/>
      <c r="F19" s="2278"/>
      <c r="G19" s="1915"/>
      <c r="H19" s="1915"/>
      <c r="I19" s="1915"/>
    </row>
    <row r="21" spans="2:9" x14ac:dyDescent="0.3">
      <c r="F21" s="1997"/>
    </row>
    <row r="22" spans="2:9" x14ac:dyDescent="0.3">
      <c r="E22" s="1998"/>
    </row>
    <row r="23" spans="2:9" x14ac:dyDescent="0.3">
      <c r="E23" s="2008"/>
    </row>
  </sheetData>
  <mergeCells count="7">
    <mergeCell ref="B4:F4"/>
    <mergeCell ref="B5:F5"/>
    <mergeCell ref="D18:F18"/>
    <mergeCell ref="D19:F19"/>
    <mergeCell ref="D6:F6"/>
    <mergeCell ref="D10:F10"/>
    <mergeCell ref="D11:F11"/>
  </mergeCells>
  <pageMargins left="0.7" right="0.7" top="0.75" bottom="0.75" header="0.3" footer="0.3"/>
  <pageSetup paperSize="9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4"/>
  <sheetViews>
    <sheetView topLeftCell="A839" zoomScaleNormal="100" zoomScaleSheetLayoutView="70" workbookViewId="0">
      <selection activeCell="F840" sqref="F840"/>
    </sheetView>
  </sheetViews>
  <sheetFormatPr defaultColWidth="9.109375" defaultRowHeight="13.8" x14ac:dyDescent="0.25"/>
  <cols>
    <col min="1" max="1" width="4.109375" style="1" customWidth="1"/>
    <col min="2" max="2" width="21.109375" style="13" customWidth="1"/>
    <col min="3" max="3" width="9" style="15" customWidth="1"/>
    <col min="4" max="4" width="11.33203125" style="15" customWidth="1"/>
    <col min="5" max="5" width="10.88671875" style="15" customWidth="1"/>
    <col min="6" max="6" width="10.44140625" style="15" customWidth="1"/>
    <col min="7" max="7" width="8" style="3" customWidth="1"/>
    <col min="8" max="8" width="8.5546875" style="3" customWidth="1"/>
    <col min="9" max="9" width="8.88671875" style="3" customWidth="1"/>
    <col min="10" max="10" width="11" style="3" customWidth="1"/>
    <col min="11" max="11" width="8.6640625" style="3" customWidth="1"/>
    <col min="12" max="12" width="8.5546875" style="3" customWidth="1"/>
    <col min="13" max="13" width="9.109375" style="3" customWidth="1"/>
    <col min="14" max="14" width="10.109375" style="3" customWidth="1"/>
    <col min="15" max="15" width="9.44140625" style="13" customWidth="1"/>
    <col min="16" max="16" width="11.44140625" style="1" customWidth="1"/>
    <col min="17" max="16384" width="9.109375" style="1"/>
  </cols>
  <sheetData>
    <row r="1" spans="1:15" ht="16.8" x14ac:dyDescent="0.3">
      <c r="A1" s="5" t="s">
        <v>3</v>
      </c>
      <c r="B1" s="16"/>
      <c r="C1" s="33"/>
      <c r="D1" s="33"/>
      <c r="E1" s="33"/>
      <c r="F1" s="1657"/>
      <c r="G1" s="1"/>
      <c r="H1" s="1"/>
      <c r="I1" s="1"/>
      <c r="J1" s="1"/>
      <c r="K1" s="1"/>
      <c r="L1" s="1"/>
      <c r="M1" s="1"/>
      <c r="N1" s="1"/>
    </row>
    <row r="2" spans="1:15" x14ac:dyDescent="0.25">
      <c r="A2" s="7" t="s">
        <v>5</v>
      </c>
      <c r="B2" s="17"/>
      <c r="C2" s="34"/>
      <c r="D2" s="34"/>
      <c r="E2" s="34"/>
      <c r="F2" s="34"/>
      <c r="G2" s="1"/>
      <c r="H2" s="1"/>
      <c r="I2" s="1"/>
      <c r="J2" s="1"/>
      <c r="K2" s="1"/>
      <c r="L2" s="1"/>
      <c r="M2" s="1"/>
      <c r="N2" s="1"/>
    </row>
    <row r="3" spans="1:15" ht="20.399999999999999" x14ac:dyDescent="0.35">
      <c r="A3" s="2124" t="s">
        <v>2306</v>
      </c>
      <c r="B3" s="2124"/>
      <c r="C3" s="2124"/>
      <c r="D3" s="2124"/>
      <c r="E3" s="2124"/>
      <c r="F3" s="2124"/>
      <c r="G3" s="2124"/>
      <c r="H3" s="2124"/>
      <c r="I3" s="2124"/>
      <c r="J3" s="2124"/>
      <c r="K3" s="2124"/>
      <c r="L3" s="2124"/>
      <c r="M3" s="2124"/>
      <c r="N3" s="2124"/>
      <c r="O3" s="2124"/>
    </row>
    <row r="4" spans="1:15" ht="14.4" thickBot="1" x14ac:dyDescent="0.3">
      <c r="A4" s="2348" t="s">
        <v>1872</v>
      </c>
      <c r="B4" s="2348"/>
      <c r="C4" s="2348"/>
      <c r="D4" s="2348"/>
      <c r="E4" s="2348"/>
      <c r="F4" s="2348"/>
      <c r="G4" s="2348"/>
      <c r="H4" s="2348"/>
      <c r="I4" s="2348"/>
      <c r="J4" s="2348"/>
      <c r="K4" s="2348"/>
      <c r="L4" s="2348"/>
      <c r="M4" s="2348"/>
      <c r="N4" s="2348"/>
      <c r="O4" s="2348"/>
    </row>
    <row r="5" spans="1:15" s="146" customFormat="1" ht="9" thickTop="1" x14ac:dyDescent="0.15">
      <c r="A5" s="2349" t="s">
        <v>153</v>
      </c>
      <c r="B5" s="2351" t="s">
        <v>91</v>
      </c>
      <c r="C5" s="2353" t="s">
        <v>609</v>
      </c>
      <c r="D5" s="2354"/>
      <c r="E5" s="2354"/>
      <c r="F5" s="2354"/>
      <c r="G5" s="2355" t="s">
        <v>92</v>
      </c>
      <c r="H5" s="2356"/>
      <c r="I5" s="2356"/>
      <c r="J5" s="2356"/>
      <c r="K5" s="2356"/>
      <c r="L5" s="2357"/>
      <c r="M5" s="1694"/>
      <c r="N5" s="1694"/>
      <c r="O5" s="2358" t="s">
        <v>1</v>
      </c>
    </row>
    <row r="6" spans="1:15" s="146" customFormat="1" ht="25.2" x14ac:dyDescent="0.15">
      <c r="A6" s="2350"/>
      <c r="B6" s="2352"/>
      <c r="C6" s="1512" t="s">
        <v>1837</v>
      </c>
      <c r="D6" s="1512" t="s">
        <v>683</v>
      </c>
      <c r="E6" s="1512" t="s">
        <v>685</v>
      </c>
      <c r="F6" s="1512" t="s">
        <v>1566</v>
      </c>
      <c r="G6" s="1513" t="s">
        <v>1837</v>
      </c>
      <c r="H6" s="1513" t="s">
        <v>683</v>
      </c>
      <c r="I6" s="1513" t="s">
        <v>685</v>
      </c>
      <c r="J6" s="1513" t="s">
        <v>686</v>
      </c>
      <c r="K6" s="1514" t="s">
        <v>688</v>
      </c>
      <c r="L6" s="1514" t="s">
        <v>1838</v>
      </c>
      <c r="M6" s="1514" t="s">
        <v>1839</v>
      </c>
      <c r="N6" s="1514" t="s">
        <v>1840</v>
      </c>
      <c r="O6" s="2359"/>
    </row>
    <row r="7" spans="1:15" s="1523" customFormat="1" ht="8.4" x14ac:dyDescent="0.15">
      <c r="A7" s="1515" t="s">
        <v>1569</v>
      </c>
      <c r="B7" s="1516" t="s">
        <v>1570</v>
      </c>
      <c r="C7" s="1517">
        <v>40000000</v>
      </c>
      <c r="D7" s="1518"/>
      <c r="E7" s="1519"/>
      <c r="F7" s="1517"/>
      <c r="G7" s="1520"/>
      <c r="H7" s="1881"/>
      <c r="I7" s="1881"/>
      <c r="J7" s="1520"/>
      <c r="K7" s="1520"/>
      <c r="L7" s="1520"/>
      <c r="M7" s="1520"/>
      <c r="N7" s="1520"/>
      <c r="O7" s="1522"/>
    </row>
    <row r="8" spans="1:15" s="1523" customFormat="1" ht="8.4" x14ac:dyDescent="0.15">
      <c r="A8" s="1524"/>
      <c r="B8" s="1525" t="s">
        <v>1571</v>
      </c>
      <c r="C8" s="1526">
        <v>60000000</v>
      </c>
      <c r="D8" s="1527"/>
      <c r="E8" s="1527"/>
      <c r="F8" s="1526"/>
      <c r="G8" s="1526"/>
      <c r="H8" s="1882"/>
      <c r="I8" s="1882"/>
      <c r="J8" s="1526"/>
      <c r="K8" s="1526"/>
      <c r="L8" s="1526"/>
      <c r="M8" s="1526"/>
      <c r="N8" s="1526"/>
      <c r="O8" s="1529"/>
    </row>
    <row r="9" spans="1:15" s="1523" customFormat="1" ht="8.4" x14ac:dyDescent="0.15">
      <c r="A9" s="1524"/>
      <c r="B9" s="1525" t="s">
        <v>1572</v>
      </c>
      <c r="C9" s="1526">
        <v>36000000</v>
      </c>
      <c r="D9" s="1527"/>
      <c r="E9" s="1527"/>
      <c r="F9" s="1526"/>
      <c r="G9" s="1526"/>
      <c r="H9" s="1882"/>
      <c r="I9" s="1882"/>
      <c r="J9" s="1526"/>
      <c r="K9" s="1526"/>
      <c r="L9" s="1526"/>
      <c r="M9" s="1526"/>
      <c r="N9" s="1526"/>
      <c r="O9" s="1529"/>
    </row>
    <row r="10" spans="1:15" s="1523" customFormat="1" ht="8.4" x14ac:dyDescent="0.15">
      <c r="A10" s="1524"/>
      <c r="B10" s="1525" t="s">
        <v>1573</v>
      </c>
      <c r="C10" s="1526">
        <v>42000000</v>
      </c>
      <c r="D10" s="1527"/>
      <c r="E10" s="1527"/>
      <c r="F10" s="1526"/>
      <c r="G10" s="1526"/>
      <c r="H10" s="1882"/>
      <c r="I10" s="1882"/>
      <c r="J10" s="1526"/>
      <c r="K10" s="1526"/>
      <c r="L10" s="1526"/>
      <c r="M10" s="1526"/>
      <c r="N10" s="1526"/>
      <c r="O10" s="1529"/>
    </row>
    <row r="11" spans="1:15" s="1523" customFormat="1" ht="16.8" x14ac:dyDescent="0.15">
      <c r="A11" s="1530"/>
      <c r="B11" s="1531" t="s">
        <v>1574</v>
      </c>
      <c r="C11" s="1532">
        <v>13346750</v>
      </c>
      <c r="D11" s="1527"/>
      <c r="E11" s="1527"/>
      <c r="F11" s="1533"/>
      <c r="G11" s="1533"/>
      <c r="H11" s="1882"/>
      <c r="I11" s="1882"/>
      <c r="J11" s="1533"/>
      <c r="K11" s="1533"/>
      <c r="L11" s="1533"/>
      <c r="M11" s="1533"/>
      <c r="N11" s="1533"/>
      <c r="O11" s="1529"/>
    </row>
    <row r="12" spans="1:15" s="1523" customFormat="1" ht="8.4" x14ac:dyDescent="0.15">
      <c r="A12" s="1524"/>
      <c r="B12" s="1525" t="s">
        <v>1575</v>
      </c>
      <c r="C12" s="1526">
        <v>80000000</v>
      </c>
      <c r="D12" s="1527"/>
      <c r="E12" s="1527"/>
      <c r="F12" s="1526"/>
      <c r="G12" s="1526"/>
      <c r="H12" s="1882"/>
      <c r="I12" s="1882"/>
      <c r="J12" s="1526"/>
      <c r="K12" s="1526"/>
      <c r="L12" s="1526"/>
      <c r="M12" s="1526"/>
      <c r="N12" s="1526"/>
      <c r="O12" s="1529"/>
    </row>
    <row r="13" spans="1:15" s="1523" customFormat="1" ht="8.4" x14ac:dyDescent="0.15">
      <c r="A13" s="1524"/>
      <c r="B13" s="1525" t="s">
        <v>1576</v>
      </c>
      <c r="C13" s="1526">
        <v>10000000</v>
      </c>
      <c r="D13" s="1527"/>
      <c r="E13" s="1527"/>
      <c r="F13" s="1526"/>
      <c r="G13" s="1526"/>
      <c r="H13" s="1882"/>
      <c r="I13" s="1882"/>
      <c r="J13" s="1526"/>
      <c r="K13" s="1526"/>
      <c r="L13" s="1526"/>
      <c r="M13" s="1526"/>
      <c r="N13" s="1526"/>
      <c r="O13" s="1529"/>
    </row>
    <row r="14" spans="1:15" s="1523" customFormat="1" ht="25.2" x14ac:dyDescent="0.15">
      <c r="A14" s="1534"/>
      <c r="B14" s="1535" t="s">
        <v>1577</v>
      </c>
      <c r="C14" s="1536"/>
      <c r="D14" s="1527"/>
      <c r="E14" s="1527"/>
      <c r="F14" s="1526"/>
      <c r="G14" s="1526">
        <v>30000000</v>
      </c>
      <c r="H14" s="1882"/>
      <c r="I14" s="1882"/>
      <c r="J14" s="1526"/>
      <c r="K14" s="1526"/>
      <c r="L14" s="1526"/>
      <c r="M14" s="1526"/>
      <c r="N14" s="1526"/>
      <c r="O14" s="1529"/>
    </row>
    <row r="15" spans="1:15" s="1523" customFormat="1" ht="25.2" x14ac:dyDescent="0.15">
      <c r="A15" s="1534"/>
      <c r="B15" s="1535" t="s">
        <v>1578</v>
      </c>
      <c r="C15" s="1536"/>
      <c r="D15" s="1527"/>
      <c r="E15" s="1527"/>
      <c r="F15" s="1526"/>
      <c r="G15" s="1526">
        <v>8400000</v>
      </c>
      <c r="H15" s="1882"/>
      <c r="I15" s="1882"/>
      <c r="J15" s="1526"/>
      <c r="K15" s="1526"/>
      <c r="L15" s="1526"/>
      <c r="M15" s="1526"/>
      <c r="N15" s="1526"/>
      <c r="O15" s="1529"/>
    </row>
    <row r="16" spans="1:15" s="1523" customFormat="1" ht="25.2" x14ac:dyDescent="0.15">
      <c r="A16" s="1534"/>
      <c r="B16" s="1535" t="s">
        <v>1579</v>
      </c>
      <c r="C16" s="1536"/>
      <c r="D16" s="1527"/>
      <c r="E16" s="1527"/>
      <c r="F16" s="1526"/>
      <c r="G16" s="1526">
        <v>10000000</v>
      </c>
      <c r="H16" s="1882"/>
      <c r="I16" s="1882"/>
      <c r="J16" s="1526"/>
      <c r="K16" s="1526"/>
      <c r="L16" s="1526"/>
      <c r="M16" s="1526"/>
      <c r="N16" s="1526"/>
      <c r="O16" s="1529"/>
    </row>
    <row r="17" spans="1:15" s="1523" customFormat="1" ht="16.8" x14ac:dyDescent="0.15">
      <c r="A17" s="1534"/>
      <c r="B17" s="1535" t="s">
        <v>1580</v>
      </c>
      <c r="C17" s="1526"/>
      <c r="D17" s="1527"/>
      <c r="E17" s="1527"/>
      <c r="F17" s="1526"/>
      <c r="G17" s="1526">
        <v>60000000</v>
      </c>
      <c r="H17" s="1882"/>
      <c r="I17" s="1882"/>
      <c r="J17" s="1526"/>
      <c r="K17" s="1526"/>
      <c r="L17" s="1526"/>
      <c r="M17" s="1526"/>
      <c r="N17" s="1526"/>
      <c r="O17" s="1529"/>
    </row>
    <row r="18" spans="1:15" s="1523" customFormat="1" ht="8.4" x14ac:dyDescent="0.15">
      <c r="A18" s="1524"/>
      <c r="B18" s="1537" t="s">
        <v>1581</v>
      </c>
      <c r="C18" s="1526"/>
      <c r="D18" s="1527"/>
      <c r="E18" s="1527"/>
      <c r="F18" s="1526"/>
      <c r="G18" s="1526">
        <v>10000000</v>
      </c>
      <c r="H18" s="1882"/>
      <c r="I18" s="1882"/>
      <c r="J18" s="1526"/>
      <c r="K18" s="1526"/>
      <c r="L18" s="1526"/>
      <c r="M18" s="1526"/>
      <c r="N18" s="1526"/>
      <c r="O18" s="1529"/>
    </row>
    <row r="19" spans="1:15" s="1523" customFormat="1" ht="8.4" x14ac:dyDescent="0.15">
      <c r="A19" s="1524"/>
      <c r="B19" s="1525" t="s">
        <v>1582</v>
      </c>
      <c r="C19" s="1146"/>
      <c r="D19" s="1527"/>
      <c r="E19" s="1527"/>
      <c r="F19" s="1526"/>
      <c r="G19" s="1526">
        <v>20000000</v>
      </c>
      <c r="H19" s="1882"/>
      <c r="I19" s="1882"/>
      <c r="J19" s="1526"/>
      <c r="K19" s="1526"/>
      <c r="L19" s="1526"/>
      <c r="M19" s="1526"/>
      <c r="N19" s="1526"/>
      <c r="O19" s="1529"/>
    </row>
    <row r="20" spans="1:15" s="1523" customFormat="1" ht="8.4" x14ac:dyDescent="0.15">
      <c r="A20" s="1524"/>
      <c r="B20" s="1525" t="s">
        <v>1583</v>
      </c>
      <c r="C20" s="1526"/>
      <c r="D20" s="1527"/>
      <c r="E20" s="1527"/>
      <c r="F20" s="1526"/>
      <c r="G20" s="1526">
        <v>21000000</v>
      </c>
      <c r="H20" s="1882"/>
      <c r="I20" s="1882"/>
      <c r="J20" s="1526"/>
      <c r="K20" s="1526"/>
      <c r="L20" s="1526"/>
      <c r="M20" s="1526"/>
      <c r="N20" s="1526"/>
      <c r="O20" s="1529"/>
    </row>
    <row r="21" spans="1:15" s="1523" customFormat="1" ht="8.4" x14ac:dyDescent="0.15">
      <c r="A21" s="1538" t="s">
        <v>1584</v>
      </c>
      <c r="B21" s="1525" t="s">
        <v>1585</v>
      </c>
      <c r="C21" s="1526"/>
      <c r="D21" s="1527"/>
      <c r="E21" s="1527"/>
      <c r="F21" s="1526"/>
      <c r="G21" s="1526">
        <v>14550000</v>
      </c>
      <c r="H21" s="1882"/>
      <c r="I21" s="1882"/>
      <c r="J21" s="1526"/>
      <c r="K21" s="1526"/>
      <c r="L21" s="1526"/>
      <c r="M21" s="1526"/>
      <c r="N21" s="1526"/>
      <c r="O21" s="1529"/>
    </row>
    <row r="22" spans="1:15" s="1523" customFormat="1" ht="25.2" x14ac:dyDescent="0.15">
      <c r="A22" s="1538"/>
      <c r="B22" s="1540" t="s">
        <v>1586</v>
      </c>
      <c r="C22" s="1526"/>
      <c r="D22" s="1527"/>
      <c r="E22" s="1527"/>
      <c r="F22" s="1526"/>
      <c r="G22" s="1526">
        <v>16600000</v>
      </c>
      <c r="H22" s="1882"/>
      <c r="I22" s="1882"/>
      <c r="J22" s="1526"/>
      <c r="K22" s="1526"/>
      <c r="L22" s="1526"/>
      <c r="M22" s="1526"/>
      <c r="N22" s="1526"/>
      <c r="O22" s="1529"/>
    </row>
    <row r="23" spans="1:15" s="1523" customFormat="1" ht="8.4" x14ac:dyDescent="0.15">
      <c r="A23" s="1524" t="s">
        <v>1587</v>
      </c>
      <c r="B23" s="1525" t="s">
        <v>1588</v>
      </c>
      <c r="C23" s="1526"/>
      <c r="D23" s="1527"/>
      <c r="E23" s="1527"/>
      <c r="F23" s="1526"/>
      <c r="G23" s="1526">
        <v>1935000</v>
      </c>
      <c r="H23" s="1882"/>
      <c r="I23" s="1882"/>
      <c r="J23" s="1526"/>
      <c r="K23" s="1526"/>
      <c r="L23" s="1526"/>
      <c r="M23" s="1526"/>
      <c r="N23" s="1526"/>
      <c r="O23" s="1529"/>
    </row>
    <row r="24" spans="1:15" s="1523" customFormat="1" ht="8.4" x14ac:dyDescent="0.15">
      <c r="A24" s="1524"/>
      <c r="B24" s="1525" t="s">
        <v>1589</v>
      </c>
      <c r="C24" s="1526"/>
      <c r="D24" s="1527"/>
      <c r="E24" s="1527"/>
      <c r="F24" s="1526"/>
      <c r="G24" s="1526">
        <v>1950000</v>
      </c>
      <c r="H24" s="1882"/>
      <c r="I24" s="1882"/>
      <c r="J24" s="1526"/>
      <c r="K24" s="1526"/>
      <c r="L24" s="1526"/>
      <c r="M24" s="1526"/>
      <c r="N24" s="1526"/>
      <c r="O24" s="1529"/>
    </row>
    <row r="25" spans="1:15" s="1523" customFormat="1" ht="8.4" x14ac:dyDescent="0.15">
      <c r="A25" s="1524"/>
      <c r="B25" s="1525" t="s">
        <v>1590</v>
      </c>
      <c r="C25" s="1526"/>
      <c r="D25" s="1527"/>
      <c r="E25" s="1527"/>
      <c r="F25" s="1526"/>
      <c r="G25" s="1526">
        <v>3750000</v>
      </c>
      <c r="H25" s="1882"/>
      <c r="I25" s="1882"/>
      <c r="J25" s="1526"/>
      <c r="K25" s="1526"/>
      <c r="L25" s="1526"/>
      <c r="M25" s="1526"/>
      <c r="N25" s="1526"/>
      <c r="O25" s="1529"/>
    </row>
    <row r="26" spans="1:15" s="1523" customFormat="1" ht="8.4" x14ac:dyDescent="0.15">
      <c r="A26" s="1524"/>
      <c r="B26" s="1525" t="s">
        <v>1591</v>
      </c>
      <c r="C26" s="1526"/>
      <c r="D26" s="1527"/>
      <c r="E26" s="1527"/>
      <c r="F26" s="1526"/>
      <c r="G26" s="1526">
        <v>1600000</v>
      </c>
      <c r="H26" s="1882"/>
      <c r="I26" s="1882"/>
      <c r="J26" s="1526"/>
      <c r="K26" s="1526"/>
      <c r="L26" s="1526"/>
      <c r="M26" s="1526"/>
      <c r="N26" s="1526"/>
      <c r="O26" s="1529"/>
    </row>
    <row r="27" spans="1:15" s="1523" customFormat="1" ht="8.4" x14ac:dyDescent="0.15">
      <c r="A27" s="1524"/>
      <c r="B27" s="1525" t="s">
        <v>1592</v>
      </c>
      <c r="C27" s="1526"/>
      <c r="D27" s="1527"/>
      <c r="E27" s="1527"/>
      <c r="F27" s="1526"/>
      <c r="G27" s="1526">
        <v>2760000</v>
      </c>
      <c r="H27" s="1882"/>
      <c r="I27" s="1882"/>
      <c r="J27" s="1526"/>
      <c r="K27" s="1526"/>
      <c r="L27" s="1526"/>
      <c r="M27" s="1526"/>
      <c r="N27" s="1526"/>
      <c r="O27" s="1529"/>
    </row>
    <row r="28" spans="1:15" s="1523" customFormat="1" ht="8.4" x14ac:dyDescent="0.15">
      <c r="A28" s="1524" t="s">
        <v>1593</v>
      </c>
      <c r="B28" s="1525" t="s">
        <v>1594</v>
      </c>
      <c r="C28" s="1526"/>
      <c r="D28" s="1527"/>
      <c r="E28" s="1527"/>
      <c r="F28" s="1526"/>
      <c r="G28" s="1526">
        <v>6000000</v>
      </c>
      <c r="H28" s="1882"/>
      <c r="I28" s="1882"/>
      <c r="J28" s="1526"/>
      <c r="K28" s="1526"/>
      <c r="L28" s="1526"/>
      <c r="M28" s="1526"/>
      <c r="N28" s="1526"/>
      <c r="O28" s="1529"/>
    </row>
    <row r="29" spans="1:15" s="1523" customFormat="1" ht="8.4" x14ac:dyDescent="0.15">
      <c r="A29" s="1524"/>
      <c r="B29" s="1525" t="s">
        <v>1595</v>
      </c>
      <c r="C29" s="1526"/>
      <c r="D29" s="1527"/>
      <c r="E29" s="1527"/>
      <c r="F29" s="1526"/>
      <c r="G29" s="1526">
        <v>1850000</v>
      </c>
      <c r="H29" s="1882"/>
      <c r="I29" s="1882"/>
      <c r="J29" s="1526"/>
      <c r="K29" s="1526"/>
      <c r="L29" s="1526"/>
      <c r="M29" s="1526"/>
      <c r="N29" s="1526"/>
      <c r="O29" s="1529"/>
    </row>
    <row r="30" spans="1:15" s="1523" customFormat="1" ht="8.4" x14ac:dyDescent="0.15">
      <c r="A30" s="1524"/>
      <c r="B30" s="1525" t="s">
        <v>1596</v>
      </c>
      <c r="C30" s="1526"/>
      <c r="D30" s="1527"/>
      <c r="E30" s="1527"/>
      <c r="F30" s="1526"/>
      <c r="G30" s="1526">
        <v>1570000</v>
      </c>
      <c r="H30" s="1882"/>
      <c r="I30" s="1882"/>
      <c r="J30" s="1526"/>
      <c r="K30" s="1526"/>
      <c r="L30" s="1526"/>
      <c r="M30" s="1526"/>
      <c r="N30" s="1526"/>
      <c r="O30" s="1529"/>
    </row>
    <row r="31" spans="1:15" s="1523" customFormat="1" ht="8.4" x14ac:dyDescent="0.15">
      <c r="A31" s="1538"/>
      <c r="B31" s="1525" t="s">
        <v>1597</v>
      </c>
      <c r="C31" s="1526"/>
      <c r="D31" s="1527"/>
      <c r="E31" s="1527"/>
      <c r="F31" s="1526"/>
      <c r="G31" s="1526">
        <v>5240000</v>
      </c>
      <c r="H31" s="1882"/>
      <c r="I31" s="1882"/>
      <c r="J31" s="1526"/>
      <c r="K31" s="1526"/>
      <c r="L31" s="1526"/>
      <c r="M31" s="1526"/>
      <c r="N31" s="1526"/>
      <c r="O31" s="1529"/>
    </row>
    <row r="32" spans="1:15" s="1523" customFormat="1" ht="8.4" x14ac:dyDescent="0.15">
      <c r="A32" s="1538"/>
      <c r="B32" s="1525" t="s">
        <v>1598</v>
      </c>
      <c r="C32" s="1526"/>
      <c r="D32" s="1527"/>
      <c r="E32" s="1527"/>
      <c r="F32" s="1526"/>
      <c r="G32" s="1526">
        <v>5448000</v>
      </c>
      <c r="H32" s="1882"/>
      <c r="I32" s="1882"/>
      <c r="J32" s="1526"/>
      <c r="K32" s="1526"/>
      <c r="L32" s="1526"/>
      <c r="M32" s="1526"/>
      <c r="N32" s="1526"/>
      <c r="O32" s="1529"/>
    </row>
    <row r="33" spans="1:15" s="1523" customFormat="1" ht="8.4" x14ac:dyDescent="0.15">
      <c r="A33" s="1524"/>
      <c r="B33" s="1525" t="s">
        <v>1599</v>
      </c>
      <c r="C33" s="1526"/>
      <c r="D33" s="1527"/>
      <c r="E33" s="1527"/>
      <c r="F33" s="1526"/>
      <c r="G33" s="1526">
        <v>720000</v>
      </c>
      <c r="H33" s="1882"/>
      <c r="I33" s="1882"/>
      <c r="J33" s="1526"/>
      <c r="K33" s="1526"/>
      <c r="L33" s="1526"/>
      <c r="M33" s="1526"/>
      <c r="N33" s="1526"/>
      <c r="O33" s="1529"/>
    </row>
    <row r="34" spans="1:15" s="1523" customFormat="1" ht="8.4" x14ac:dyDescent="0.15">
      <c r="A34" s="1524"/>
      <c r="B34" s="1525" t="s">
        <v>1600</v>
      </c>
      <c r="C34" s="1526"/>
      <c r="D34" s="1527"/>
      <c r="E34" s="1527"/>
      <c r="F34" s="1526"/>
      <c r="G34" s="1526">
        <v>135000</v>
      </c>
      <c r="H34" s="1882"/>
      <c r="I34" s="1882"/>
      <c r="J34" s="1526"/>
      <c r="K34" s="1526"/>
      <c r="L34" s="1526"/>
      <c r="M34" s="1526"/>
      <c r="N34" s="1526"/>
      <c r="O34" s="1529"/>
    </row>
    <row r="35" spans="1:15" s="1523" customFormat="1" ht="8.4" x14ac:dyDescent="0.15">
      <c r="A35" s="1524"/>
      <c r="B35" s="1525" t="s">
        <v>1601</v>
      </c>
      <c r="C35" s="1526"/>
      <c r="D35" s="1527"/>
      <c r="E35" s="1527"/>
      <c r="F35" s="1526"/>
      <c r="G35" s="1526">
        <v>50000</v>
      </c>
      <c r="H35" s="1882"/>
      <c r="I35" s="1882"/>
      <c r="J35" s="1526"/>
      <c r="K35" s="1526"/>
      <c r="L35" s="1526"/>
      <c r="M35" s="1526"/>
      <c r="N35" s="1526"/>
      <c r="O35" s="1529"/>
    </row>
    <row r="36" spans="1:15" s="1523" customFormat="1" ht="16.8" x14ac:dyDescent="0.15">
      <c r="A36" s="1524"/>
      <c r="B36" s="1525" t="s">
        <v>1602</v>
      </c>
      <c r="C36" s="1526"/>
      <c r="D36" s="1527"/>
      <c r="E36" s="1527"/>
      <c r="F36" s="1526"/>
      <c r="G36" s="1526">
        <v>790000</v>
      </c>
      <c r="H36" s="1882"/>
      <c r="I36" s="1882"/>
      <c r="J36" s="1526"/>
      <c r="K36" s="1526"/>
      <c r="L36" s="1526"/>
      <c r="M36" s="1526"/>
      <c r="N36" s="1526"/>
      <c r="O36" s="1529"/>
    </row>
    <row r="37" spans="1:15" s="1523" customFormat="1" ht="8.4" x14ac:dyDescent="0.15">
      <c r="A37" s="1538"/>
      <c r="B37" s="1525" t="s">
        <v>1603</v>
      </c>
      <c r="C37" s="1526"/>
      <c r="D37" s="1527"/>
      <c r="E37" s="1527"/>
      <c r="F37" s="1526"/>
      <c r="G37" s="1526">
        <v>1800000</v>
      </c>
      <c r="H37" s="1882"/>
      <c r="I37" s="1882"/>
      <c r="J37" s="1526"/>
      <c r="K37" s="1526"/>
      <c r="L37" s="1526"/>
      <c r="M37" s="1526"/>
      <c r="N37" s="1526"/>
      <c r="O37" s="1529"/>
    </row>
    <row r="38" spans="1:15" s="1523" customFormat="1" ht="8.4" x14ac:dyDescent="0.15">
      <c r="A38" s="1538"/>
      <c r="B38" s="1525" t="s">
        <v>1604</v>
      </c>
      <c r="C38" s="1526"/>
      <c r="D38" s="1527"/>
      <c r="E38" s="1527"/>
      <c r="F38" s="1526"/>
      <c r="G38" s="1526">
        <v>80000</v>
      </c>
      <c r="H38" s="1882"/>
      <c r="I38" s="1882"/>
      <c r="J38" s="1526"/>
      <c r="K38" s="1526"/>
      <c r="L38" s="1526"/>
      <c r="M38" s="1526"/>
      <c r="N38" s="1526"/>
      <c r="O38" s="1529"/>
    </row>
    <row r="39" spans="1:15" s="1523" customFormat="1" ht="8.4" x14ac:dyDescent="0.15">
      <c r="A39" s="1524"/>
      <c r="B39" s="1525" t="s">
        <v>1605</v>
      </c>
      <c r="C39" s="1526"/>
      <c r="D39" s="1527"/>
      <c r="E39" s="1527"/>
      <c r="F39" s="1526"/>
      <c r="G39" s="1526">
        <v>850000</v>
      </c>
      <c r="H39" s="1882"/>
      <c r="I39" s="1882"/>
      <c r="J39" s="1526"/>
      <c r="K39" s="1526"/>
      <c r="L39" s="1526"/>
      <c r="M39" s="1526"/>
      <c r="N39" s="1526"/>
      <c r="O39" s="1529"/>
    </row>
    <row r="40" spans="1:15" s="1523" customFormat="1" ht="8.4" x14ac:dyDescent="0.15">
      <c r="A40" s="1524"/>
      <c r="B40" s="1525" t="s">
        <v>1606</v>
      </c>
      <c r="C40" s="1526"/>
      <c r="D40" s="1527"/>
      <c r="E40" s="1527"/>
      <c r="F40" s="1526"/>
      <c r="G40" s="1526">
        <v>1200000</v>
      </c>
      <c r="H40" s="1882"/>
      <c r="I40" s="1882"/>
      <c r="J40" s="1526"/>
      <c r="K40" s="1526"/>
      <c r="L40" s="1526"/>
      <c r="M40" s="1526"/>
      <c r="N40" s="1526"/>
      <c r="O40" s="1529"/>
    </row>
    <row r="41" spans="1:15" s="1523" customFormat="1" ht="8.4" x14ac:dyDescent="0.15">
      <c r="A41" s="1538"/>
      <c r="B41" s="1525" t="s">
        <v>1607</v>
      </c>
      <c r="C41" s="1526"/>
      <c r="D41" s="1527"/>
      <c r="E41" s="1527"/>
      <c r="F41" s="1526"/>
      <c r="G41" s="1526">
        <v>1700000</v>
      </c>
      <c r="H41" s="1882"/>
      <c r="I41" s="1882"/>
      <c r="J41" s="1526"/>
      <c r="K41" s="1526"/>
      <c r="L41" s="1526"/>
      <c r="M41" s="1526"/>
      <c r="N41" s="1526"/>
      <c r="O41" s="1529"/>
    </row>
    <row r="42" spans="1:15" s="1523" customFormat="1" ht="8.4" x14ac:dyDescent="0.15">
      <c r="A42" s="1538"/>
      <c r="B42" s="1525" t="s">
        <v>1608</v>
      </c>
      <c r="C42" s="1526"/>
      <c r="D42" s="1527"/>
      <c r="E42" s="1527"/>
      <c r="F42" s="1526"/>
      <c r="G42" s="1526">
        <v>115000</v>
      </c>
      <c r="H42" s="1882"/>
      <c r="I42" s="1882"/>
      <c r="J42" s="1526"/>
      <c r="K42" s="1526"/>
      <c r="L42" s="1526"/>
      <c r="M42" s="1526"/>
      <c r="N42" s="1526"/>
      <c r="O42" s="1529"/>
    </row>
    <row r="43" spans="1:15" s="1523" customFormat="1" ht="8.4" x14ac:dyDescent="0.15">
      <c r="A43" s="1524"/>
      <c r="B43" s="1525" t="s">
        <v>1609</v>
      </c>
      <c r="C43" s="1526"/>
      <c r="D43" s="1527"/>
      <c r="E43" s="1527"/>
      <c r="F43" s="1526"/>
      <c r="G43" s="1526">
        <v>160000</v>
      </c>
      <c r="H43" s="1882"/>
      <c r="I43" s="1882"/>
      <c r="J43" s="1526"/>
      <c r="K43" s="1526"/>
      <c r="L43" s="1526"/>
      <c r="M43" s="1526"/>
      <c r="N43" s="1526"/>
      <c r="O43" s="1529"/>
    </row>
    <row r="44" spans="1:15" s="1523" customFormat="1" ht="8.4" x14ac:dyDescent="0.15">
      <c r="A44" s="1524"/>
      <c r="B44" s="1525" t="s">
        <v>1610</v>
      </c>
      <c r="C44" s="1526"/>
      <c r="D44" s="1527"/>
      <c r="E44" s="1527"/>
      <c r="F44" s="1526"/>
      <c r="G44" s="1526">
        <v>30000</v>
      </c>
      <c r="H44" s="1882"/>
      <c r="I44" s="1882"/>
      <c r="J44" s="1526"/>
      <c r="K44" s="1526"/>
      <c r="L44" s="1526"/>
      <c r="M44" s="1526"/>
      <c r="N44" s="1526"/>
      <c r="O44" s="1529"/>
    </row>
    <row r="45" spans="1:15" s="1523" customFormat="1" ht="8.4" x14ac:dyDescent="0.15">
      <c r="A45" s="1524" t="s">
        <v>1611</v>
      </c>
      <c r="B45" s="1525" t="s">
        <v>1612</v>
      </c>
      <c r="C45" s="1526"/>
      <c r="D45" s="1527"/>
      <c r="E45" s="1527"/>
      <c r="F45" s="1526"/>
      <c r="G45" s="1526">
        <v>32000</v>
      </c>
      <c r="H45" s="1882"/>
      <c r="I45" s="1882"/>
      <c r="J45" s="1526"/>
      <c r="K45" s="1526"/>
      <c r="L45" s="1526"/>
      <c r="M45" s="1526"/>
      <c r="N45" s="1526"/>
      <c r="O45" s="1529"/>
    </row>
    <row r="46" spans="1:15" s="1523" customFormat="1" ht="8.4" x14ac:dyDescent="0.15">
      <c r="A46" s="1524"/>
      <c r="B46" s="1525" t="s">
        <v>1613</v>
      </c>
      <c r="C46" s="1526"/>
      <c r="D46" s="1527"/>
      <c r="E46" s="1527"/>
      <c r="F46" s="1526"/>
      <c r="G46" s="1526">
        <v>789000</v>
      </c>
      <c r="H46" s="1882"/>
      <c r="I46" s="1882"/>
      <c r="J46" s="1526"/>
      <c r="K46" s="1526"/>
      <c r="L46" s="1526"/>
      <c r="M46" s="1526"/>
      <c r="N46" s="1526"/>
      <c r="O46" s="1529"/>
    </row>
    <row r="47" spans="1:15" s="1523" customFormat="1" ht="8.4" x14ac:dyDescent="0.15">
      <c r="A47" s="1538" t="s">
        <v>1614</v>
      </c>
      <c r="B47" s="1525" t="s">
        <v>1615</v>
      </c>
      <c r="C47" s="1526"/>
      <c r="D47" s="1527"/>
      <c r="E47" s="1527"/>
      <c r="F47" s="1526"/>
      <c r="G47" s="1526">
        <v>442000</v>
      </c>
      <c r="H47" s="1882"/>
      <c r="I47" s="1882"/>
      <c r="J47" s="1526"/>
      <c r="K47" s="1526"/>
      <c r="L47" s="1526"/>
      <c r="M47" s="1526"/>
      <c r="N47" s="1526"/>
      <c r="O47" s="1529"/>
    </row>
    <row r="48" spans="1:15" s="1523" customFormat="1" ht="8.4" x14ac:dyDescent="0.15">
      <c r="A48" s="1538"/>
      <c r="B48" s="1525" t="s">
        <v>1616</v>
      </c>
      <c r="C48" s="1526"/>
      <c r="D48" s="1527"/>
      <c r="E48" s="1527"/>
      <c r="F48" s="1526"/>
      <c r="G48" s="1526">
        <f>660000-G47</f>
        <v>218000</v>
      </c>
      <c r="H48" s="1882"/>
      <c r="I48" s="1882"/>
      <c r="J48" s="1526"/>
      <c r="K48" s="1526"/>
      <c r="L48" s="1526"/>
      <c r="M48" s="1526"/>
      <c r="N48" s="1526"/>
      <c r="O48" s="1529"/>
    </row>
    <row r="49" spans="1:15" s="1523" customFormat="1" ht="8.4" x14ac:dyDescent="0.15">
      <c r="A49" s="1538"/>
      <c r="B49" s="1525" t="s">
        <v>1617</v>
      </c>
      <c r="C49" s="1526"/>
      <c r="D49" s="1527"/>
      <c r="E49" s="1527"/>
      <c r="F49" s="1526"/>
      <c r="G49" s="1526">
        <v>93000</v>
      </c>
      <c r="H49" s="1882"/>
      <c r="I49" s="1882"/>
      <c r="J49" s="1526"/>
      <c r="K49" s="1526"/>
      <c r="L49" s="1526"/>
      <c r="M49" s="1526"/>
      <c r="N49" s="1526"/>
      <c r="O49" s="1529"/>
    </row>
    <row r="50" spans="1:15" s="1523" customFormat="1" ht="16.8" x14ac:dyDescent="0.15">
      <c r="A50" s="1538"/>
      <c r="B50" s="1525" t="s">
        <v>1618</v>
      </c>
      <c r="C50" s="1526"/>
      <c r="D50" s="1527"/>
      <c r="E50" s="1527"/>
      <c r="F50" s="1526"/>
      <c r="G50" s="1526">
        <v>181000</v>
      </c>
      <c r="H50" s="1882"/>
      <c r="I50" s="1882"/>
      <c r="J50" s="1526"/>
      <c r="K50" s="1526"/>
      <c r="L50" s="1526"/>
      <c r="M50" s="1526"/>
      <c r="N50" s="1526"/>
      <c r="O50" s="1529"/>
    </row>
    <row r="51" spans="1:15" s="1523" customFormat="1" ht="16.8" x14ac:dyDescent="0.15">
      <c r="A51" s="1524" t="s">
        <v>1619</v>
      </c>
      <c r="B51" s="1525" t="s">
        <v>1620</v>
      </c>
      <c r="C51" s="1526"/>
      <c r="D51" s="1527"/>
      <c r="E51" s="1527"/>
      <c r="F51" s="1526"/>
      <c r="G51" s="1526">
        <v>283000</v>
      </c>
      <c r="H51" s="1882"/>
      <c r="I51" s="1882"/>
      <c r="J51" s="1526"/>
      <c r="K51" s="1526"/>
      <c r="L51" s="1526"/>
      <c r="M51" s="1526"/>
      <c r="N51" s="1526"/>
      <c r="O51" s="1529"/>
    </row>
    <row r="52" spans="1:15" s="1523" customFormat="1" ht="16.8" x14ac:dyDescent="0.15">
      <c r="A52" s="1524" t="s">
        <v>1621</v>
      </c>
      <c r="B52" s="1525" t="s">
        <v>1622</v>
      </c>
      <c r="C52" s="1526"/>
      <c r="D52" s="1527"/>
      <c r="E52" s="1527"/>
      <c r="F52" s="1526"/>
      <c r="G52" s="1526">
        <v>517000</v>
      </c>
      <c r="H52" s="1882"/>
      <c r="I52" s="1882"/>
      <c r="J52" s="1526"/>
      <c r="K52" s="1526"/>
      <c r="L52" s="1526"/>
      <c r="M52" s="1526"/>
      <c r="N52" s="1526"/>
      <c r="O52" s="1529"/>
    </row>
    <row r="53" spans="1:15" s="1523" customFormat="1" ht="8.4" x14ac:dyDescent="0.15">
      <c r="A53" s="1524"/>
      <c r="B53" s="1525" t="s">
        <v>1623</v>
      </c>
      <c r="C53" s="1526"/>
      <c r="D53" s="1527"/>
      <c r="E53" s="1527"/>
      <c r="F53" s="1526"/>
      <c r="G53" s="1526">
        <v>50000</v>
      </c>
      <c r="H53" s="1882"/>
      <c r="I53" s="1882"/>
      <c r="J53" s="1526"/>
      <c r="K53" s="1526"/>
      <c r="L53" s="1526"/>
      <c r="M53" s="1526"/>
      <c r="N53" s="1526"/>
      <c r="O53" s="1529"/>
    </row>
    <row r="54" spans="1:15" s="1523" customFormat="1" ht="8.4" x14ac:dyDescent="0.15">
      <c r="A54" s="1538"/>
      <c r="B54" s="1525" t="s">
        <v>1624</v>
      </c>
      <c r="C54" s="1526"/>
      <c r="D54" s="1527"/>
      <c r="E54" s="1527"/>
      <c r="F54" s="1526"/>
      <c r="G54" s="1526">
        <v>500000</v>
      </c>
      <c r="H54" s="1882"/>
      <c r="I54" s="1882"/>
      <c r="J54" s="1526"/>
      <c r="K54" s="1526"/>
      <c r="L54" s="1526"/>
      <c r="M54" s="1526"/>
      <c r="N54" s="1526"/>
      <c r="O54" s="1529"/>
    </row>
    <row r="55" spans="1:15" s="1523" customFormat="1" ht="16.8" x14ac:dyDescent="0.15">
      <c r="A55" s="1538"/>
      <c r="B55" s="1525" t="s">
        <v>1625</v>
      </c>
      <c r="C55" s="1526"/>
      <c r="D55" s="1527"/>
      <c r="E55" s="1527"/>
      <c r="F55" s="1526"/>
      <c r="G55" s="1526">
        <v>115000</v>
      </c>
      <c r="H55" s="1882"/>
      <c r="I55" s="1882"/>
      <c r="J55" s="1526"/>
      <c r="K55" s="1526"/>
      <c r="L55" s="1526"/>
      <c r="M55" s="1526"/>
      <c r="N55" s="1526"/>
      <c r="O55" s="1529"/>
    </row>
    <row r="56" spans="1:15" s="1523" customFormat="1" ht="8.4" x14ac:dyDescent="0.15">
      <c r="A56" s="1524"/>
      <c r="B56" s="1525" t="s">
        <v>1626</v>
      </c>
      <c r="C56" s="1526"/>
      <c r="D56" s="1527"/>
      <c r="E56" s="1527"/>
      <c r="F56" s="1526"/>
      <c r="G56" s="1526">
        <v>2300000</v>
      </c>
      <c r="H56" s="1882"/>
      <c r="I56" s="1882"/>
      <c r="J56" s="1526"/>
      <c r="K56" s="1526"/>
      <c r="L56" s="1526"/>
      <c r="M56" s="1526"/>
      <c r="N56" s="1526"/>
      <c r="O56" s="1529"/>
    </row>
    <row r="57" spans="1:15" s="1523" customFormat="1" ht="16.8" x14ac:dyDescent="0.15">
      <c r="A57" s="1524"/>
      <c r="B57" s="1525" t="s">
        <v>1627</v>
      </c>
      <c r="C57" s="1526"/>
      <c r="D57" s="1527"/>
      <c r="E57" s="1527"/>
      <c r="F57" s="1526"/>
      <c r="G57" s="1526">
        <v>500000</v>
      </c>
      <c r="H57" s="1882"/>
      <c r="I57" s="1882"/>
      <c r="J57" s="1526"/>
      <c r="K57" s="1526"/>
      <c r="L57" s="1526"/>
      <c r="M57" s="1526"/>
      <c r="N57" s="1526"/>
      <c r="O57" s="1529"/>
    </row>
    <row r="58" spans="1:15" s="1523" customFormat="1" ht="16.8" x14ac:dyDescent="0.15">
      <c r="A58" s="1524"/>
      <c r="B58" s="1525" t="s">
        <v>1628</v>
      </c>
      <c r="C58" s="1526"/>
      <c r="D58" s="1527"/>
      <c r="E58" s="1527"/>
      <c r="F58" s="1526"/>
      <c r="G58" s="1526">
        <v>350000</v>
      </c>
      <c r="H58" s="1882"/>
      <c r="I58" s="1882"/>
      <c r="J58" s="1526"/>
      <c r="K58" s="1526"/>
      <c r="L58" s="1526"/>
      <c r="M58" s="1526"/>
      <c r="N58" s="1526"/>
      <c r="O58" s="1529"/>
    </row>
    <row r="59" spans="1:15" s="1523" customFormat="1" ht="8.4" x14ac:dyDescent="0.15">
      <c r="A59" s="1524"/>
      <c r="B59" s="1525" t="s">
        <v>1629</v>
      </c>
      <c r="C59" s="1526"/>
      <c r="D59" s="1527"/>
      <c r="E59" s="1527"/>
      <c r="F59" s="1526"/>
      <c r="G59" s="1526">
        <v>130000</v>
      </c>
      <c r="H59" s="1882"/>
      <c r="I59" s="1882"/>
      <c r="J59" s="1526"/>
      <c r="K59" s="1526"/>
      <c r="L59" s="1526"/>
      <c r="M59" s="1526"/>
      <c r="N59" s="1526"/>
      <c r="O59" s="1529"/>
    </row>
    <row r="60" spans="1:15" s="1523" customFormat="1" ht="25.2" x14ac:dyDescent="0.15">
      <c r="A60" s="1538"/>
      <c r="B60" s="1525" t="s">
        <v>1630</v>
      </c>
      <c r="C60" s="1526"/>
      <c r="D60" s="1527"/>
      <c r="E60" s="1527"/>
      <c r="F60" s="1526"/>
      <c r="G60" s="1526">
        <v>110000</v>
      </c>
      <c r="H60" s="1882"/>
      <c r="I60" s="1882"/>
      <c r="J60" s="1526"/>
      <c r="K60" s="1526"/>
      <c r="L60" s="1526"/>
      <c r="M60" s="1526"/>
      <c r="N60" s="1526"/>
      <c r="O60" s="1529"/>
    </row>
    <row r="61" spans="1:15" s="1523" customFormat="1" ht="8.4" x14ac:dyDescent="0.15">
      <c r="A61" s="1538" t="s">
        <v>1631</v>
      </c>
      <c r="B61" s="1525" t="s">
        <v>1632</v>
      </c>
      <c r="C61" s="1526"/>
      <c r="D61" s="1527"/>
      <c r="E61" s="1527"/>
      <c r="F61" s="1526"/>
      <c r="G61" s="1526">
        <v>30000</v>
      </c>
      <c r="H61" s="1882"/>
      <c r="I61" s="1882"/>
      <c r="J61" s="1526"/>
      <c r="K61" s="1526"/>
      <c r="L61" s="1526"/>
      <c r="M61" s="1526"/>
      <c r="N61" s="1526"/>
      <c r="O61" s="1529"/>
    </row>
    <row r="62" spans="1:15" s="1523" customFormat="1" ht="16.8" x14ac:dyDescent="0.15">
      <c r="A62" s="1538"/>
      <c r="B62" s="1525" t="s">
        <v>1633</v>
      </c>
      <c r="C62" s="1526"/>
      <c r="D62" s="1527"/>
      <c r="E62" s="1527"/>
      <c r="F62" s="1526"/>
      <c r="G62" s="1526">
        <v>500000</v>
      </c>
      <c r="H62" s="1882"/>
      <c r="I62" s="1882"/>
      <c r="J62" s="1526"/>
      <c r="K62" s="1526"/>
      <c r="L62" s="1526"/>
      <c r="M62" s="1526"/>
      <c r="N62" s="1526"/>
      <c r="O62" s="1529"/>
    </row>
    <row r="63" spans="1:15" s="1523" customFormat="1" ht="8.4" x14ac:dyDescent="0.15">
      <c r="A63" s="1538"/>
      <c r="B63" s="1525" t="s">
        <v>1634</v>
      </c>
      <c r="C63" s="1526"/>
      <c r="D63" s="1527"/>
      <c r="E63" s="1527"/>
      <c r="F63" s="1526"/>
      <c r="G63" s="1526">
        <v>442000</v>
      </c>
      <c r="H63" s="1882"/>
      <c r="I63" s="1882"/>
      <c r="J63" s="1526"/>
      <c r="K63" s="1526"/>
      <c r="L63" s="1526"/>
      <c r="M63" s="1526"/>
      <c r="N63" s="1526"/>
      <c r="O63" s="1529"/>
    </row>
    <row r="64" spans="1:15" s="1523" customFormat="1" ht="8.4" x14ac:dyDescent="0.15">
      <c r="A64" s="1524"/>
      <c r="B64" s="1535" t="s">
        <v>1635</v>
      </c>
      <c r="C64" s="1526"/>
      <c r="D64" s="1527"/>
      <c r="E64" s="1527"/>
      <c r="F64" s="1526"/>
      <c r="G64" s="1526">
        <v>14000000</v>
      </c>
      <c r="H64" s="1882"/>
      <c r="I64" s="1882"/>
      <c r="J64" s="1526"/>
      <c r="K64" s="1526"/>
      <c r="L64" s="1526"/>
      <c r="M64" s="1526"/>
      <c r="N64" s="1526"/>
      <c r="O64" s="1529"/>
    </row>
    <row r="65" spans="1:15" s="1523" customFormat="1" ht="25.2" x14ac:dyDescent="0.15">
      <c r="A65" s="1534"/>
      <c r="B65" s="1541" t="s">
        <v>1636</v>
      </c>
      <c r="C65" s="1526"/>
      <c r="D65" s="1527"/>
      <c r="E65" s="1527"/>
      <c r="F65" s="1526"/>
      <c r="G65" s="1526">
        <v>14500000</v>
      </c>
      <c r="H65" s="1882"/>
      <c r="I65" s="1882"/>
      <c r="J65" s="1526"/>
      <c r="K65" s="1526"/>
      <c r="L65" s="1526"/>
      <c r="M65" s="1526"/>
      <c r="N65" s="1526"/>
      <c r="O65" s="1529"/>
    </row>
    <row r="66" spans="1:15" s="1523" customFormat="1" ht="25.2" x14ac:dyDescent="0.15">
      <c r="A66" s="1534"/>
      <c r="B66" s="1541" t="s">
        <v>1637</v>
      </c>
      <c r="C66" s="1526"/>
      <c r="D66" s="1527"/>
      <c r="E66" s="1527"/>
      <c r="F66" s="1526"/>
      <c r="G66" s="1526">
        <v>16000000</v>
      </c>
      <c r="H66" s="1882"/>
      <c r="I66" s="1882"/>
      <c r="J66" s="1526"/>
      <c r="K66" s="1526"/>
      <c r="L66" s="1526"/>
      <c r="M66" s="1526"/>
      <c r="N66" s="1526"/>
      <c r="O66" s="1529"/>
    </row>
    <row r="67" spans="1:15" s="1523" customFormat="1" ht="8.4" x14ac:dyDescent="0.15">
      <c r="A67" s="1534"/>
      <c r="B67" s="1541" t="s">
        <v>1638</v>
      </c>
      <c r="C67" s="1526"/>
      <c r="D67" s="1527"/>
      <c r="E67" s="1527"/>
      <c r="F67" s="1526"/>
      <c r="G67" s="1542"/>
      <c r="H67" s="1882"/>
      <c r="I67" s="1882"/>
      <c r="J67" s="1526">
        <v>500000</v>
      </c>
      <c r="K67" s="1526"/>
      <c r="L67" s="1526"/>
      <c r="M67" s="1526"/>
      <c r="N67" s="1526"/>
      <c r="O67" s="1529"/>
    </row>
    <row r="68" spans="1:15" s="1523" customFormat="1" ht="8.4" x14ac:dyDescent="0.15">
      <c r="A68" s="1538"/>
      <c r="B68" s="1541" t="s">
        <v>1639</v>
      </c>
      <c r="C68" s="1526"/>
      <c r="D68" s="1527"/>
      <c r="E68" s="1527"/>
      <c r="F68" s="1526"/>
      <c r="G68" s="1542"/>
      <c r="H68" s="1882"/>
      <c r="I68" s="1882"/>
      <c r="J68" s="1526">
        <v>300000</v>
      </c>
      <c r="K68" s="1526"/>
      <c r="L68" s="1526"/>
      <c r="M68" s="1526"/>
      <c r="N68" s="1526"/>
      <c r="O68" s="1529"/>
    </row>
    <row r="69" spans="1:15" s="1523" customFormat="1" ht="8.4" x14ac:dyDescent="0.15">
      <c r="A69" s="1538"/>
      <c r="B69" s="1541" t="s">
        <v>1640</v>
      </c>
      <c r="C69" s="1526"/>
      <c r="D69" s="1527"/>
      <c r="E69" s="1527"/>
      <c r="F69" s="1526"/>
      <c r="G69" s="1542"/>
      <c r="H69" s="1882"/>
      <c r="I69" s="1882"/>
      <c r="J69" s="1526">
        <v>4000000</v>
      </c>
      <c r="K69" s="1526"/>
      <c r="L69" s="1526"/>
      <c r="M69" s="1526"/>
      <c r="N69" s="1526"/>
      <c r="O69" s="1529"/>
    </row>
    <row r="70" spans="1:15" s="1523" customFormat="1" ht="8.4" x14ac:dyDescent="0.15">
      <c r="A70" s="1538"/>
      <c r="B70" s="1541" t="s">
        <v>1641</v>
      </c>
      <c r="C70" s="1526"/>
      <c r="D70" s="1527"/>
      <c r="E70" s="1527"/>
      <c r="F70" s="1526"/>
      <c r="G70" s="1542"/>
      <c r="H70" s="1882"/>
      <c r="I70" s="1882"/>
      <c r="J70" s="1526">
        <v>800000</v>
      </c>
      <c r="K70" s="1526"/>
      <c r="L70" s="1526"/>
      <c r="M70" s="1526"/>
      <c r="N70" s="1526"/>
      <c r="O70" s="1529"/>
    </row>
    <row r="71" spans="1:15" s="1523" customFormat="1" ht="8.4" x14ac:dyDescent="0.15">
      <c r="A71" s="1543" t="s">
        <v>1642</v>
      </c>
      <c r="B71" s="1541" t="s">
        <v>1643</v>
      </c>
      <c r="C71" s="1526"/>
      <c r="D71" s="1527"/>
      <c r="E71" s="1527"/>
      <c r="F71" s="1526"/>
      <c r="G71" s="1542"/>
      <c r="H71" s="1882"/>
      <c r="I71" s="1882"/>
      <c r="J71" s="1526">
        <v>1237135</v>
      </c>
      <c r="K71" s="1526"/>
      <c r="L71" s="1526"/>
      <c r="M71" s="1526"/>
      <c r="N71" s="1526"/>
      <c r="O71" s="1529"/>
    </row>
    <row r="72" spans="1:15" s="1523" customFormat="1" ht="8.4" x14ac:dyDescent="0.15">
      <c r="A72" s="1543"/>
      <c r="B72" s="1544" t="s">
        <v>1644</v>
      </c>
      <c r="C72" s="1526"/>
      <c r="D72" s="1527"/>
      <c r="E72" s="1527"/>
      <c r="F72" s="1526"/>
      <c r="G72" s="1542"/>
      <c r="H72" s="1882"/>
      <c r="I72" s="1882"/>
      <c r="J72" s="1526">
        <v>123715</v>
      </c>
      <c r="K72" s="1526"/>
      <c r="L72" s="1526"/>
      <c r="M72" s="1526"/>
      <c r="N72" s="1526"/>
      <c r="O72" s="1529"/>
    </row>
    <row r="73" spans="1:15" s="1523" customFormat="1" ht="8.4" x14ac:dyDescent="0.15">
      <c r="A73" s="1543"/>
      <c r="B73" s="1541" t="s">
        <v>1643</v>
      </c>
      <c r="C73" s="1526"/>
      <c r="D73" s="1527"/>
      <c r="E73" s="1527"/>
      <c r="F73" s="1526"/>
      <c r="G73" s="1542"/>
      <c r="H73" s="1882"/>
      <c r="I73" s="1882"/>
      <c r="J73" s="1526">
        <v>34095</v>
      </c>
      <c r="K73" s="1526"/>
      <c r="L73" s="1526"/>
      <c r="M73" s="1526"/>
      <c r="N73" s="1526"/>
      <c r="O73" s="1529"/>
    </row>
    <row r="74" spans="1:15" s="1523" customFormat="1" ht="8.4" x14ac:dyDescent="0.15">
      <c r="A74" s="1543"/>
      <c r="B74" s="1536" t="s">
        <v>1645</v>
      </c>
      <c r="C74" s="1526"/>
      <c r="D74" s="1527"/>
      <c r="E74" s="1527"/>
      <c r="F74" s="1526"/>
      <c r="G74" s="1542"/>
      <c r="H74" s="1882"/>
      <c r="I74" s="1882"/>
      <c r="J74" s="1526">
        <v>1705</v>
      </c>
      <c r="K74" s="1526"/>
      <c r="L74" s="1526"/>
      <c r="M74" s="1526"/>
      <c r="N74" s="1526"/>
      <c r="O74" s="1529"/>
    </row>
    <row r="75" spans="1:15" s="1523" customFormat="1" ht="8.4" x14ac:dyDescent="0.15">
      <c r="A75" s="1534"/>
      <c r="B75" s="1541" t="s">
        <v>1646</v>
      </c>
      <c r="C75" s="1526"/>
      <c r="D75" s="1527"/>
      <c r="E75" s="1527"/>
      <c r="F75" s="1526"/>
      <c r="G75" s="1526"/>
      <c r="H75" s="1882"/>
      <c r="I75" s="1882"/>
      <c r="J75" s="1526">
        <f>78000000-38400000</f>
        <v>39600000</v>
      </c>
      <c r="K75" s="1526"/>
      <c r="L75" s="1526"/>
      <c r="M75" s="1526"/>
      <c r="N75" s="1526"/>
      <c r="O75" s="1529"/>
    </row>
    <row r="76" spans="1:15" s="1523" customFormat="1" ht="16.8" x14ac:dyDescent="0.15">
      <c r="A76" s="1534"/>
      <c r="B76" s="1541" t="s">
        <v>1647</v>
      </c>
      <c r="C76" s="1526"/>
      <c r="D76" s="1527"/>
      <c r="E76" s="1527"/>
      <c r="F76" s="1526"/>
      <c r="G76" s="1526"/>
      <c r="H76" s="1882"/>
      <c r="I76" s="1882"/>
      <c r="J76" s="1526">
        <v>67500000</v>
      </c>
      <c r="K76" s="1526"/>
      <c r="L76" s="1526"/>
      <c r="M76" s="1526"/>
      <c r="N76" s="1526"/>
      <c r="O76" s="1529"/>
    </row>
    <row r="77" spans="1:15" s="1523" customFormat="1" ht="8.4" x14ac:dyDescent="0.15">
      <c r="A77" s="1534"/>
      <c r="B77" s="1541" t="s">
        <v>1648</v>
      </c>
      <c r="C77" s="1526"/>
      <c r="D77" s="1527"/>
      <c r="E77" s="1527"/>
      <c r="F77" s="1526"/>
      <c r="G77" s="1526"/>
      <c r="H77" s="1882"/>
      <c r="I77" s="1882"/>
      <c r="J77" s="1526">
        <v>50550000</v>
      </c>
      <c r="K77" s="1526"/>
      <c r="L77" s="1526"/>
      <c r="M77" s="1526"/>
      <c r="N77" s="1526"/>
      <c r="O77" s="1529"/>
    </row>
    <row r="78" spans="1:15" s="1523" customFormat="1" ht="8.4" x14ac:dyDescent="0.15">
      <c r="A78" s="1524" t="s">
        <v>1649</v>
      </c>
      <c r="B78" s="1525" t="s">
        <v>1650</v>
      </c>
      <c r="C78" s="1526"/>
      <c r="D78" s="1527"/>
      <c r="E78" s="1527"/>
      <c r="F78" s="1526"/>
      <c r="G78" s="1136"/>
      <c r="H78" s="1882"/>
      <c r="I78" s="1882"/>
      <c r="J78" s="1526"/>
      <c r="K78" s="1526">
        <v>367000</v>
      </c>
      <c r="L78" s="1526"/>
      <c r="M78" s="1526"/>
      <c r="N78" s="1526"/>
      <c r="O78" s="1529"/>
    </row>
    <row r="79" spans="1:15" s="1523" customFormat="1" ht="8.4" x14ac:dyDescent="0.15">
      <c r="A79" s="1538"/>
      <c r="B79" s="1525" t="s">
        <v>1651</v>
      </c>
      <c r="C79" s="1526"/>
      <c r="D79" s="1527"/>
      <c r="E79" s="1527"/>
      <c r="F79" s="1526"/>
      <c r="G79" s="1136"/>
      <c r="H79" s="1882"/>
      <c r="I79" s="1882"/>
      <c r="J79" s="1526"/>
      <c r="K79" s="1526">
        <v>574000</v>
      </c>
      <c r="L79" s="1526"/>
      <c r="M79" s="1526"/>
      <c r="N79" s="1526"/>
      <c r="O79" s="1529"/>
    </row>
    <row r="80" spans="1:15" s="1523" customFormat="1" ht="8.4" x14ac:dyDescent="0.15">
      <c r="A80" s="1538" t="s">
        <v>1649</v>
      </c>
      <c r="B80" s="1525" t="s">
        <v>1652</v>
      </c>
      <c r="C80" s="1526"/>
      <c r="D80" s="1527"/>
      <c r="E80" s="1527"/>
      <c r="F80" s="1526"/>
      <c r="G80" s="1136"/>
      <c r="H80" s="1882"/>
      <c r="I80" s="1882"/>
      <c r="J80" s="1526"/>
      <c r="K80" s="1526">
        <v>500000</v>
      </c>
      <c r="L80" s="1526"/>
      <c r="M80" s="1526"/>
      <c r="N80" s="1526"/>
      <c r="O80" s="1529"/>
    </row>
    <row r="81" spans="1:15" s="1523" customFormat="1" ht="8.4" x14ac:dyDescent="0.15">
      <c r="A81" s="1538"/>
      <c r="B81" s="1525" t="s">
        <v>1653</v>
      </c>
      <c r="C81" s="1526"/>
      <c r="D81" s="1527"/>
      <c r="E81" s="1527"/>
      <c r="F81" s="1526"/>
      <c r="G81" s="1136"/>
      <c r="H81" s="1882"/>
      <c r="I81" s="1882"/>
      <c r="J81" s="1526"/>
      <c r="K81" s="1526">
        <v>200000</v>
      </c>
      <c r="L81" s="1526"/>
      <c r="M81" s="1526"/>
      <c r="N81" s="1526"/>
      <c r="O81" s="1529"/>
    </row>
    <row r="82" spans="1:15" s="1523" customFormat="1" ht="8.4" x14ac:dyDescent="0.15">
      <c r="A82" s="1538"/>
      <c r="B82" s="1525" t="s">
        <v>1654</v>
      </c>
      <c r="C82" s="1526"/>
      <c r="D82" s="1527"/>
      <c r="E82" s="1527"/>
      <c r="F82" s="1526"/>
      <c r="G82" s="1136"/>
      <c r="H82" s="1882"/>
      <c r="I82" s="1882"/>
      <c r="J82" s="1526"/>
      <c r="K82" s="1526">
        <v>250000</v>
      </c>
      <c r="L82" s="1526"/>
      <c r="M82" s="1526"/>
      <c r="N82" s="1526"/>
      <c r="O82" s="1529"/>
    </row>
    <row r="83" spans="1:15" s="1523" customFormat="1" ht="8.4" x14ac:dyDescent="0.15">
      <c r="A83" s="1524"/>
      <c r="B83" s="1525" t="s">
        <v>1655</v>
      </c>
      <c r="C83" s="1526"/>
      <c r="D83" s="1527"/>
      <c r="E83" s="1527"/>
      <c r="F83" s="1526"/>
      <c r="G83" s="1136"/>
      <c r="H83" s="1882"/>
      <c r="I83" s="1882"/>
      <c r="J83" s="1526"/>
      <c r="K83" s="1526">
        <v>240000</v>
      </c>
      <c r="L83" s="1526"/>
      <c r="M83" s="1526"/>
      <c r="N83" s="1526"/>
      <c r="O83" s="1529"/>
    </row>
    <row r="84" spans="1:15" s="1523" customFormat="1" ht="8.4" x14ac:dyDescent="0.15">
      <c r="A84" s="1524"/>
      <c r="B84" s="1525" t="s">
        <v>1656</v>
      </c>
      <c r="C84" s="1526"/>
      <c r="D84" s="1527"/>
      <c r="E84" s="1527"/>
      <c r="F84" s="1526"/>
      <c r="G84" s="1136"/>
      <c r="H84" s="1882"/>
      <c r="I84" s="1882"/>
      <c r="J84" s="1526"/>
      <c r="K84" s="1526">
        <v>500000</v>
      </c>
      <c r="L84" s="1526"/>
      <c r="M84" s="1526"/>
      <c r="N84" s="1526"/>
      <c r="O84" s="1529"/>
    </row>
    <row r="85" spans="1:15" s="1523" customFormat="1" ht="8.4" x14ac:dyDescent="0.15">
      <c r="A85" s="1524"/>
      <c r="B85" s="1525" t="s">
        <v>1657</v>
      </c>
      <c r="C85" s="1526"/>
      <c r="D85" s="1527"/>
      <c r="E85" s="1527"/>
      <c r="F85" s="1526"/>
      <c r="G85" s="1136"/>
      <c r="H85" s="1882"/>
      <c r="I85" s="1882"/>
      <c r="J85" s="1526">
        <v>20000000</v>
      </c>
      <c r="K85" s="1526"/>
      <c r="L85" s="1526"/>
      <c r="M85" s="1526"/>
      <c r="N85" s="1526"/>
      <c r="O85" s="1529"/>
    </row>
    <row r="86" spans="1:15" s="1523" customFormat="1" ht="16.8" x14ac:dyDescent="0.15">
      <c r="A86" s="1534" t="s">
        <v>1658</v>
      </c>
      <c r="B86" s="1545" t="s">
        <v>1659</v>
      </c>
      <c r="C86" s="1526"/>
      <c r="D86" s="1527"/>
      <c r="E86" s="1527"/>
      <c r="F86" s="1526"/>
      <c r="G86" s="1526"/>
      <c r="H86" s="1882"/>
      <c r="I86" s="1882"/>
      <c r="J86" s="1526">
        <v>14000000</v>
      </c>
      <c r="K86" s="1526"/>
      <c r="L86" s="1526"/>
      <c r="M86" s="1526"/>
      <c r="N86" s="1526"/>
      <c r="O86" s="1529"/>
    </row>
    <row r="87" spans="1:15" s="1523" customFormat="1" ht="8.4" x14ac:dyDescent="0.15">
      <c r="A87" s="1534"/>
      <c r="B87" s="1525" t="s">
        <v>1660</v>
      </c>
      <c r="C87" s="1526"/>
      <c r="D87" s="1527"/>
      <c r="E87" s="1527"/>
      <c r="F87" s="1526"/>
      <c r="G87" s="1526"/>
      <c r="H87" s="1882"/>
      <c r="I87" s="1882"/>
      <c r="J87" s="1526"/>
      <c r="K87" s="1526">
        <v>30000000</v>
      </c>
      <c r="L87" s="1526"/>
      <c r="M87" s="1526"/>
      <c r="N87" s="1526"/>
      <c r="O87" s="1529"/>
    </row>
    <row r="88" spans="1:15" s="1523" customFormat="1" ht="16.8" x14ac:dyDescent="0.15">
      <c r="A88" s="1534" t="s">
        <v>1661</v>
      </c>
      <c r="B88" s="1541" t="s">
        <v>1662</v>
      </c>
      <c r="C88" s="1526">
        <v>4000000</v>
      </c>
      <c r="D88" s="1527"/>
      <c r="E88" s="1527"/>
      <c r="F88" s="1526"/>
      <c r="G88" s="1526"/>
      <c r="H88" s="1882"/>
      <c r="I88" s="1882"/>
      <c r="J88" s="1526"/>
      <c r="K88" s="1526"/>
      <c r="L88" s="1526"/>
      <c r="M88" s="1526"/>
      <c r="N88" s="1526"/>
      <c r="O88" s="1529"/>
    </row>
    <row r="89" spans="1:15" s="1523" customFormat="1" ht="16.8" x14ac:dyDescent="0.15">
      <c r="A89" s="1534"/>
      <c r="B89" s="1541" t="s">
        <v>1662</v>
      </c>
      <c r="C89" s="1526">
        <v>1500000</v>
      </c>
      <c r="D89" s="1527"/>
      <c r="E89" s="1527"/>
      <c r="F89" s="1526"/>
      <c r="G89" s="1526"/>
      <c r="H89" s="1882"/>
      <c r="I89" s="1882"/>
      <c r="J89" s="1526"/>
      <c r="K89" s="1526"/>
      <c r="L89" s="1526"/>
      <c r="M89" s="1526"/>
      <c r="N89" s="1526"/>
      <c r="O89" s="1529"/>
    </row>
    <row r="90" spans="1:15" s="1523" customFormat="1" ht="16.8" x14ac:dyDescent="0.15">
      <c r="A90" s="1534"/>
      <c r="B90" s="1541" t="s">
        <v>1662</v>
      </c>
      <c r="C90" s="1526">
        <v>1500000</v>
      </c>
      <c r="D90" s="1527"/>
      <c r="E90" s="1527"/>
      <c r="F90" s="1526"/>
      <c r="G90" s="1526"/>
      <c r="H90" s="1882"/>
      <c r="I90" s="1882"/>
      <c r="J90" s="1526"/>
      <c r="K90" s="1526"/>
      <c r="L90" s="1526"/>
      <c r="M90" s="1526"/>
      <c r="N90" s="1526"/>
      <c r="O90" s="1529"/>
    </row>
    <row r="91" spans="1:15" s="1523" customFormat="1" ht="16.8" x14ac:dyDescent="0.15">
      <c r="A91" s="1534"/>
      <c r="B91" s="1541" t="s">
        <v>1662</v>
      </c>
      <c r="C91" s="1526">
        <v>1500000</v>
      </c>
      <c r="D91" s="1527"/>
      <c r="E91" s="1527"/>
      <c r="F91" s="1526"/>
      <c r="G91" s="1526"/>
      <c r="H91" s="1882"/>
      <c r="I91" s="1882"/>
      <c r="J91" s="1526"/>
      <c r="K91" s="1526"/>
      <c r="L91" s="1526"/>
      <c r="M91" s="1526"/>
      <c r="N91" s="1526"/>
      <c r="O91" s="1529"/>
    </row>
    <row r="92" spans="1:15" s="1523" customFormat="1" ht="16.8" x14ac:dyDescent="0.15">
      <c r="A92" s="1534"/>
      <c r="B92" s="1541" t="s">
        <v>1662</v>
      </c>
      <c r="C92" s="1526">
        <v>500000</v>
      </c>
      <c r="D92" s="1527"/>
      <c r="E92" s="1527"/>
      <c r="F92" s="1526"/>
      <c r="G92" s="1526"/>
      <c r="H92" s="1882"/>
      <c r="I92" s="1882"/>
      <c r="J92" s="1526"/>
      <c r="K92" s="1526"/>
      <c r="L92" s="1526"/>
      <c r="M92" s="1526"/>
      <c r="N92" s="1526"/>
      <c r="O92" s="1529"/>
    </row>
    <row r="93" spans="1:15" s="1523" customFormat="1" ht="8.4" x14ac:dyDescent="0.15">
      <c r="A93" s="1534"/>
      <c r="B93" s="1546" t="s">
        <v>1663</v>
      </c>
      <c r="C93" s="1526">
        <v>250000</v>
      </c>
      <c r="D93" s="1527"/>
      <c r="E93" s="1527"/>
      <c r="F93" s="1526"/>
      <c r="G93" s="1526"/>
      <c r="H93" s="1882"/>
      <c r="I93" s="1882"/>
      <c r="J93" s="1526"/>
      <c r="K93" s="1526"/>
      <c r="L93" s="1526"/>
      <c r="M93" s="1526"/>
      <c r="N93" s="1526"/>
      <c r="O93" s="1529"/>
    </row>
    <row r="94" spans="1:15" s="1523" customFormat="1" ht="8.4" x14ac:dyDescent="0.15">
      <c r="A94" s="1534"/>
      <c r="B94" s="1541" t="s">
        <v>1664</v>
      </c>
      <c r="C94" s="1526">
        <v>100000</v>
      </c>
      <c r="D94" s="1527"/>
      <c r="E94" s="1527"/>
      <c r="F94" s="1526"/>
      <c r="G94" s="1526"/>
      <c r="H94" s="1882"/>
      <c r="I94" s="1882"/>
      <c r="J94" s="1526"/>
      <c r="K94" s="1526"/>
      <c r="L94" s="1526"/>
      <c r="M94" s="1526"/>
      <c r="N94" s="1526"/>
      <c r="O94" s="1529"/>
    </row>
    <row r="95" spans="1:15" s="1523" customFormat="1" ht="8.4" x14ac:dyDescent="0.15">
      <c r="A95" s="1534"/>
      <c r="B95" s="1541" t="s">
        <v>1664</v>
      </c>
      <c r="C95" s="1526">
        <v>150000</v>
      </c>
      <c r="D95" s="1527"/>
      <c r="E95" s="1527"/>
      <c r="F95" s="1526"/>
      <c r="G95" s="1526"/>
      <c r="H95" s="1882"/>
      <c r="I95" s="1882"/>
      <c r="J95" s="1526"/>
      <c r="K95" s="1526"/>
      <c r="L95" s="1526"/>
      <c r="M95" s="1526"/>
      <c r="N95" s="1526"/>
      <c r="O95" s="1529"/>
    </row>
    <row r="96" spans="1:15" s="1523" customFormat="1" ht="16.8" x14ac:dyDescent="0.15">
      <c r="A96" s="1534"/>
      <c r="B96" s="1541" t="s">
        <v>1665</v>
      </c>
      <c r="C96" s="1526">
        <v>400000</v>
      </c>
      <c r="D96" s="1527"/>
      <c r="E96" s="1527"/>
      <c r="F96" s="1526"/>
      <c r="G96" s="1526"/>
      <c r="H96" s="1882"/>
      <c r="I96" s="1882"/>
      <c r="J96" s="1526"/>
      <c r="K96" s="1526"/>
      <c r="L96" s="1526"/>
      <c r="M96" s="1526"/>
      <c r="N96" s="1526"/>
      <c r="O96" s="1529"/>
    </row>
    <row r="97" spans="1:15" s="1523" customFormat="1" ht="25.2" x14ac:dyDescent="0.15">
      <c r="A97" s="1534"/>
      <c r="B97" s="1541" t="s">
        <v>1666</v>
      </c>
      <c r="C97" s="1526">
        <v>840000</v>
      </c>
      <c r="D97" s="1527"/>
      <c r="E97" s="1527"/>
      <c r="F97" s="1526"/>
      <c r="G97" s="1526"/>
      <c r="H97" s="1882"/>
      <c r="I97" s="1882"/>
      <c r="J97" s="1526"/>
      <c r="K97" s="1526"/>
      <c r="L97" s="1526"/>
      <c r="M97" s="1526"/>
      <c r="N97" s="1526"/>
      <c r="O97" s="1529"/>
    </row>
    <row r="98" spans="1:15" s="1523" customFormat="1" ht="16.8" x14ac:dyDescent="0.15">
      <c r="A98" s="1534" t="s">
        <v>1667</v>
      </c>
      <c r="B98" s="1525" t="s">
        <v>1668</v>
      </c>
      <c r="C98" s="1526"/>
      <c r="D98" s="1527"/>
      <c r="E98" s="1527"/>
      <c r="F98" s="1526"/>
      <c r="G98" s="1526">
        <v>912000</v>
      </c>
      <c r="H98" s="1882"/>
      <c r="I98" s="1882"/>
      <c r="J98" s="1526"/>
      <c r="K98" s="1526"/>
      <c r="L98" s="1526"/>
      <c r="M98" s="1526"/>
      <c r="N98" s="1526"/>
      <c r="O98" s="1529"/>
    </row>
    <row r="99" spans="1:15" s="1523" customFormat="1" ht="8.4" x14ac:dyDescent="0.15">
      <c r="A99" s="1534" t="s">
        <v>1669</v>
      </c>
      <c r="B99" s="1540" t="s">
        <v>1670</v>
      </c>
      <c r="C99" s="1526"/>
      <c r="D99" s="1527"/>
      <c r="E99" s="1527"/>
      <c r="F99" s="1526"/>
      <c r="G99" s="1526">
        <v>550000</v>
      </c>
      <c r="H99" s="1882"/>
      <c r="I99" s="1882"/>
      <c r="J99" s="1526"/>
      <c r="K99" s="1526"/>
      <c r="L99" s="1526"/>
      <c r="M99" s="1526"/>
      <c r="N99" s="1526"/>
      <c r="O99" s="1529"/>
    </row>
    <row r="100" spans="1:15" s="1523" customFormat="1" ht="8.4" x14ac:dyDescent="0.15">
      <c r="A100" s="1534" t="s">
        <v>1669</v>
      </c>
      <c r="B100" s="1540" t="s">
        <v>1671</v>
      </c>
      <c r="C100" s="1526"/>
      <c r="D100" s="1527"/>
      <c r="E100" s="1527"/>
      <c r="F100" s="1526"/>
      <c r="G100" s="1526">
        <v>290000</v>
      </c>
      <c r="H100" s="1882"/>
      <c r="I100" s="1882"/>
      <c r="J100" s="1526"/>
      <c r="K100" s="1526"/>
      <c r="L100" s="1526"/>
      <c r="M100" s="1526"/>
      <c r="N100" s="1526"/>
      <c r="O100" s="1529"/>
    </row>
    <row r="101" spans="1:15" s="1523" customFormat="1" ht="8.4" x14ac:dyDescent="0.15">
      <c r="A101" s="1534"/>
      <c r="B101" s="1525" t="s">
        <v>1672</v>
      </c>
      <c r="C101" s="1526"/>
      <c r="D101" s="1527"/>
      <c r="E101" s="1527"/>
      <c r="F101" s="1526"/>
      <c r="G101" s="1526">
        <v>250000</v>
      </c>
      <c r="H101" s="1882"/>
      <c r="I101" s="1882"/>
      <c r="J101" s="1526"/>
      <c r="K101" s="1526"/>
      <c r="L101" s="1526"/>
      <c r="M101" s="1526"/>
      <c r="N101" s="1526"/>
      <c r="O101" s="1529"/>
    </row>
    <row r="102" spans="1:15" s="1523" customFormat="1" ht="8.4" x14ac:dyDescent="0.15">
      <c r="A102" s="1534" t="s">
        <v>1673</v>
      </c>
      <c r="B102" s="1525" t="s">
        <v>1674</v>
      </c>
      <c r="C102" s="1526"/>
      <c r="D102" s="1527"/>
      <c r="E102" s="1527"/>
      <c r="F102" s="1526"/>
      <c r="G102" s="1526">
        <v>117000</v>
      </c>
      <c r="H102" s="1882"/>
      <c r="I102" s="1882"/>
      <c r="J102" s="1526"/>
      <c r="K102" s="1526"/>
      <c r="L102" s="1526"/>
      <c r="M102" s="1526"/>
      <c r="N102" s="1526"/>
      <c r="O102" s="1529"/>
    </row>
    <row r="103" spans="1:15" s="1523" customFormat="1" ht="8.4" x14ac:dyDescent="0.15">
      <c r="A103" s="1534" t="s">
        <v>1675</v>
      </c>
      <c r="B103" s="1525" t="s">
        <v>1676</v>
      </c>
      <c r="C103" s="1526"/>
      <c r="D103" s="1527"/>
      <c r="E103" s="1527"/>
      <c r="F103" s="1526"/>
      <c r="G103" s="1526">
        <v>146000</v>
      </c>
      <c r="H103" s="1882"/>
      <c r="I103" s="1882"/>
      <c r="J103" s="1526"/>
      <c r="K103" s="1526"/>
      <c r="L103" s="1526"/>
      <c r="M103" s="1526"/>
      <c r="N103" s="1526"/>
      <c r="O103" s="1529"/>
    </row>
    <row r="104" spans="1:15" s="1523" customFormat="1" ht="8.4" x14ac:dyDescent="0.15">
      <c r="A104" s="1534"/>
      <c r="B104" s="1525" t="s">
        <v>1677</v>
      </c>
      <c r="C104" s="1526"/>
      <c r="D104" s="1527"/>
      <c r="E104" s="1527"/>
      <c r="F104" s="1526"/>
      <c r="G104" s="1526">
        <v>130000</v>
      </c>
      <c r="H104" s="1882"/>
      <c r="I104" s="1882"/>
      <c r="J104" s="1526"/>
      <c r="K104" s="1526"/>
      <c r="L104" s="1526"/>
      <c r="M104" s="1526"/>
      <c r="N104" s="1526"/>
      <c r="O104" s="1529"/>
    </row>
    <row r="105" spans="1:15" s="1523" customFormat="1" ht="8.4" x14ac:dyDescent="0.15">
      <c r="A105" s="1534"/>
      <c r="B105" s="1525" t="s">
        <v>1678</v>
      </c>
      <c r="C105" s="1526"/>
      <c r="D105" s="1527"/>
      <c r="E105" s="1527"/>
      <c r="F105" s="1526"/>
      <c r="G105" s="1526">
        <v>500000</v>
      </c>
      <c r="H105" s="1882"/>
      <c r="I105" s="1882"/>
      <c r="J105" s="1526"/>
      <c r="K105" s="1526"/>
      <c r="L105" s="1526"/>
      <c r="M105" s="1526"/>
      <c r="N105" s="1526"/>
      <c r="O105" s="1529"/>
    </row>
    <row r="106" spans="1:15" s="1523" customFormat="1" ht="8.4" x14ac:dyDescent="0.15">
      <c r="A106" s="1547" t="s">
        <v>1679</v>
      </c>
      <c r="B106" s="1525" t="s">
        <v>1680</v>
      </c>
      <c r="C106" s="1526"/>
      <c r="D106" s="1527"/>
      <c r="E106" s="1527"/>
      <c r="F106" s="1526"/>
      <c r="G106" s="1526">
        <v>147000</v>
      </c>
      <c r="H106" s="1882"/>
      <c r="I106" s="1882"/>
      <c r="J106" s="1526"/>
      <c r="K106" s="1526"/>
      <c r="L106" s="1526"/>
      <c r="M106" s="1526"/>
      <c r="N106" s="1526"/>
      <c r="O106" s="1529"/>
    </row>
    <row r="107" spans="1:15" s="1523" customFormat="1" ht="8.4" x14ac:dyDescent="0.15">
      <c r="A107" s="1534" t="s">
        <v>1681</v>
      </c>
      <c r="B107" s="1525" t="s">
        <v>1682</v>
      </c>
      <c r="C107" s="1526"/>
      <c r="D107" s="1527"/>
      <c r="E107" s="1527"/>
      <c r="F107" s="1526"/>
      <c r="G107" s="1526">
        <v>189000</v>
      </c>
      <c r="H107" s="1882"/>
      <c r="I107" s="1882"/>
      <c r="J107" s="1526"/>
      <c r="K107" s="1526"/>
      <c r="L107" s="1526"/>
      <c r="M107" s="1526"/>
      <c r="N107" s="1526"/>
      <c r="O107" s="1529"/>
    </row>
    <row r="108" spans="1:15" s="1523" customFormat="1" ht="8.4" x14ac:dyDescent="0.15">
      <c r="A108" s="1534"/>
      <c r="B108" s="1525" t="s">
        <v>1683</v>
      </c>
      <c r="C108" s="1526"/>
      <c r="D108" s="1527"/>
      <c r="E108" s="1527"/>
      <c r="F108" s="1526"/>
      <c r="G108" s="1526">
        <v>250000</v>
      </c>
      <c r="H108" s="1882"/>
      <c r="I108" s="1882"/>
      <c r="J108" s="1526"/>
      <c r="K108" s="1526"/>
      <c r="L108" s="1526"/>
      <c r="M108" s="1526"/>
      <c r="N108" s="1526"/>
      <c r="O108" s="1529"/>
    </row>
    <row r="109" spans="1:15" s="1523" customFormat="1" ht="8.4" x14ac:dyDescent="0.15">
      <c r="A109" s="1534"/>
      <c r="B109" s="1525" t="s">
        <v>1684</v>
      </c>
      <c r="C109" s="1526"/>
      <c r="D109" s="1527"/>
      <c r="E109" s="1527"/>
      <c r="F109" s="1526"/>
      <c r="G109" s="1526">
        <v>110000</v>
      </c>
      <c r="H109" s="1882"/>
      <c r="I109" s="1882"/>
      <c r="J109" s="1526"/>
      <c r="K109" s="1526"/>
      <c r="L109" s="1526"/>
      <c r="M109" s="1526"/>
      <c r="N109" s="1526"/>
      <c r="O109" s="1529"/>
    </row>
    <row r="110" spans="1:15" s="1523" customFormat="1" ht="8.4" x14ac:dyDescent="0.15">
      <c r="A110" s="1534"/>
      <c r="B110" s="1525" t="s">
        <v>1685</v>
      </c>
      <c r="C110" s="1526"/>
      <c r="D110" s="1527"/>
      <c r="E110" s="1527"/>
      <c r="F110" s="1526"/>
      <c r="G110" s="1526">
        <v>1300000</v>
      </c>
      <c r="H110" s="1882"/>
      <c r="I110" s="1882"/>
      <c r="J110" s="1526"/>
      <c r="K110" s="1526"/>
      <c r="L110" s="1526"/>
      <c r="M110" s="1526"/>
      <c r="N110" s="1526"/>
      <c r="O110" s="1529"/>
    </row>
    <row r="111" spans="1:15" s="1523" customFormat="1" ht="8.4" x14ac:dyDescent="0.15">
      <c r="A111" s="1534"/>
      <c r="B111" s="1525" t="s">
        <v>1686</v>
      </c>
      <c r="C111" s="1526"/>
      <c r="D111" s="1527"/>
      <c r="E111" s="1527"/>
      <c r="F111" s="1526"/>
      <c r="G111" s="1526">
        <v>500000</v>
      </c>
      <c r="H111" s="1882"/>
      <c r="I111" s="1882"/>
      <c r="J111" s="1526"/>
      <c r="K111" s="1526"/>
      <c r="L111" s="1526"/>
      <c r="M111" s="1526"/>
      <c r="N111" s="1526"/>
      <c r="O111" s="1529"/>
    </row>
    <row r="112" spans="1:15" s="1523" customFormat="1" ht="8.4" x14ac:dyDescent="0.15">
      <c r="A112" s="1534" t="s">
        <v>1661</v>
      </c>
      <c r="B112" s="1525" t="s">
        <v>1687</v>
      </c>
      <c r="C112" s="1526"/>
      <c r="D112" s="1527"/>
      <c r="E112" s="1527"/>
      <c r="F112" s="1526"/>
      <c r="G112" s="1526">
        <v>1300000</v>
      </c>
      <c r="H112" s="1882"/>
      <c r="I112" s="1882"/>
      <c r="J112" s="1526"/>
      <c r="K112" s="1526"/>
      <c r="L112" s="1526"/>
      <c r="M112" s="1526"/>
      <c r="N112" s="1526"/>
      <c r="O112" s="1529"/>
    </row>
    <row r="113" spans="1:15" s="1523" customFormat="1" ht="16.8" x14ac:dyDescent="0.15">
      <c r="A113" s="1534"/>
      <c r="B113" s="1525" t="s">
        <v>1688</v>
      </c>
      <c r="C113" s="1526"/>
      <c r="D113" s="1527"/>
      <c r="E113" s="1527"/>
      <c r="F113" s="1526"/>
      <c r="G113" s="1526">
        <v>2000000</v>
      </c>
      <c r="H113" s="1882"/>
      <c r="I113" s="1882"/>
      <c r="J113" s="1526"/>
      <c r="K113" s="1526"/>
      <c r="L113" s="1526"/>
      <c r="M113" s="1526"/>
      <c r="N113" s="1526"/>
      <c r="O113" s="1529"/>
    </row>
    <row r="114" spans="1:15" s="1523" customFormat="1" ht="8.4" x14ac:dyDescent="0.15">
      <c r="A114" s="1534"/>
      <c r="B114" s="1525" t="s">
        <v>1689</v>
      </c>
      <c r="C114" s="1526"/>
      <c r="D114" s="1527"/>
      <c r="E114" s="1527"/>
      <c r="F114" s="1526"/>
      <c r="G114" s="1526">
        <v>500000</v>
      </c>
      <c r="H114" s="1882"/>
      <c r="I114" s="1882"/>
      <c r="J114" s="1526"/>
      <c r="K114" s="1526"/>
      <c r="L114" s="1526"/>
      <c r="M114" s="1526"/>
      <c r="N114" s="1526"/>
      <c r="O114" s="1529"/>
    </row>
    <row r="115" spans="1:15" s="1523" customFormat="1" ht="8.4" x14ac:dyDescent="0.15">
      <c r="A115" s="1534"/>
      <c r="B115" s="1525" t="s">
        <v>1690</v>
      </c>
      <c r="C115" s="1526"/>
      <c r="D115" s="1527"/>
      <c r="E115" s="1527"/>
      <c r="F115" s="1526"/>
      <c r="G115" s="1526">
        <v>200000</v>
      </c>
      <c r="H115" s="1882"/>
      <c r="I115" s="1882"/>
      <c r="J115" s="1526"/>
      <c r="K115" s="1526"/>
      <c r="L115" s="1526"/>
      <c r="M115" s="1526"/>
      <c r="N115" s="1526"/>
      <c r="O115" s="1529"/>
    </row>
    <row r="116" spans="1:15" s="1523" customFormat="1" ht="8.4" x14ac:dyDescent="0.15">
      <c r="A116" s="1534"/>
      <c r="B116" s="1525" t="s">
        <v>1691</v>
      </c>
      <c r="C116" s="1526"/>
      <c r="D116" s="1527"/>
      <c r="E116" s="1527"/>
      <c r="F116" s="1526"/>
      <c r="G116" s="1526">
        <v>500000</v>
      </c>
      <c r="H116" s="1882"/>
      <c r="I116" s="1882"/>
      <c r="J116" s="1526"/>
      <c r="K116" s="1526"/>
      <c r="L116" s="1526"/>
      <c r="M116" s="1526"/>
      <c r="N116" s="1526"/>
      <c r="O116" s="1529"/>
    </row>
    <row r="117" spans="1:15" s="1523" customFormat="1" ht="8.4" x14ac:dyDescent="0.15">
      <c r="A117" s="1534"/>
      <c r="B117" s="1525" t="s">
        <v>1533</v>
      </c>
      <c r="C117" s="1526"/>
      <c r="D117" s="1527"/>
      <c r="E117" s="1527"/>
      <c r="F117" s="1526"/>
      <c r="G117" s="1526">
        <v>380000</v>
      </c>
      <c r="H117" s="1882"/>
      <c r="I117" s="1882"/>
      <c r="J117" s="1526"/>
      <c r="K117" s="1526"/>
      <c r="L117" s="1526"/>
      <c r="M117" s="1526"/>
      <c r="N117" s="1526"/>
      <c r="O117" s="1529"/>
    </row>
    <row r="118" spans="1:15" s="1523" customFormat="1" ht="16.8" x14ac:dyDescent="0.15">
      <c r="A118" s="1534"/>
      <c r="B118" s="1525" t="s">
        <v>1692</v>
      </c>
      <c r="C118" s="1526"/>
      <c r="D118" s="1527"/>
      <c r="E118" s="1527"/>
      <c r="F118" s="1526"/>
      <c r="G118" s="1526">
        <v>205000</v>
      </c>
      <c r="H118" s="1882"/>
      <c r="I118" s="1882"/>
      <c r="J118" s="1526"/>
      <c r="K118" s="1526"/>
      <c r="L118" s="1526"/>
      <c r="M118" s="1526"/>
      <c r="N118" s="1526"/>
      <c r="O118" s="1529"/>
    </row>
    <row r="119" spans="1:15" s="1523" customFormat="1" ht="8.4" x14ac:dyDescent="0.15">
      <c r="A119" s="1534"/>
      <c r="B119" s="1525" t="s">
        <v>1693</v>
      </c>
      <c r="C119" s="1526"/>
      <c r="D119" s="1527"/>
      <c r="E119" s="1527"/>
      <c r="F119" s="1526"/>
      <c r="G119" s="1526">
        <v>115000</v>
      </c>
      <c r="H119" s="1882"/>
      <c r="I119" s="1882"/>
      <c r="J119" s="1526"/>
      <c r="K119" s="1526"/>
      <c r="L119" s="1526"/>
      <c r="M119" s="1526"/>
      <c r="N119" s="1526"/>
      <c r="O119" s="1529"/>
    </row>
    <row r="120" spans="1:15" s="1523" customFormat="1" ht="8.4" x14ac:dyDescent="0.15">
      <c r="A120" s="1534"/>
      <c r="B120" s="1525" t="s">
        <v>1694</v>
      </c>
      <c r="C120" s="1526"/>
      <c r="D120" s="1527"/>
      <c r="E120" s="1527"/>
      <c r="F120" s="1526"/>
      <c r="G120" s="1526">
        <v>380000</v>
      </c>
      <c r="H120" s="1882"/>
      <c r="I120" s="1882"/>
      <c r="J120" s="1526"/>
      <c r="K120" s="1526"/>
      <c r="L120" s="1526"/>
      <c r="M120" s="1526"/>
      <c r="N120" s="1526"/>
      <c r="O120" s="1529"/>
    </row>
    <row r="121" spans="1:15" s="1523" customFormat="1" ht="16.8" x14ac:dyDescent="0.15">
      <c r="A121" s="1534"/>
      <c r="B121" s="1525" t="s">
        <v>1695</v>
      </c>
      <c r="C121" s="1526"/>
      <c r="D121" s="1527"/>
      <c r="E121" s="1527"/>
      <c r="F121" s="1526"/>
      <c r="G121" s="1526">
        <v>150000</v>
      </c>
      <c r="H121" s="1882"/>
      <c r="I121" s="1882"/>
      <c r="J121" s="1526"/>
      <c r="K121" s="1526"/>
      <c r="L121" s="1526"/>
      <c r="M121" s="1526"/>
      <c r="N121" s="1526"/>
      <c r="O121" s="1529"/>
    </row>
    <row r="122" spans="1:15" s="1523" customFormat="1" ht="8.4" x14ac:dyDescent="0.15">
      <c r="A122" s="1534"/>
      <c r="B122" s="1525" t="s">
        <v>1686</v>
      </c>
      <c r="C122" s="1526"/>
      <c r="D122" s="1527"/>
      <c r="E122" s="1527"/>
      <c r="F122" s="1526"/>
      <c r="G122" s="1526">
        <v>850000</v>
      </c>
      <c r="H122" s="1882"/>
      <c r="I122" s="1882"/>
      <c r="J122" s="1526"/>
      <c r="K122" s="1526"/>
      <c r="L122" s="1526"/>
      <c r="M122" s="1526"/>
      <c r="N122" s="1526"/>
      <c r="O122" s="1529"/>
    </row>
    <row r="123" spans="1:15" s="1523" customFormat="1" ht="8.4" x14ac:dyDescent="0.15">
      <c r="A123" s="1534"/>
      <c r="B123" s="1525" t="s">
        <v>1696</v>
      </c>
      <c r="C123" s="1526"/>
      <c r="D123" s="1527"/>
      <c r="E123" s="1527"/>
      <c r="F123" s="1526"/>
      <c r="G123" s="1526">
        <v>230000</v>
      </c>
      <c r="H123" s="1882"/>
      <c r="I123" s="1882"/>
      <c r="J123" s="1526"/>
      <c r="K123" s="1526"/>
      <c r="L123" s="1526"/>
      <c r="M123" s="1526"/>
      <c r="N123" s="1526"/>
      <c r="O123" s="1529"/>
    </row>
    <row r="124" spans="1:15" s="1523" customFormat="1" ht="8.4" x14ac:dyDescent="0.15">
      <c r="A124" s="1534"/>
      <c r="B124" s="1525" t="s">
        <v>1697</v>
      </c>
      <c r="C124" s="1526"/>
      <c r="D124" s="1527"/>
      <c r="E124" s="1527"/>
      <c r="F124" s="1526"/>
      <c r="G124" s="1526">
        <v>40000</v>
      </c>
      <c r="H124" s="1882"/>
      <c r="I124" s="1882"/>
      <c r="J124" s="1526"/>
      <c r="K124" s="1526"/>
      <c r="L124" s="1526"/>
      <c r="M124" s="1526"/>
      <c r="N124" s="1526"/>
      <c r="O124" s="1529"/>
    </row>
    <row r="125" spans="1:15" s="1523" customFormat="1" ht="8.4" x14ac:dyDescent="0.15">
      <c r="A125" s="1534"/>
      <c r="B125" s="1525" t="s">
        <v>1698</v>
      </c>
      <c r="C125" s="1526"/>
      <c r="D125" s="1527"/>
      <c r="E125" s="1527"/>
      <c r="F125" s="1526"/>
      <c r="G125" s="1526">
        <v>240000</v>
      </c>
      <c r="H125" s="1882"/>
      <c r="I125" s="1882"/>
      <c r="J125" s="1526"/>
      <c r="K125" s="1526"/>
      <c r="L125" s="1526"/>
      <c r="M125" s="1526"/>
      <c r="N125" s="1526"/>
      <c r="O125" s="1529"/>
    </row>
    <row r="126" spans="1:15" s="1523" customFormat="1" ht="8.4" x14ac:dyDescent="0.15">
      <c r="A126" s="1534"/>
      <c r="B126" s="1525" t="s">
        <v>1699</v>
      </c>
      <c r="C126" s="1526"/>
      <c r="D126" s="1527"/>
      <c r="E126" s="1527"/>
      <c r="F126" s="1526"/>
      <c r="G126" s="1526">
        <v>240000</v>
      </c>
      <c r="H126" s="1882"/>
      <c r="I126" s="1882"/>
      <c r="J126" s="1526"/>
      <c r="K126" s="1526"/>
      <c r="L126" s="1526"/>
      <c r="M126" s="1526"/>
      <c r="N126" s="1526"/>
      <c r="O126" s="1529"/>
    </row>
    <row r="127" spans="1:15" s="1523" customFormat="1" ht="8.4" x14ac:dyDescent="0.15">
      <c r="A127" s="1534"/>
      <c r="B127" s="1525" t="s">
        <v>1700</v>
      </c>
      <c r="C127" s="1526"/>
      <c r="D127" s="1527"/>
      <c r="E127" s="1527"/>
      <c r="F127" s="1526"/>
      <c r="G127" s="1526">
        <v>500000</v>
      </c>
      <c r="H127" s="1882"/>
      <c r="I127" s="1882"/>
      <c r="J127" s="1526"/>
      <c r="K127" s="1526"/>
      <c r="L127" s="1526"/>
      <c r="M127" s="1526"/>
      <c r="N127" s="1526"/>
      <c r="O127" s="1529"/>
    </row>
    <row r="128" spans="1:15" s="1523" customFormat="1" ht="8.4" x14ac:dyDescent="0.15">
      <c r="A128" s="1534"/>
      <c r="B128" s="1525" t="s">
        <v>1701</v>
      </c>
      <c r="C128" s="1526"/>
      <c r="D128" s="1527"/>
      <c r="E128" s="1527"/>
      <c r="F128" s="1526"/>
      <c r="G128" s="1526">
        <v>150000</v>
      </c>
      <c r="H128" s="1882"/>
      <c r="I128" s="1882"/>
      <c r="J128" s="1526"/>
      <c r="K128" s="1526"/>
      <c r="L128" s="1526"/>
      <c r="M128" s="1526"/>
      <c r="N128" s="1526"/>
      <c r="O128" s="1529"/>
    </row>
    <row r="129" spans="1:15" s="1523" customFormat="1" ht="8.4" x14ac:dyDescent="0.15">
      <c r="A129" s="1534"/>
      <c r="B129" s="1525" t="s">
        <v>1702</v>
      </c>
      <c r="C129" s="1526"/>
      <c r="D129" s="1527"/>
      <c r="E129" s="1527"/>
      <c r="F129" s="1526"/>
      <c r="G129" s="1526">
        <v>270000</v>
      </c>
      <c r="H129" s="1882"/>
      <c r="I129" s="1882"/>
      <c r="J129" s="1526"/>
      <c r="K129" s="1526"/>
      <c r="L129" s="1526"/>
      <c r="M129" s="1526"/>
      <c r="N129" s="1526"/>
      <c r="O129" s="1529"/>
    </row>
    <row r="130" spans="1:15" s="1523" customFormat="1" ht="8.4" x14ac:dyDescent="0.15">
      <c r="A130" s="1534"/>
      <c r="B130" s="1525" t="s">
        <v>1703</v>
      </c>
      <c r="C130" s="1526"/>
      <c r="D130" s="1527"/>
      <c r="E130" s="1527"/>
      <c r="F130" s="1526"/>
      <c r="G130" s="1526">
        <v>60000</v>
      </c>
      <c r="H130" s="1882"/>
      <c r="I130" s="1882"/>
      <c r="J130" s="1526"/>
      <c r="K130" s="1526"/>
      <c r="L130" s="1526"/>
      <c r="M130" s="1526"/>
      <c r="N130" s="1526"/>
      <c r="O130" s="1529"/>
    </row>
    <row r="131" spans="1:15" s="1523" customFormat="1" ht="8.4" x14ac:dyDescent="0.15">
      <c r="A131" s="1534"/>
      <c r="B131" s="1525" t="s">
        <v>1704</v>
      </c>
      <c r="C131" s="1526"/>
      <c r="D131" s="1527"/>
      <c r="E131" s="1527"/>
      <c r="F131" s="1526"/>
      <c r="G131" s="1526">
        <v>45000</v>
      </c>
      <c r="H131" s="1882"/>
      <c r="I131" s="1882"/>
      <c r="J131" s="1526"/>
      <c r="K131" s="1526"/>
      <c r="L131" s="1526"/>
      <c r="M131" s="1526"/>
      <c r="N131" s="1526"/>
      <c r="O131" s="1529"/>
    </row>
    <row r="132" spans="1:15" s="1523" customFormat="1" ht="8.4" x14ac:dyDescent="0.15">
      <c r="A132" s="1534"/>
      <c r="B132" s="1525" t="s">
        <v>1705</v>
      </c>
      <c r="C132" s="1526"/>
      <c r="D132" s="1527"/>
      <c r="E132" s="1527"/>
      <c r="F132" s="1526"/>
      <c r="G132" s="1526">
        <v>500000</v>
      </c>
      <c r="H132" s="1882"/>
      <c r="I132" s="1882"/>
      <c r="J132" s="1526"/>
      <c r="K132" s="1526"/>
      <c r="L132" s="1526"/>
      <c r="M132" s="1526"/>
      <c r="N132" s="1526"/>
      <c r="O132" s="1529"/>
    </row>
    <row r="133" spans="1:15" s="1523" customFormat="1" ht="8.4" x14ac:dyDescent="0.15">
      <c r="A133" s="1534"/>
      <c r="B133" s="1525" t="s">
        <v>1706</v>
      </c>
      <c r="C133" s="1526"/>
      <c r="D133" s="1527"/>
      <c r="E133" s="1527"/>
      <c r="F133" s="1526"/>
      <c r="G133" s="1526">
        <v>205000</v>
      </c>
      <c r="H133" s="1882"/>
      <c r="I133" s="1882"/>
      <c r="J133" s="1526"/>
      <c r="K133" s="1526"/>
      <c r="L133" s="1526"/>
      <c r="M133" s="1526"/>
      <c r="N133" s="1526"/>
      <c r="O133" s="1529"/>
    </row>
    <row r="134" spans="1:15" s="1523" customFormat="1" ht="8.4" x14ac:dyDescent="0.15">
      <c r="A134" s="1534"/>
      <c r="B134" s="1525" t="s">
        <v>1707</v>
      </c>
      <c r="C134" s="1526"/>
      <c r="D134" s="1527"/>
      <c r="E134" s="1527"/>
      <c r="F134" s="1526"/>
      <c r="G134" s="1526">
        <v>500000</v>
      </c>
      <c r="H134" s="1882"/>
      <c r="I134" s="1882"/>
      <c r="J134" s="1526"/>
      <c r="K134" s="1526"/>
      <c r="L134" s="1526"/>
      <c r="M134" s="1526"/>
      <c r="N134" s="1526"/>
      <c r="O134" s="1529"/>
    </row>
    <row r="135" spans="1:15" s="1523" customFormat="1" ht="8.4" x14ac:dyDescent="0.15">
      <c r="A135" s="1534"/>
      <c r="B135" s="1525" t="s">
        <v>1708</v>
      </c>
      <c r="C135" s="1526"/>
      <c r="D135" s="1527"/>
      <c r="E135" s="1527"/>
      <c r="F135" s="1526"/>
      <c r="G135" s="1526">
        <v>70000</v>
      </c>
      <c r="H135" s="1882"/>
      <c r="I135" s="1882"/>
      <c r="J135" s="1526"/>
      <c r="K135" s="1526"/>
      <c r="L135" s="1526"/>
      <c r="M135" s="1526"/>
      <c r="N135" s="1526"/>
      <c r="O135" s="1529"/>
    </row>
    <row r="136" spans="1:15" s="1523" customFormat="1" ht="16.8" x14ac:dyDescent="0.15">
      <c r="A136" s="1534"/>
      <c r="B136" s="1525" t="s">
        <v>1709</v>
      </c>
      <c r="C136" s="1526"/>
      <c r="D136" s="1527"/>
      <c r="E136" s="1527"/>
      <c r="F136" s="1526"/>
      <c r="G136" s="1526">
        <v>180000</v>
      </c>
      <c r="H136" s="1882"/>
      <c r="I136" s="1882"/>
      <c r="J136" s="1526"/>
      <c r="K136" s="1526"/>
      <c r="L136" s="1526"/>
      <c r="M136" s="1526"/>
      <c r="N136" s="1526"/>
      <c r="O136" s="1529"/>
    </row>
    <row r="137" spans="1:15" s="1523" customFormat="1" ht="8.4" x14ac:dyDescent="0.15">
      <c r="A137" s="1534"/>
      <c r="B137" s="1540" t="s">
        <v>1710</v>
      </c>
      <c r="C137" s="1526"/>
      <c r="D137" s="1527"/>
      <c r="E137" s="1527"/>
      <c r="F137" s="1526"/>
      <c r="G137" s="1526">
        <v>115000</v>
      </c>
      <c r="H137" s="1882"/>
      <c r="I137" s="1882"/>
      <c r="J137" s="1526"/>
      <c r="K137" s="1526"/>
      <c r="L137" s="1526"/>
      <c r="M137" s="1526"/>
      <c r="N137" s="1526"/>
      <c r="O137" s="1529"/>
    </row>
    <row r="138" spans="1:15" s="1523" customFormat="1" ht="16.8" x14ac:dyDescent="0.15">
      <c r="A138" s="1534"/>
      <c r="B138" s="1525" t="s">
        <v>1711</v>
      </c>
      <c r="C138" s="1526"/>
      <c r="D138" s="1527"/>
      <c r="E138" s="1527"/>
      <c r="F138" s="1526"/>
      <c r="G138" s="1526">
        <v>300000</v>
      </c>
      <c r="H138" s="1882"/>
      <c r="I138" s="1882"/>
      <c r="J138" s="1526"/>
      <c r="K138" s="1526"/>
      <c r="L138" s="1526"/>
      <c r="M138" s="1526"/>
      <c r="N138" s="1526"/>
      <c r="O138" s="1529"/>
    </row>
    <row r="139" spans="1:15" s="1523" customFormat="1" ht="16.8" x14ac:dyDescent="0.15">
      <c r="A139" s="1534"/>
      <c r="B139" s="1525" t="s">
        <v>1712</v>
      </c>
      <c r="C139" s="1526"/>
      <c r="D139" s="1527"/>
      <c r="E139" s="1527"/>
      <c r="F139" s="1526"/>
      <c r="G139" s="1526">
        <v>195000</v>
      </c>
      <c r="H139" s="1882"/>
      <c r="I139" s="1882"/>
      <c r="J139" s="1526"/>
      <c r="K139" s="1526"/>
      <c r="L139" s="1526"/>
      <c r="M139" s="1526"/>
      <c r="N139" s="1526"/>
      <c r="O139" s="1529"/>
    </row>
    <row r="140" spans="1:15" s="1523" customFormat="1" ht="8.4" x14ac:dyDescent="0.15">
      <c r="A140" s="1534"/>
      <c r="B140" s="1525" t="s">
        <v>1713</v>
      </c>
      <c r="C140" s="1526"/>
      <c r="D140" s="1527"/>
      <c r="E140" s="1527"/>
      <c r="F140" s="1526"/>
      <c r="G140" s="1526">
        <v>240000</v>
      </c>
      <c r="H140" s="1882"/>
      <c r="I140" s="1882"/>
      <c r="J140" s="1526"/>
      <c r="K140" s="1526"/>
      <c r="L140" s="1526"/>
      <c r="M140" s="1526"/>
      <c r="N140" s="1526"/>
      <c r="O140" s="1529"/>
    </row>
    <row r="141" spans="1:15" s="1523" customFormat="1" ht="8.4" x14ac:dyDescent="0.15">
      <c r="A141" s="1534" t="s">
        <v>1679</v>
      </c>
      <c r="B141" s="1525" t="s">
        <v>1714</v>
      </c>
      <c r="C141" s="1526"/>
      <c r="D141" s="1527"/>
      <c r="E141" s="1527"/>
      <c r="F141" s="1526"/>
      <c r="G141" s="1136"/>
      <c r="H141" s="1882"/>
      <c r="I141" s="1882"/>
      <c r="J141" s="1526">
        <v>4075000</v>
      </c>
      <c r="K141" s="1526"/>
      <c r="L141" s="1526"/>
      <c r="M141" s="1526"/>
      <c r="N141" s="1526"/>
      <c r="O141" s="1529"/>
    </row>
    <row r="142" spans="1:15" s="1523" customFormat="1" ht="8.4" x14ac:dyDescent="0.15">
      <c r="A142" s="1534"/>
      <c r="B142" s="1525" t="s">
        <v>1715</v>
      </c>
      <c r="C142" s="1526"/>
      <c r="D142" s="1527"/>
      <c r="E142" s="1527"/>
      <c r="F142" s="1526"/>
      <c r="G142" s="1136"/>
      <c r="H142" s="1882"/>
      <c r="I142" s="1882"/>
      <c r="J142" s="1526">
        <v>407500</v>
      </c>
      <c r="K142" s="1526"/>
      <c r="L142" s="1526"/>
      <c r="M142" s="1526"/>
      <c r="N142" s="1526"/>
      <c r="O142" s="1529"/>
    </row>
    <row r="143" spans="1:15" s="1523" customFormat="1" ht="16.8" x14ac:dyDescent="0.15">
      <c r="A143" s="1534" t="s">
        <v>1716</v>
      </c>
      <c r="B143" s="1525" t="s">
        <v>1717</v>
      </c>
      <c r="C143" s="1526"/>
      <c r="D143" s="1527"/>
      <c r="E143" s="1527"/>
      <c r="F143" s="1526"/>
      <c r="G143" s="1136"/>
      <c r="H143" s="1882"/>
      <c r="I143" s="1882"/>
      <c r="J143" s="1526">
        <v>313000</v>
      </c>
      <c r="K143" s="1526"/>
      <c r="L143" s="1526"/>
      <c r="M143" s="1526"/>
      <c r="N143" s="1526"/>
      <c r="O143" s="1529"/>
    </row>
    <row r="144" spans="1:15" s="1523" customFormat="1" ht="8.4" x14ac:dyDescent="0.15">
      <c r="A144" s="1534"/>
      <c r="B144" s="1525" t="s">
        <v>1718</v>
      </c>
      <c r="C144" s="1526"/>
      <c r="D144" s="1527"/>
      <c r="E144" s="1527"/>
      <c r="F144" s="1526"/>
      <c r="G144" s="1136"/>
      <c r="H144" s="1882"/>
      <c r="I144" s="1882"/>
      <c r="J144" s="1526">
        <v>200000</v>
      </c>
      <c r="K144" s="1526"/>
      <c r="L144" s="1526"/>
      <c r="M144" s="1526"/>
      <c r="N144" s="1526"/>
      <c r="O144" s="1529"/>
    </row>
    <row r="145" spans="1:15" s="1523" customFormat="1" ht="8.4" x14ac:dyDescent="0.15">
      <c r="A145" s="1534" t="s">
        <v>1719</v>
      </c>
      <c r="B145" s="1525" t="s">
        <v>1720</v>
      </c>
      <c r="C145" s="1526"/>
      <c r="D145" s="1527"/>
      <c r="E145" s="1527"/>
      <c r="F145" s="1526"/>
      <c r="G145" s="1136"/>
      <c r="H145" s="1882"/>
      <c r="I145" s="1882"/>
      <c r="J145" s="1526">
        <v>1180000</v>
      </c>
      <c r="K145" s="1526"/>
      <c r="L145" s="1526"/>
      <c r="M145" s="1526"/>
      <c r="N145" s="1526"/>
      <c r="O145" s="1529"/>
    </row>
    <row r="146" spans="1:15" s="1523" customFormat="1" ht="8.4" x14ac:dyDescent="0.15">
      <c r="A146" s="1534" t="s">
        <v>1721</v>
      </c>
      <c r="B146" s="1525" t="s">
        <v>1722</v>
      </c>
      <c r="C146" s="1526"/>
      <c r="D146" s="1527"/>
      <c r="E146" s="1527"/>
      <c r="F146" s="1526"/>
      <c r="G146" s="1136"/>
      <c r="H146" s="1882"/>
      <c r="I146" s="1882"/>
      <c r="J146" s="1526">
        <v>120000</v>
      </c>
      <c r="K146" s="1526"/>
      <c r="L146" s="1526"/>
      <c r="M146" s="1526"/>
      <c r="N146" s="1526"/>
      <c r="O146" s="1529"/>
    </row>
    <row r="147" spans="1:15" s="1523" customFormat="1" ht="8.4" x14ac:dyDescent="0.15">
      <c r="A147" s="1534"/>
      <c r="B147" s="1525" t="s">
        <v>1723</v>
      </c>
      <c r="C147" s="1526"/>
      <c r="D147" s="1527"/>
      <c r="E147" s="1527"/>
      <c r="F147" s="1526"/>
      <c r="G147" s="1136"/>
      <c r="H147" s="1882"/>
      <c r="I147" s="1882"/>
      <c r="J147" s="1526">
        <v>130000</v>
      </c>
      <c r="K147" s="1526"/>
      <c r="L147" s="1526"/>
      <c r="M147" s="1526"/>
      <c r="N147" s="1526"/>
      <c r="O147" s="1529"/>
    </row>
    <row r="148" spans="1:15" s="1523" customFormat="1" ht="8.4" x14ac:dyDescent="0.15">
      <c r="A148" s="1534" t="s">
        <v>1724</v>
      </c>
      <c r="B148" s="1525" t="s">
        <v>1725</v>
      </c>
      <c r="C148" s="1526"/>
      <c r="D148" s="1527"/>
      <c r="E148" s="1527"/>
      <c r="F148" s="1526"/>
      <c r="G148" s="1136"/>
      <c r="H148" s="1882"/>
      <c r="I148" s="1882"/>
      <c r="J148" s="1526">
        <v>1300000</v>
      </c>
      <c r="K148" s="1526"/>
      <c r="L148" s="1526"/>
      <c r="M148" s="1526"/>
      <c r="N148" s="1526"/>
      <c r="O148" s="1529"/>
    </row>
    <row r="149" spans="1:15" s="1523" customFormat="1" ht="25.2" x14ac:dyDescent="0.15">
      <c r="A149" s="1534"/>
      <c r="B149" s="1541" t="s">
        <v>1726</v>
      </c>
      <c r="C149" s="1526"/>
      <c r="D149" s="1527"/>
      <c r="E149" s="1527"/>
      <c r="F149" s="1526"/>
      <c r="G149" s="1526"/>
      <c r="H149" s="1882"/>
      <c r="I149" s="1882"/>
      <c r="J149" s="1526">
        <v>1500000</v>
      </c>
      <c r="K149" s="1526"/>
      <c r="L149" s="1526"/>
      <c r="M149" s="1526"/>
      <c r="N149" s="1526"/>
      <c r="O149" s="1529"/>
    </row>
    <row r="150" spans="1:15" s="1523" customFormat="1" ht="16.8" x14ac:dyDescent="0.15">
      <c r="A150" s="1534"/>
      <c r="B150" s="1541" t="s">
        <v>1727</v>
      </c>
      <c r="C150" s="1526"/>
      <c r="D150" s="1527"/>
      <c r="E150" s="1527"/>
      <c r="F150" s="1526"/>
      <c r="G150" s="1526"/>
      <c r="H150" s="1882"/>
      <c r="I150" s="1882"/>
      <c r="J150" s="1526">
        <v>2000000</v>
      </c>
      <c r="K150" s="1526"/>
      <c r="L150" s="1526"/>
      <c r="M150" s="1526"/>
      <c r="N150" s="1526"/>
      <c r="O150" s="1529"/>
    </row>
    <row r="151" spans="1:15" s="1523" customFormat="1" ht="16.8" x14ac:dyDescent="0.15">
      <c r="A151" s="1534" t="s">
        <v>1728</v>
      </c>
      <c r="B151" s="1525" t="s">
        <v>1729</v>
      </c>
      <c r="C151" s="1526"/>
      <c r="D151" s="1527"/>
      <c r="E151" s="1527"/>
      <c r="F151" s="1526"/>
      <c r="G151" s="1136"/>
      <c r="H151" s="1882"/>
      <c r="I151" s="1882"/>
      <c r="J151" s="1526"/>
      <c r="K151" s="1526">
        <v>466473</v>
      </c>
      <c r="L151" s="1526"/>
      <c r="M151" s="1526"/>
      <c r="N151" s="1526"/>
      <c r="O151" s="1529"/>
    </row>
    <row r="152" spans="1:15" s="1523" customFormat="1" ht="8.4" x14ac:dyDescent="0.15">
      <c r="A152" s="1534"/>
      <c r="B152" s="1535" t="s">
        <v>1730</v>
      </c>
      <c r="C152" s="1526"/>
      <c r="D152" s="1527"/>
      <c r="E152" s="1527"/>
      <c r="F152" s="1526"/>
      <c r="G152" s="1136"/>
      <c r="H152" s="1882"/>
      <c r="I152" s="1882"/>
      <c r="J152" s="1526"/>
      <c r="K152" s="1526">
        <v>46647</v>
      </c>
      <c r="L152" s="1526"/>
      <c r="M152" s="1526"/>
      <c r="N152" s="1526"/>
      <c r="O152" s="1529"/>
    </row>
    <row r="153" spans="1:15" s="1523" customFormat="1" ht="8.4" x14ac:dyDescent="0.15">
      <c r="A153" s="1534"/>
      <c r="B153" s="1525" t="s">
        <v>1731</v>
      </c>
      <c r="C153" s="1526"/>
      <c r="D153" s="1527"/>
      <c r="E153" s="1527"/>
      <c r="F153" s="1526"/>
      <c r="G153" s="1136"/>
      <c r="H153" s="1882"/>
      <c r="I153" s="1882"/>
      <c r="J153" s="1526"/>
      <c r="K153" s="1526">
        <v>290000</v>
      </c>
      <c r="L153" s="1526"/>
      <c r="M153" s="1526"/>
      <c r="N153" s="1526"/>
      <c r="O153" s="1529"/>
    </row>
    <row r="154" spans="1:15" s="1523" customFormat="1" ht="8.4" x14ac:dyDescent="0.15">
      <c r="A154" s="1534" t="s">
        <v>1732</v>
      </c>
      <c r="B154" s="1525" t="s">
        <v>1733</v>
      </c>
      <c r="C154" s="1526"/>
      <c r="D154" s="1527"/>
      <c r="E154" s="1527"/>
      <c r="F154" s="1526"/>
      <c r="G154" s="1136"/>
      <c r="H154" s="1882"/>
      <c r="I154" s="1882"/>
      <c r="J154" s="1526"/>
      <c r="K154" s="1526">
        <v>100000</v>
      </c>
      <c r="L154" s="1526"/>
      <c r="M154" s="1526"/>
      <c r="N154" s="1526"/>
      <c r="O154" s="1529"/>
    </row>
    <row r="155" spans="1:15" s="1523" customFormat="1" ht="8.4" x14ac:dyDescent="0.15">
      <c r="A155" s="1534"/>
      <c r="B155" s="1525" t="s">
        <v>1734</v>
      </c>
      <c r="C155" s="1526"/>
      <c r="D155" s="1527"/>
      <c r="E155" s="1527"/>
      <c r="F155" s="1526"/>
      <c r="G155" s="1136"/>
      <c r="H155" s="1882"/>
      <c r="I155" s="1882"/>
      <c r="J155" s="1526"/>
      <c r="K155" s="1526">
        <v>120000</v>
      </c>
      <c r="L155" s="1526"/>
      <c r="M155" s="1526"/>
      <c r="N155" s="1526"/>
      <c r="O155" s="1529"/>
    </row>
    <row r="156" spans="1:15" s="1523" customFormat="1" ht="8.4" x14ac:dyDescent="0.15">
      <c r="A156" s="1534"/>
      <c r="B156" s="1525" t="s">
        <v>1735</v>
      </c>
      <c r="C156" s="1526"/>
      <c r="D156" s="1527"/>
      <c r="E156" s="1527"/>
      <c r="F156" s="1526"/>
      <c r="G156" s="1136"/>
      <c r="H156" s="1882"/>
      <c r="I156" s="1882"/>
      <c r="J156" s="1526"/>
      <c r="K156" s="1526">
        <v>250000</v>
      </c>
      <c r="L156" s="1526"/>
      <c r="M156" s="1526"/>
      <c r="N156" s="1526"/>
      <c r="O156" s="1529"/>
    </row>
    <row r="157" spans="1:15" s="1523" customFormat="1" ht="8.4" x14ac:dyDescent="0.15">
      <c r="A157" s="1543" t="s">
        <v>1736</v>
      </c>
      <c r="B157" s="1535" t="s">
        <v>1737</v>
      </c>
      <c r="C157" s="1526"/>
      <c r="D157" s="1527"/>
      <c r="E157" s="1527"/>
      <c r="F157" s="1526"/>
      <c r="G157" s="1526">
        <v>840000</v>
      </c>
      <c r="H157" s="1882"/>
      <c r="I157" s="1882"/>
      <c r="J157" s="1526"/>
      <c r="K157" s="1526"/>
      <c r="L157" s="1526"/>
      <c r="M157" s="1526"/>
      <c r="N157" s="1526"/>
      <c r="O157" s="1529"/>
    </row>
    <row r="158" spans="1:15" s="1523" customFormat="1" ht="8.4" x14ac:dyDescent="0.15">
      <c r="A158" s="1543"/>
      <c r="B158" s="1535" t="s">
        <v>1715</v>
      </c>
      <c r="C158" s="1526"/>
      <c r="D158" s="1527"/>
      <c r="E158" s="1527"/>
      <c r="F158" s="1526"/>
      <c r="G158" s="1526">
        <v>84000</v>
      </c>
      <c r="H158" s="1882"/>
      <c r="I158" s="1882"/>
      <c r="J158" s="1526"/>
      <c r="K158" s="1526"/>
      <c r="L158" s="1526"/>
      <c r="M158" s="1526"/>
      <c r="N158" s="1526"/>
      <c r="O158" s="1529"/>
    </row>
    <row r="159" spans="1:15" s="1523" customFormat="1" ht="8.4" x14ac:dyDescent="0.15">
      <c r="A159" s="1543" t="s">
        <v>1614</v>
      </c>
      <c r="B159" s="1535" t="s">
        <v>1738</v>
      </c>
      <c r="C159" s="1526"/>
      <c r="D159" s="1527"/>
      <c r="E159" s="1527"/>
      <c r="F159" s="1526"/>
      <c r="G159" s="1526">
        <v>70000</v>
      </c>
      <c r="H159" s="1882"/>
      <c r="I159" s="1882"/>
      <c r="J159" s="1526"/>
      <c r="K159" s="1526"/>
      <c r="L159" s="1526"/>
      <c r="M159" s="1526"/>
      <c r="N159" s="1526"/>
      <c r="O159" s="1529"/>
    </row>
    <row r="160" spans="1:15" s="1523" customFormat="1" ht="8.4" x14ac:dyDescent="0.15">
      <c r="A160" s="1548" t="s">
        <v>1739</v>
      </c>
      <c r="B160" s="1535" t="s">
        <v>1740</v>
      </c>
      <c r="C160" s="1526"/>
      <c r="D160" s="1527"/>
      <c r="E160" s="1527"/>
      <c r="F160" s="1526"/>
      <c r="G160" s="1526">
        <v>240000</v>
      </c>
      <c r="H160" s="1882"/>
      <c r="I160" s="1882"/>
      <c r="J160" s="1526"/>
      <c r="K160" s="1526"/>
      <c r="L160" s="1526"/>
      <c r="M160" s="1526"/>
      <c r="N160" s="1526"/>
      <c r="O160" s="1529"/>
    </row>
    <row r="161" spans="1:15" s="1523" customFormat="1" ht="8.4" x14ac:dyDescent="0.15">
      <c r="A161" s="1543"/>
      <c r="B161" s="1535" t="s">
        <v>1730</v>
      </c>
      <c r="C161" s="1526"/>
      <c r="D161" s="1527"/>
      <c r="E161" s="1527"/>
      <c r="F161" s="1526"/>
      <c r="G161" s="1526">
        <v>24000</v>
      </c>
      <c r="H161" s="1882"/>
      <c r="I161" s="1882"/>
      <c r="J161" s="1526"/>
      <c r="K161" s="1526"/>
      <c r="L161" s="1526"/>
      <c r="M161" s="1526"/>
      <c r="N161" s="1526"/>
      <c r="O161" s="1529"/>
    </row>
    <row r="162" spans="1:15" s="1523" customFormat="1" ht="8.4" x14ac:dyDescent="0.15">
      <c r="A162" s="1543"/>
      <c r="B162" s="1535" t="s">
        <v>1738</v>
      </c>
      <c r="C162" s="1526"/>
      <c r="D162" s="1527"/>
      <c r="E162" s="1527"/>
      <c r="F162" s="1526"/>
      <c r="G162" s="1526">
        <v>40000</v>
      </c>
      <c r="H162" s="1882"/>
      <c r="I162" s="1882"/>
      <c r="J162" s="1526"/>
      <c r="K162" s="1526"/>
      <c r="L162" s="1526"/>
      <c r="M162" s="1526"/>
      <c r="N162" s="1526"/>
      <c r="O162" s="1529"/>
    </row>
    <row r="163" spans="1:15" s="1523" customFormat="1" ht="8.4" x14ac:dyDescent="0.15">
      <c r="A163" s="1549"/>
      <c r="B163" s="1550" t="s">
        <v>1738</v>
      </c>
      <c r="C163" s="1526"/>
      <c r="D163" s="1527"/>
      <c r="E163" s="1527"/>
      <c r="F163" s="1526"/>
      <c r="G163" s="1136"/>
      <c r="H163" s="1882"/>
      <c r="I163" s="1882"/>
      <c r="J163" s="1526">
        <v>65000</v>
      </c>
      <c r="K163" s="1526"/>
      <c r="L163" s="1526"/>
      <c r="M163" s="1526"/>
      <c r="N163" s="1526"/>
      <c r="O163" s="1529"/>
    </row>
    <row r="164" spans="1:15" s="1523" customFormat="1" ht="16.8" x14ac:dyDescent="0.15">
      <c r="A164" s="1543" t="s">
        <v>1741</v>
      </c>
      <c r="B164" s="1535" t="s">
        <v>1742</v>
      </c>
      <c r="C164" s="1526"/>
      <c r="D164" s="1527"/>
      <c r="E164" s="1527"/>
      <c r="F164" s="1526"/>
      <c r="G164" s="1526">
        <v>153000</v>
      </c>
      <c r="H164" s="1882"/>
      <c r="I164" s="1882"/>
      <c r="J164" s="1526"/>
      <c r="K164" s="1526"/>
      <c r="L164" s="1526"/>
      <c r="M164" s="1526"/>
      <c r="N164" s="1526"/>
      <c r="O164" s="1529"/>
    </row>
    <row r="165" spans="1:15" s="1523" customFormat="1" ht="8.4" x14ac:dyDescent="0.15">
      <c r="A165" s="1543" t="s">
        <v>1743</v>
      </c>
      <c r="B165" s="1535" t="s">
        <v>1744</v>
      </c>
      <c r="C165" s="1526"/>
      <c r="D165" s="1527"/>
      <c r="E165" s="1527"/>
      <c r="F165" s="1526"/>
      <c r="G165" s="1526">
        <v>75000</v>
      </c>
      <c r="H165" s="1882"/>
      <c r="I165" s="1882"/>
      <c r="J165" s="1526"/>
      <c r="K165" s="1526"/>
      <c r="L165" s="1526"/>
      <c r="M165" s="1526"/>
      <c r="N165" s="1526"/>
      <c r="O165" s="1529"/>
    </row>
    <row r="166" spans="1:15" s="1523" customFormat="1" ht="16.8" x14ac:dyDescent="0.15">
      <c r="A166" s="1543" t="s">
        <v>1745</v>
      </c>
      <c r="B166" s="1525" t="s">
        <v>1746</v>
      </c>
      <c r="C166" s="1526"/>
      <c r="D166" s="1527"/>
      <c r="E166" s="1527"/>
      <c r="F166" s="1526"/>
      <c r="G166" s="1136"/>
      <c r="H166" s="1882"/>
      <c r="I166" s="1882"/>
      <c r="J166" s="1526">
        <v>18210000</v>
      </c>
      <c r="K166" s="1526"/>
      <c r="L166" s="1526"/>
      <c r="M166" s="1526"/>
      <c r="N166" s="1526"/>
      <c r="O166" s="1529"/>
    </row>
    <row r="167" spans="1:15" s="1523" customFormat="1" ht="8.4" x14ac:dyDescent="0.15">
      <c r="A167" s="1543" t="s">
        <v>1747</v>
      </c>
      <c r="B167" s="1550" t="s">
        <v>1748</v>
      </c>
      <c r="C167" s="1526"/>
      <c r="D167" s="1527"/>
      <c r="E167" s="1527"/>
      <c r="F167" s="1526"/>
      <c r="G167" s="1526">
        <v>27800</v>
      </c>
      <c r="H167" s="1882"/>
      <c r="I167" s="1882"/>
      <c r="J167" s="1526"/>
      <c r="K167" s="1526"/>
      <c r="L167" s="1526"/>
      <c r="M167" s="1526"/>
      <c r="N167" s="1526"/>
      <c r="O167" s="1529"/>
    </row>
    <row r="168" spans="1:15" s="1523" customFormat="1" ht="8.4" x14ac:dyDescent="0.15">
      <c r="A168" s="1543" t="s">
        <v>1749</v>
      </c>
      <c r="B168" s="1535" t="s">
        <v>1750</v>
      </c>
      <c r="C168" s="1526"/>
      <c r="D168" s="1527"/>
      <c r="E168" s="1527"/>
      <c r="F168" s="1526"/>
      <c r="G168" s="1526">
        <v>190000</v>
      </c>
      <c r="H168" s="1882"/>
      <c r="I168" s="1882"/>
      <c r="J168" s="1526"/>
      <c r="K168" s="1526"/>
      <c r="L168" s="1526"/>
      <c r="M168" s="1526"/>
      <c r="N168" s="1526"/>
      <c r="O168" s="1529"/>
    </row>
    <row r="169" spans="1:15" s="1523" customFormat="1" ht="8.4" x14ac:dyDescent="0.15">
      <c r="A169" s="1543" t="s">
        <v>1614</v>
      </c>
      <c r="B169" s="1535" t="s">
        <v>1751</v>
      </c>
      <c r="C169" s="1526"/>
      <c r="D169" s="1527"/>
      <c r="E169" s="1527"/>
      <c r="F169" s="1526"/>
      <c r="G169" s="1526">
        <v>442000</v>
      </c>
      <c r="H169" s="1882"/>
      <c r="I169" s="1882"/>
      <c r="J169" s="1526"/>
      <c r="K169" s="1526"/>
      <c r="L169" s="1526"/>
      <c r="M169" s="1526"/>
      <c r="N169" s="1526"/>
      <c r="O169" s="1529"/>
    </row>
    <row r="170" spans="1:15" s="1523" customFormat="1" ht="8.4" x14ac:dyDescent="0.15">
      <c r="A170" s="1543" t="s">
        <v>1741</v>
      </c>
      <c r="B170" s="1535" t="s">
        <v>1752</v>
      </c>
      <c r="C170" s="1526"/>
      <c r="D170" s="1527"/>
      <c r="E170" s="1527"/>
      <c r="F170" s="1526"/>
      <c r="G170" s="1526">
        <v>600000</v>
      </c>
      <c r="H170" s="1882"/>
      <c r="I170" s="1882"/>
      <c r="J170" s="1526"/>
      <c r="K170" s="1526"/>
      <c r="L170" s="1526"/>
      <c r="M170" s="1526"/>
      <c r="N170" s="1526"/>
      <c r="O170" s="1529"/>
    </row>
    <row r="171" spans="1:15" s="1523" customFormat="1" ht="16.8" x14ac:dyDescent="0.15">
      <c r="A171" s="1543" t="s">
        <v>1614</v>
      </c>
      <c r="B171" s="1535" t="s">
        <v>1753</v>
      </c>
      <c r="C171" s="1526"/>
      <c r="D171" s="1527"/>
      <c r="E171" s="1527"/>
      <c r="F171" s="1526"/>
      <c r="G171" s="1526">
        <v>300000</v>
      </c>
      <c r="H171" s="1882"/>
      <c r="I171" s="1882"/>
      <c r="J171" s="1526"/>
      <c r="K171" s="1526"/>
      <c r="L171" s="1526"/>
      <c r="M171" s="1526"/>
      <c r="N171" s="1526"/>
      <c r="O171" s="1529"/>
    </row>
    <row r="172" spans="1:15" s="1523" customFormat="1" ht="8.4" x14ac:dyDescent="0.15">
      <c r="A172" s="1543" t="s">
        <v>1754</v>
      </c>
      <c r="B172" s="1535" t="s">
        <v>1755</v>
      </c>
      <c r="C172" s="1526"/>
      <c r="D172" s="1527"/>
      <c r="E172" s="1527"/>
      <c r="F172" s="1526"/>
      <c r="G172" s="1136"/>
      <c r="H172" s="1882"/>
      <c r="I172" s="1882"/>
      <c r="J172" s="1526"/>
      <c r="K172" s="1526">
        <v>454545</v>
      </c>
      <c r="L172" s="1526"/>
      <c r="M172" s="1526"/>
      <c r="N172" s="1526"/>
      <c r="O172" s="1529"/>
    </row>
    <row r="173" spans="1:15" s="1523" customFormat="1" ht="8.4" x14ac:dyDescent="0.15">
      <c r="A173" s="1543" t="s">
        <v>1754</v>
      </c>
      <c r="B173" s="1535" t="s">
        <v>1715</v>
      </c>
      <c r="C173" s="1526"/>
      <c r="D173" s="1527"/>
      <c r="E173" s="1527"/>
      <c r="F173" s="1526"/>
      <c r="G173" s="1136"/>
      <c r="H173" s="1882"/>
      <c r="I173" s="1882"/>
      <c r="J173" s="1526"/>
      <c r="K173" s="1526">
        <v>45455</v>
      </c>
      <c r="L173" s="1526"/>
      <c r="M173" s="1526"/>
      <c r="N173" s="1526"/>
      <c r="O173" s="1529"/>
    </row>
    <row r="174" spans="1:15" s="1523" customFormat="1" ht="8.4" x14ac:dyDescent="0.15">
      <c r="A174" s="1543" t="s">
        <v>93</v>
      </c>
      <c r="B174" s="1535" t="s">
        <v>1756</v>
      </c>
      <c r="C174" s="1526"/>
      <c r="D174" s="1527"/>
      <c r="E174" s="1527"/>
      <c r="F174" s="1526"/>
      <c r="G174" s="1136"/>
      <c r="H174" s="1882"/>
      <c r="I174" s="1882"/>
      <c r="J174" s="1526"/>
      <c r="K174" s="1526">
        <v>466473</v>
      </c>
      <c r="L174" s="1526"/>
      <c r="M174" s="1526"/>
      <c r="N174" s="1526"/>
      <c r="O174" s="1529"/>
    </row>
    <row r="175" spans="1:15" s="1523" customFormat="1" ht="8.4" x14ac:dyDescent="0.15">
      <c r="A175" s="1543" t="s">
        <v>93</v>
      </c>
      <c r="B175" s="1535" t="s">
        <v>1715</v>
      </c>
      <c r="C175" s="1526"/>
      <c r="D175" s="1527"/>
      <c r="E175" s="1527"/>
      <c r="F175" s="1526"/>
      <c r="G175" s="1136"/>
      <c r="H175" s="1882"/>
      <c r="I175" s="1882"/>
      <c r="J175" s="1526"/>
      <c r="K175" s="1526">
        <v>46647</v>
      </c>
      <c r="L175" s="1526"/>
      <c r="M175" s="1526"/>
      <c r="N175" s="1526"/>
      <c r="O175" s="1529"/>
    </row>
    <row r="176" spans="1:15" s="1523" customFormat="1" ht="8.4" x14ac:dyDescent="0.15">
      <c r="A176" s="1543" t="s">
        <v>1724</v>
      </c>
      <c r="B176" s="1535" t="s">
        <v>1755</v>
      </c>
      <c r="C176" s="1526"/>
      <c r="D176" s="1527"/>
      <c r="E176" s="1527"/>
      <c r="F176" s="1526"/>
      <c r="G176" s="1136"/>
      <c r="H176" s="1882"/>
      <c r="I176" s="1882"/>
      <c r="J176" s="1526"/>
      <c r="K176" s="1526">
        <v>460682</v>
      </c>
      <c r="L176" s="1526"/>
      <c r="M176" s="1526"/>
      <c r="N176" s="1526"/>
      <c r="O176" s="1529"/>
    </row>
    <row r="177" spans="1:15" s="1523" customFormat="1" ht="8.4" x14ac:dyDescent="0.15">
      <c r="A177" s="1543" t="s">
        <v>1724</v>
      </c>
      <c r="B177" s="1535" t="s">
        <v>1715</v>
      </c>
      <c r="C177" s="1526"/>
      <c r="D177" s="1527"/>
      <c r="E177" s="1527"/>
      <c r="F177" s="1526"/>
      <c r="G177" s="1136"/>
      <c r="H177" s="1882"/>
      <c r="I177" s="1882"/>
      <c r="J177" s="1526"/>
      <c r="K177" s="1526">
        <v>46068</v>
      </c>
      <c r="L177" s="1526"/>
      <c r="M177" s="1526"/>
      <c r="N177" s="1526"/>
      <c r="O177" s="1529"/>
    </row>
    <row r="178" spans="1:15" s="1523" customFormat="1" ht="16.8" x14ac:dyDescent="0.15">
      <c r="A178" s="1543"/>
      <c r="B178" s="1535" t="s">
        <v>1757</v>
      </c>
      <c r="C178" s="1526"/>
      <c r="D178" s="1527"/>
      <c r="E178" s="1527"/>
      <c r="F178" s="1526"/>
      <c r="G178" s="1136"/>
      <c r="H178" s="1882"/>
      <c r="I178" s="1882"/>
      <c r="J178" s="1526">
        <v>240000</v>
      </c>
      <c r="K178" s="1526"/>
      <c r="L178" s="1526"/>
      <c r="M178" s="1526"/>
      <c r="N178" s="1526"/>
      <c r="O178" s="1529"/>
    </row>
    <row r="179" spans="1:15" s="1523" customFormat="1" ht="16.8" x14ac:dyDescent="0.15">
      <c r="A179" s="1543"/>
      <c r="B179" s="1535" t="s">
        <v>1758</v>
      </c>
      <c r="C179" s="1526"/>
      <c r="D179" s="1527"/>
      <c r="E179" s="1527"/>
      <c r="F179" s="1526"/>
      <c r="G179" s="1136">
        <v>400000</v>
      </c>
      <c r="H179" s="1882"/>
      <c r="I179" s="1882"/>
      <c r="J179" s="1526"/>
      <c r="K179" s="1526"/>
      <c r="L179" s="1526"/>
      <c r="M179" s="1526"/>
      <c r="N179" s="1526"/>
      <c r="O179" s="1529"/>
    </row>
    <row r="180" spans="1:15" s="1523" customFormat="1" ht="16.8" x14ac:dyDescent="0.15">
      <c r="A180" s="1548" t="s">
        <v>1759</v>
      </c>
      <c r="B180" s="1535" t="s">
        <v>1760</v>
      </c>
      <c r="C180" s="1526"/>
      <c r="D180" s="1527"/>
      <c r="E180" s="1527"/>
      <c r="F180" s="1526"/>
      <c r="G180" s="1136"/>
      <c r="H180" s="1882"/>
      <c r="I180" s="1882"/>
      <c r="J180" s="1526">
        <v>1900000</v>
      </c>
      <c r="K180" s="1526"/>
      <c r="L180" s="1526"/>
      <c r="M180" s="1526"/>
      <c r="N180" s="1526"/>
      <c r="O180" s="1529"/>
    </row>
    <row r="181" spans="1:15" s="1523" customFormat="1" ht="8.4" x14ac:dyDescent="0.15">
      <c r="A181" s="1548" t="s">
        <v>1759</v>
      </c>
      <c r="B181" s="1535" t="s">
        <v>1761</v>
      </c>
      <c r="C181" s="1526"/>
      <c r="D181" s="1527"/>
      <c r="E181" s="1527"/>
      <c r="F181" s="1526"/>
      <c r="G181" s="1136"/>
      <c r="H181" s="1882"/>
      <c r="I181" s="1882"/>
      <c r="J181" s="1526">
        <v>100000</v>
      </c>
      <c r="K181" s="1526"/>
      <c r="L181" s="1526"/>
      <c r="M181" s="1526"/>
      <c r="N181" s="1526"/>
      <c r="O181" s="1529"/>
    </row>
    <row r="182" spans="1:15" s="1523" customFormat="1" ht="8.4" x14ac:dyDescent="0.15">
      <c r="A182" s="1543" t="s">
        <v>1759</v>
      </c>
      <c r="B182" s="1535" t="s">
        <v>1762</v>
      </c>
      <c r="C182" s="1526"/>
      <c r="D182" s="1527"/>
      <c r="E182" s="1527"/>
      <c r="F182" s="1526"/>
      <c r="G182" s="1136"/>
      <c r="H182" s="1882"/>
      <c r="I182" s="1882"/>
      <c r="J182" s="1526">
        <v>130000</v>
      </c>
      <c r="K182" s="1526"/>
      <c r="L182" s="1526"/>
      <c r="M182" s="1526"/>
      <c r="N182" s="1526"/>
      <c r="O182" s="1529"/>
    </row>
    <row r="183" spans="1:15" s="1523" customFormat="1" ht="16.8" x14ac:dyDescent="0.15">
      <c r="A183" s="1543" t="s">
        <v>1759</v>
      </c>
      <c r="B183" s="1535" t="s">
        <v>1763</v>
      </c>
      <c r="C183" s="1526"/>
      <c r="D183" s="1527"/>
      <c r="E183" s="1527"/>
      <c r="F183" s="1526"/>
      <c r="G183" s="1136"/>
      <c r="H183" s="1882"/>
      <c r="I183" s="1882"/>
      <c r="J183" s="1526">
        <v>515000</v>
      </c>
      <c r="K183" s="1526"/>
      <c r="L183" s="1526"/>
      <c r="M183" s="1526"/>
      <c r="N183" s="1526"/>
      <c r="O183" s="1529"/>
    </row>
    <row r="184" spans="1:15" s="1523" customFormat="1" ht="25.2" x14ac:dyDescent="0.15">
      <c r="A184" s="1543" t="s">
        <v>1759</v>
      </c>
      <c r="B184" s="1553" t="s">
        <v>1764</v>
      </c>
      <c r="C184" s="1533"/>
      <c r="D184" s="1554"/>
      <c r="E184" s="1527"/>
      <c r="F184" s="1532">
        <v>35944200</v>
      </c>
      <c r="G184" s="1555"/>
      <c r="H184" s="1882"/>
      <c r="I184" s="1882"/>
      <c r="J184" s="1533"/>
      <c r="K184" s="1533"/>
      <c r="L184" s="1533"/>
      <c r="M184" s="1533"/>
      <c r="N184" s="1533"/>
      <c r="O184" s="1557" t="s">
        <v>1865</v>
      </c>
    </row>
    <row r="185" spans="1:15" s="1523" customFormat="1" ht="8.4" x14ac:dyDescent="0.15">
      <c r="A185" s="1543" t="s">
        <v>1745</v>
      </c>
      <c r="B185" s="1535" t="s">
        <v>1765</v>
      </c>
      <c r="C185" s="1526"/>
      <c r="D185" s="1527"/>
      <c r="E185" s="1527"/>
      <c r="F185" s="1526"/>
      <c r="G185" s="1136"/>
      <c r="H185" s="1882"/>
      <c r="I185" s="1882"/>
      <c r="J185" s="1526">
        <v>30000</v>
      </c>
      <c r="K185" s="1526"/>
      <c r="L185" s="1526"/>
      <c r="M185" s="1526"/>
      <c r="N185" s="1526"/>
      <c r="O185" s="1529"/>
    </row>
    <row r="186" spans="1:15" s="1523" customFormat="1" ht="16.8" x14ac:dyDescent="0.15">
      <c r="A186" s="1543" t="s">
        <v>1766</v>
      </c>
      <c r="B186" s="1535" t="s">
        <v>94</v>
      </c>
      <c r="C186" s="1526"/>
      <c r="D186" s="1527"/>
      <c r="E186" s="1527"/>
      <c r="F186" s="1526"/>
      <c r="G186" s="1136"/>
      <c r="H186" s="1882"/>
      <c r="I186" s="1882"/>
      <c r="J186" s="1526"/>
      <c r="K186" s="1526"/>
      <c r="L186" s="1526"/>
      <c r="M186" s="1526">
        <v>80000</v>
      </c>
      <c r="N186" s="1526"/>
      <c r="O186" s="1529"/>
    </row>
    <row r="187" spans="1:15" s="1523" customFormat="1" ht="16.8" x14ac:dyDescent="0.15">
      <c r="A187" s="1543" t="s">
        <v>1766</v>
      </c>
      <c r="B187" s="1535" t="s">
        <v>94</v>
      </c>
      <c r="C187" s="1526"/>
      <c r="D187" s="1527"/>
      <c r="E187" s="1527"/>
      <c r="F187" s="1526"/>
      <c r="G187" s="1136"/>
      <c r="H187" s="1882"/>
      <c r="I187" s="1882"/>
      <c r="J187" s="1526"/>
      <c r="K187" s="1526"/>
      <c r="L187" s="1526"/>
      <c r="M187" s="1526">
        <v>43000</v>
      </c>
      <c r="N187" s="1526"/>
      <c r="O187" s="1529"/>
    </row>
    <row r="188" spans="1:15" s="1523" customFormat="1" ht="16.8" x14ac:dyDescent="0.15">
      <c r="A188" s="1543"/>
      <c r="B188" s="1535" t="s">
        <v>1767</v>
      </c>
      <c r="C188" s="1526"/>
      <c r="D188" s="1527"/>
      <c r="E188" s="1527"/>
      <c r="F188" s="1526"/>
      <c r="G188" s="1136"/>
      <c r="H188" s="1882"/>
      <c r="I188" s="1882"/>
      <c r="J188" s="1526"/>
      <c r="K188" s="1526">
        <v>334000</v>
      </c>
      <c r="L188" s="1526"/>
      <c r="M188" s="1526"/>
      <c r="N188" s="1526"/>
      <c r="O188" s="1529"/>
    </row>
    <row r="189" spans="1:15" s="1523" customFormat="1" ht="16.8" x14ac:dyDescent="0.15">
      <c r="A189" s="1548" t="s">
        <v>1728</v>
      </c>
      <c r="B189" s="1535" t="s">
        <v>1768</v>
      </c>
      <c r="C189" s="1526"/>
      <c r="D189" s="1527"/>
      <c r="E189" s="1527"/>
      <c r="F189" s="1526"/>
      <c r="G189" s="1136"/>
      <c r="H189" s="1882"/>
      <c r="I189" s="1882"/>
      <c r="J189" s="1526"/>
      <c r="K189" s="1526">
        <v>480000</v>
      </c>
      <c r="L189" s="1526"/>
      <c r="M189" s="1526"/>
      <c r="N189" s="1526"/>
      <c r="O189" s="1529"/>
    </row>
    <row r="190" spans="1:15" s="1523" customFormat="1" ht="8.4" x14ac:dyDescent="0.15">
      <c r="A190" s="1548" t="s">
        <v>1766</v>
      </c>
      <c r="B190" s="1535" t="s">
        <v>1769</v>
      </c>
      <c r="C190" s="1526"/>
      <c r="D190" s="1527"/>
      <c r="E190" s="1527"/>
      <c r="F190" s="1526"/>
      <c r="G190" s="1136"/>
      <c r="H190" s="1882"/>
      <c r="I190" s="1882"/>
      <c r="J190" s="1526">
        <v>926400</v>
      </c>
      <c r="K190" s="1526"/>
      <c r="L190" s="1526"/>
      <c r="M190" s="1526"/>
      <c r="N190" s="1526"/>
      <c r="O190" s="1529"/>
    </row>
    <row r="191" spans="1:15" s="1523" customFormat="1" ht="8.4" x14ac:dyDescent="0.15">
      <c r="A191" s="1548" t="s">
        <v>1766</v>
      </c>
      <c r="B191" s="1535" t="s">
        <v>1770</v>
      </c>
      <c r="C191" s="1526"/>
      <c r="D191" s="1527"/>
      <c r="E191" s="1527"/>
      <c r="F191" s="1526"/>
      <c r="G191" s="1136"/>
      <c r="H191" s="1882"/>
      <c r="I191" s="1882"/>
      <c r="J191" s="1526">
        <v>92640</v>
      </c>
      <c r="K191" s="1526"/>
      <c r="L191" s="1526"/>
      <c r="M191" s="1526"/>
      <c r="N191" s="1526"/>
      <c r="O191" s="1529"/>
    </row>
    <row r="192" spans="1:15" s="1523" customFormat="1" ht="16.8" x14ac:dyDescent="0.15">
      <c r="A192" s="1543"/>
      <c r="B192" s="1535" t="s">
        <v>1771</v>
      </c>
      <c r="C192" s="1526"/>
      <c r="D192" s="1527"/>
      <c r="E192" s="1527"/>
      <c r="F192" s="1526"/>
      <c r="G192" s="1136"/>
      <c r="H192" s="1882"/>
      <c r="I192" s="1882"/>
      <c r="J192" s="1526"/>
      <c r="K192" s="1526">
        <v>150000</v>
      </c>
      <c r="L192" s="1526"/>
      <c r="M192" s="1526"/>
      <c r="N192" s="1526"/>
      <c r="O192" s="1529"/>
    </row>
    <row r="193" spans="1:15" s="1523" customFormat="1" ht="16.8" x14ac:dyDescent="0.15">
      <c r="A193" s="1543"/>
      <c r="B193" s="1535" t="s">
        <v>1772</v>
      </c>
      <c r="C193" s="1526"/>
      <c r="D193" s="1527"/>
      <c r="E193" s="1527"/>
      <c r="F193" s="1526"/>
      <c r="G193" s="1136"/>
      <c r="H193" s="1882"/>
      <c r="I193" s="1882"/>
      <c r="J193" s="1526"/>
      <c r="K193" s="1526">
        <f>13*15000</f>
        <v>195000</v>
      </c>
      <c r="L193" s="1526"/>
      <c r="M193" s="1526"/>
      <c r="N193" s="1526"/>
      <c r="O193" s="1529"/>
    </row>
    <row r="194" spans="1:15" s="1523" customFormat="1" ht="16.8" x14ac:dyDescent="0.15">
      <c r="A194" s="1543"/>
      <c r="B194" s="1535" t="s">
        <v>1773</v>
      </c>
      <c r="C194" s="1526"/>
      <c r="D194" s="1527"/>
      <c r="E194" s="1527"/>
      <c r="F194" s="1526"/>
      <c r="G194" s="1136"/>
      <c r="H194" s="1882"/>
      <c r="I194" s="1882"/>
      <c r="J194" s="1526"/>
      <c r="K194" s="1526">
        <v>60000</v>
      </c>
      <c r="L194" s="1526"/>
      <c r="M194" s="1526"/>
      <c r="N194" s="1526"/>
      <c r="O194" s="1529"/>
    </row>
    <row r="195" spans="1:15" s="1523" customFormat="1" ht="8.4" x14ac:dyDescent="0.15">
      <c r="A195" s="1543"/>
      <c r="B195" s="1535" t="s">
        <v>1774</v>
      </c>
      <c r="C195" s="1526"/>
      <c r="D195" s="1527"/>
      <c r="E195" s="1527"/>
      <c r="F195" s="1526"/>
      <c r="G195" s="1136"/>
      <c r="H195" s="1882"/>
      <c r="I195" s="1882"/>
      <c r="J195" s="1526"/>
      <c r="K195" s="1526">
        <v>15000</v>
      </c>
      <c r="L195" s="1526"/>
      <c r="M195" s="1526"/>
      <c r="N195" s="1526"/>
      <c r="O195" s="1529"/>
    </row>
    <row r="196" spans="1:15" s="1523" customFormat="1" ht="16.8" x14ac:dyDescent="0.15">
      <c r="A196" s="1543"/>
      <c r="B196" s="1535" t="s">
        <v>1775</v>
      </c>
      <c r="C196" s="1526"/>
      <c r="D196" s="1527"/>
      <c r="E196" s="1527"/>
      <c r="F196" s="1526"/>
      <c r="G196" s="1136"/>
      <c r="H196" s="1882"/>
      <c r="I196" s="1882"/>
      <c r="J196" s="1526"/>
      <c r="K196" s="1526">
        <f>40000*3+60000*15</f>
        <v>1020000</v>
      </c>
      <c r="L196" s="1526"/>
      <c r="M196" s="1526"/>
      <c r="N196" s="1526"/>
      <c r="O196" s="1529"/>
    </row>
    <row r="197" spans="1:15" s="1523" customFormat="1" ht="16.8" x14ac:dyDescent="0.15">
      <c r="A197" s="1543"/>
      <c r="B197" s="1535" t="s">
        <v>1776</v>
      </c>
      <c r="C197" s="1526"/>
      <c r="D197" s="1527"/>
      <c r="E197" s="1527"/>
      <c r="F197" s="1526"/>
      <c r="G197" s="1136"/>
      <c r="H197" s="1882"/>
      <c r="I197" s="1882"/>
      <c r="J197" s="1526"/>
      <c r="K197" s="1526">
        <v>210000</v>
      </c>
      <c r="L197" s="1526"/>
      <c r="M197" s="1526"/>
      <c r="N197" s="1526"/>
      <c r="O197" s="1529"/>
    </row>
    <row r="198" spans="1:15" s="1523" customFormat="1" ht="16.8" x14ac:dyDescent="0.15">
      <c r="A198" s="1543"/>
      <c r="B198" s="1535" t="s">
        <v>1777</v>
      </c>
      <c r="C198" s="1526"/>
      <c r="D198" s="1527"/>
      <c r="E198" s="1527"/>
      <c r="F198" s="1526"/>
      <c r="G198" s="1136"/>
      <c r="H198" s="1882"/>
      <c r="I198" s="1882"/>
      <c r="J198" s="1526"/>
      <c r="K198" s="1526">
        <v>10000</v>
      </c>
      <c r="L198" s="1526"/>
      <c r="M198" s="1526"/>
      <c r="N198" s="1526"/>
      <c r="O198" s="1529"/>
    </row>
    <row r="199" spans="1:15" s="1523" customFormat="1" ht="16.8" x14ac:dyDescent="0.15">
      <c r="A199" s="1543"/>
      <c r="B199" s="1535" t="s">
        <v>1778</v>
      </c>
      <c r="C199" s="1526"/>
      <c r="D199" s="1527"/>
      <c r="E199" s="1527"/>
      <c r="F199" s="1526"/>
      <c r="G199" s="1136"/>
      <c r="H199" s="1882"/>
      <c r="I199" s="1882"/>
      <c r="J199" s="1526"/>
      <c r="K199" s="1526">
        <v>35000</v>
      </c>
      <c r="L199" s="1526"/>
      <c r="M199" s="1526"/>
      <c r="N199" s="1526"/>
      <c r="O199" s="1529"/>
    </row>
    <row r="200" spans="1:15" s="1523" customFormat="1" ht="16.8" x14ac:dyDescent="0.15">
      <c r="A200" s="1543"/>
      <c r="B200" s="1535" t="s">
        <v>1779</v>
      </c>
      <c r="C200" s="1526"/>
      <c r="D200" s="1527"/>
      <c r="E200" s="1527"/>
      <c r="F200" s="1526"/>
      <c r="G200" s="1136"/>
      <c r="H200" s="1882"/>
      <c r="I200" s="1882"/>
      <c r="J200" s="1526"/>
      <c r="K200" s="1526">
        <v>210000</v>
      </c>
      <c r="L200" s="1526"/>
      <c r="M200" s="1526"/>
      <c r="N200" s="1526"/>
      <c r="O200" s="1529"/>
    </row>
    <row r="201" spans="1:15" s="1523" customFormat="1" ht="8.4" x14ac:dyDescent="0.15">
      <c r="A201" s="1543"/>
      <c r="B201" s="1535" t="s">
        <v>1780</v>
      </c>
      <c r="C201" s="1526"/>
      <c r="D201" s="1527"/>
      <c r="E201" s="1527"/>
      <c r="F201" s="1526"/>
      <c r="G201" s="1136"/>
      <c r="H201" s="1882"/>
      <c r="I201" s="1882"/>
      <c r="J201" s="1526"/>
      <c r="K201" s="1526">
        <v>75000</v>
      </c>
      <c r="L201" s="1526"/>
      <c r="M201" s="1526"/>
      <c r="N201" s="1526"/>
      <c r="O201" s="1529"/>
    </row>
    <row r="202" spans="1:15" s="1523" customFormat="1" ht="16.8" x14ac:dyDescent="0.15">
      <c r="A202" s="1543"/>
      <c r="B202" s="1535" t="s">
        <v>1776</v>
      </c>
      <c r="C202" s="1526"/>
      <c r="D202" s="1527"/>
      <c r="E202" s="1527"/>
      <c r="F202" s="1526"/>
      <c r="G202" s="1136"/>
      <c r="H202" s="1882"/>
      <c r="I202" s="1882"/>
      <c r="J202" s="1526"/>
      <c r="K202" s="1526">
        <v>65000</v>
      </c>
      <c r="L202" s="1526"/>
      <c r="M202" s="1526"/>
      <c r="N202" s="1526"/>
      <c r="O202" s="1529"/>
    </row>
    <row r="203" spans="1:15" s="1523" customFormat="1" ht="16.8" x14ac:dyDescent="0.15">
      <c r="A203" s="1543"/>
      <c r="B203" s="1535" t="s">
        <v>1776</v>
      </c>
      <c r="C203" s="1526"/>
      <c r="D203" s="1527"/>
      <c r="E203" s="1527"/>
      <c r="F203" s="1526"/>
      <c r="G203" s="1136"/>
      <c r="H203" s="1882"/>
      <c r="I203" s="1882"/>
      <c r="J203" s="1526"/>
      <c r="K203" s="1526">
        <v>210000</v>
      </c>
      <c r="L203" s="1526"/>
      <c r="M203" s="1526"/>
      <c r="N203" s="1526"/>
      <c r="O203" s="1529"/>
    </row>
    <row r="204" spans="1:15" s="1523" customFormat="1" ht="16.8" x14ac:dyDescent="0.15">
      <c r="A204" s="1543"/>
      <c r="B204" s="1535" t="s">
        <v>1781</v>
      </c>
      <c r="C204" s="1526"/>
      <c r="D204" s="1527"/>
      <c r="E204" s="1527"/>
      <c r="F204" s="1526"/>
      <c r="G204" s="1136"/>
      <c r="H204" s="1882"/>
      <c r="I204" s="1882"/>
      <c r="J204" s="1526">
        <v>399000</v>
      </c>
      <c r="K204" s="1526"/>
      <c r="L204" s="1526"/>
      <c r="M204" s="1526"/>
      <c r="N204" s="1526"/>
      <c r="O204" s="1529"/>
    </row>
    <row r="205" spans="1:15" s="1523" customFormat="1" ht="8.4" x14ac:dyDescent="0.15">
      <c r="A205" s="1543" t="s">
        <v>1759</v>
      </c>
      <c r="B205" s="1541" t="s">
        <v>1782</v>
      </c>
      <c r="C205" s="1526"/>
      <c r="D205" s="1527"/>
      <c r="E205" s="1527"/>
      <c r="F205" s="1526"/>
      <c r="G205" s="1136"/>
      <c r="H205" s="1882"/>
      <c r="I205" s="1882"/>
      <c r="J205" s="1526">
        <v>3136364</v>
      </c>
      <c r="K205" s="1526"/>
      <c r="L205" s="1526"/>
      <c r="M205" s="1526"/>
      <c r="N205" s="1526"/>
      <c r="O205" s="1529"/>
    </row>
    <row r="206" spans="1:15" s="1523" customFormat="1" ht="8.4" x14ac:dyDescent="0.15">
      <c r="A206" s="1543"/>
      <c r="B206" s="1541" t="s">
        <v>1770</v>
      </c>
      <c r="C206" s="1526"/>
      <c r="D206" s="1527"/>
      <c r="E206" s="1527"/>
      <c r="F206" s="1526"/>
      <c r="G206" s="1136"/>
      <c r="H206" s="1882"/>
      <c r="I206" s="1882"/>
      <c r="J206" s="1526">
        <v>313636</v>
      </c>
      <c r="K206" s="1526"/>
      <c r="L206" s="1526"/>
      <c r="M206" s="1526"/>
      <c r="N206" s="1526"/>
      <c r="O206" s="1529"/>
    </row>
    <row r="207" spans="1:15" s="1523" customFormat="1" ht="8.4" x14ac:dyDescent="0.15">
      <c r="A207" s="1558" t="s">
        <v>1783</v>
      </c>
      <c r="B207" s="1525" t="s">
        <v>1784</v>
      </c>
      <c r="C207" s="1526"/>
      <c r="D207" s="1527"/>
      <c r="E207" s="1527"/>
      <c r="F207" s="1526"/>
      <c r="G207" s="1883">
        <v>100000</v>
      </c>
      <c r="H207" s="1882"/>
      <c r="I207" s="1882"/>
      <c r="J207" s="1526"/>
      <c r="K207" s="1526"/>
      <c r="L207" s="1526"/>
      <c r="M207" s="1526"/>
      <c r="N207" s="1526"/>
      <c r="O207" s="1529"/>
    </row>
    <row r="208" spans="1:15" s="1523" customFormat="1" ht="16.8" x14ac:dyDescent="0.15">
      <c r="A208" s="1558" t="s">
        <v>1783</v>
      </c>
      <c r="B208" s="1525" t="s">
        <v>1785</v>
      </c>
      <c r="C208" s="1526"/>
      <c r="D208" s="1527"/>
      <c r="E208" s="1527"/>
      <c r="F208" s="1526"/>
      <c r="G208" s="1883">
        <v>94000</v>
      </c>
      <c r="H208" s="1882"/>
      <c r="I208" s="1882"/>
      <c r="J208" s="1526"/>
      <c r="K208" s="1526"/>
      <c r="L208" s="1526"/>
      <c r="M208" s="1526"/>
      <c r="N208" s="1526"/>
      <c r="O208" s="1529"/>
    </row>
    <row r="209" spans="1:15" s="1523" customFormat="1" ht="8.4" x14ac:dyDescent="0.15">
      <c r="A209" s="1560" t="s">
        <v>1786</v>
      </c>
      <c r="B209" s="1525" t="s">
        <v>1784</v>
      </c>
      <c r="C209" s="1526"/>
      <c r="D209" s="1527"/>
      <c r="E209" s="1527"/>
      <c r="F209" s="1526"/>
      <c r="G209" s="1136"/>
      <c r="H209" s="1882"/>
      <c r="I209" s="1882"/>
      <c r="J209" s="1526"/>
      <c r="K209" s="1883">
        <v>45000</v>
      </c>
      <c r="L209" s="1526"/>
      <c r="M209" s="1526"/>
      <c r="N209" s="1526"/>
      <c r="O209" s="1529"/>
    </row>
    <row r="210" spans="1:15" s="1523" customFormat="1" ht="8.4" x14ac:dyDescent="0.15">
      <c r="A210" s="1560" t="s">
        <v>1787</v>
      </c>
      <c r="B210" s="1525" t="s">
        <v>1788</v>
      </c>
      <c r="C210" s="1526"/>
      <c r="D210" s="1527"/>
      <c r="E210" s="1527"/>
      <c r="F210" s="1526"/>
      <c r="G210" s="1136"/>
      <c r="H210" s="1882"/>
      <c r="I210" s="1882"/>
      <c r="J210" s="1883">
        <v>1000000</v>
      </c>
      <c r="K210" s="1526"/>
      <c r="L210" s="1526"/>
      <c r="M210" s="1526"/>
      <c r="N210" s="1526"/>
      <c r="O210" s="1529"/>
    </row>
    <row r="211" spans="1:15" s="1523" customFormat="1" ht="8.4" x14ac:dyDescent="0.15">
      <c r="A211" s="1560" t="s">
        <v>1787</v>
      </c>
      <c r="B211" s="1525" t="s">
        <v>1789</v>
      </c>
      <c r="C211" s="1526"/>
      <c r="D211" s="1527"/>
      <c r="E211" s="1527"/>
      <c r="F211" s="1526"/>
      <c r="G211" s="1136"/>
      <c r="H211" s="1882"/>
      <c r="I211" s="1882"/>
      <c r="J211" s="1883">
        <v>75000</v>
      </c>
      <c r="K211" s="1526"/>
      <c r="L211" s="1526"/>
      <c r="M211" s="1526"/>
      <c r="N211" s="1526"/>
      <c r="O211" s="1529"/>
    </row>
    <row r="212" spans="1:15" s="1523" customFormat="1" ht="8.4" x14ac:dyDescent="0.15">
      <c r="A212" s="1560" t="s">
        <v>1790</v>
      </c>
      <c r="B212" s="1525" t="s">
        <v>1791</v>
      </c>
      <c r="C212" s="1526"/>
      <c r="D212" s="1527"/>
      <c r="E212" s="1527"/>
      <c r="F212" s="1526"/>
      <c r="G212" s="1136"/>
      <c r="H212" s="1882"/>
      <c r="I212" s="1882"/>
      <c r="J212" s="1883">
        <v>713000</v>
      </c>
      <c r="K212" s="1526"/>
      <c r="L212" s="1526"/>
      <c r="M212" s="1526"/>
      <c r="N212" s="1526"/>
      <c r="O212" s="1529"/>
    </row>
    <row r="213" spans="1:15" s="1523" customFormat="1" ht="16.8" x14ac:dyDescent="0.15">
      <c r="A213" s="1560" t="s">
        <v>1792</v>
      </c>
      <c r="B213" s="1525" t="s">
        <v>1793</v>
      </c>
      <c r="C213" s="1526"/>
      <c r="D213" s="1527"/>
      <c r="E213" s="1527"/>
      <c r="F213" s="1526"/>
      <c r="G213" s="1136"/>
      <c r="H213" s="1882"/>
      <c r="I213" s="1882"/>
      <c r="J213" s="1526"/>
      <c r="K213" s="1526"/>
      <c r="L213" s="1883">
        <v>330000</v>
      </c>
      <c r="M213" s="1526"/>
      <c r="N213" s="1526"/>
      <c r="O213" s="1529"/>
    </row>
    <row r="214" spans="1:15" s="1523" customFormat="1" ht="8.4" x14ac:dyDescent="0.15">
      <c r="A214" s="1560" t="s">
        <v>1792</v>
      </c>
      <c r="B214" s="1525" t="s">
        <v>1794</v>
      </c>
      <c r="C214" s="1526"/>
      <c r="D214" s="1527"/>
      <c r="E214" s="1527"/>
      <c r="F214" s="1526"/>
      <c r="G214" s="1136"/>
      <c r="H214" s="1882"/>
      <c r="I214" s="1882"/>
      <c r="J214" s="1526"/>
      <c r="K214" s="1526"/>
      <c r="L214" s="1883">
        <v>30000</v>
      </c>
      <c r="M214" s="1526"/>
      <c r="N214" s="1526"/>
      <c r="O214" s="1529"/>
    </row>
    <row r="215" spans="1:15" s="1523" customFormat="1" ht="8.4" x14ac:dyDescent="0.15">
      <c r="A215" s="1560" t="s">
        <v>1792</v>
      </c>
      <c r="B215" s="1525" t="s">
        <v>1795</v>
      </c>
      <c r="C215" s="1526"/>
      <c r="D215" s="1527"/>
      <c r="E215" s="1527"/>
      <c r="F215" s="1526"/>
      <c r="G215" s="1136"/>
      <c r="H215" s="1882"/>
      <c r="I215" s="1882"/>
      <c r="J215" s="1526"/>
      <c r="K215" s="1526"/>
      <c r="L215" s="1883">
        <v>236000</v>
      </c>
      <c r="M215" s="1526"/>
      <c r="N215" s="1526"/>
      <c r="O215" s="1529"/>
    </row>
    <row r="216" spans="1:15" s="1523" customFormat="1" ht="8.4" x14ac:dyDescent="0.15">
      <c r="A216" s="1560" t="s">
        <v>1792</v>
      </c>
      <c r="B216" s="1525" t="s">
        <v>1796</v>
      </c>
      <c r="C216" s="1526"/>
      <c r="D216" s="1527"/>
      <c r="E216" s="1527"/>
      <c r="F216" s="1526"/>
      <c r="G216" s="1136"/>
      <c r="H216" s="1882"/>
      <c r="I216" s="1882"/>
      <c r="J216" s="1526"/>
      <c r="K216" s="1526"/>
      <c r="L216" s="1883">
        <v>320000</v>
      </c>
      <c r="M216" s="1526"/>
      <c r="N216" s="1526"/>
      <c r="O216" s="1529"/>
    </row>
    <row r="217" spans="1:15" s="1523" customFormat="1" ht="8.4" x14ac:dyDescent="0.15">
      <c r="A217" s="1560" t="s">
        <v>1797</v>
      </c>
      <c r="B217" s="1525" t="s">
        <v>1798</v>
      </c>
      <c r="C217" s="1526"/>
      <c r="D217" s="1527"/>
      <c r="E217" s="1527"/>
      <c r="F217" s="1526"/>
      <c r="G217" s="1136"/>
      <c r="H217" s="1882"/>
      <c r="I217" s="1882"/>
      <c r="J217" s="1883">
        <v>400000</v>
      </c>
      <c r="K217" s="1526"/>
      <c r="L217" s="1526"/>
      <c r="M217" s="1526"/>
      <c r="N217" s="1526"/>
      <c r="O217" s="1529"/>
    </row>
    <row r="218" spans="1:15" s="1523" customFormat="1" ht="16.8" x14ac:dyDescent="0.15">
      <c r="A218" s="1560" t="s">
        <v>1797</v>
      </c>
      <c r="B218" s="1525" t="s">
        <v>1799</v>
      </c>
      <c r="C218" s="1526"/>
      <c r="D218" s="1527"/>
      <c r="E218" s="1527"/>
      <c r="F218" s="1526"/>
      <c r="G218" s="1136"/>
      <c r="H218" s="1882"/>
      <c r="I218" s="1882"/>
      <c r="J218" s="1883">
        <v>200000</v>
      </c>
      <c r="K218" s="1526"/>
      <c r="L218" s="1526"/>
      <c r="M218" s="1526"/>
      <c r="N218" s="1526"/>
      <c r="O218" s="1529"/>
    </row>
    <row r="219" spans="1:15" s="1523" customFormat="1" ht="8.4" x14ac:dyDescent="0.15">
      <c r="A219" s="1560" t="s">
        <v>1800</v>
      </c>
      <c r="B219" s="1525" t="s">
        <v>1801</v>
      </c>
      <c r="C219" s="1526"/>
      <c r="D219" s="1527"/>
      <c r="E219" s="1527"/>
      <c r="F219" s="1526"/>
      <c r="G219" s="1136"/>
      <c r="H219" s="1882"/>
      <c r="I219" s="1882"/>
      <c r="J219" s="1526"/>
      <c r="K219" s="1883">
        <v>75000</v>
      </c>
      <c r="L219" s="1526"/>
      <c r="M219" s="1526"/>
      <c r="N219" s="1526"/>
      <c r="O219" s="1529"/>
    </row>
    <row r="220" spans="1:15" s="1523" customFormat="1" ht="16.8" x14ac:dyDescent="0.15">
      <c r="A220" s="1560" t="s">
        <v>1802</v>
      </c>
      <c r="B220" s="1525" t="s">
        <v>1803</v>
      </c>
      <c r="C220" s="1526"/>
      <c r="D220" s="1527"/>
      <c r="E220" s="1527"/>
      <c r="F220" s="1526"/>
      <c r="G220" s="1136"/>
      <c r="H220" s="1882"/>
      <c r="I220" s="1882"/>
      <c r="J220" s="1883">
        <v>2000000</v>
      </c>
      <c r="K220" s="1526"/>
      <c r="L220" s="1526"/>
      <c r="M220" s="1526"/>
      <c r="N220" s="1526"/>
      <c r="O220" s="1529"/>
    </row>
    <row r="221" spans="1:15" s="1523" customFormat="1" ht="8.4" x14ac:dyDescent="0.15">
      <c r="A221" s="1560" t="s">
        <v>1802</v>
      </c>
      <c r="B221" s="1525" t="s">
        <v>129</v>
      </c>
      <c r="C221" s="1526"/>
      <c r="D221" s="1527"/>
      <c r="E221" s="1527"/>
      <c r="F221" s="1526"/>
      <c r="G221" s="1136"/>
      <c r="H221" s="1882"/>
      <c r="I221" s="1882"/>
      <c r="J221" s="1883">
        <v>7700</v>
      </c>
      <c r="K221" s="1526"/>
      <c r="L221" s="1526"/>
      <c r="M221" s="1526"/>
      <c r="N221" s="1526"/>
      <c r="O221" s="1529"/>
    </row>
    <row r="222" spans="1:15" s="1523" customFormat="1" ht="16.8" x14ac:dyDescent="0.15">
      <c r="A222" s="1560" t="s">
        <v>1802</v>
      </c>
      <c r="B222" s="1541" t="s">
        <v>1804</v>
      </c>
      <c r="C222" s="1526"/>
      <c r="D222" s="1527"/>
      <c r="E222" s="1527"/>
      <c r="F222" s="1526"/>
      <c r="G222" s="1883"/>
      <c r="H222" s="1882"/>
      <c r="I222" s="1882"/>
      <c r="J222" s="1526">
        <v>35400000</v>
      </c>
      <c r="K222" s="1526"/>
      <c r="L222" s="1526"/>
      <c r="M222" s="1526"/>
      <c r="N222" s="1526"/>
      <c r="O222" s="1529"/>
    </row>
    <row r="223" spans="1:15" s="1523" customFormat="1" ht="16.8" x14ac:dyDescent="0.15">
      <c r="A223" s="1560" t="s">
        <v>1805</v>
      </c>
      <c r="B223" s="1525" t="s">
        <v>1806</v>
      </c>
      <c r="C223" s="1526"/>
      <c r="D223" s="1527"/>
      <c r="E223" s="1527"/>
      <c r="F223" s="1526"/>
      <c r="G223" s="1883"/>
      <c r="H223" s="1882"/>
      <c r="I223" s="1882"/>
      <c r="J223" s="1526">
        <v>7000000</v>
      </c>
      <c r="K223" s="1526"/>
      <c r="L223" s="1526"/>
      <c r="M223" s="1526"/>
      <c r="N223" s="1526"/>
      <c r="O223" s="1529"/>
    </row>
    <row r="224" spans="1:15" s="1523" customFormat="1" ht="8.4" x14ac:dyDescent="0.15">
      <c r="A224" s="1560" t="s">
        <v>1807</v>
      </c>
      <c r="B224" s="1525" t="s">
        <v>1808</v>
      </c>
      <c r="C224" s="1526"/>
      <c r="D224" s="1527"/>
      <c r="E224" s="1527"/>
      <c r="F224" s="1526"/>
      <c r="G224" s="1136"/>
      <c r="H224" s="1882"/>
      <c r="I224" s="1882"/>
      <c r="J224" s="1883">
        <v>2200000</v>
      </c>
      <c r="K224" s="1526"/>
      <c r="L224" s="1526"/>
      <c r="M224" s="1526"/>
      <c r="N224" s="1526"/>
      <c r="O224" s="1529"/>
    </row>
    <row r="225" spans="1:15" s="1523" customFormat="1" ht="8.4" x14ac:dyDescent="0.15">
      <c r="A225" s="1560"/>
      <c r="B225" s="1525" t="s">
        <v>129</v>
      </c>
      <c r="C225" s="1526"/>
      <c r="D225" s="1527"/>
      <c r="E225" s="1527"/>
      <c r="F225" s="1526"/>
      <c r="G225" s="1136"/>
      <c r="H225" s="1882"/>
      <c r="I225" s="1882"/>
      <c r="J225" s="1883">
        <v>7700</v>
      </c>
      <c r="K225" s="1526"/>
      <c r="L225" s="1526"/>
      <c r="M225" s="1526"/>
      <c r="N225" s="1526"/>
      <c r="O225" s="1529"/>
    </row>
    <row r="226" spans="1:15" s="1523" customFormat="1" ht="16.8" x14ac:dyDescent="0.15">
      <c r="A226" s="1549" t="s">
        <v>150</v>
      </c>
      <c r="B226" s="1550" t="s">
        <v>1809</v>
      </c>
      <c r="C226" s="1526"/>
      <c r="D226" s="1527"/>
      <c r="E226" s="1527"/>
      <c r="F226" s="1526"/>
      <c r="G226" s="1136"/>
      <c r="H226" s="1882"/>
      <c r="I226" s="1882"/>
      <c r="J226" s="1526">
        <v>150000</v>
      </c>
      <c r="K226" s="1526"/>
      <c r="L226" s="1526"/>
      <c r="M226" s="1526"/>
      <c r="N226" s="1526"/>
      <c r="O226" s="1529"/>
    </row>
    <row r="227" spans="1:15" s="1523" customFormat="1" ht="8.4" x14ac:dyDescent="0.15">
      <c r="A227" s="1549" t="s">
        <v>150</v>
      </c>
      <c r="B227" s="1525" t="s">
        <v>1810</v>
      </c>
      <c r="C227" s="1526"/>
      <c r="D227" s="1527"/>
      <c r="E227" s="1527"/>
      <c r="F227" s="1526"/>
      <c r="G227" s="1136"/>
      <c r="H227" s="1882"/>
      <c r="I227" s="1882"/>
      <c r="J227" s="1526">
        <v>15000</v>
      </c>
      <c r="K227" s="1526"/>
      <c r="L227" s="1526"/>
      <c r="M227" s="1526"/>
      <c r="N227" s="1526"/>
      <c r="O227" s="1529"/>
    </row>
    <row r="228" spans="1:15" s="1523" customFormat="1" ht="8.4" x14ac:dyDescent="0.15">
      <c r="A228" s="1549"/>
      <c r="B228" s="1535" t="s">
        <v>1811</v>
      </c>
      <c r="C228" s="1526"/>
      <c r="D228" s="1527"/>
      <c r="E228" s="1527"/>
      <c r="F228" s="1526"/>
      <c r="G228" s="1526">
        <v>2000000</v>
      </c>
      <c r="H228" s="1882"/>
      <c r="I228" s="1882"/>
      <c r="J228" s="1526"/>
      <c r="K228" s="1526"/>
      <c r="L228" s="1526"/>
      <c r="M228" s="1526"/>
      <c r="N228" s="1526"/>
      <c r="O228" s="1529"/>
    </row>
    <row r="229" spans="1:15" s="1523" customFormat="1" ht="16.8" x14ac:dyDescent="0.15">
      <c r="A229" s="1534" t="s">
        <v>1797</v>
      </c>
      <c r="B229" s="1561" t="s">
        <v>1843</v>
      </c>
      <c r="C229" s="1533"/>
      <c r="D229" s="1884">
        <v>56911900</v>
      </c>
      <c r="E229" s="1527"/>
      <c r="F229" s="1532">
        <v>25316750</v>
      </c>
      <c r="G229" s="1555"/>
      <c r="H229" s="1882"/>
      <c r="I229" s="1882"/>
      <c r="J229" s="1533"/>
      <c r="K229" s="1533"/>
      <c r="L229" s="1533"/>
      <c r="M229" s="1533"/>
      <c r="N229" s="1533"/>
      <c r="O229" s="1529"/>
    </row>
    <row r="230" spans="1:15" s="1523" customFormat="1" ht="8.4" x14ac:dyDescent="0.15">
      <c r="A230" s="1560" t="s">
        <v>1812</v>
      </c>
      <c r="B230" s="1542" t="s">
        <v>1813</v>
      </c>
      <c r="C230" s="1526"/>
      <c r="D230" s="1527"/>
      <c r="E230" s="1527"/>
      <c r="F230" s="1526"/>
      <c r="G230" s="1136"/>
      <c r="H230" s="1882"/>
      <c r="I230" s="1882"/>
      <c r="J230" s="1526">
        <v>500000</v>
      </c>
      <c r="K230" s="1526"/>
      <c r="L230" s="1526"/>
      <c r="M230" s="1526"/>
      <c r="N230" s="1526"/>
      <c r="O230" s="1529"/>
    </row>
    <row r="231" spans="1:15" s="1523" customFormat="1" ht="16.8" x14ac:dyDescent="0.15">
      <c r="A231" s="1560" t="s">
        <v>1802</v>
      </c>
      <c r="B231" s="1525" t="s">
        <v>1814</v>
      </c>
      <c r="C231" s="1526"/>
      <c r="D231" s="1527"/>
      <c r="E231" s="1527"/>
      <c r="F231" s="1526"/>
      <c r="G231" s="1136"/>
      <c r="H231" s="1882"/>
      <c r="I231" s="1882"/>
      <c r="J231" s="1526">
        <v>2400000</v>
      </c>
      <c r="K231" s="1526"/>
      <c r="L231" s="1526"/>
      <c r="M231" s="1526"/>
      <c r="N231" s="1526"/>
      <c r="O231" s="1529"/>
    </row>
    <row r="232" spans="1:15" s="1523" customFormat="1" ht="25.2" x14ac:dyDescent="0.15">
      <c r="A232" s="1547" t="s">
        <v>1792</v>
      </c>
      <c r="B232" s="1541" t="s">
        <v>1815</v>
      </c>
      <c r="C232" s="1526">
        <v>820000</v>
      </c>
      <c r="D232" s="1527"/>
      <c r="E232" s="1527"/>
      <c r="F232" s="1526"/>
      <c r="G232" s="1136"/>
      <c r="H232" s="1882"/>
      <c r="I232" s="1882"/>
      <c r="J232" s="1526"/>
      <c r="K232" s="1526"/>
      <c r="L232" s="1526"/>
      <c r="M232" s="1526"/>
      <c r="N232" s="1526"/>
      <c r="O232" s="1529"/>
    </row>
    <row r="233" spans="1:15" s="1523" customFormat="1" ht="16.8" x14ac:dyDescent="0.15">
      <c r="A233" s="1534"/>
      <c r="B233" s="1541" t="s">
        <v>1816</v>
      </c>
      <c r="C233" s="1526"/>
      <c r="D233" s="1527"/>
      <c r="E233" s="1527"/>
      <c r="F233" s="1526"/>
      <c r="G233" s="1136"/>
      <c r="H233" s="1882"/>
      <c r="I233" s="1882"/>
      <c r="J233" s="1526">
        <v>35550000</v>
      </c>
      <c r="K233" s="1526"/>
      <c r="L233" s="1526"/>
      <c r="M233" s="1526"/>
      <c r="N233" s="1526"/>
      <c r="O233" s="1529"/>
    </row>
    <row r="234" spans="1:15" s="1523" customFormat="1" ht="16.8" x14ac:dyDescent="0.15">
      <c r="A234" s="1564"/>
      <c r="B234" s="1565" t="s">
        <v>1817</v>
      </c>
      <c r="C234" s="1526"/>
      <c r="D234" s="1527"/>
      <c r="E234" s="1527"/>
      <c r="F234" s="1526"/>
      <c r="G234" s="1136"/>
      <c r="H234" s="1882"/>
      <c r="I234" s="1882"/>
      <c r="J234" s="1526"/>
      <c r="K234" s="1526"/>
      <c r="L234" s="1526"/>
      <c r="M234" s="1526"/>
      <c r="N234" s="1526">
        <v>5000000</v>
      </c>
      <c r="O234" s="1529"/>
    </row>
    <row r="235" spans="1:15" s="1523" customFormat="1" ht="8.4" x14ac:dyDescent="0.15">
      <c r="A235" s="1534" t="s">
        <v>160</v>
      </c>
      <c r="B235" s="1525" t="s">
        <v>1818</v>
      </c>
      <c r="C235" s="1526"/>
      <c r="D235" s="1527"/>
      <c r="E235" s="1527"/>
      <c r="F235" s="1526"/>
      <c r="G235" s="1136"/>
      <c r="H235" s="1882"/>
      <c r="I235" s="1882"/>
      <c r="J235" s="1526">
        <v>68000</v>
      </c>
      <c r="K235" s="1526"/>
      <c r="L235" s="1526"/>
      <c r="M235" s="1526"/>
      <c r="N235" s="1526"/>
      <c r="O235" s="1529"/>
    </row>
    <row r="236" spans="1:15" s="1523" customFormat="1" ht="25.2" x14ac:dyDescent="0.15">
      <c r="A236" s="1534" t="s">
        <v>160</v>
      </c>
      <c r="B236" s="1525" t="s">
        <v>1819</v>
      </c>
      <c r="C236" s="1526"/>
      <c r="D236" s="1527"/>
      <c r="E236" s="1527"/>
      <c r="F236" s="1526"/>
      <c r="G236" s="1136"/>
      <c r="H236" s="1882"/>
      <c r="I236" s="1882"/>
      <c r="J236" s="1526"/>
      <c r="K236" s="1526"/>
      <c r="L236" s="1526"/>
      <c r="M236" s="1566">
        <v>3166850</v>
      </c>
      <c r="N236" s="1526"/>
      <c r="O236" s="1529"/>
    </row>
    <row r="237" spans="1:15" s="1523" customFormat="1" ht="8.4" x14ac:dyDescent="0.15">
      <c r="A237" s="1534" t="s">
        <v>1812</v>
      </c>
      <c r="B237" s="1525" t="s">
        <v>1820</v>
      </c>
      <c r="C237" s="1526"/>
      <c r="D237" s="1527"/>
      <c r="E237" s="1527"/>
      <c r="F237" s="1526"/>
      <c r="G237" s="1136"/>
      <c r="H237" s="1882"/>
      <c r="I237" s="1882"/>
      <c r="J237" s="1526">
        <v>650000</v>
      </c>
      <c r="K237" s="1526"/>
      <c r="L237" s="1526"/>
      <c r="M237" s="1526"/>
      <c r="N237" s="1526"/>
      <c r="O237" s="1529"/>
    </row>
    <row r="238" spans="1:15" s="1523" customFormat="1" ht="8.4" x14ac:dyDescent="0.15">
      <c r="A238" s="1534" t="s">
        <v>174</v>
      </c>
      <c r="B238" s="1525" t="s">
        <v>1821</v>
      </c>
      <c r="C238" s="1526"/>
      <c r="D238" s="1527"/>
      <c r="E238" s="1527"/>
      <c r="F238" s="1526"/>
      <c r="G238" s="1136"/>
      <c r="H238" s="1882"/>
      <c r="I238" s="1882"/>
      <c r="J238" s="1526">
        <v>900000</v>
      </c>
      <c r="K238" s="1526"/>
      <c r="L238" s="1526"/>
      <c r="M238" s="1526"/>
      <c r="N238" s="1526"/>
      <c r="O238" s="1529"/>
    </row>
    <row r="239" spans="1:15" s="1523" customFormat="1" ht="8.4" x14ac:dyDescent="0.15">
      <c r="A239" s="1534" t="s">
        <v>160</v>
      </c>
      <c r="B239" s="1525" t="s">
        <v>1822</v>
      </c>
      <c r="C239" s="1526"/>
      <c r="D239" s="1527"/>
      <c r="E239" s="1527"/>
      <c r="F239" s="1526"/>
      <c r="G239" s="1136"/>
      <c r="H239" s="1882"/>
      <c r="I239" s="1882"/>
      <c r="J239" s="1526">
        <v>300000</v>
      </c>
      <c r="K239" s="1526"/>
      <c r="L239" s="1526"/>
      <c r="M239" s="1526"/>
      <c r="N239" s="1526"/>
      <c r="O239" s="1529"/>
    </row>
    <row r="240" spans="1:15" s="1523" customFormat="1" ht="16.8" x14ac:dyDescent="0.15">
      <c r="A240" s="1534" t="s">
        <v>176</v>
      </c>
      <c r="B240" s="1525" t="s">
        <v>1823</v>
      </c>
      <c r="C240" s="1526"/>
      <c r="D240" s="1527"/>
      <c r="E240" s="1527"/>
      <c r="F240" s="1526"/>
      <c r="G240" s="1136"/>
      <c r="H240" s="1882"/>
      <c r="I240" s="1882"/>
      <c r="J240" s="1526"/>
      <c r="K240" s="1526"/>
      <c r="L240" s="1526">
        <v>210000</v>
      </c>
      <c r="M240" s="1526"/>
      <c r="N240" s="1526"/>
      <c r="O240" s="1529"/>
    </row>
    <row r="241" spans="1:15" s="1523" customFormat="1" ht="16.8" x14ac:dyDescent="0.15">
      <c r="A241" s="1534" t="s">
        <v>160</v>
      </c>
      <c r="B241" s="1525" t="s">
        <v>1824</v>
      </c>
      <c r="C241" s="1526"/>
      <c r="D241" s="1527"/>
      <c r="E241" s="1527"/>
      <c r="F241" s="1526"/>
      <c r="G241" s="1136"/>
      <c r="H241" s="1882"/>
      <c r="I241" s="1882"/>
      <c r="J241" s="1526"/>
      <c r="K241" s="1526"/>
      <c r="L241" s="1526">
        <f>180000+70000+50000</f>
        <v>300000</v>
      </c>
      <c r="M241" s="1526"/>
      <c r="N241" s="1526"/>
      <c r="O241" s="1529"/>
    </row>
    <row r="242" spans="1:15" s="1523" customFormat="1" ht="8.4" x14ac:dyDescent="0.15">
      <c r="A242" s="1534" t="s">
        <v>160</v>
      </c>
      <c r="B242" s="1525" t="s">
        <v>1825</v>
      </c>
      <c r="C242" s="1526"/>
      <c r="D242" s="1527"/>
      <c r="E242" s="1527"/>
      <c r="F242" s="1526"/>
      <c r="G242" s="1136"/>
      <c r="H242" s="1882"/>
      <c r="I242" s="1882"/>
      <c r="J242" s="1526">
        <v>745000</v>
      </c>
      <c r="K242" s="1526"/>
      <c r="L242" s="1526"/>
      <c r="M242" s="1526"/>
      <c r="N242" s="1526"/>
      <c r="O242" s="1529"/>
    </row>
    <row r="243" spans="1:15" s="1523" customFormat="1" ht="16.8" x14ac:dyDescent="0.15">
      <c r="A243" s="1534" t="s">
        <v>1800</v>
      </c>
      <c r="B243" s="1525" t="s">
        <v>1826</v>
      </c>
      <c r="C243" s="1526"/>
      <c r="D243" s="1527"/>
      <c r="E243" s="1527"/>
      <c r="F243" s="1526"/>
      <c r="G243" s="1136"/>
      <c r="H243" s="1882"/>
      <c r="I243" s="1882"/>
      <c r="J243" s="1526">
        <v>284000</v>
      </c>
      <c r="K243" s="1526"/>
      <c r="L243" s="1526"/>
      <c r="M243" s="1526"/>
      <c r="N243" s="1526"/>
      <c r="O243" s="1529"/>
    </row>
    <row r="244" spans="1:15" s="1523" customFormat="1" ht="8.4" x14ac:dyDescent="0.15">
      <c r="A244" s="1534" t="s">
        <v>1800</v>
      </c>
      <c r="B244" s="1525" t="s">
        <v>1827</v>
      </c>
      <c r="C244" s="1526"/>
      <c r="D244" s="1527"/>
      <c r="E244" s="1527"/>
      <c r="F244" s="1526"/>
      <c r="G244" s="1136"/>
      <c r="H244" s="1882"/>
      <c r="I244" s="1882"/>
      <c r="J244" s="1526"/>
      <c r="K244" s="1526">
        <v>72000</v>
      </c>
      <c r="L244" s="1526"/>
      <c r="M244" s="1526"/>
      <c r="N244" s="1526"/>
      <c r="O244" s="1529"/>
    </row>
    <row r="245" spans="1:15" s="1523" customFormat="1" ht="8.4" x14ac:dyDescent="0.15">
      <c r="A245" s="1534" t="s">
        <v>1828</v>
      </c>
      <c r="B245" s="1525" t="s">
        <v>1829</v>
      </c>
      <c r="C245" s="1526"/>
      <c r="D245" s="1527"/>
      <c r="E245" s="1527"/>
      <c r="F245" s="1526"/>
      <c r="G245" s="1136"/>
      <c r="H245" s="1882"/>
      <c r="I245" s="1882"/>
      <c r="J245" s="1526"/>
      <c r="K245" s="1526">
        <v>454545</v>
      </c>
      <c r="L245" s="1526"/>
      <c r="M245" s="1526"/>
      <c r="N245" s="1526"/>
      <c r="O245" s="1529"/>
    </row>
    <row r="246" spans="1:15" s="1523" customFormat="1" ht="8.4" x14ac:dyDescent="0.15">
      <c r="A246" s="1534" t="s">
        <v>1828</v>
      </c>
      <c r="B246" s="1525" t="s">
        <v>1770</v>
      </c>
      <c r="C246" s="1526"/>
      <c r="D246" s="1527"/>
      <c r="E246" s="1527"/>
      <c r="F246" s="1526"/>
      <c r="G246" s="1136"/>
      <c r="H246" s="1882"/>
      <c r="I246" s="1882"/>
      <c r="J246" s="1526"/>
      <c r="K246" s="1526">
        <v>45455</v>
      </c>
      <c r="L246" s="1526"/>
      <c r="M246" s="1526"/>
      <c r="N246" s="1526"/>
      <c r="O246" s="1529"/>
    </row>
    <row r="247" spans="1:15" s="1523" customFormat="1" ht="16.8" x14ac:dyDescent="0.15">
      <c r="A247" s="1534" t="s">
        <v>188</v>
      </c>
      <c r="B247" s="1525" t="s">
        <v>1830</v>
      </c>
      <c r="C247" s="1526"/>
      <c r="D247" s="1527"/>
      <c r="E247" s="1527"/>
      <c r="F247" s="1526"/>
      <c r="G247" s="1136"/>
      <c r="H247" s="1882"/>
      <c r="I247" s="1882"/>
      <c r="J247" s="1526"/>
      <c r="K247" s="1526"/>
      <c r="L247" s="1526">
        <v>600000</v>
      </c>
      <c r="M247" s="1526"/>
      <c r="N247" s="1526"/>
      <c r="O247" s="1529"/>
    </row>
    <row r="248" spans="1:15" s="1523" customFormat="1" ht="8.4" x14ac:dyDescent="0.15">
      <c r="A248" s="1534"/>
      <c r="B248" s="1525" t="s">
        <v>1794</v>
      </c>
      <c r="C248" s="1526"/>
      <c r="D248" s="1527"/>
      <c r="E248" s="1527"/>
      <c r="F248" s="1526"/>
      <c r="G248" s="1136"/>
      <c r="H248" s="1882"/>
      <c r="I248" s="1882"/>
      <c r="J248" s="1526"/>
      <c r="K248" s="1526"/>
      <c r="L248" s="1526">
        <v>140000</v>
      </c>
      <c r="M248" s="1526"/>
      <c r="N248" s="1526"/>
      <c r="O248" s="1529"/>
    </row>
    <row r="249" spans="1:15" s="1523" customFormat="1" ht="16.8" x14ac:dyDescent="0.15">
      <c r="A249" s="1534"/>
      <c r="B249" s="1525" t="s">
        <v>1831</v>
      </c>
      <c r="C249" s="1526"/>
      <c r="D249" s="1527"/>
      <c r="E249" s="1527"/>
      <c r="F249" s="1526"/>
      <c r="G249" s="1136"/>
      <c r="H249" s="1882"/>
      <c r="I249" s="1882"/>
      <c r="J249" s="1526"/>
      <c r="K249" s="1526"/>
      <c r="L249" s="1526">
        <v>720000</v>
      </c>
      <c r="M249" s="1526"/>
      <c r="N249" s="1526"/>
      <c r="O249" s="1529"/>
    </row>
    <row r="250" spans="1:15" s="1523" customFormat="1" ht="8.4" x14ac:dyDescent="0.15">
      <c r="A250" s="1534"/>
      <c r="B250" s="1525" t="s">
        <v>1832</v>
      </c>
      <c r="C250" s="1526"/>
      <c r="D250" s="1527"/>
      <c r="E250" s="1527"/>
      <c r="F250" s="1526"/>
      <c r="G250" s="1136"/>
      <c r="H250" s="1882"/>
      <c r="I250" s="1882"/>
      <c r="J250" s="1526"/>
      <c r="K250" s="1526"/>
      <c r="L250" s="1526">
        <v>1430000</v>
      </c>
      <c r="M250" s="1526"/>
      <c r="N250" s="1526"/>
      <c r="O250" s="1529"/>
    </row>
    <row r="251" spans="1:15" s="1523" customFormat="1" ht="8.4" x14ac:dyDescent="0.15">
      <c r="A251" s="1534" t="s">
        <v>188</v>
      </c>
      <c r="B251" s="1525" t="s">
        <v>1833</v>
      </c>
      <c r="C251" s="1526"/>
      <c r="D251" s="1527"/>
      <c r="E251" s="1527"/>
      <c r="F251" s="1526"/>
      <c r="G251" s="1136"/>
      <c r="H251" s="1882"/>
      <c r="I251" s="1882"/>
      <c r="J251" s="1526">
        <v>250000</v>
      </c>
      <c r="K251" s="1526"/>
      <c r="L251" s="1526"/>
      <c r="M251" s="1526"/>
      <c r="N251" s="1526"/>
      <c r="O251" s="1529"/>
    </row>
    <row r="252" spans="1:15" s="1523" customFormat="1" ht="8.4" x14ac:dyDescent="0.15">
      <c r="A252" s="1534"/>
      <c r="B252" s="1525" t="s">
        <v>1794</v>
      </c>
      <c r="C252" s="1526"/>
      <c r="D252" s="1527"/>
      <c r="E252" s="1527"/>
      <c r="F252" s="1526"/>
      <c r="G252" s="1136"/>
      <c r="H252" s="1882"/>
      <c r="I252" s="1882"/>
      <c r="J252" s="1526">
        <v>120000</v>
      </c>
      <c r="K252" s="1526"/>
      <c r="L252" s="1526"/>
      <c r="M252" s="1526"/>
      <c r="N252" s="1526"/>
      <c r="O252" s="1529"/>
    </row>
    <row r="253" spans="1:15" s="1523" customFormat="1" ht="16.8" x14ac:dyDescent="0.15">
      <c r="A253" s="1534"/>
      <c r="B253" s="1525" t="s">
        <v>1834</v>
      </c>
      <c r="C253" s="1526"/>
      <c r="D253" s="1527"/>
      <c r="E253" s="1527"/>
      <c r="F253" s="1526"/>
      <c r="G253" s="1136"/>
      <c r="H253" s="1882"/>
      <c r="I253" s="1882"/>
      <c r="J253" s="1526">
        <v>240000</v>
      </c>
      <c r="K253" s="1526"/>
      <c r="L253" s="1526"/>
      <c r="M253" s="1526"/>
      <c r="N253" s="1526"/>
      <c r="O253" s="1529"/>
    </row>
    <row r="254" spans="1:15" s="1523" customFormat="1" ht="8.4" x14ac:dyDescent="0.15">
      <c r="A254" s="1534" t="s">
        <v>188</v>
      </c>
      <c r="B254" s="1525" t="s">
        <v>1829</v>
      </c>
      <c r="C254" s="1526"/>
      <c r="D254" s="1527"/>
      <c r="E254" s="1527"/>
      <c r="F254" s="1526"/>
      <c r="G254" s="1136"/>
      <c r="H254" s="1882"/>
      <c r="I254" s="1882"/>
      <c r="J254" s="1526">
        <v>1000000</v>
      </c>
      <c r="K254" s="1526"/>
      <c r="L254" s="1526"/>
      <c r="M254" s="1526"/>
      <c r="N254" s="1526"/>
      <c r="O254" s="1529"/>
    </row>
    <row r="255" spans="1:15" s="1523" customFormat="1" ht="16.8" x14ac:dyDescent="0.15">
      <c r="A255" s="1534" t="s">
        <v>160</v>
      </c>
      <c r="B255" s="1525" t="s">
        <v>1835</v>
      </c>
      <c r="C255" s="1526"/>
      <c r="D255" s="1527"/>
      <c r="E255" s="1527"/>
      <c r="F255" s="1526">
        <v>20000000</v>
      </c>
      <c r="G255" s="1136"/>
      <c r="H255" s="1882"/>
      <c r="I255" s="1882"/>
      <c r="J255" s="1526"/>
      <c r="K255" s="1526"/>
      <c r="L255" s="1526"/>
      <c r="M255" s="1526"/>
      <c r="N255" s="1526"/>
      <c r="O255" s="1529"/>
    </row>
    <row r="256" spans="1:15" s="1523" customFormat="1" ht="16.8" x14ac:dyDescent="0.15">
      <c r="A256" s="1567" t="s">
        <v>160</v>
      </c>
      <c r="B256" s="1568" t="s">
        <v>1836</v>
      </c>
      <c r="C256" s="1569"/>
      <c r="D256" s="1570"/>
      <c r="E256" s="1527"/>
      <c r="F256" s="1569">
        <v>10000000</v>
      </c>
      <c r="G256" s="1571"/>
      <c r="H256" s="1882"/>
      <c r="I256" s="1882"/>
      <c r="J256" s="1569"/>
      <c r="K256" s="1569"/>
      <c r="L256" s="1569"/>
      <c r="M256" s="1569"/>
      <c r="N256" s="1569"/>
      <c r="O256" s="1529"/>
    </row>
    <row r="257" spans="1:16" s="146" customFormat="1" ht="31.5" customHeight="1" x14ac:dyDescent="0.15">
      <c r="A257" s="2342" t="s">
        <v>1841</v>
      </c>
      <c r="B257" s="2343"/>
      <c r="C257" s="1572">
        <f t="shared" ref="C257:N257" si="0">SUM(C6:C256)</f>
        <v>292906750</v>
      </c>
      <c r="D257" s="1572">
        <f t="shared" si="0"/>
        <v>56911900</v>
      </c>
      <c r="E257" s="1572">
        <f t="shared" si="0"/>
        <v>0</v>
      </c>
      <c r="F257" s="1572">
        <f t="shared" si="0"/>
        <v>91260950</v>
      </c>
      <c r="G257" s="1572">
        <f t="shared" si="0"/>
        <v>304095800</v>
      </c>
      <c r="H257" s="1572">
        <f t="shared" si="0"/>
        <v>0</v>
      </c>
      <c r="I257" s="1572">
        <f t="shared" si="0"/>
        <v>0</v>
      </c>
      <c r="J257" s="1572">
        <f t="shared" si="0"/>
        <v>328105590</v>
      </c>
      <c r="K257" s="1572">
        <f t="shared" si="0"/>
        <v>39184990</v>
      </c>
      <c r="L257" s="1572">
        <f t="shared" si="0"/>
        <v>4316000</v>
      </c>
      <c r="M257" s="1572">
        <f t="shared" si="0"/>
        <v>3289850</v>
      </c>
      <c r="N257" s="1572">
        <f t="shared" si="0"/>
        <v>5000000</v>
      </c>
      <c r="O257" s="1573"/>
    </row>
    <row r="258" spans="1:16" s="146" customFormat="1" ht="31.5" customHeight="1" x14ac:dyDescent="0.15">
      <c r="A258" s="2342" t="s">
        <v>1847</v>
      </c>
      <c r="B258" s="2343"/>
      <c r="C258" s="1703">
        <f>SUM(C257:F257)</f>
        <v>441079600</v>
      </c>
      <c r="D258" s="1704"/>
      <c r="E258" s="1704"/>
      <c r="F258" s="1705"/>
      <c r="G258" s="1703"/>
      <c r="H258" s="1704"/>
      <c r="I258" s="1704"/>
      <c r="J258" s="1704"/>
      <c r="K258" s="1704"/>
      <c r="L258" s="1704"/>
      <c r="M258" s="1704"/>
      <c r="N258" s="1705"/>
      <c r="O258" s="1573"/>
      <c r="P258" s="1630"/>
    </row>
    <row r="259" spans="1:16" s="146" customFormat="1" ht="31.5" customHeight="1" x14ac:dyDescent="0.15">
      <c r="A259" s="2342" t="s">
        <v>1848</v>
      </c>
      <c r="B259" s="2343"/>
      <c r="C259" s="1703">
        <f>SUM(G257:N257)</f>
        <v>683992230</v>
      </c>
      <c r="D259" s="1704"/>
      <c r="E259" s="1704"/>
      <c r="F259" s="1705"/>
      <c r="G259" s="1703"/>
      <c r="H259" s="1704"/>
      <c r="I259" s="1704"/>
      <c r="J259" s="1704"/>
      <c r="K259" s="1704"/>
      <c r="L259" s="1704"/>
      <c r="M259" s="1704"/>
      <c r="N259" s="1705"/>
      <c r="O259" s="1573"/>
    </row>
    <row r="260" spans="1:16" s="146" customFormat="1" ht="31.5" customHeight="1" x14ac:dyDescent="0.15">
      <c r="A260" s="2344" t="s">
        <v>1868</v>
      </c>
      <c r="B260" s="2343"/>
      <c r="C260" s="1703">
        <f>C258-C259</f>
        <v>-242912630</v>
      </c>
      <c r="D260" s="1704"/>
      <c r="E260" s="1704"/>
      <c r="F260" s="1705"/>
      <c r="G260" s="1854"/>
      <c r="H260" s="1855"/>
      <c r="I260" s="1855"/>
      <c r="J260" s="1855"/>
      <c r="K260" s="1855"/>
      <c r="L260" s="1855"/>
      <c r="M260" s="1855"/>
      <c r="N260" s="1855"/>
      <c r="O260" s="1573"/>
    </row>
    <row r="261" spans="1:16" s="146" customFormat="1" ht="8.4" x14ac:dyDescent="0.15">
      <c r="A261" s="1652"/>
      <c r="B261" s="1574" t="s">
        <v>1551</v>
      </c>
      <c r="C261" s="1518"/>
      <c r="D261" s="1518"/>
      <c r="E261" s="1518"/>
      <c r="F261" s="1518"/>
      <c r="G261" s="1578"/>
      <c r="H261" s="1578"/>
      <c r="I261" s="1578"/>
      <c r="J261" s="1578"/>
      <c r="K261" s="1577"/>
      <c r="L261" s="1577"/>
      <c r="M261" s="1578"/>
      <c r="N261" s="1578"/>
      <c r="O261" s="1579"/>
    </row>
    <row r="262" spans="1:16" s="146" customFormat="1" ht="8.4" x14ac:dyDescent="0.15">
      <c r="A262" s="1580" t="s">
        <v>260</v>
      </c>
      <c r="B262" s="1535" t="s">
        <v>414</v>
      </c>
      <c r="C262" s="1536"/>
      <c r="D262" s="1536">
        <v>18000000</v>
      </c>
      <c r="E262" s="1536"/>
      <c r="F262" s="1526"/>
      <c r="G262" s="1526"/>
      <c r="H262" s="1526"/>
      <c r="I262" s="1526"/>
      <c r="J262" s="1526"/>
      <c r="K262" s="1526"/>
      <c r="L262" s="1526"/>
      <c r="M262" s="1583"/>
      <c r="N262" s="1583"/>
      <c r="O262" s="1584"/>
    </row>
    <row r="263" spans="1:16" s="146" customFormat="1" ht="8.4" x14ac:dyDescent="0.15">
      <c r="A263" s="1580" t="s">
        <v>403</v>
      </c>
      <c r="B263" s="1535" t="s">
        <v>415</v>
      </c>
      <c r="C263" s="1536"/>
      <c r="D263" s="1536"/>
      <c r="E263" s="1536">
        <v>45000000</v>
      </c>
      <c r="F263" s="1526"/>
      <c r="G263" s="1526"/>
      <c r="H263" s="1526"/>
      <c r="I263" s="1526"/>
      <c r="J263" s="1526"/>
      <c r="K263" s="1526"/>
      <c r="L263" s="1526"/>
      <c r="M263" s="1526"/>
      <c r="N263" s="1526"/>
      <c r="O263" s="1585"/>
    </row>
    <row r="264" spans="1:16" s="146" customFormat="1" ht="8.4" x14ac:dyDescent="0.15">
      <c r="A264" s="1580" t="s">
        <v>432</v>
      </c>
      <c r="B264" s="1541" t="s">
        <v>415</v>
      </c>
      <c r="C264" s="1536"/>
      <c r="D264" s="1536">
        <v>45000000</v>
      </c>
      <c r="E264" s="1536"/>
      <c r="F264" s="1526"/>
      <c r="G264" s="1526"/>
      <c r="H264" s="1526"/>
      <c r="I264" s="1526"/>
      <c r="J264" s="1526"/>
      <c r="K264" s="1526"/>
      <c r="L264" s="1526"/>
      <c r="M264" s="1526"/>
      <c r="N264" s="1526"/>
      <c r="O264" s="1585"/>
    </row>
    <row r="265" spans="1:16" s="146" customFormat="1" ht="8.4" x14ac:dyDescent="0.15">
      <c r="A265" s="1580" t="s">
        <v>500</v>
      </c>
      <c r="B265" s="1541" t="s">
        <v>414</v>
      </c>
      <c r="C265" s="1536"/>
      <c r="D265" s="1536"/>
      <c r="E265" s="1536"/>
      <c r="F265" s="1526">
        <v>5000000</v>
      </c>
      <c r="G265" s="1526"/>
      <c r="H265" s="1526"/>
      <c r="I265" s="1526"/>
      <c r="J265" s="1526"/>
      <c r="K265" s="1526"/>
      <c r="L265" s="1526"/>
      <c r="M265" s="1526"/>
      <c r="N265" s="1526"/>
      <c r="O265" s="1585"/>
    </row>
    <row r="266" spans="1:16" s="146" customFormat="1" ht="8.4" x14ac:dyDescent="0.15">
      <c r="A266" s="1580" t="s">
        <v>634</v>
      </c>
      <c r="B266" s="1541" t="s">
        <v>414</v>
      </c>
      <c r="C266" s="1536"/>
      <c r="D266" s="1536">
        <v>30000000</v>
      </c>
      <c r="E266" s="1536"/>
      <c r="F266" s="1526"/>
      <c r="G266" s="1526"/>
      <c r="H266" s="1526"/>
      <c r="I266" s="1526"/>
      <c r="J266" s="1526"/>
      <c r="K266" s="1526"/>
      <c r="L266" s="1526"/>
      <c r="M266" s="1526"/>
      <c r="N266" s="1526"/>
      <c r="O266" s="1585"/>
    </row>
    <row r="267" spans="1:16" s="146" customFormat="1" ht="8.4" x14ac:dyDescent="0.15">
      <c r="A267" s="1580" t="s">
        <v>964</v>
      </c>
      <c r="B267" s="1541" t="s">
        <v>414</v>
      </c>
      <c r="C267" s="1536"/>
      <c r="D267" s="1536">
        <v>25000000</v>
      </c>
      <c r="E267" s="1536"/>
      <c r="F267" s="1526"/>
      <c r="G267" s="1526"/>
      <c r="H267" s="1526"/>
      <c r="I267" s="1526"/>
      <c r="J267" s="1526"/>
      <c r="K267" s="1526"/>
      <c r="L267" s="1526"/>
      <c r="M267" s="1526"/>
      <c r="N267" s="1526"/>
      <c r="O267" s="1585"/>
    </row>
    <row r="268" spans="1:16" s="146" customFormat="1" ht="8.4" x14ac:dyDescent="0.15">
      <c r="A268" s="1580" t="s">
        <v>1001</v>
      </c>
      <c r="B268" s="1541" t="s">
        <v>415</v>
      </c>
      <c r="C268" s="1536"/>
      <c r="D268" s="1536">
        <v>90000000</v>
      </c>
      <c r="E268" s="1536"/>
      <c r="F268" s="1526"/>
      <c r="G268" s="1526"/>
      <c r="H268" s="1526"/>
      <c r="I268" s="1526"/>
      <c r="J268" s="1526"/>
      <c r="K268" s="1526"/>
      <c r="L268" s="1526"/>
      <c r="M268" s="1526"/>
      <c r="N268" s="1526"/>
      <c r="O268" s="1585"/>
    </row>
    <row r="269" spans="1:16" s="146" customFormat="1" ht="8.4" x14ac:dyDescent="0.15">
      <c r="A269" s="1586" t="s">
        <v>1243</v>
      </c>
      <c r="B269" s="1587" t="s">
        <v>415</v>
      </c>
      <c r="C269" s="1604"/>
      <c r="D269" s="1604">
        <v>90000000</v>
      </c>
      <c r="E269" s="1604"/>
      <c r="F269" s="1591"/>
      <c r="G269" s="1591"/>
      <c r="H269" s="1591"/>
      <c r="I269" s="1591"/>
      <c r="J269" s="1591"/>
      <c r="K269" s="1591"/>
      <c r="L269" s="1591"/>
      <c r="M269" s="1591"/>
      <c r="N269" s="1591"/>
      <c r="O269" s="1606"/>
    </row>
    <row r="270" spans="1:16" s="146" customFormat="1" ht="8.4" x14ac:dyDescent="0.15">
      <c r="A270" s="1593"/>
      <c r="B270" s="1594" t="s">
        <v>1559</v>
      </c>
      <c r="C270" s="1595"/>
      <c r="D270" s="1595"/>
      <c r="E270" s="1595"/>
      <c r="F270" s="1520"/>
      <c r="G270" s="1520"/>
      <c r="H270" s="1520"/>
      <c r="I270" s="1520"/>
      <c r="J270" s="1520"/>
      <c r="K270" s="1520"/>
      <c r="L270" s="1520"/>
      <c r="M270" s="1520"/>
      <c r="N270" s="1520"/>
      <c r="O270" s="1596"/>
    </row>
    <row r="271" spans="1:16" s="146" customFormat="1" ht="8.4" x14ac:dyDescent="0.15">
      <c r="A271" s="1597"/>
      <c r="B271" s="1598" t="s">
        <v>1023</v>
      </c>
      <c r="C271" s="1885"/>
      <c r="D271" s="1885">
        <v>24742200</v>
      </c>
      <c r="E271" s="1526"/>
      <c r="F271" s="1569">
        <v>13070600</v>
      </c>
      <c r="G271" s="1526"/>
      <c r="H271" s="1526"/>
      <c r="I271" s="1526"/>
      <c r="J271" s="1526"/>
      <c r="K271" s="1526"/>
      <c r="L271" s="1526"/>
      <c r="M271" s="1526"/>
      <c r="N271" s="1526"/>
      <c r="O271" s="2345" t="s">
        <v>1859</v>
      </c>
    </row>
    <row r="272" spans="1:16" s="146" customFormat="1" ht="8.4" x14ac:dyDescent="0.15">
      <c r="A272" s="1597"/>
      <c r="B272" s="1598" t="s">
        <v>1560</v>
      </c>
      <c r="C272" s="1885"/>
      <c r="D272" s="1885">
        <v>26192050</v>
      </c>
      <c r="E272" s="1536"/>
      <c r="F272" s="1569">
        <v>6974300</v>
      </c>
      <c r="G272" s="1526"/>
      <c r="H272" s="1526"/>
      <c r="I272" s="1526"/>
      <c r="J272" s="1526"/>
      <c r="K272" s="1526"/>
      <c r="L272" s="1526"/>
      <c r="M272" s="1526"/>
      <c r="N272" s="1526"/>
      <c r="O272" s="2346"/>
    </row>
    <row r="273" spans="1:15" s="146" customFormat="1" ht="8.4" x14ac:dyDescent="0.15">
      <c r="A273" s="1601"/>
      <c r="B273" s="1602" t="s">
        <v>1297</v>
      </c>
      <c r="C273" s="1604"/>
      <c r="D273" s="1604">
        <v>1357500</v>
      </c>
      <c r="E273" s="1591"/>
      <c r="F273" s="1591">
        <v>2587150</v>
      </c>
      <c r="G273" s="1591"/>
      <c r="H273" s="1591"/>
      <c r="I273" s="1591"/>
      <c r="J273" s="1591"/>
      <c r="K273" s="1591"/>
      <c r="L273" s="1591"/>
      <c r="M273" s="1591"/>
      <c r="N273" s="1591"/>
      <c r="O273" s="2347"/>
    </row>
    <row r="274" spans="1:15" s="146" customFormat="1" ht="8.4" x14ac:dyDescent="0.15">
      <c r="A274" s="1593"/>
      <c r="B274" s="1594" t="s">
        <v>1913</v>
      </c>
      <c r="C274" s="1595"/>
      <c r="D274" s="1595"/>
      <c r="E274" s="1595"/>
      <c r="F274" s="1520"/>
      <c r="G274" s="1520"/>
      <c r="H274" s="1520"/>
      <c r="I274" s="1520"/>
      <c r="J274" s="1520"/>
      <c r="K274" s="1520"/>
      <c r="L274" s="1520"/>
      <c r="M274" s="1520"/>
      <c r="N274" s="1520"/>
      <c r="O274" s="1596"/>
    </row>
    <row r="275" spans="1:15" s="146" customFormat="1" ht="10.199999999999999" x14ac:dyDescent="0.2">
      <c r="A275" s="1597"/>
      <c r="B275" s="1232" t="s">
        <v>1914</v>
      </c>
      <c r="C275" s="1885"/>
      <c r="D275" s="1885"/>
      <c r="E275" s="1536"/>
      <c r="F275" s="1490">
        <v>200000000</v>
      </c>
      <c r="G275" s="1526"/>
      <c r="H275" s="1526"/>
      <c r="I275" s="1526"/>
      <c r="J275" s="1526"/>
      <c r="K275" s="1526"/>
      <c r="L275" s="1526"/>
      <c r="M275" s="1526"/>
      <c r="N275" s="1526"/>
      <c r="O275" s="1585"/>
    </row>
    <row r="276" spans="1:15" s="146" customFormat="1" ht="10.199999999999999" x14ac:dyDescent="0.2">
      <c r="A276" s="1597"/>
      <c r="B276" s="1232" t="s">
        <v>1915</v>
      </c>
      <c r="C276" s="1885"/>
      <c r="D276" s="1885"/>
      <c r="E276" s="1536"/>
      <c r="F276" s="1490">
        <v>140000000</v>
      </c>
      <c r="G276" s="1526"/>
      <c r="H276" s="1526"/>
      <c r="I276" s="1526"/>
      <c r="J276" s="1526"/>
      <c r="K276" s="1526"/>
      <c r="L276" s="1526"/>
      <c r="M276" s="1526"/>
      <c r="N276" s="1526"/>
      <c r="O276" s="1585"/>
    </row>
    <row r="277" spans="1:15" s="146" customFormat="1" ht="10.199999999999999" x14ac:dyDescent="0.2">
      <c r="A277" s="1597"/>
      <c r="B277" s="1232" t="s">
        <v>1916</v>
      </c>
      <c r="C277" s="1885"/>
      <c r="D277" s="1885"/>
      <c r="E277" s="1536"/>
      <c r="F277" s="1490">
        <v>80000000</v>
      </c>
      <c r="G277" s="1526"/>
      <c r="H277" s="1526"/>
      <c r="I277" s="1526"/>
      <c r="J277" s="1526"/>
      <c r="K277" s="1526"/>
      <c r="L277" s="1526"/>
      <c r="M277" s="1526"/>
      <c r="N277" s="1526"/>
      <c r="O277" s="1585"/>
    </row>
    <row r="278" spans="1:15" s="146" customFormat="1" ht="10.199999999999999" x14ac:dyDescent="0.2">
      <c r="A278" s="1597"/>
      <c r="B278" s="1232" t="s">
        <v>1917</v>
      </c>
      <c r="C278" s="1885"/>
      <c r="D278" s="1885"/>
      <c r="E278" s="1536"/>
      <c r="F278" s="1490">
        <v>100000000</v>
      </c>
      <c r="G278" s="1526"/>
      <c r="H278" s="1526"/>
      <c r="I278" s="1526"/>
      <c r="J278" s="1526"/>
      <c r="K278" s="1526"/>
      <c r="L278" s="1526"/>
      <c r="M278" s="1526"/>
      <c r="N278" s="1526"/>
      <c r="O278" s="1585"/>
    </row>
    <row r="279" spans="1:15" s="146" customFormat="1" ht="10.199999999999999" x14ac:dyDescent="0.2">
      <c r="A279" s="1597"/>
      <c r="B279" s="1232" t="s">
        <v>1918</v>
      </c>
      <c r="C279" s="1885"/>
      <c r="D279" s="1885"/>
      <c r="E279" s="1536"/>
      <c r="F279" s="1490">
        <v>30000000</v>
      </c>
      <c r="G279" s="1526"/>
      <c r="H279" s="1526"/>
      <c r="I279" s="1526"/>
      <c r="J279" s="1526"/>
      <c r="K279" s="1526"/>
      <c r="L279" s="1526"/>
      <c r="M279" s="1526"/>
      <c r="N279" s="1526"/>
      <c r="O279" s="1585"/>
    </row>
    <row r="280" spans="1:15" s="146" customFormat="1" ht="10.199999999999999" x14ac:dyDescent="0.2">
      <c r="A280" s="1597"/>
      <c r="B280" s="1232" t="s">
        <v>1919</v>
      </c>
      <c r="C280" s="1885"/>
      <c r="D280" s="1885"/>
      <c r="E280" s="1536"/>
      <c r="F280" s="1526">
        <v>232000000</v>
      </c>
      <c r="G280" s="1526"/>
      <c r="H280" s="1526"/>
      <c r="I280" s="1526"/>
      <c r="J280" s="1526"/>
      <c r="K280" s="1526"/>
      <c r="L280" s="1526"/>
      <c r="M280" s="1526"/>
      <c r="N280" s="1526"/>
      <c r="O280" s="1585"/>
    </row>
    <row r="281" spans="1:15" s="146" customFormat="1" ht="10.199999999999999" x14ac:dyDescent="0.2">
      <c r="A281" s="1597"/>
      <c r="B281" s="1232" t="s">
        <v>1920</v>
      </c>
      <c r="C281" s="1885"/>
      <c r="D281" s="1885"/>
      <c r="E281" s="1536"/>
      <c r="F281" s="1526">
        <v>35000000</v>
      </c>
      <c r="G281" s="1526"/>
      <c r="H281" s="1526"/>
      <c r="I281" s="1526"/>
      <c r="J281" s="1526"/>
      <c r="K281" s="1526"/>
      <c r="L281" s="1526"/>
      <c r="M281" s="1526"/>
      <c r="N281" s="1526"/>
      <c r="O281" s="1585"/>
    </row>
    <row r="282" spans="1:15" s="146" customFormat="1" ht="10.199999999999999" x14ac:dyDescent="0.2">
      <c r="A282" s="1601"/>
      <c r="B282" s="1232" t="s">
        <v>1921</v>
      </c>
      <c r="C282" s="1604"/>
      <c r="D282" s="1604"/>
      <c r="E282" s="1604"/>
      <c r="F282" s="1591">
        <v>50000000</v>
      </c>
      <c r="G282" s="1591"/>
      <c r="H282" s="1591"/>
      <c r="I282" s="1591"/>
      <c r="J282" s="1591"/>
      <c r="K282" s="1591"/>
      <c r="L282" s="1591"/>
      <c r="M282" s="1591"/>
      <c r="N282" s="1591"/>
      <c r="O282" s="1606"/>
    </row>
    <row r="283" spans="1:15" s="146" customFormat="1" ht="8.4" x14ac:dyDescent="0.15">
      <c r="A283" s="1593"/>
      <c r="B283" s="1594" t="s">
        <v>1552</v>
      </c>
      <c r="C283" s="1595"/>
      <c r="D283" s="1595"/>
      <c r="E283" s="1595"/>
      <c r="F283" s="1520"/>
      <c r="G283" s="1520"/>
      <c r="H283" s="1520"/>
      <c r="I283" s="1520"/>
      <c r="J283" s="1520"/>
      <c r="K283" s="1520"/>
      <c r="L283" s="1520"/>
      <c r="M283" s="1520"/>
      <c r="N283" s="1520"/>
      <c r="O283" s="1596"/>
    </row>
    <row r="284" spans="1:15" s="146" customFormat="1" ht="25.2" x14ac:dyDescent="0.15">
      <c r="A284" s="1597" t="s">
        <v>409</v>
      </c>
      <c r="B284" s="1598" t="s">
        <v>781</v>
      </c>
      <c r="C284" s="1885"/>
      <c r="D284" s="1885"/>
      <c r="E284" s="1536"/>
      <c r="F284" s="1569">
        <v>819000</v>
      </c>
      <c r="G284" s="1526"/>
      <c r="H284" s="1526"/>
      <c r="I284" s="1526"/>
      <c r="J284" s="1526"/>
      <c r="K284" s="1526"/>
      <c r="L284" s="1526"/>
      <c r="M284" s="1526"/>
      <c r="N284" s="1526"/>
      <c r="O284" s="1585"/>
    </row>
    <row r="285" spans="1:15" s="146" customFormat="1" ht="16.8" x14ac:dyDescent="0.15">
      <c r="A285" s="1597" t="s">
        <v>565</v>
      </c>
      <c r="B285" s="1598" t="s">
        <v>777</v>
      </c>
      <c r="C285" s="1885"/>
      <c r="D285" s="1885">
        <v>2570000</v>
      </c>
      <c r="E285" s="1526"/>
      <c r="F285" s="1569"/>
      <c r="G285" s="1526"/>
      <c r="H285" s="1526"/>
      <c r="I285" s="1526"/>
      <c r="J285" s="1526"/>
      <c r="K285" s="1526"/>
      <c r="L285" s="1526"/>
      <c r="M285" s="1526"/>
      <c r="N285" s="1526"/>
      <c r="O285" s="1585"/>
    </row>
    <row r="286" spans="1:15" s="146" customFormat="1" ht="16.8" x14ac:dyDescent="0.15">
      <c r="A286" s="1597" t="s">
        <v>576</v>
      </c>
      <c r="B286" s="1598" t="s">
        <v>577</v>
      </c>
      <c r="C286" s="1885"/>
      <c r="D286" s="1885"/>
      <c r="E286" s="1526"/>
      <c r="F286" s="1569">
        <v>7250000</v>
      </c>
      <c r="G286" s="1526"/>
      <c r="H286" s="1526"/>
      <c r="I286" s="1526"/>
      <c r="J286" s="1526"/>
      <c r="K286" s="1526"/>
      <c r="L286" s="1526"/>
      <c r="M286" s="1526"/>
      <c r="N286" s="1526"/>
      <c r="O286" s="1585"/>
    </row>
    <row r="287" spans="1:15" s="146" customFormat="1" ht="16.8" x14ac:dyDescent="0.15">
      <c r="A287" s="1597" t="s">
        <v>1205</v>
      </c>
      <c r="B287" s="1598" t="s">
        <v>1348</v>
      </c>
      <c r="C287" s="1885"/>
      <c r="D287" s="1885"/>
      <c r="E287" s="1536"/>
      <c r="F287" s="1569">
        <v>15100000</v>
      </c>
      <c r="G287" s="1526"/>
      <c r="H287" s="1526"/>
      <c r="I287" s="1526"/>
      <c r="J287" s="1526"/>
      <c r="K287" s="1526"/>
      <c r="L287" s="1526"/>
      <c r="M287" s="1526"/>
      <c r="N287" s="1526"/>
      <c r="O287" s="1585"/>
    </row>
    <row r="288" spans="1:15" s="146" customFormat="1" ht="25.2" x14ac:dyDescent="0.15">
      <c r="A288" s="1597" t="s">
        <v>1370</v>
      </c>
      <c r="B288" s="1598" t="s">
        <v>1404</v>
      </c>
      <c r="C288" s="1885"/>
      <c r="D288" s="1885"/>
      <c r="E288" s="1569"/>
      <c r="F288" s="1569">
        <v>1500000</v>
      </c>
      <c r="G288" s="1569"/>
      <c r="H288" s="1569"/>
      <c r="I288" s="1569"/>
      <c r="J288" s="1569"/>
      <c r="K288" s="1569"/>
      <c r="L288" s="1569"/>
      <c r="M288" s="1569"/>
      <c r="N288" s="1569"/>
      <c r="O288" s="1608"/>
    </row>
    <row r="289" spans="1:15" s="146" customFormat="1" ht="8.4" x14ac:dyDescent="0.15">
      <c r="A289" s="1609"/>
      <c r="B289" s="1610" t="s">
        <v>1553</v>
      </c>
      <c r="C289" s="1520"/>
      <c r="D289" s="1520"/>
      <c r="E289" s="1520"/>
      <c r="F289" s="1520"/>
      <c r="G289" s="1520"/>
      <c r="H289" s="1520"/>
      <c r="I289" s="1520"/>
      <c r="J289" s="1520"/>
      <c r="K289" s="1520"/>
      <c r="L289" s="1520"/>
      <c r="M289" s="1520"/>
      <c r="N289" s="1520"/>
      <c r="O289" s="1596"/>
    </row>
    <row r="290" spans="1:15" s="146" customFormat="1" ht="8.4" x14ac:dyDescent="0.15">
      <c r="A290" s="1612" t="s">
        <v>434</v>
      </c>
      <c r="B290" s="1535" t="s">
        <v>1318</v>
      </c>
      <c r="C290" s="1526"/>
      <c r="D290" s="1526"/>
      <c r="E290" s="1526"/>
      <c r="F290" s="1526"/>
      <c r="G290" s="1526"/>
      <c r="H290" s="1526">
        <v>20000000</v>
      </c>
      <c r="I290" s="1526"/>
      <c r="J290" s="1526"/>
      <c r="K290" s="1526"/>
      <c r="L290" s="1526"/>
      <c r="M290" s="1526"/>
      <c r="N290" s="1526"/>
      <c r="O290" s="1585"/>
    </row>
    <row r="291" spans="1:15" s="146" customFormat="1" ht="8.4" x14ac:dyDescent="0.15">
      <c r="A291" s="1612"/>
      <c r="B291" s="1535" t="s">
        <v>1320</v>
      </c>
      <c r="C291" s="1526"/>
      <c r="D291" s="1526"/>
      <c r="E291" s="1526"/>
      <c r="F291" s="1526"/>
      <c r="G291" s="1886"/>
      <c r="H291" s="1886">
        <v>40000000</v>
      </c>
      <c r="I291" s="1526"/>
      <c r="J291" s="1526"/>
      <c r="K291" s="1526"/>
      <c r="L291" s="1526"/>
      <c r="M291" s="1526"/>
      <c r="N291" s="1526"/>
      <c r="O291" s="1585"/>
    </row>
    <row r="292" spans="1:15" s="146" customFormat="1" ht="8.4" x14ac:dyDescent="0.15">
      <c r="A292" s="1597"/>
      <c r="B292" s="1598" t="s">
        <v>1320</v>
      </c>
      <c r="C292" s="1526"/>
      <c r="D292" s="1526"/>
      <c r="E292" s="1526"/>
      <c r="F292" s="1526"/>
      <c r="G292" s="1542"/>
      <c r="H292" s="1542"/>
      <c r="I292" s="1526"/>
      <c r="J292" s="1887">
        <v>49050000</v>
      </c>
      <c r="K292" s="1526"/>
      <c r="L292" s="1526"/>
      <c r="M292" s="1526"/>
      <c r="N292" s="1526"/>
      <c r="O292" s="1585"/>
    </row>
    <row r="293" spans="1:15" s="146" customFormat="1" ht="8.4" x14ac:dyDescent="0.15">
      <c r="A293" s="1612" t="s">
        <v>634</v>
      </c>
      <c r="B293" s="1616" t="s">
        <v>1321</v>
      </c>
      <c r="C293" s="1526"/>
      <c r="D293" s="1526"/>
      <c r="E293" s="1526"/>
      <c r="F293" s="1526"/>
      <c r="G293" s="1526"/>
      <c r="H293" s="1526">
        <v>10000000</v>
      </c>
      <c r="I293" s="1526"/>
      <c r="J293" s="1526"/>
      <c r="K293" s="1526"/>
      <c r="L293" s="1526"/>
      <c r="M293" s="1526"/>
      <c r="N293" s="1526"/>
      <c r="O293" s="1585"/>
    </row>
    <row r="294" spans="1:15" s="146" customFormat="1" ht="8.4" x14ac:dyDescent="0.15">
      <c r="A294" s="1612"/>
      <c r="B294" s="1616" t="s">
        <v>518</v>
      </c>
      <c r="C294" s="1526"/>
      <c r="D294" s="1526"/>
      <c r="E294" s="1526"/>
      <c r="F294" s="1526"/>
      <c r="G294" s="1526"/>
      <c r="H294" s="1526">
        <v>14000000</v>
      </c>
      <c r="I294" s="1526"/>
      <c r="J294" s="1526"/>
      <c r="K294" s="1526"/>
      <c r="L294" s="1526"/>
      <c r="M294" s="1526"/>
      <c r="N294" s="1526"/>
      <c r="O294" s="1585"/>
    </row>
    <row r="295" spans="1:15" s="146" customFormat="1" ht="8.4" x14ac:dyDescent="0.15">
      <c r="A295" s="1612"/>
      <c r="B295" s="1616" t="s">
        <v>519</v>
      </c>
      <c r="C295" s="1526"/>
      <c r="D295" s="1526"/>
      <c r="E295" s="1526"/>
      <c r="F295" s="1526"/>
      <c r="G295" s="1526"/>
      <c r="H295" s="1526"/>
      <c r="I295" s="1526"/>
      <c r="J295" s="1888">
        <v>9000000</v>
      </c>
      <c r="K295" s="1526"/>
      <c r="L295" s="1526"/>
      <c r="M295" s="1526"/>
      <c r="N295" s="1526"/>
      <c r="O295" s="1585"/>
    </row>
    <row r="296" spans="1:15" s="146" customFormat="1" ht="8.4" x14ac:dyDescent="0.15">
      <c r="A296" s="1612" t="s">
        <v>792</v>
      </c>
      <c r="B296" s="1614" t="s">
        <v>1322</v>
      </c>
      <c r="C296" s="1526"/>
      <c r="D296" s="1526"/>
      <c r="E296" s="1526"/>
      <c r="F296" s="1526"/>
      <c r="G296" s="1526"/>
      <c r="H296" s="1526"/>
      <c r="I296" s="1526"/>
      <c r="J296" s="1889">
        <v>41600000</v>
      </c>
      <c r="K296" s="1526"/>
      <c r="L296" s="1526"/>
      <c r="M296" s="1526"/>
      <c r="N296" s="1526"/>
      <c r="O296" s="1585"/>
    </row>
    <row r="297" spans="1:15" s="146" customFormat="1" ht="8.4" x14ac:dyDescent="0.15">
      <c r="A297" s="1612"/>
      <c r="B297" s="1614" t="s">
        <v>519</v>
      </c>
      <c r="C297" s="1526"/>
      <c r="D297" s="1526"/>
      <c r="E297" s="1526"/>
      <c r="F297" s="1526"/>
      <c r="G297" s="1526"/>
      <c r="H297" s="1526"/>
      <c r="I297" s="1526"/>
      <c r="J297" s="1889">
        <f>141700000-J296</f>
        <v>100100000</v>
      </c>
      <c r="K297" s="1526"/>
      <c r="L297" s="1526"/>
      <c r="M297" s="1526"/>
      <c r="N297" s="1526"/>
      <c r="O297" s="1585"/>
    </row>
    <row r="298" spans="1:15" s="146" customFormat="1" ht="16.8" x14ac:dyDescent="0.15">
      <c r="A298" s="1612" t="s">
        <v>952</v>
      </c>
      <c r="B298" s="1535" t="s">
        <v>1323</v>
      </c>
      <c r="C298" s="1526"/>
      <c r="D298" s="1526"/>
      <c r="E298" s="1526"/>
      <c r="F298" s="1526"/>
      <c r="G298" s="1526"/>
      <c r="H298" s="1526"/>
      <c r="I298" s="1526"/>
      <c r="J298" s="1889">
        <v>6615000</v>
      </c>
      <c r="K298" s="1526"/>
      <c r="L298" s="1526"/>
      <c r="M298" s="1526"/>
      <c r="N298" s="1526"/>
      <c r="O298" s="1585"/>
    </row>
    <row r="299" spans="1:15" s="146" customFormat="1" ht="8.4" x14ac:dyDescent="0.15">
      <c r="A299" s="1612" t="s">
        <v>1252</v>
      </c>
      <c r="B299" s="1614" t="s">
        <v>1324</v>
      </c>
      <c r="C299" s="1526"/>
      <c r="D299" s="1526"/>
      <c r="E299" s="1526"/>
      <c r="F299" s="1526"/>
      <c r="G299" s="1889"/>
      <c r="H299" s="1889">
        <v>50000000</v>
      </c>
      <c r="I299" s="1526"/>
      <c r="J299" s="1542"/>
      <c r="K299" s="1526"/>
      <c r="L299" s="1526"/>
      <c r="M299" s="1526"/>
      <c r="N299" s="1526"/>
      <c r="O299" s="1585"/>
    </row>
    <row r="300" spans="1:15" s="146" customFormat="1" ht="8.4" x14ac:dyDescent="0.15">
      <c r="A300" s="1612"/>
      <c r="B300" s="1614" t="s">
        <v>518</v>
      </c>
      <c r="C300" s="1526"/>
      <c r="D300" s="1526"/>
      <c r="E300" s="1526"/>
      <c r="F300" s="1526"/>
      <c r="G300" s="1889"/>
      <c r="H300" s="1889">
        <v>84000000</v>
      </c>
      <c r="I300" s="1526"/>
      <c r="J300" s="1542"/>
      <c r="K300" s="1526"/>
      <c r="L300" s="1526"/>
      <c r="M300" s="1526"/>
      <c r="N300" s="1526"/>
      <c r="O300" s="1585"/>
    </row>
    <row r="301" spans="1:15" s="146" customFormat="1" ht="8.4" x14ac:dyDescent="0.15">
      <c r="A301" s="1601"/>
      <c r="B301" s="1619" t="s">
        <v>519</v>
      </c>
      <c r="C301" s="1591"/>
      <c r="D301" s="1591"/>
      <c r="E301" s="1591"/>
      <c r="F301" s="1591"/>
      <c r="G301" s="1591"/>
      <c r="H301" s="1591"/>
      <c r="I301" s="1591"/>
      <c r="J301" s="1890">
        <v>102450000</v>
      </c>
      <c r="K301" s="1591"/>
      <c r="L301" s="1591"/>
      <c r="M301" s="1591"/>
      <c r="N301" s="1591"/>
      <c r="O301" s="1606"/>
    </row>
    <row r="302" spans="1:15" s="146" customFormat="1" ht="16.8" x14ac:dyDescent="0.15">
      <c r="A302" s="1593"/>
      <c r="B302" s="1594" t="s">
        <v>1861</v>
      </c>
      <c r="C302" s="1520"/>
      <c r="D302" s="1520"/>
      <c r="E302" s="1520"/>
      <c r="F302" s="1520"/>
      <c r="G302" s="1520"/>
      <c r="H302" s="1520"/>
      <c r="I302" s="1520"/>
      <c r="J302" s="1520"/>
      <c r="K302" s="1520"/>
      <c r="L302" s="1520"/>
      <c r="M302" s="1520"/>
      <c r="N302" s="1520"/>
      <c r="O302" s="1596"/>
    </row>
    <row r="303" spans="1:15" s="146" customFormat="1" ht="16.8" x14ac:dyDescent="0.15">
      <c r="A303" s="1612" t="s">
        <v>388</v>
      </c>
      <c r="B303" s="1535" t="s">
        <v>440</v>
      </c>
      <c r="C303" s="1526"/>
      <c r="D303" s="1526"/>
      <c r="E303" s="1526"/>
      <c r="F303" s="1526"/>
      <c r="G303" s="1526"/>
      <c r="H303" s="1526"/>
      <c r="I303" s="1526"/>
      <c r="J303" s="1526">
        <v>2500000</v>
      </c>
      <c r="K303" s="1526"/>
      <c r="L303" s="1526"/>
      <c r="M303" s="1526"/>
      <c r="N303" s="1526"/>
      <c r="O303" s="1585"/>
    </row>
    <row r="304" spans="1:15" s="146" customFormat="1" ht="16.8" x14ac:dyDescent="0.15">
      <c r="A304" s="1612" t="s">
        <v>388</v>
      </c>
      <c r="B304" s="1535" t="s">
        <v>442</v>
      </c>
      <c r="C304" s="1526"/>
      <c r="D304" s="1526"/>
      <c r="E304" s="1526"/>
      <c r="F304" s="1526"/>
      <c r="G304" s="1526"/>
      <c r="H304" s="1526"/>
      <c r="I304" s="1526"/>
      <c r="J304" s="1526">
        <v>2500000</v>
      </c>
      <c r="K304" s="1526"/>
      <c r="L304" s="1526"/>
      <c r="M304" s="1526"/>
      <c r="N304" s="1526"/>
      <c r="O304" s="1585"/>
    </row>
    <row r="305" spans="1:15" s="146" customFormat="1" ht="8.4" x14ac:dyDescent="0.15">
      <c r="A305" s="1612" t="s">
        <v>388</v>
      </c>
      <c r="B305" s="1535" t="s">
        <v>443</v>
      </c>
      <c r="C305" s="1526"/>
      <c r="D305" s="1526"/>
      <c r="E305" s="1526"/>
      <c r="F305" s="1526"/>
      <c r="G305" s="1526"/>
      <c r="H305" s="1526"/>
      <c r="I305" s="1526"/>
      <c r="J305" s="1526">
        <v>4000000</v>
      </c>
      <c r="K305" s="1526"/>
      <c r="L305" s="1526"/>
      <c r="M305" s="1526"/>
      <c r="N305" s="1526"/>
      <c r="O305" s="1585"/>
    </row>
    <row r="306" spans="1:15" s="146" customFormat="1" ht="16.8" x14ac:dyDescent="0.15">
      <c r="A306" s="1612" t="s">
        <v>432</v>
      </c>
      <c r="B306" s="1535" t="s">
        <v>1862</v>
      </c>
      <c r="C306" s="1526"/>
      <c r="D306" s="1526"/>
      <c r="E306" s="1526"/>
      <c r="F306" s="1526"/>
      <c r="G306" s="1526"/>
      <c r="H306" s="1526"/>
      <c r="I306" s="1526"/>
      <c r="J306" s="1526">
        <f>'Lương t.lĩnh T8'!H10</f>
        <v>2130000</v>
      </c>
      <c r="K306" s="1526"/>
      <c r="L306" s="1526"/>
      <c r="M306" s="1526"/>
      <c r="N306" s="1526"/>
      <c r="O306" s="1585"/>
    </row>
    <row r="307" spans="1:15" s="146" customFormat="1" ht="16.8" x14ac:dyDescent="0.15">
      <c r="A307" s="1612" t="s">
        <v>432</v>
      </c>
      <c r="B307" s="1535" t="s">
        <v>1260</v>
      </c>
      <c r="C307" s="1526"/>
      <c r="D307" s="1526"/>
      <c r="E307" s="1526"/>
      <c r="F307" s="1526"/>
      <c r="G307" s="1526"/>
      <c r="H307" s="1526">
        <v>5460000</v>
      </c>
      <c r="I307" s="1526"/>
      <c r="J307" s="1526"/>
      <c r="K307" s="1526"/>
      <c r="L307" s="1526"/>
      <c r="M307" s="1526"/>
      <c r="N307" s="1526"/>
      <c r="O307" s="1585"/>
    </row>
    <row r="308" spans="1:15" s="146" customFormat="1" ht="16.8" x14ac:dyDescent="0.15">
      <c r="A308" s="1612" t="s">
        <v>432</v>
      </c>
      <c r="B308" s="1535" t="s">
        <v>1311</v>
      </c>
      <c r="C308" s="1526"/>
      <c r="D308" s="1526"/>
      <c r="E308" s="1526"/>
      <c r="F308" s="1526"/>
      <c r="G308" s="1526"/>
      <c r="H308" s="1526"/>
      <c r="I308" s="1526">
        <v>14937500</v>
      </c>
      <c r="J308" s="1526"/>
      <c r="K308" s="1526"/>
      <c r="L308" s="1526"/>
      <c r="M308" s="1526"/>
      <c r="N308" s="1526"/>
      <c r="O308" s="1585"/>
    </row>
    <row r="309" spans="1:15" s="146" customFormat="1" ht="8.4" x14ac:dyDescent="0.15">
      <c r="A309" s="1612" t="s">
        <v>432</v>
      </c>
      <c r="B309" s="1535" t="s">
        <v>129</v>
      </c>
      <c r="C309" s="1526"/>
      <c r="D309" s="1526"/>
      <c r="E309" s="1526"/>
      <c r="F309" s="1526"/>
      <c r="G309" s="1526"/>
      <c r="H309" s="1526"/>
      <c r="I309" s="1526">
        <v>15000</v>
      </c>
      <c r="J309" s="1526"/>
      <c r="K309" s="1526"/>
      <c r="L309" s="1526"/>
      <c r="M309" s="1526"/>
      <c r="N309" s="1526"/>
      <c r="O309" s="1585"/>
    </row>
    <row r="310" spans="1:15" s="146" customFormat="1" ht="16.8" x14ac:dyDescent="0.15">
      <c r="A310" s="1612" t="s">
        <v>432</v>
      </c>
      <c r="B310" s="1535" t="s">
        <v>1312</v>
      </c>
      <c r="C310" s="1526"/>
      <c r="D310" s="1526"/>
      <c r="E310" s="1526"/>
      <c r="F310" s="1526"/>
      <c r="G310" s="1526"/>
      <c r="H310" s="1526"/>
      <c r="I310" s="1526">
        <v>15100000</v>
      </c>
      <c r="J310" s="1526"/>
      <c r="K310" s="1526"/>
      <c r="L310" s="1526"/>
      <c r="M310" s="1526"/>
      <c r="N310" s="1526"/>
      <c r="O310" s="1585"/>
    </row>
    <row r="311" spans="1:15" s="146" customFormat="1" ht="8.4" x14ac:dyDescent="0.15">
      <c r="A311" s="1612" t="s">
        <v>432</v>
      </c>
      <c r="B311" s="1535" t="s">
        <v>129</v>
      </c>
      <c r="C311" s="1526"/>
      <c r="D311" s="1526"/>
      <c r="E311" s="1526"/>
      <c r="F311" s="1526"/>
      <c r="G311" s="1526"/>
      <c r="H311" s="1526"/>
      <c r="I311" s="1526">
        <v>15000</v>
      </c>
      <c r="J311" s="1526"/>
      <c r="K311" s="1526"/>
      <c r="L311" s="1526"/>
      <c r="M311" s="1526"/>
      <c r="N311" s="1526"/>
      <c r="O311" s="1585"/>
    </row>
    <row r="312" spans="1:15" s="146" customFormat="1" ht="8.4" x14ac:dyDescent="0.15">
      <c r="A312" s="1612" t="s">
        <v>432</v>
      </c>
      <c r="B312" s="1535" t="s">
        <v>1313</v>
      </c>
      <c r="C312" s="1526"/>
      <c r="D312" s="1526"/>
      <c r="E312" s="1526"/>
      <c r="F312" s="1526"/>
      <c r="G312" s="1526"/>
      <c r="H312" s="1526"/>
      <c r="I312" s="1526">
        <v>15187500</v>
      </c>
      <c r="J312" s="1526"/>
      <c r="K312" s="1526"/>
      <c r="L312" s="1526"/>
      <c r="M312" s="1526"/>
      <c r="N312" s="1526"/>
      <c r="O312" s="1585"/>
    </row>
    <row r="313" spans="1:15" s="146" customFormat="1" ht="8.4" x14ac:dyDescent="0.15">
      <c r="A313" s="1612" t="s">
        <v>432</v>
      </c>
      <c r="B313" s="1535" t="s">
        <v>129</v>
      </c>
      <c r="C313" s="1526"/>
      <c r="D313" s="1526"/>
      <c r="E313" s="1526"/>
      <c r="F313" s="1526"/>
      <c r="G313" s="1526"/>
      <c r="H313" s="1526"/>
      <c r="I313" s="1526">
        <v>15000</v>
      </c>
      <c r="J313" s="1526"/>
      <c r="K313" s="1526"/>
      <c r="L313" s="1526"/>
      <c r="M313" s="1526"/>
      <c r="N313" s="1526"/>
      <c r="O313" s="1585"/>
    </row>
    <row r="314" spans="1:15" s="146" customFormat="1" ht="8.4" x14ac:dyDescent="0.15">
      <c r="A314" s="1612" t="s">
        <v>765</v>
      </c>
      <c r="B314" s="1535" t="s">
        <v>1210</v>
      </c>
      <c r="C314" s="1526"/>
      <c r="D314" s="1526"/>
      <c r="E314" s="1526"/>
      <c r="F314" s="1526"/>
      <c r="G314" s="1526"/>
      <c r="H314" s="1526"/>
      <c r="I314" s="1526"/>
      <c r="J314" s="1526">
        <v>4000000</v>
      </c>
      <c r="K314" s="1526"/>
      <c r="L314" s="1526"/>
      <c r="M314" s="1526"/>
      <c r="N314" s="1526"/>
      <c r="O314" s="1585"/>
    </row>
    <row r="315" spans="1:15" s="146" customFormat="1" ht="8.4" x14ac:dyDescent="0.15">
      <c r="A315" s="1612" t="s">
        <v>823</v>
      </c>
      <c r="B315" s="1535" t="s">
        <v>1194</v>
      </c>
      <c r="C315" s="1526"/>
      <c r="D315" s="1526"/>
      <c r="E315" s="1526"/>
      <c r="F315" s="1526"/>
      <c r="G315" s="1526"/>
      <c r="H315" s="1526"/>
      <c r="I315" s="1526"/>
      <c r="J315" s="1526">
        <v>1000000</v>
      </c>
      <c r="K315" s="1526"/>
      <c r="L315" s="1526"/>
      <c r="M315" s="1526"/>
      <c r="N315" s="1526"/>
      <c r="O315" s="1585"/>
    </row>
    <row r="316" spans="1:15" s="146" customFormat="1" ht="8.4" x14ac:dyDescent="0.15">
      <c r="A316" s="1612" t="s">
        <v>964</v>
      </c>
      <c r="B316" s="1535" t="s">
        <v>1208</v>
      </c>
      <c r="C316" s="1526"/>
      <c r="D316" s="1526"/>
      <c r="E316" s="1526"/>
      <c r="F316" s="1526"/>
      <c r="G316" s="1526"/>
      <c r="H316" s="1526"/>
      <c r="I316" s="1526"/>
      <c r="J316" s="1526">
        <v>2000000</v>
      </c>
      <c r="K316" s="1526"/>
      <c r="L316" s="1526"/>
      <c r="M316" s="1526"/>
      <c r="N316" s="1526"/>
      <c r="O316" s="1585"/>
    </row>
    <row r="317" spans="1:15" s="146" customFormat="1" ht="8.4" x14ac:dyDescent="0.15">
      <c r="A317" s="1612" t="s">
        <v>952</v>
      </c>
      <c r="B317" s="1535" t="s">
        <v>1208</v>
      </c>
      <c r="C317" s="1526"/>
      <c r="D317" s="1526"/>
      <c r="E317" s="1526"/>
      <c r="F317" s="1526"/>
      <c r="G317" s="1526"/>
      <c r="H317" s="1526"/>
      <c r="I317" s="1526"/>
      <c r="J317" s="1526">
        <v>2500000</v>
      </c>
      <c r="K317" s="1526"/>
      <c r="L317" s="1526"/>
      <c r="M317" s="1526"/>
      <c r="N317" s="1526"/>
      <c r="O317" s="1585"/>
    </row>
    <row r="318" spans="1:15" s="146" customFormat="1" ht="8.4" x14ac:dyDescent="0.15">
      <c r="A318" s="1612" t="s">
        <v>983</v>
      </c>
      <c r="B318" s="1535" t="s">
        <v>1000</v>
      </c>
      <c r="C318" s="1526"/>
      <c r="D318" s="1526"/>
      <c r="E318" s="1526"/>
      <c r="F318" s="1526"/>
      <c r="G318" s="1526"/>
      <c r="H318" s="1526"/>
      <c r="I318" s="1526"/>
      <c r="J318" s="1526">
        <v>5000000</v>
      </c>
      <c r="K318" s="1526"/>
      <c r="L318" s="1526"/>
      <c r="M318" s="1526"/>
      <c r="N318" s="1526"/>
      <c r="O318" s="1585"/>
    </row>
    <row r="319" spans="1:15" s="146" customFormat="1" ht="8.4" x14ac:dyDescent="0.15">
      <c r="A319" s="1612" t="s">
        <v>1001</v>
      </c>
      <c r="B319" s="1535" t="s">
        <v>1193</v>
      </c>
      <c r="C319" s="1526"/>
      <c r="D319" s="1526"/>
      <c r="E319" s="1526"/>
      <c r="F319" s="1526"/>
      <c r="G319" s="1526"/>
      <c r="H319" s="1526"/>
      <c r="I319" s="1526"/>
      <c r="J319" s="1526">
        <v>3000000</v>
      </c>
      <c r="K319" s="1526"/>
      <c r="L319" s="1526"/>
      <c r="M319" s="1526"/>
      <c r="N319" s="1526"/>
      <c r="O319" s="1585"/>
    </row>
    <row r="320" spans="1:15" s="146" customFormat="1" ht="8.4" x14ac:dyDescent="0.15">
      <c r="A320" s="1612" t="s">
        <v>1001</v>
      </c>
      <c r="B320" s="1535" t="s">
        <v>129</v>
      </c>
      <c r="C320" s="1526"/>
      <c r="D320" s="1526"/>
      <c r="E320" s="1526"/>
      <c r="F320" s="1526"/>
      <c r="G320" s="1526"/>
      <c r="H320" s="1526"/>
      <c r="I320" s="1526"/>
      <c r="J320" s="1526">
        <v>7700</v>
      </c>
      <c r="K320" s="1526"/>
      <c r="L320" s="1526"/>
      <c r="M320" s="1526"/>
      <c r="N320" s="1526"/>
      <c r="O320" s="1585"/>
    </row>
    <row r="321" spans="1:15" s="146" customFormat="1" ht="8.4" x14ac:dyDescent="0.15">
      <c r="A321" s="1612" t="s">
        <v>1001</v>
      </c>
      <c r="B321" s="1535" t="s">
        <v>1194</v>
      </c>
      <c r="C321" s="1526"/>
      <c r="D321" s="1526"/>
      <c r="E321" s="1526"/>
      <c r="F321" s="1526"/>
      <c r="G321" s="1526"/>
      <c r="H321" s="1526"/>
      <c r="I321" s="1526"/>
      <c r="J321" s="1526">
        <v>2000000</v>
      </c>
      <c r="K321" s="1526"/>
      <c r="L321" s="1526"/>
      <c r="M321" s="1526"/>
      <c r="N321" s="1526"/>
      <c r="O321" s="1585"/>
    </row>
    <row r="322" spans="1:15" s="146" customFormat="1" ht="16.8" x14ac:dyDescent="0.15">
      <c r="A322" s="1612" t="s">
        <v>1018</v>
      </c>
      <c r="B322" s="1535" t="s">
        <v>1351</v>
      </c>
      <c r="C322" s="1526"/>
      <c r="D322" s="1526"/>
      <c r="E322" s="1526"/>
      <c r="F322" s="1526"/>
      <c r="G322" s="1526"/>
      <c r="H322" s="1526"/>
      <c r="I322" s="1526"/>
      <c r="J322" s="1526">
        <v>4000000</v>
      </c>
      <c r="K322" s="1526"/>
      <c r="L322" s="1526"/>
      <c r="M322" s="1526"/>
      <c r="N322" s="1526"/>
      <c r="O322" s="1585"/>
    </row>
    <row r="323" spans="1:15" s="146" customFormat="1" ht="8.4" x14ac:dyDescent="0.15">
      <c r="A323" s="1612" t="s">
        <v>1107</v>
      </c>
      <c r="B323" s="1535" t="s">
        <v>1193</v>
      </c>
      <c r="C323" s="1526"/>
      <c r="D323" s="1526"/>
      <c r="E323" s="1526"/>
      <c r="F323" s="1526"/>
      <c r="G323" s="1526"/>
      <c r="H323" s="1526"/>
      <c r="I323" s="1526"/>
      <c r="J323" s="1526">
        <v>5000000</v>
      </c>
      <c r="K323" s="1526"/>
      <c r="L323" s="1526"/>
      <c r="M323" s="1526"/>
      <c r="N323" s="1526"/>
      <c r="O323" s="1585"/>
    </row>
    <row r="324" spans="1:15" s="146" customFormat="1" ht="8.4" x14ac:dyDescent="0.15">
      <c r="A324" s="1612" t="s">
        <v>1107</v>
      </c>
      <c r="B324" s="1535" t="s">
        <v>129</v>
      </c>
      <c r="C324" s="1526"/>
      <c r="D324" s="1526"/>
      <c r="E324" s="1526"/>
      <c r="F324" s="1526"/>
      <c r="G324" s="1526"/>
      <c r="H324" s="1526"/>
      <c r="I324" s="1526"/>
      <c r="J324" s="1526">
        <v>10000</v>
      </c>
      <c r="K324" s="1526"/>
      <c r="L324" s="1526"/>
      <c r="M324" s="1526"/>
      <c r="N324" s="1526"/>
      <c r="O324" s="1585"/>
    </row>
    <row r="325" spans="1:15" s="146" customFormat="1" ht="8.4" x14ac:dyDescent="0.15">
      <c r="A325" s="1612" t="s">
        <v>1188</v>
      </c>
      <c r="B325" s="1535" t="s">
        <v>1189</v>
      </c>
      <c r="C325" s="1526"/>
      <c r="D325" s="1526"/>
      <c r="E325" s="1526"/>
      <c r="F325" s="1526"/>
      <c r="G325" s="1526"/>
      <c r="H325" s="1526"/>
      <c r="I325" s="1526"/>
      <c r="J325" s="1526">
        <v>500000</v>
      </c>
      <c r="K325" s="1526"/>
      <c r="L325" s="1526"/>
      <c r="M325" s="1526"/>
      <c r="N325" s="1526"/>
      <c r="O325" s="1585"/>
    </row>
    <row r="326" spans="1:15" s="146" customFormat="1" ht="8.4" x14ac:dyDescent="0.15">
      <c r="A326" s="1612" t="s">
        <v>1188</v>
      </c>
      <c r="B326" s="1535" t="s">
        <v>1225</v>
      </c>
      <c r="C326" s="1526"/>
      <c r="D326" s="1526"/>
      <c r="E326" s="1526"/>
      <c r="F326" s="1526"/>
      <c r="G326" s="1526"/>
      <c r="H326" s="1526"/>
      <c r="I326" s="1526"/>
      <c r="J326" s="1526">
        <v>500000</v>
      </c>
      <c r="K326" s="1526"/>
      <c r="L326" s="1526"/>
      <c r="M326" s="1526"/>
      <c r="N326" s="1526"/>
      <c r="O326" s="1585"/>
    </row>
    <row r="327" spans="1:15" s="146" customFormat="1" ht="8.4" x14ac:dyDescent="0.15">
      <c r="A327" s="1612" t="s">
        <v>1188</v>
      </c>
      <c r="B327" s="1535" t="s">
        <v>1193</v>
      </c>
      <c r="C327" s="1526"/>
      <c r="D327" s="1526"/>
      <c r="E327" s="1526"/>
      <c r="F327" s="1526"/>
      <c r="G327" s="1526"/>
      <c r="H327" s="1526"/>
      <c r="I327" s="1526"/>
      <c r="J327" s="1526">
        <v>4600000</v>
      </c>
      <c r="K327" s="1526"/>
      <c r="L327" s="1526"/>
      <c r="M327" s="1526"/>
      <c r="N327" s="1526"/>
      <c r="O327" s="1585"/>
    </row>
    <row r="328" spans="1:15" s="146" customFormat="1" ht="8.4" x14ac:dyDescent="0.15">
      <c r="A328" s="1612" t="s">
        <v>1188</v>
      </c>
      <c r="B328" s="1535" t="s">
        <v>129</v>
      </c>
      <c r="C328" s="1526"/>
      <c r="D328" s="1526"/>
      <c r="E328" s="1526"/>
      <c r="F328" s="1526"/>
      <c r="G328" s="1526"/>
      <c r="H328" s="1526"/>
      <c r="I328" s="1526"/>
      <c r="J328" s="1526">
        <v>10000</v>
      </c>
      <c r="K328" s="1526"/>
      <c r="L328" s="1526"/>
      <c r="M328" s="1526"/>
      <c r="N328" s="1526"/>
      <c r="O328" s="1585"/>
    </row>
    <row r="329" spans="1:15" s="146" customFormat="1" ht="8.4" x14ac:dyDescent="0.15">
      <c r="A329" s="1612" t="s">
        <v>1164</v>
      </c>
      <c r="B329" s="1535" t="s">
        <v>1190</v>
      </c>
      <c r="C329" s="1526"/>
      <c r="D329" s="1526"/>
      <c r="E329" s="1526"/>
      <c r="F329" s="1526"/>
      <c r="G329" s="1526"/>
      <c r="H329" s="1526"/>
      <c r="I329" s="1526"/>
      <c r="J329" s="1526">
        <v>2500000</v>
      </c>
      <c r="K329" s="1526"/>
      <c r="L329" s="1526"/>
      <c r="M329" s="1526"/>
      <c r="N329" s="1526"/>
      <c r="O329" s="1585"/>
    </row>
    <row r="330" spans="1:15" s="146" customFormat="1" ht="8.4" x14ac:dyDescent="0.15">
      <c r="A330" s="1612" t="s">
        <v>1164</v>
      </c>
      <c r="B330" s="1535" t="s">
        <v>129</v>
      </c>
      <c r="C330" s="1526"/>
      <c r="D330" s="1526"/>
      <c r="E330" s="1526"/>
      <c r="F330" s="1526"/>
      <c r="G330" s="1526"/>
      <c r="H330" s="1526"/>
      <c r="I330" s="1526"/>
      <c r="J330" s="1526">
        <v>10000</v>
      </c>
      <c r="K330" s="1526"/>
      <c r="L330" s="1526"/>
      <c r="M330" s="1526"/>
      <c r="N330" s="1526"/>
      <c r="O330" s="1585"/>
    </row>
    <row r="331" spans="1:15" s="146" customFormat="1" ht="8.4" x14ac:dyDescent="0.15">
      <c r="A331" s="1612" t="s">
        <v>1202</v>
      </c>
      <c r="B331" s="1535" t="s">
        <v>1223</v>
      </c>
      <c r="C331" s="1526"/>
      <c r="D331" s="1526"/>
      <c r="E331" s="1526"/>
      <c r="F331" s="1526"/>
      <c r="G331" s="1526"/>
      <c r="H331" s="1526"/>
      <c r="I331" s="1526"/>
      <c r="J331" s="1526">
        <v>1800000</v>
      </c>
      <c r="K331" s="1526"/>
      <c r="L331" s="1526"/>
      <c r="M331" s="1526"/>
      <c r="N331" s="1526"/>
      <c r="O331" s="1585"/>
    </row>
    <row r="332" spans="1:15" s="146" customFormat="1" ht="16.8" x14ac:dyDescent="0.15">
      <c r="A332" s="1597" t="s">
        <v>1205</v>
      </c>
      <c r="B332" s="1598" t="s">
        <v>1222</v>
      </c>
      <c r="C332" s="1526"/>
      <c r="D332" s="1526"/>
      <c r="E332" s="1526"/>
      <c r="F332" s="1569"/>
      <c r="G332" s="1569"/>
      <c r="H332" s="1569"/>
      <c r="I332" s="1569"/>
      <c r="J332" s="1569">
        <v>5000000</v>
      </c>
      <c r="K332" s="1526"/>
      <c r="L332" s="1526"/>
      <c r="M332" s="1526"/>
      <c r="N332" s="1526"/>
      <c r="O332" s="1585"/>
    </row>
    <row r="333" spans="1:15" s="146" customFormat="1" ht="8.4" x14ac:dyDescent="0.15">
      <c r="A333" s="1548" t="s">
        <v>1252</v>
      </c>
      <c r="B333" s="1535" t="s">
        <v>1223</v>
      </c>
      <c r="C333" s="1526"/>
      <c r="D333" s="1526"/>
      <c r="E333" s="1526"/>
      <c r="F333" s="1526"/>
      <c r="G333" s="1526"/>
      <c r="H333" s="1526"/>
      <c r="I333" s="1526"/>
      <c r="J333" s="1526">
        <v>1000000</v>
      </c>
      <c r="K333" s="1526"/>
      <c r="L333" s="1526"/>
      <c r="M333" s="1526"/>
      <c r="N333" s="1526"/>
      <c r="O333" s="1585"/>
    </row>
    <row r="334" spans="1:15" s="146" customFormat="1" ht="42" x14ac:dyDescent="0.15">
      <c r="A334" s="1601" t="s">
        <v>1370</v>
      </c>
      <c r="B334" s="1602" t="s">
        <v>1524</v>
      </c>
      <c r="C334" s="1591"/>
      <c r="D334" s="1591"/>
      <c r="E334" s="1591"/>
      <c r="F334" s="1591"/>
      <c r="G334" s="1591"/>
      <c r="H334" s="1591"/>
      <c r="I334" s="1591"/>
      <c r="J334" s="1591">
        <v>5087000</v>
      </c>
      <c r="K334" s="1591"/>
      <c r="L334" s="1591"/>
      <c r="M334" s="1591"/>
      <c r="N334" s="1591"/>
      <c r="O334" s="1621"/>
    </row>
    <row r="335" spans="1:15" s="146" customFormat="1" ht="42" x14ac:dyDescent="0.15">
      <c r="A335" s="1601" t="s">
        <v>1370</v>
      </c>
      <c r="B335" s="1602" t="s">
        <v>1524</v>
      </c>
      <c r="C335" s="1591"/>
      <c r="D335" s="1591"/>
      <c r="E335" s="1591"/>
      <c r="F335" s="1591"/>
      <c r="G335" s="1591"/>
      <c r="H335" s="1591"/>
      <c r="I335" s="1591"/>
      <c r="J335" s="1591">
        <v>5087000</v>
      </c>
      <c r="K335" s="1591"/>
      <c r="L335" s="1591"/>
      <c r="M335" s="1591"/>
      <c r="N335" s="1591"/>
      <c r="O335" s="1621"/>
    </row>
    <row r="336" spans="1:15" s="146" customFormat="1" ht="16.8" x14ac:dyDescent="0.15">
      <c r="A336" s="1622" t="s">
        <v>1531</v>
      </c>
      <c r="B336" s="1623" t="s">
        <v>1567</v>
      </c>
      <c r="C336" s="1591"/>
      <c r="D336" s="1591"/>
      <c r="E336" s="1591"/>
      <c r="F336" s="1591"/>
      <c r="G336" s="1591"/>
      <c r="H336" s="1591"/>
      <c r="I336" s="1591"/>
      <c r="J336" s="1591">
        <v>3044000</v>
      </c>
      <c r="K336" s="1591"/>
      <c r="L336" s="1591"/>
      <c r="M336" s="1591"/>
      <c r="N336" s="1591"/>
      <c r="O336" s="1621"/>
    </row>
    <row r="337" spans="1:15" s="146" customFormat="1" ht="8.4" x14ac:dyDescent="0.15">
      <c r="A337" s="1622" t="s">
        <v>1531</v>
      </c>
      <c r="B337" s="1623" t="s">
        <v>1568</v>
      </c>
      <c r="C337" s="1591"/>
      <c r="D337" s="1591"/>
      <c r="E337" s="1591"/>
      <c r="F337" s="1591"/>
      <c r="G337" s="1591"/>
      <c r="H337" s="1591"/>
      <c r="I337" s="1591"/>
      <c r="J337" s="1591">
        <f>10000000-J336</f>
        <v>6956000</v>
      </c>
      <c r="K337" s="1591"/>
      <c r="L337" s="1591"/>
      <c r="M337" s="1591"/>
      <c r="N337" s="1591"/>
      <c r="O337" s="1621"/>
    </row>
    <row r="338" spans="1:15" s="146" customFormat="1" ht="8.4" x14ac:dyDescent="0.15">
      <c r="A338" s="1593"/>
      <c r="B338" s="1594" t="s">
        <v>1561</v>
      </c>
      <c r="C338" s="1520"/>
      <c r="D338" s="1520"/>
      <c r="E338" s="1520"/>
      <c r="F338" s="1520"/>
      <c r="G338" s="1520"/>
      <c r="H338" s="1520"/>
      <c r="I338" s="1520"/>
      <c r="J338" s="1526"/>
      <c r="K338" s="1520"/>
      <c r="L338" s="1520"/>
      <c r="M338" s="1520"/>
      <c r="N338" s="1520"/>
      <c r="O338" s="1624"/>
    </row>
    <row r="339" spans="1:15" s="1628" customFormat="1" ht="16.8" x14ac:dyDescent="0.15">
      <c r="A339" s="1625" t="s">
        <v>527</v>
      </c>
      <c r="B339" s="1535" t="s">
        <v>1319</v>
      </c>
      <c r="C339" s="1526"/>
      <c r="D339" s="1526"/>
      <c r="E339" s="1526"/>
      <c r="F339" s="1526"/>
      <c r="G339" s="1542"/>
      <c r="H339" s="1542"/>
      <c r="I339" s="1526"/>
      <c r="J339" s="1526">
        <v>291700</v>
      </c>
      <c r="K339" s="1526"/>
      <c r="L339" s="1526"/>
      <c r="M339" s="1583"/>
      <c r="N339" s="1583"/>
      <c r="O339" s="1584"/>
    </row>
    <row r="340" spans="1:15" s="1628" customFormat="1" ht="8.4" x14ac:dyDescent="0.15">
      <c r="A340" s="1625" t="s">
        <v>527</v>
      </c>
      <c r="B340" s="1535" t="s">
        <v>1339</v>
      </c>
      <c r="C340" s="1526"/>
      <c r="D340" s="1526"/>
      <c r="E340" s="1526"/>
      <c r="F340" s="1526"/>
      <c r="G340" s="1542"/>
      <c r="H340" s="1542"/>
      <c r="I340" s="1526"/>
      <c r="J340" s="1526">
        <v>745000</v>
      </c>
      <c r="K340" s="1526"/>
      <c r="L340" s="1526"/>
      <c r="M340" s="1583"/>
      <c r="N340" s="1583"/>
      <c r="O340" s="1584"/>
    </row>
    <row r="341" spans="1:15" s="1628" customFormat="1" ht="16.8" x14ac:dyDescent="0.15">
      <c r="A341" s="1625" t="s">
        <v>237</v>
      </c>
      <c r="B341" s="1535" t="s">
        <v>1261</v>
      </c>
      <c r="C341" s="1526"/>
      <c r="D341" s="1526"/>
      <c r="E341" s="1526"/>
      <c r="F341" s="1526"/>
      <c r="G341" s="1542"/>
      <c r="H341" s="1542"/>
      <c r="I341" s="1526"/>
      <c r="J341" s="1526">
        <v>1300000</v>
      </c>
      <c r="K341" s="1526"/>
      <c r="L341" s="1526"/>
      <c r="M341" s="1583"/>
      <c r="N341" s="1583"/>
      <c r="O341" s="1584"/>
    </row>
    <row r="342" spans="1:15" s="1628" customFormat="1" ht="8.4" x14ac:dyDescent="0.15">
      <c r="A342" s="1625" t="s">
        <v>237</v>
      </c>
      <c r="B342" s="1535" t="s">
        <v>129</v>
      </c>
      <c r="C342" s="1526"/>
      <c r="D342" s="1526"/>
      <c r="E342" s="1526"/>
      <c r="F342" s="1526"/>
      <c r="G342" s="1542"/>
      <c r="H342" s="1542"/>
      <c r="I342" s="1526"/>
      <c r="J342" s="1526">
        <v>7700</v>
      </c>
      <c r="K342" s="1526"/>
      <c r="L342" s="1526"/>
      <c r="M342" s="1583"/>
      <c r="N342" s="1583"/>
      <c r="O342" s="1584"/>
    </row>
    <row r="343" spans="1:15" s="1628" customFormat="1" ht="25.2" x14ac:dyDescent="0.15">
      <c r="A343" s="1625" t="s">
        <v>239</v>
      </c>
      <c r="B343" s="1535" t="s">
        <v>421</v>
      </c>
      <c r="C343" s="1526"/>
      <c r="D343" s="1526"/>
      <c r="E343" s="1526"/>
      <c r="F343" s="1526"/>
      <c r="G343" s="1542"/>
      <c r="H343" s="1542"/>
      <c r="I343" s="1526"/>
      <c r="J343" s="1526"/>
      <c r="K343" s="1526"/>
      <c r="L343" s="1526">
        <f>15000+40000+60000+10000+15000</f>
        <v>140000</v>
      </c>
      <c r="M343" s="1583"/>
      <c r="N343" s="1583"/>
      <c r="O343" s="1584" t="s">
        <v>252</v>
      </c>
    </row>
    <row r="344" spans="1:15" s="1628" customFormat="1" ht="33.6" x14ac:dyDescent="0.15">
      <c r="A344" s="1625" t="s">
        <v>239</v>
      </c>
      <c r="B344" s="1535" t="s">
        <v>422</v>
      </c>
      <c r="C344" s="1526"/>
      <c r="D344" s="1526"/>
      <c r="E344" s="1526"/>
      <c r="F344" s="1526"/>
      <c r="G344" s="1542"/>
      <c r="H344" s="1542"/>
      <c r="I344" s="1526"/>
      <c r="J344" s="1526"/>
      <c r="K344" s="1526"/>
      <c r="L344" s="1526">
        <v>550000</v>
      </c>
      <c r="M344" s="1583"/>
      <c r="N344" s="1583"/>
      <c r="O344" s="1584"/>
    </row>
    <row r="345" spans="1:15" s="1628" customFormat="1" ht="25.2" x14ac:dyDescent="0.15">
      <c r="A345" s="1625" t="s">
        <v>239</v>
      </c>
      <c r="B345" s="1535" t="s">
        <v>423</v>
      </c>
      <c r="C345" s="1526"/>
      <c r="D345" s="1526"/>
      <c r="E345" s="1526"/>
      <c r="F345" s="1526"/>
      <c r="G345" s="1542"/>
      <c r="H345" s="1542"/>
      <c r="I345" s="1526"/>
      <c r="J345" s="1526"/>
      <c r="K345" s="1526"/>
      <c r="L345" s="1526">
        <v>790000</v>
      </c>
      <c r="M345" s="1583"/>
      <c r="N345" s="1583"/>
      <c r="O345" s="1584" t="s">
        <v>253</v>
      </c>
    </row>
    <row r="346" spans="1:15" s="1628" customFormat="1" ht="16.8" x14ac:dyDescent="0.15">
      <c r="A346" s="1625" t="s">
        <v>241</v>
      </c>
      <c r="B346" s="1535" t="s">
        <v>1314</v>
      </c>
      <c r="C346" s="1526"/>
      <c r="D346" s="1526"/>
      <c r="E346" s="1526"/>
      <c r="F346" s="1526"/>
      <c r="G346" s="1526"/>
      <c r="H346" s="1526">
        <v>110000</v>
      </c>
      <c r="I346" s="1526"/>
      <c r="J346" s="1526"/>
      <c r="K346" s="1526"/>
      <c r="L346" s="1526"/>
      <c r="M346" s="1583"/>
      <c r="N346" s="1583"/>
      <c r="O346" s="1584"/>
    </row>
    <row r="347" spans="1:15" s="146" customFormat="1" ht="8.4" x14ac:dyDescent="0.15">
      <c r="A347" s="1625" t="s">
        <v>263</v>
      </c>
      <c r="B347" s="1535" t="s">
        <v>1347</v>
      </c>
      <c r="C347" s="1526"/>
      <c r="D347" s="1526"/>
      <c r="E347" s="1526"/>
      <c r="F347" s="1526"/>
      <c r="G347" s="1526"/>
      <c r="H347" s="1526"/>
      <c r="I347" s="1526"/>
      <c r="J347" s="1526">
        <v>499000</v>
      </c>
      <c r="K347" s="1526"/>
      <c r="L347" s="1526"/>
      <c r="M347" s="1583"/>
      <c r="N347" s="1583"/>
      <c r="O347" s="1584"/>
    </row>
    <row r="348" spans="1:15" s="146" customFormat="1" ht="16.8" x14ac:dyDescent="0.15">
      <c r="A348" s="1625" t="s">
        <v>263</v>
      </c>
      <c r="B348" s="1535" t="s">
        <v>1525</v>
      </c>
      <c r="C348" s="1526"/>
      <c r="D348" s="1526"/>
      <c r="E348" s="1526"/>
      <c r="F348" s="1526"/>
      <c r="G348" s="1526"/>
      <c r="H348" s="1526"/>
      <c r="I348" s="1526"/>
      <c r="J348" s="1526">
        <v>500000</v>
      </c>
      <c r="K348" s="1526"/>
      <c r="L348" s="1526"/>
      <c r="M348" s="1583"/>
      <c r="N348" s="1583"/>
      <c r="O348" s="1584"/>
    </row>
    <row r="349" spans="1:15" s="146" customFormat="1" ht="16.8" x14ac:dyDescent="0.15">
      <c r="A349" s="1625" t="s">
        <v>266</v>
      </c>
      <c r="B349" s="1535" t="s">
        <v>1330</v>
      </c>
      <c r="C349" s="1526"/>
      <c r="D349" s="1526"/>
      <c r="E349" s="1526"/>
      <c r="F349" s="1526"/>
      <c r="G349" s="1526"/>
      <c r="H349" s="1526"/>
      <c r="I349" s="1526"/>
      <c r="J349" s="1526">
        <v>5850000</v>
      </c>
      <c r="K349" s="1526"/>
      <c r="L349" s="1526"/>
      <c r="M349" s="1583"/>
      <c r="N349" s="1583"/>
      <c r="O349" s="1584" t="s">
        <v>640</v>
      </c>
    </row>
    <row r="350" spans="1:15" s="146" customFormat="1" ht="33.6" x14ac:dyDescent="0.15">
      <c r="A350" s="1612" t="s">
        <v>260</v>
      </c>
      <c r="B350" s="1535" t="s">
        <v>1544</v>
      </c>
      <c r="C350" s="1526"/>
      <c r="D350" s="1526"/>
      <c r="E350" s="1526"/>
      <c r="F350" s="1526"/>
      <c r="G350" s="1526"/>
      <c r="H350" s="1526"/>
      <c r="I350" s="1526"/>
      <c r="J350" s="1526"/>
      <c r="K350" s="1526"/>
      <c r="L350" s="1526">
        <v>15000</v>
      </c>
      <c r="M350" s="1583"/>
      <c r="N350" s="1583"/>
      <c r="O350" s="1584" t="s">
        <v>252</v>
      </c>
    </row>
    <row r="351" spans="1:15" s="146" customFormat="1" ht="33.6" x14ac:dyDescent="0.15">
      <c r="A351" s="1612" t="s">
        <v>260</v>
      </c>
      <c r="B351" s="1535" t="s">
        <v>1542</v>
      </c>
      <c r="C351" s="1526"/>
      <c r="D351" s="1526"/>
      <c r="E351" s="1526"/>
      <c r="F351" s="1526"/>
      <c r="G351" s="1526"/>
      <c r="H351" s="1526"/>
      <c r="I351" s="1526"/>
      <c r="J351" s="1526"/>
      <c r="K351" s="1526"/>
      <c r="L351" s="1526">
        <f>120000*3*2</f>
        <v>720000</v>
      </c>
      <c r="M351" s="1583"/>
      <c r="N351" s="1583"/>
      <c r="O351" s="1584"/>
    </row>
    <row r="352" spans="1:15" s="146" customFormat="1" ht="33.6" x14ac:dyDescent="0.15">
      <c r="A352" s="1612" t="s">
        <v>260</v>
      </c>
      <c r="B352" s="1535" t="s">
        <v>1543</v>
      </c>
      <c r="C352" s="1526"/>
      <c r="D352" s="1526"/>
      <c r="E352" s="1526"/>
      <c r="F352" s="1526"/>
      <c r="G352" s="1526"/>
      <c r="H352" s="1526"/>
      <c r="I352" s="1526"/>
      <c r="J352" s="1526"/>
      <c r="K352" s="1526"/>
      <c r="L352" s="1526">
        <f>420*2000</f>
        <v>840000</v>
      </c>
      <c r="M352" s="1583"/>
      <c r="N352" s="1583"/>
      <c r="O352" s="1584"/>
    </row>
    <row r="353" spans="1:16" s="146" customFormat="1" ht="25.2" x14ac:dyDescent="0.15">
      <c r="A353" s="1612" t="s">
        <v>257</v>
      </c>
      <c r="B353" s="1535" t="s">
        <v>427</v>
      </c>
      <c r="C353" s="1526"/>
      <c r="D353" s="1526"/>
      <c r="E353" s="1526"/>
      <c r="F353" s="1526"/>
      <c r="G353" s="1526"/>
      <c r="H353" s="1526"/>
      <c r="I353" s="1526"/>
      <c r="J353" s="1526"/>
      <c r="K353" s="1526"/>
      <c r="L353" s="1526">
        <f>10000+10000+60000+60000</f>
        <v>140000</v>
      </c>
      <c r="M353" s="1583"/>
      <c r="N353" s="1583"/>
      <c r="O353" s="1584" t="s">
        <v>252</v>
      </c>
    </row>
    <row r="354" spans="1:16" s="146" customFormat="1" ht="25.2" x14ac:dyDescent="0.15">
      <c r="A354" s="1612" t="s">
        <v>257</v>
      </c>
      <c r="B354" s="1535" t="s">
        <v>420</v>
      </c>
      <c r="C354" s="1526"/>
      <c r="D354" s="1526"/>
      <c r="E354" s="1526"/>
      <c r="F354" s="1526"/>
      <c r="G354" s="1526"/>
      <c r="H354" s="1526"/>
      <c r="I354" s="1526"/>
      <c r="J354" s="1526"/>
      <c r="K354" s="1526"/>
      <c r="L354" s="1526">
        <f>320*2000</f>
        <v>640000</v>
      </c>
      <c r="M354" s="1583"/>
      <c r="N354" s="1583"/>
      <c r="O354" s="1584"/>
    </row>
    <row r="355" spans="1:16" s="146" customFormat="1" ht="16.8" x14ac:dyDescent="0.15">
      <c r="A355" s="1612" t="s">
        <v>257</v>
      </c>
      <c r="B355" s="1535" t="s">
        <v>557</v>
      </c>
      <c r="C355" s="1526"/>
      <c r="D355" s="1526"/>
      <c r="E355" s="1526"/>
      <c r="F355" s="1526"/>
      <c r="G355" s="1526"/>
      <c r="H355" s="1526"/>
      <c r="I355" s="1526"/>
      <c r="J355" s="1526">
        <v>520000</v>
      </c>
      <c r="K355" s="1526"/>
      <c r="L355" s="1526"/>
      <c r="M355" s="1583"/>
      <c r="N355" s="1583"/>
      <c r="O355" s="1584"/>
    </row>
    <row r="356" spans="1:16" s="146" customFormat="1" ht="8.4" x14ac:dyDescent="0.15">
      <c r="A356" s="1612" t="s">
        <v>266</v>
      </c>
      <c r="B356" s="1535" t="s">
        <v>408</v>
      </c>
      <c r="C356" s="1526"/>
      <c r="D356" s="1526"/>
      <c r="E356" s="1526"/>
      <c r="F356" s="1526"/>
      <c r="G356" s="1526"/>
      <c r="H356" s="1526"/>
      <c r="I356" s="1526"/>
      <c r="J356" s="1526">
        <v>600000</v>
      </c>
      <c r="K356" s="1526"/>
      <c r="L356" s="1526"/>
      <c r="M356" s="1583"/>
      <c r="N356" s="1583"/>
      <c r="O356" s="1584"/>
    </row>
    <row r="357" spans="1:16" s="146" customFormat="1" ht="8.4" x14ac:dyDescent="0.15">
      <c r="A357" s="1612" t="s">
        <v>409</v>
      </c>
      <c r="B357" s="1535" t="s">
        <v>410</v>
      </c>
      <c r="C357" s="1526"/>
      <c r="D357" s="1526"/>
      <c r="E357" s="1526"/>
      <c r="F357" s="1526"/>
      <c r="G357" s="1526"/>
      <c r="H357" s="1526"/>
      <c r="I357" s="1526"/>
      <c r="J357" s="1526">
        <v>870000</v>
      </c>
      <c r="K357" s="1526"/>
      <c r="L357" s="1526"/>
      <c r="M357" s="1583"/>
      <c r="N357" s="1583"/>
      <c r="O357" s="1584"/>
    </row>
    <row r="358" spans="1:16" s="146" customFormat="1" ht="16.8" x14ac:dyDescent="0.15">
      <c r="A358" s="1612" t="s">
        <v>266</v>
      </c>
      <c r="B358" s="1535" t="s">
        <v>1526</v>
      </c>
      <c r="C358" s="1526"/>
      <c r="D358" s="1526"/>
      <c r="E358" s="1526"/>
      <c r="F358" s="1526"/>
      <c r="G358" s="1526"/>
      <c r="H358" s="1526"/>
      <c r="I358" s="1526"/>
      <c r="J358" s="1526">
        <v>200000</v>
      </c>
      <c r="K358" s="1526"/>
      <c r="L358" s="1526"/>
      <c r="M358" s="1583"/>
      <c r="N358" s="1583"/>
      <c r="O358" s="1584"/>
    </row>
    <row r="359" spans="1:16" s="146" customFormat="1" ht="16.8" x14ac:dyDescent="0.15">
      <c r="A359" s="1612" t="s">
        <v>387</v>
      </c>
      <c r="B359" s="1535" t="s">
        <v>1539</v>
      </c>
      <c r="C359" s="1526"/>
      <c r="D359" s="1526"/>
      <c r="E359" s="1526"/>
      <c r="F359" s="1526"/>
      <c r="G359" s="1526"/>
      <c r="H359" s="1526"/>
      <c r="I359" s="1526"/>
      <c r="J359" s="1526">
        <v>1000000</v>
      </c>
      <c r="K359" s="1526"/>
      <c r="L359" s="1526"/>
      <c r="M359" s="1583"/>
      <c r="N359" s="1583"/>
      <c r="O359" s="1584" t="s">
        <v>1540</v>
      </c>
    </row>
    <row r="360" spans="1:16" s="146" customFormat="1" ht="8.4" x14ac:dyDescent="0.15">
      <c r="A360" s="1612" t="s">
        <v>387</v>
      </c>
      <c r="B360" s="1535" t="s">
        <v>410</v>
      </c>
      <c r="C360" s="1526"/>
      <c r="D360" s="1526"/>
      <c r="E360" s="1526"/>
      <c r="F360" s="1526"/>
      <c r="G360" s="1526"/>
      <c r="H360" s="1526"/>
      <c r="I360" s="1526"/>
      <c r="J360" s="1526">
        <v>1885400</v>
      </c>
      <c r="K360" s="1526"/>
      <c r="L360" s="1526"/>
      <c r="M360" s="1583"/>
      <c r="N360" s="1583"/>
      <c r="O360" s="1584" t="s">
        <v>413</v>
      </c>
    </row>
    <row r="361" spans="1:16" s="146" customFormat="1" ht="8.4" x14ac:dyDescent="0.15">
      <c r="A361" s="1612" t="s">
        <v>387</v>
      </c>
      <c r="B361" s="1535" t="s">
        <v>1533</v>
      </c>
      <c r="C361" s="1526"/>
      <c r="D361" s="1526"/>
      <c r="E361" s="1526"/>
      <c r="F361" s="1526"/>
      <c r="G361" s="1526"/>
      <c r="H361" s="1526"/>
      <c r="I361" s="1526"/>
      <c r="J361" s="1526">
        <v>60000</v>
      </c>
      <c r="K361" s="1526"/>
      <c r="L361" s="1526"/>
      <c r="M361" s="1583"/>
      <c r="N361" s="1583"/>
      <c r="O361" s="1584"/>
    </row>
    <row r="362" spans="1:16" s="146" customFormat="1" ht="16.8" x14ac:dyDescent="0.15">
      <c r="A362" s="1612" t="s">
        <v>387</v>
      </c>
      <c r="B362" s="1535" t="s">
        <v>1539</v>
      </c>
      <c r="C362" s="1526"/>
      <c r="D362" s="1526"/>
      <c r="E362" s="1526"/>
      <c r="F362" s="1526"/>
      <c r="G362" s="1526"/>
      <c r="H362" s="1526"/>
      <c r="I362" s="1526"/>
      <c r="J362" s="1526">
        <v>809000</v>
      </c>
      <c r="K362" s="1526"/>
      <c r="L362" s="1526"/>
      <c r="M362" s="1583"/>
      <c r="N362" s="1583"/>
      <c r="O362" s="1584" t="s">
        <v>1541</v>
      </c>
    </row>
    <row r="363" spans="1:16" s="146" customFormat="1" ht="25.2" x14ac:dyDescent="0.15">
      <c r="A363" s="1625" t="s">
        <v>388</v>
      </c>
      <c r="B363" s="1535" t="s">
        <v>851</v>
      </c>
      <c r="C363" s="1526"/>
      <c r="D363" s="1526"/>
      <c r="E363" s="1526"/>
      <c r="F363" s="1526"/>
      <c r="G363" s="1526"/>
      <c r="H363" s="1526"/>
      <c r="I363" s="1526"/>
      <c r="J363" s="1526">
        <v>800000</v>
      </c>
      <c r="K363" s="1542"/>
      <c r="L363" s="1526"/>
      <c r="M363" s="1583"/>
      <c r="N363" s="1583"/>
      <c r="O363" s="1584" t="s">
        <v>389</v>
      </c>
    </row>
    <row r="364" spans="1:16" s="146" customFormat="1" ht="16.8" x14ac:dyDescent="0.15">
      <c r="A364" s="1625" t="s">
        <v>942</v>
      </c>
      <c r="B364" s="1535" t="s">
        <v>1538</v>
      </c>
      <c r="C364" s="1526"/>
      <c r="D364" s="1526"/>
      <c r="E364" s="1526"/>
      <c r="F364" s="1526"/>
      <c r="G364" s="1526"/>
      <c r="H364" s="1526"/>
      <c r="I364" s="1526"/>
      <c r="J364" s="1526">
        <v>1220000</v>
      </c>
      <c r="K364" s="1542"/>
      <c r="L364" s="1526"/>
      <c r="M364" s="1583"/>
      <c r="N364" s="1583"/>
      <c r="O364" s="1584"/>
    </row>
    <row r="365" spans="1:16" s="146" customFormat="1" ht="16.8" x14ac:dyDescent="0.15">
      <c r="A365" s="1612" t="s">
        <v>434</v>
      </c>
      <c r="B365" s="1535" t="s">
        <v>568</v>
      </c>
      <c r="C365" s="1526"/>
      <c r="D365" s="1526"/>
      <c r="E365" s="1526"/>
      <c r="F365" s="1526"/>
      <c r="G365" s="1526"/>
      <c r="H365" s="1526"/>
      <c r="I365" s="1526"/>
      <c r="J365" s="1526"/>
      <c r="K365" s="1526"/>
      <c r="L365" s="1526">
        <v>130000</v>
      </c>
      <c r="M365" s="1583"/>
      <c r="N365" s="1583"/>
      <c r="O365" s="1584"/>
      <c r="P365" s="1630"/>
    </row>
    <row r="366" spans="1:16" s="146" customFormat="1" ht="16.8" x14ac:dyDescent="0.15">
      <c r="A366" s="1612" t="s">
        <v>434</v>
      </c>
      <c r="B366" s="1535" t="s">
        <v>569</v>
      </c>
      <c r="C366" s="1526"/>
      <c r="D366" s="1526"/>
      <c r="E366" s="1526"/>
      <c r="F366" s="1526"/>
      <c r="G366" s="1526"/>
      <c r="H366" s="1526"/>
      <c r="I366" s="1526"/>
      <c r="J366" s="1526"/>
      <c r="K366" s="1526"/>
      <c r="L366" s="1526">
        <v>840000</v>
      </c>
      <c r="M366" s="1583"/>
      <c r="N366" s="1583"/>
      <c r="O366" s="1584"/>
    </row>
    <row r="367" spans="1:16" s="146" customFormat="1" ht="8.4" x14ac:dyDescent="0.15">
      <c r="A367" s="1612" t="s">
        <v>434</v>
      </c>
      <c r="B367" s="1535" t="s">
        <v>558</v>
      </c>
      <c r="C367" s="1526"/>
      <c r="D367" s="1526"/>
      <c r="E367" s="1526"/>
      <c r="F367" s="1526"/>
      <c r="G367" s="1526"/>
      <c r="H367" s="1526"/>
      <c r="I367" s="1526"/>
      <c r="J367" s="1526">
        <v>73000</v>
      </c>
      <c r="K367" s="1526"/>
      <c r="L367" s="1526"/>
      <c r="M367" s="1583"/>
      <c r="N367" s="1583"/>
      <c r="O367" s="1584"/>
    </row>
    <row r="368" spans="1:16" s="146" customFormat="1" ht="16.8" x14ac:dyDescent="0.15">
      <c r="A368" s="1612" t="s">
        <v>434</v>
      </c>
      <c r="B368" s="1535" t="s">
        <v>435</v>
      </c>
      <c r="C368" s="1526"/>
      <c r="D368" s="1526"/>
      <c r="E368" s="1526"/>
      <c r="F368" s="1526"/>
      <c r="G368" s="1526"/>
      <c r="H368" s="1526"/>
      <c r="I368" s="1526"/>
      <c r="J368" s="1526">
        <f>510000+185000</f>
        <v>695000</v>
      </c>
      <c r="K368" s="1526"/>
      <c r="L368" s="1526"/>
      <c r="M368" s="1583"/>
      <c r="N368" s="1583"/>
      <c r="O368" s="1584"/>
    </row>
    <row r="369" spans="1:15" s="146" customFormat="1" ht="8.4" x14ac:dyDescent="0.15">
      <c r="A369" s="1612" t="s">
        <v>434</v>
      </c>
      <c r="B369" s="1535" t="s">
        <v>779</v>
      </c>
      <c r="C369" s="1526"/>
      <c r="D369" s="1526"/>
      <c r="E369" s="1526"/>
      <c r="F369" s="1526"/>
      <c r="G369" s="1526"/>
      <c r="H369" s="1526">
        <v>55000</v>
      </c>
      <c r="I369" s="1526"/>
      <c r="J369" s="1526"/>
      <c r="K369" s="1526"/>
      <c r="L369" s="1526"/>
      <c r="M369" s="1583"/>
      <c r="N369" s="1583"/>
      <c r="O369" s="1584"/>
    </row>
    <row r="370" spans="1:15" s="146" customFormat="1" ht="8.4" x14ac:dyDescent="0.15">
      <c r="A370" s="1612" t="s">
        <v>434</v>
      </c>
      <c r="B370" s="1535" t="s">
        <v>780</v>
      </c>
      <c r="C370" s="1526"/>
      <c r="D370" s="1526"/>
      <c r="E370" s="1526"/>
      <c r="F370" s="1526"/>
      <c r="G370" s="1526"/>
      <c r="H370" s="1526">
        <v>55000</v>
      </c>
      <c r="I370" s="1526"/>
      <c r="J370" s="1526"/>
      <c r="K370" s="1526"/>
      <c r="L370" s="1526"/>
      <c r="M370" s="1583"/>
      <c r="N370" s="1583"/>
      <c r="O370" s="1584"/>
    </row>
    <row r="371" spans="1:15" s="146" customFormat="1" ht="16.8" x14ac:dyDescent="0.15">
      <c r="A371" s="1612" t="s">
        <v>434</v>
      </c>
      <c r="B371" s="1535" t="s">
        <v>1557</v>
      </c>
      <c r="C371" s="1526"/>
      <c r="D371" s="1526"/>
      <c r="E371" s="1526"/>
      <c r="F371" s="1526"/>
      <c r="G371" s="1526"/>
      <c r="H371" s="1526">
        <v>22000</v>
      </c>
      <c r="I371" s="1526"/>
      <c r="J371" s="1526"/>
      <c r="K371" s="1526"/>
      <c r="L371" s="1526"/>
      <c r="M371" s="1583"/>
      <c r="N371" s="1583"/>
      <c r="O371" s="1584"/>
    </row>
    <row r="372" spans="1:15" s="146" customFormat="1" ht="16.8" x14ac:dyDescent="0.15">
      <c r="A372" s="1612" t="s">
        <v>419</v>
      </c>
      <c r="B372" s="1535" t="s">
        <v>850</v>
      </c>
      <c r="C372" s="1526"/>
      <c r="D372" s="1526"/>
      <c r="E372" s="1526"/>
      <c r="F372" s="1526"/>
      <c r="G372" s="1526"/>
      <c r="H372" s="1526"/>
      <c r="I372" s="1526"/>
      <c r="J372" s="1526">
        <v>2750000</v>
      </c>
      <c r="K372" s="1526"/>
      <c r="L372" s="1526"/>
      <c r="M372" s="1583"/>
      <c r="N372" s="1583"/>
      <c r="O372" s="1584"/>
    </row>
    <row r="373" spans="1:15" s="146" customFormat="1" ht="16.8" x14ac:dyDescent="0.15">
      <c r="A373" s="1612" t="s">
        <v>432</v>
      </c>
      <c r="B373" s="1535" t="s">
        <v>436</v>
      </c>
      <c r="C373" s="1526"/>
      <c r="D373" s="1526"/>
      <c r="E373" s="1526"/>
      <c r="F373" s="1526"/>
      <c r="G373" s="1526"/>
      <c r="H373" s="1526"/>
      <c r="I373" s="1526"/>
      <c r="J373" s="1526">
        <v>2400000</v>
      </c>
      <c r="K373" s="1526"/>
      <c r="L373" s="1526"/>
      <c r="M373" s="1583"/>
      <c r="N373" s="1583"/>
      <c r="O373" s="1584"/>
    </row>
    <row r="374" spans="1:15" s="146" customFormat="1" ht="16.8" x14ac:dyDescent="0.15">
      <c r="A374" s="1612" t="s">
        <v>432</v>
      </c>
      <c r="B374" s="1535" t="s">
        <v>437</v>
      </c>
      <c r="C374" s="1526"/>
      <c r="D374" s="1526"/>
      <c r="E374" s="1526"/>
      <c r="F374" s="1526"/>
      <c r="G374" s="1526"/>
      <c r="H374" s="1526"/>
      <c r="I374" s="1526"/>
      <c r="J374" s="1526">
        <v>1200000</v>
      </c>
      <c r="K374" s="1526"/>
      <c r="L374" s="1526"/>
      <c r="M374" s="1583"/>
      <c r="N374" s="1583"/>
      <c r="O374" s="1584"/>
    </row>
    <row r="375" spans="1:15" s="146" customFormat="1" ht="16.8" x14ac:dyDescent="0.15">
      <c r="A375" s="1612" t="s">
        <v>432</v>
      </c>
      <c r="B375" s="1535" t="s">
        <v>438</v>
      </c>
      <c r="C375" s="1526"/>
      <c r="D375" s="1526"/>
      <c r="E375" s="1526"/>
      <c r="F375" s="1526"/>
      <c r="G375" s="1526"/>
      <c r="H375" s="1526"/>
      <c r="I375" s="1526"/>
      <c r="J375" s="1526">
        <v>1000000</v>
      </c>
      <c r="K375" s="1526"/>
      <c r="L375" s="1526"/>
      <c r="M375" s="1583"/>
      <c r="N375" s="1583"/>
      <c r="O375" s="1584"/>
    </row>
    <row r="376" spans="1:15" s="146" customFormat="1" ht="33.6" x14ac:dyDescent="0.15">
      <c r="A376" s="1612" t="s">
        <v>432</v>
      </c>
      <c r="B376" s="1535" t="s">
        <v>439</v>
      </c>
      <c r="C376" s="1526"/>
      <c r="D376" s="1526"/>
      <c r="E376" s="1526"/>
      <c r="F376" s="1526"/>
      <c r="G376" s="1526"/>
      <c r="H376" s="1526"/>
      <c r="I376" s="1526"/>
      <c r="J376" s="1526">
        <v>200000</v>
      </c>
      <c r="K376" s="1526"/>
      <c r="L376" s="1526"/>
      <c r="M376" s="1583"/>
      <c r="N376" s="1583"/>
      <c r="O376" s="1584" t="s">
        <v>1471</v>
      </c>
    </row>
    <row r="377" spans="1:15" s="146" customFormat="1" ht="16.8" x14ac:dyDescent="0.15">
      <c r="A377" s="1612" t="s">
        <v>432</v>
      </c>
      <c r="B377" s="1535" t="s">
        <v>433</v>
      </c>
      <c r="C377" s="1526"/>
      <c r="D377" s="1526"/>
      <c r="E377" s="1526"/>
      <c r="F377" s="1526"/>
      <c r="G377" s="1526"/>
      <c r="H377" s="1526"/>
      <c r="I377" s="1526"/>
      <c r="J377" s="1526">
        <v>1300000</v>
      </c>
      <c r="K377" s="1526"/>
      <c r="L377" s="1526"/>
      <c r="M377" s="1583"/>
      <c r="N377" s="1583"/>
      <c r="O377" s="1584"/>
    </row>
    <row r="378" spans="1:15" s="146" customFormat="1" ht="16.8" x14ac:dyDescent="0.15">
      <c r="A378" s="1612" t="s">
        <v>432</v>
      </c>
      <c r="B378" s="1535" t="s">
        <v>1235</v>
      </c>
      <c r="C378" s="1526"/>
      <c r="D378" s="1526"/>
      <c r="E378" s="1526"/>
      <c r="F378" s="1526"/>
      <c r="G378" s="1526"/>
      <c r="H378" s="1526"/>
      <c r="I378" s="1526"/>
      <c r="J378" s="1526">
        <v>1000000</v>
      </c>
      <c r="K378" s="1526"/>
      <c r="L378" s="1526"/>
      <c r="M378" s="1583"/>
      <c r="N378" s="1583"/>
      <c r="O378" s="1584"/>
    </row>
    <row r="379" spans="1:15" s="146" customFormat="1" ht="16.8" x14ac:dyDescent="0.15">
      <c r="A379" s="1612" t="s">
        <v>432</v>
      </c>
      <c r="B379" s="1535" t="s">
        <v>1236</v>
      </c>
      <c r="C379" s="1526"/>
      <c r="D379" s="1526"/>
      <c r="E379" s="1526"/>
      <c r="F379" s="1526"/>
      <c r="G379" s="1526"/>
      <c r="H379" s="1526"/>
      <c r="I379" s="1526"/>
      <c r="J379" s="1526">
        <v>110000</v>
      </c>
      <c r="K379" s="1526"/>
      <c r="L379" s="1526"/>
      <c r="M379" s="1583"/>
      <c r="N379" s="1583"/>
      <c r="O379" s="1584"/>
    </row>
    <row r="380" spans="1:15" s="146" customFormat="1" ht="8.4" x14ac:dyDescent="0.15">
      <c r="A380" s="1612" t="s">
        <v>432</v>
      </c>
      <c r="B380" s="1535" t="s">
        <v>458</v>
      </c>
      <c r="C380" s="1526"/>
      <c r="D380" s="1526"/>
      <c r="E380" s="1526"/>
      <c r="F380" s="1526"/>
      <c r="G380" s="1526"/>
      <c r="H380" s="1526"/>
      <c r="I380" s="1526"/>
      <c r="J380" s="1526">
        <v>1070000</v>
      </c>
      <c r="K380" s="1526"/>
      <c r="L380" s="1526"/>
      <c r="M380" s="1583"/>
      <c r="N380" s="1583"/>
      <c r="O380" s="1584"/>
    </row>
    <row r="381" spans="1:15" s="146" customFormat="1" ht="16.8" x14ac:dyDescent="0.15">
      <c r="A381" s="1612" t="s">
        <v>432</v>
      </c>
      <c r="B381" s="1535" t="s">
        <v>1863</v>
      </c>
      <c r="C381" s="1526"/>
      <c r="D381" s="1526"/>
      <c r="E381" s="1526"/>
      <c r="F381" s="1526"/>
      <c r="G381" s="1526"/>
      <c r="H381" s="1526"/>
      <c r="I381" s="1526"/>
      <c r="J381" s="1526">
        <v>10000000</v>
      </c>
      <c r="K381" s="1526"/>
      <c r="L381" s="1526"/>
      <c r="M381" s="1583"/>
      <c r="N381" s="1583"/>
      <c r="O381" s="1584"/>
    </row>
    <row r="382" spans="1:15" s="146" customFormat="1" ht="8.4" x14ac:dyDescent="0.15">
      <c r="A382" s="1612" t="s">
        <v>495</v>
      </c>
      <c r="B382" s="1535" t="s">
        <v>1864</v>
      </c>
      <c r="C382" s="1526"/>
      <c r="D382" s="1526"/>
      <c r="E382" s="1526"/>
      <c r="F382" s="1526"/>
      <c r="G382" s="1526">
        <v>300000</v>
      </c>
      <c r="H382" s="1526"/>
      <c r="I382" s="1526"/>
      <c r="J382" s="1526"/>
      <c r="K382" s="1526"/>
      <c r="L382" s="1526"/>
      <c r="M382" s="1583"/>
      <c r="N382" s="1583"/>
      <c r="O382" s="1584"/>
    </row>
    <row r="383" spans="1:15" s="146" customFormat="1" ht="16.8" x14ac:dyDescent="0.15">
      <c r="A383" s="1612" t="s">
        <v>500</v>
      </c>
      <c r="B383" s="1535" t="s">
        <v>1535</v>
      </c>
      <c r="C383" s="1526"/>
      <c r="D383" s="1526"/>
      <c r="E383" s="1526"/>
      <c r="F383" s="1526"/>
      <c r="G383" s="1526"/>
      <c r="H383" s="1526"/>
      <c r="I383" s="1526"/>
      <c r="J383" s="1526">
        <v>700000</v>
      </c>
      <c r="K383" s="1526"/>
      <c r="L383" s="1526"/>
      <c r="M383" s="1583"/>
      <c r="N383" s="1583"/>
      <c r="O383" s="1584"/>
    </row>
    <row r="384" spans="1:15" s="146" customFormat="1" ht="16.8" x14ac:dyDescent="0.15">
      <c r="A384" s="1612" t="s">
        <v>500</v>
      </c>
      <c r="B384" s="1535" t="s">
        <v>1534</v>
      </c>
      <c r="C384" s="1526"/>
      <c r="D384" s="1526"/>
      <c r="E384" s="1526"/>
      <c r="F384" s="1526"/>
      <c r="G384" s="1526"/>
      <c r="H384" s="1526"/>
      <c r="I384" s="1526"/>
      <c r="J384" s="1526">
        <v>2800000</v>
      </c>
      <c r="K384" s="1526"/>
      <c r="L384" s="1526"/>
      <c r="M384" s="1583"/>
      <c r="N384" s="1583"/>
      <c r="O384" s="1584"/>
    </row>
    <row r="385" spans="1:15" s="146" customFormat="1" ht="16.8" x14ac:dyDescent="0.15">
      <c r="A385" s="1612" t="s">
        <v>500</v>
      </c>
      <c r="B385" s="1535" t="s">
        <v>1536</v>
      </c>
      <c r="C385" s="1526"/>
      <c r="D385" s="1526"/>
      <c r="E385" s="1526"/>
      <c r="F385" s="1526"/>
      <c r="G385" s="1526"/>
      <c r="H385" s="1526"/>
      <c r="I385" s="1526"/>
      <c r="J385" s="1526">
        <v>2000000</v>
      </c>
      <c r="K385" s="1526"/>
      <c r="L385" s="1526"/>
      <c r="M385" s="1583"/>
      <c r="N385" s="1583"/>
      <c r="O385" s="1584"/>
    </row>
    <row r="386" spans="1:15" s="146" customFormat="1" ht="16.8" x14ac:dyDescent="0.15">
      <c r="A386" s="1612" t="s">
        <v>500</v>
      </c>
      <c r="B386" s="1535" t="s">
        <v>513</v>
      </c>
      <c r="C386" s="1526"/>
      <c r="D386" s="1526"/>
      <c r="E386" s="1526"/>
      <c r="F386" s="1526"/>
      <c r="G386" s="1526"/>
      <c r="H386" s="1526"/>
      <c r="I386" s="1526"/>
      <c r="J386" s="1526">
        <v>1000000</v>
      </c>
      <c r="K386" s="1526"/>
      <c r="L386" s="1526"/>
      <c r="M386" s="1583"/>
      <c r="N386" s="1583"/>
      <c r="O386" s="1584"/>
    </row>
    <row r="387" spans="1:15" s="146" customFormat="1" ht="16.8" x14ac:dyDescent="0.15">
      <c r="A387" s="1612" t="s">
        <v>500</v>
      </c>
      <c r="B387" s="1535" t="s">
        <v>514</v>
      </c>
      <c r="C387" s="1526"/>
      <c r="D387" s="1526"/>
      <c r="E387" s="1526"/>
      <c r="F387" s="1526"/>
      <c r="G387" s="1526"/>
      <c r="H387" s="1526"/>
      <c r="I387" s="1526"/>
      <c r="J387" s="1526">
        <v>1000000</v>
      </c>
      <c r="K387" s="1526"/>
      <c r="L387" s="1526"/>
      <c r="M387" s="1583"/>
      <c r="N387" s="1583"/>
      <c r="O387" s="1584"/>
    </row>
    <row r="388" spans="1:15" s="146" customFormat="1" ht="16.8" x14ac:dyDescent="0.15">
      <c r="A388" s="1612" t="s">
        <v>500</v>
      </c>
      <c r="B388" s="1535" t="s">
        <v>1234</v>
      </c>
      <c r="C388" s="1526"/>
      <c r="D388" s="1526"/>
      <c r="E388" s="1526"/>
      <c r="F388" s="1526"/>
      <c r="G388" s="1526"/>
      <c r="H388" s="1526"/>
      <c r="I388" s="1526"/>
      <c r="J388" s="1526">
        <v>120000</v>
      </c>
      <c r="K388" s="1526"/>
      <c r="L388" s="1526"/>
      <c r="M388" s="1583"/>
      <c r="N388" s="1583"/>
      <c r="O388" s="1584"/>
    </row>
    <row r="389" spans="1:15" s="146" customFormat="1" ht="16.8" x14ac:dyDescent="0.15">
      <c r="A389" s="1612" t="s">
        <v>500</v>
      </c>
      <c r="B389" s="1535" t="s">
        <v>1233</v>
      </c>
      <c r="C389" s="1526"/>
      <c r="D389" s="1526"/>
      <c r="E389" s="1526"/>
      <c r="F389" s="1526"/>
      <c r="G389" s="1526"/>
      <c r="H389" s="1526"/>
      <c r="I389" s="1526"/>
      <c r="J389" s="1526">
        <v>70000</v>
      </c>
      <c r="K389" s="1526"/>
      <c r="L389" s="1526"/>
      <c r="M389" s="1583"/>
      <c r="N389" s="1583"/>
      <c r="O389" s="1584"/>
    </row>
    <row r="390" spans="1:15" s="146" customFormat="1" ht="16.8" x14ac:dyDescent="0.15">
      <c r="A390" s="1612" t="s">
        <v>500</v>
      </c>
      <c r="B390" s="1535" t="s">
        <v>560</v>
      </c>
      <c r="C390" s="1526"/>
      <c r="D390" s="1526"/>
      <c r="E390" s="1526"/>
      <c r="F390" s="1526"/>
      <c r="G390" s="1526"/>
      <c r="H390" s="1526"/>
      <c r="I390" s="1526"/>
      <c r="J390" s="1526"/>
      <c r="K390" s="1526"/>
      <c r="L390" s="1526">
        <v>190000</v>
      </c>
      <c r="M390" s="1583"/>
      <c r="N390" s="1583"/>
      <c r="O390" s="1584"/>
    </row>
    <row r="391" spans="1:15" s="146" customFormat="1" ht="16.8" x14ac:dyDescent="0.15">
      <c r="A391" s="1612" t="s">
        <v>500</v>
      </c>
      <c r="B391" s="1535" t="s">
        <v>561</v>
      </c>
      <c r="C391" s="1526"/>
      <c r="D391" s="1526"/>
      <c r="E391" s="1526"/>
      <c r="F391" s="1526"/>
      <c r="G391" s="1526"/>
      <c r="H391" s="1526"/>
      <c r="I391" s="1526"/>
      <c r="J391" s="1526"/>
      <c r="K391" s="1526"/>
      <c r="L391" s="1526">
        <v>50000</v>
      </c>
      <c r="M391" s="1583"/>
      <c r="N391" s="1583"/>
      <c r="O391" s="1584"/>
    </row>
    <row r="392" spans="1:15" s="146" customFormat="1" ht="16.8" x14ac:dyDescent="0.15">
      <c r="A392" s="1612" t="s">
        <v>500</v>
      </c>
      <c r="B392" s="1535" t="s">
        <v>562</v>
      </c>
      <c r="C392" s="1526"/>
      <c r="D392" s="1526"/>
      <c r="E392" s="1526"/>
      <c r="F392" s="1526"/>
      <c r="G392" s="1526"/>
      <c r="H392" s="1526"/>
      <c r="I392" s="1526"/>
      <c r="J392" s="1526"/>
      <c r="K392" s="1526"/>
      <c r="L392" s="1526">
        <v>140000</v>
      </c>
      <c r="M392" s="1583"/>
      <c r="N392" s="1583"/>
      <c r="O392" s="1584"/>
    </row>
    <row r="393" spans="1:15" s="146" customFormat="1" ht="16.8" x14ac:dyDescent="0.15">
      <c r="A393" s="1612" t="s">
        <v>500</v>
      </c>
      <c r="B393" s="1535" t="s">
        <v>563</v>
      </c>
      <c r="C393" s="1526"/>
      <c r="D393" s="1526"/>
      <c r="E393" s="1526"/>
      <c r="F393" s="1526"/>
      <c r="G393" s="1526"/>
      <c r="H393" s="1526"/>
      <c r="I393" s="1526"/>
      <c r="J393" s="1526"/>
      <c r="K393" s="1526"/>
      <c r="L393" s="1526">
        <v>860000</v>
      </c>
      <c r="M393" s="1583"/>
      <c r="N393" s="1583"/>
      <c r="O393" s="1584" t="s">
        <v>1545</v>
      </c>
    </row>
    <row r="394" spans="1:15" s="146" customFormat="1" ht="25.2" x14ac:dyDescent="0.15">
      <c r="A394" s="1612" t="s">
        <v>500</v>
      </c>
      <c r="B394" s="1535" t="s">
        <v>564</v>
      </c>
      <c r="C394" s="1526"/>
      <c r="D394" s="1526"/>
      <c r="E394" s="1526"/>
      <c r="F394" s="1526"/>
      <c r="G394" s="1526"/>
      <c r="H394" s="1526"/>
      <c r="I394" s="1526"/>
      <c r="J394" s="1526">
        <v>60000</v>
      </c>
      <c r="K394" s="1526"/>
      <c r="L394" s="1526"/>
      <c r="M394" s="1583"/>
      <c r="N394" s="1583"/>
      <c r="O394" s="1584"/>
    </row>
    <row r="395" spans="1:15" s="146" customFormat="1" ht="16.8" x14ac:dyDescent="0.15">
      <c r="A395" s="1612" t="s">
        <v>500</v>
      </c>
      <c r="B395" s="1535" t="s">
        <v>1238</v>
      </c>
      <c r="C395" s="1526"/>
      <c r="D395" s="1526"/>
      <c r="E395" s="1526"/>
      <c r="F395" s="1526"/>
      <c r="G395" s="1526"/>
      <c r="H395" s="1526"/>
      <c r="I395" s="1526"/>
      <c r="J395" s="1526">
        <v>200000</v>
      </c>
      <c r="K395" s="1526"/>
      <c r="L395" s="1526"/>
      <c r="M395" s="1583"/>
      <c r="N395" s="1583"/>
      <c r="O395" s="1584"/>
    </row>
    <row r="396" spans="1:15" s="146" customFormat="1" ht="25.2" x14ac:dyDescent="0.15">
      <c r="A396" s="1612" t="s">
        <v>500</v>
      </c>
      <c r="B396" s="1535" t="s">
        <v>574</v>
      </c>
      <c r="C396" s="1526"/>
      <c r="D396" s="1526"/>
      <c r="E396" s="1526"/>
      <c r="F396" s="1526"/>
      <c r="G396" s="1526"/>
      <c r="H396" s="1526"/>
      <c r="I396" s="1526"/>
      <c r="J396" s="1526">
        <v>905000</v>
      </c>
      <c r="K396" s="1526"/>
      <c r="L396" s="1526"/>
      <c r="M396" s="1583"/>
      <c r="N396" s="1583"/>
      <c r="O396" s="1584"/>
    </row>
    <row r="397" spans="1:15" s="146" customFormat="1" ht="16.8" x14ac:dyDescent="0.15">
      <c r="A397" s="1612" t="s">
        <v>500</v>
      </c>
      <c r="B397" s="1535" t="s">
        <v>575</v>
      </c>
      <c r="C397" s="1526"/>
      <c r="D397" s="1526"/>
      <c r="E397" s="1526"/>
      <c r="F397" s="1526"/>
      <c r="G397" s="1526"/>
      <c r="H397" s="1526"/>
      <c r="I397" s="1526"/>
      <c r="J397" s="1526">
        <v>1000000</v>
      </c>
      <c r="K397" s="1526"/>
      <c r="L397" s="1526"/>
      <c r="M397" s="1583"/>
      <c r="N397" s="1583"/>
      <c r="O397" s="1584"/>
    </row>
    <row r="398" spans="1:15" s="146" customFormat="1" ht="25.2" x14ac:dyDescent="0.15">
      <c r="A398" s="1612" t="s">
        <v>500</v>
      </c>
      <c r="B398" s="1535" t="s">
        <v>1239</v>
      </c>
      <c r="C398" s="1526"/>
      <c r="D398" s="1526"/>
      <c r="E398" s="1526"/>
      <c r="F398" s="1526"/>
      <c r="G398" s="1526"/>
      <c r="H398" s="1526"/>
      <c r="I398" s="1526"/>
      <c r="J398" s="1526">
        <v>1818000</v>
      </c>
      <c r="K398" s="1526"/>
      <c r="L398" s="1526"/>
      <c r="M398" s="1583"/>
      <c r="N398" s="1583"/>
      <c r="O398" s="1584"/>
    </row>
    <row r="399" spans="1:15" s="146" customFormat="1" ht="25.2" x14ac:dyDescent="0.15">
      <c r="A399" s="1612" t="s">
        <v>500</v>
      </c>
      <c r="B399" s="1535" t="s">
        <v>1240</v>
      </c>
      <c r="C399" s="1526"/>
      <c r="D399" s="1526"/>
      <c r="E399" s="1526"/>
      <c r="F399" s="1526"/>
      <c r="G399" s="1526"/>
      <c r="H399" s="1526"/>
      <c r="I399" s="1526"/>
      <c r="J399" s="1526">
        <v>11400000</v>
      </c>
      <c r="K399" s="1526"/>
      <c r="L399" s="1526"/>
      <c r="M399" s="1583"/>
      <c r="N399" s="1583"/>
      <c r="O399" s="1584"/>
    </row>
    <row r="400" spans="1:15" s="146" customFormat="1" ht="16.8" x14ac:dyDescent="0.15">
      <c r="A400" s="1612" t="s">
        <v>570</v>
      </c>
      <c r="B400" s="1535" t="s">
        <v>571</v>
      </c>
      <c r="C400" s="1526"/>
      <c r="D400" s="1526"/>
      <c r="E400" s="1526"/>
      <c r="F400" s="1526"/>
      <c r="G400" s="1526"/>
      <c r="H400" s="1526"/>
      <c r="I400" s="1526"/>
      <c r="J400" s="1526">
        <v>380000</v>
      </c>
      <c r="K400" s="1526"/>
      <c r="L400" s="1526"/>
      <c r="M400" s="1583"/>
      <c r="N400" s="1583"/>
      <c r="O400" s="1584"/>
    </row>
    <row r="401" spans="1:15" s="146" customFormat="1" ht="16.8" x14ac:dyDescent="0.15">
      <c r="A401" s="1612" t="s">
        <v>570</v>
      </c>
      <c r="B401" s="1535" t="s">
        <v>572</v>
      </c>
      <c r="C401" s="1526"/>
      <c r="D401" s="1526"/>
      <c r="E401" s="1526"/>
      <c r="F401" s="1526"/>
      <c r="G401" s="1526"/>
      <c r="H401" s="1526"/>
      <c r="I401" s="1526"/>
      <c r="J401" s="1526">
        <v>500000</v>
      </c>
      <c r="K401" s="1526"/>
      <c r="L401" s="1526"/>
      <c r="M401" s="1583"/>
      <c r="N401" s="1583"/>
      <c r="O401" s="1584"/>
    </row>
    <row r="402" spans="1:15" s="146" customFormat="1" ht="16.8" x14ac:dyDescent="0.15">
      <c r="A402" s="1612" t="s">
        <v>570</v>
      </c>
      <c r="B402" s="1535" t="s">
        <v>573</v>
      </c>
      <c r="C402" s="1526"/>
      <c r="D402" s="1526"/>
      <c r="E402" s="1526"/>
      <c r="F402" s="1526"/>
      <c r="G402" s="1526"/>
      <c r="H402" s="1526"/>
      <c r="I402" s="1526"/>
      <c r="J402" s="1526">
        <v>1000000</v>
      </c>
      <c r="K402" s="1526"/>
      <c r="L402" s="1526"/>
      <c r="M402" s="1583"/>
      <c r="N402" s="1583"/>
      <c r="O402" s="1584"/>
    </row>
    <row r="403" spans="1:15" s="146" customFormat="1" ht="25.2" x14ac:dyDescent="0.15">
      <c r="A403" s="1612" t="s">
        <v>565</v>
      </c>
      <c r="B403" s="1535" t="s">
        <v>566</v>
      </c>
      <c r="C403" s="1526"/>
      <c r="D403" s="1526"/>
      <c r="E403" s="1526"/>
      <c r="F403" s="1526"/>
      <c r="G403" s="1526"/>
      <c r="H403" s="1526"/>
      <c r="I403" s="1526"/>
      <c r="J403" s="1526">
        <v>1000000</v>
      </c>
      <c r="K403" s="1526"/>
      <c r="L403" s="1526"/>
      <c r="M403" s="1583"/>
      <c r="N403" s="1583"/>
      <c r="O403" s="1584"/>
    </row>
    <row r="404" spans="1:15" s="146" customFormat="1" ht="16.8" x14ac:dyDescent="0.15">
      <c r="A404" s="1612" t="s">
        <v>565</v>
      </c>
      <c r="B404" s="1535" t="s">
        <v>567</v>
      </c>
      <c r="C404" s="1526"/>
      <c r="D404" s="1526"/>
      <c r="E404" s="1526"/>
      <c r="F404" s="1526"/>
      <c r="G404" s="1526"/>
      <c r="H404" s="1526"/>
      <c r="I404" s="1526"/>
      <c r="J404" s="1526">
        <v>500000</v>
      </c>
      <c r="K404" s="1526"/>
      <c r="L404" s="1526"/>
      <c r="M404" s="1583"/>
      <c r="N404" s="1583"/>
      <c r="O404" s="1584"/>
    </row>
    <row r="405" spans="1:15" s="146" customFormat="1" ht="33.6" x14ac:dyDescent="0.15">
      <c r="A405" s="1612" t="s">
        <v>565</v>
      </c>
      <c r="B405" s="1535" t="s">
        <v>1214</v>
      </c>
      <c r="C405" s="1526"/>
      <c r="D405" s="1526"/>
      <c r="E405" s="1526"/>
      <c r="F405" s="1526"/>
      <c r="G405" s="1526"/>
      <c r="H405" s="1526"/>
      <c r="I405" s="1526"/>
      <c r="J405" s="1526">
        <v>3200000</v>
      </c>
      <c r="K405" s="1526"/>
      <c r="L405" s="1526"/>
      <c r="M405" s="1583"/>
      <c r="N405" s="1583"/>
      <c r="O405" s="1584" t="s">
        <v>1215</v>
      </c>
    </row>
    <row r="406" spans="1:15" s="146" customFormat="1" ht="25.2" x14ac:dyDescent="0.15">
      <c r="A406" s="1612" t="s">
        <v>576</v>
      </c>
      <c r="B406" s="1535" t="s">
        <v>606</v>
      </c>
      <c r="C406" s="1526"/>
      <c r="D406" s="1526"/>
      <c r="E406" s="1526"/>
      <c r="F406" s="1526"/>
      <c r="G406" s="1526"/>
      <c r="H406" s="1526"/>
      <c r="I406" s="1526"/>
      <c r="J406" s="1526"/>
      <c r="K406" s="1526"/>
      <c r="L406" s="1526">
        <v>135000</v>
      </c>
      <c r="M406" s="1583"/>
      <c r="N406" s="1583"/>
      <c r="O406" s="1584"/>
    </row>
    <row r="407" spans="1:15" s="146" customFormat="1" ht="25.2" x14ac:dyDescent="0.15">
      <c r="A407" s="1612" t="s">
        <v>576</v>
      </c>
      <c r="B407" s="1535" t="s">
        <v>607</v>
      </c>
      <c r="C407" s="1526"/>
      <c r="D407" s="1526"/>
      <c r="E407" s="1526"/>
      <c r="F407" s="1526"/>
      <c r="G407" s="1526"/>
      <c r="H407" s="1526"/>
      <c r="I407" s="1526"/>
      <c r="J407" s="1526"/>
      <c r="K407" s="1526"/>
      <c r="L407" s="1526">
        <v>145000</v>
      </c>
      <c r="M407" s="1583"/>
      <c r="N407" s="1583"/>
      <c r="O407" s="1584"/>
    </row>
    <row r="408" spans="1:15" s="146" customFormat="1" ht="16.8" x14ac:dyDescent="0.15">
      <c r="A408" s="1612" t="s">
        <v>576</v>
      </c>
      <c r="B408" s="1535" t="s">
        <v>608</v>
      </c>
      <c r="C408" s="1526"/>
      <c r="D408" s="1526"/>
      <c r="E408" s="1526"/>
      <c r="F408" s="1526"/>
      <c r="G408" s="1526"/>
      <c r="H408" s="1526"/>
      <c r="I408" s="1526"/>
      <c r="J408" s="1526"/>
      <c r="K408" s="1526"/>
      <c r="L408" s="1526">
        <v>580000</v>
      </c>
      <c r="M408" s="1583"/>
      <c r="N408" s="1583"/>
      <c r="O408" s="1584"/>
    </row>
    <row r="409" spans="1:15" s="146" customFormat="1" ht="16.8" x14ac:dyDescent="0.15">
      <c r="A409" s="1612" t="s">
        <v>576</v>
      </c>
      <c r="B409" s="1535" t="s">
        <v>1338</v>
      </c>
      <c r="C409" s="1526"/>
      <c r="D409" s="1526"/>
      <c r="E409" s="1526"/>
      <c r="F409" s="1526"/>
      <c r="G409" s="1526"/>
      <c r="H409" s="1526"/>
      <c r="I409" s="1526"/>
      <c r="J409" s="1526">
        <v>900000</v>
      </c>
      <c r="K409" s="1526"/>
      <c r="L409" s="1526"/>
      <c r="M409" s="1583"/>
      <c r="N409" s="1583"/>
      <c r="O409" s="1584"/>
    </row>
    <row r="410" spans="1:15" s="146" customFormat="1" ht="8.4" x14ac:dyDescent="0.15">
      <c r="A410" s="1612" t="s">
        <v>576</v>
      </c>
      <c r="B410" s="1535" t="s">
        <v>129</v>
      </c>
      <c r="C410" s="1526"/>
      <c r="D410" s="1526"/>
      <c r="E410" s="1526"/>
      <c r="F410" s="1526"/>
      <c r="G410" s="1526"/>
      <c r="H410" s="1526"/>
      <c r="I410" s="1526"/>
      <c r="J410" s="1526">
        <v>2200</v>
      </c>
      <c r="K410" s="1526"/>
      <c r="L410" s="1526"/>
      <c r="M410" s="1583"/>
      <c r="N410" s="1583"/>
      <c r="O410" s="1584"/>
    </row>
    <row r="411" spans="1:15" s="146" customFormat="1" ht="25.2" x14ac:dyDescent="0.15">
      <c r="A411" s="1612" t="s">
        <v>553</v>
      </c>
      <c r="B411" s="1535" t="s">
        <v>604</v>
      </c>
      <c r="C411" s="1526"/>
      <c r="D411" s="1526"/>
      <c r="E411" s="1526"/>
      <c r="F411" s="1526"/>
      <c r="G411" s="1526"/>
      <c r="H411" s="1526"/>
      <c r="I411" s="1526"/>
      <c r="J411" s="1526"/>
      <c r="K411" s="1526"/>
      <c r="L411" s="1526">
        <v>100000</v>
      </c>
      <c r="M411" s="1583"/>
      <c r="N411" s="1583"/>
      <c r="O411" s="1891"/>
    </row>
    <row r="412" spans="1:15" s="146" customFormat="1" ht="16.8" x14ac:dyDescent="0.15">
      <c r="A412" s="1612" t="s">
        <v>553</v>
      </c>
      <c r="B412" s="1535" t="s">
        <v>605</v>
      </c>
      <c r="C412" s="1526"/>
      <c r="D412" s="1526"/>
      <c r="E412" s="1526"/>
      <c r="F412" s="1526"/>
      <c r="G412" s="1526"/>
      <c r="H412" s="1526"/>
      <c r="I412" s="1526"/>
      <c r="J412" s="1526"/>
      <c r="K412" s="1526"/>
      <c r="L412" s="1526">
        <v>640000</v>
      </c>
      <c r="M412" s="1583"/>
      <c r="N412" s="1583"/>
      <c r="O412" s="1891"/>
    </row>
    <row r="413" spans="1:15" s="146" customFormat="1" ht="42" x14ac:dyDescent="0.15">
      <c r="A413" s="1612" t="s">
        <v>553</v>
      </c>
      <c r="B413" s="1535" t="s">
        <v>1523</v>
      </c>
      <c r="C413" s="1526"/>
      <c r="D413" s="1526"/>
      <c r="E413" s="1526"/>
      <c r="F413" s="1526"/>
      <c r="G413" s="1526"/>
      <c r="H413" s="1526"/>
      <c r="I413" s="1526"/>
      <c r="J413" s="1526">
        <f>241000+647000+392000</f>
        <v>1280000</v>
      </c>
      <c r="K413" s="1526"/>
      <c r="L413" s="1526"/>
      <c r="M413" s="1583"/>
      <c r="N413" s="1583"/>
      <c r="O413" s="1584" t="s">
        <v>1237</v>
      </c>
    </row>
    <row r="414" spans="1:15" s="146" customFormat="1" ht="16.8" x14ac:dyDescent="0.15">
      <c r="A414" s="1612" t="s">
        <v>554</v>
      </c>
      <c r="B414" s="1535" t="s">
        <v>555</v>
      </c>
      <c r="C414" s="1526"/>
      <c r="D414" s="1526"/>
      <c r="E414" s="1526"/>
      <c r="F414" s="1526"/>
      <c r="G414" s="1526"/>
      <c r="H414" s="1526"/>
      <c r="I414" s="1526"/>
      <c r="J414" s="1526">
        <v>1114000</v>
      </c>
      <c r="K414" s="1526"/>
      <c r="L414" s="1526"/>
      <c r="M414" s="1583"/>
      <c r="N414" s="1583"/>
      <c r="O414" s="1584"/>
    </row>
    <row r="415" spans="1:15" s="146" customFormat="1" ht="8.4" x14ac:dyDescent="0.15">
      <c r="A415" s="1612" t="s">
        <v>554</v>
      </c>
      <c r="B415" s="1535" t="s">
        <v>1241</v>
      </c>
      <c r="C415" s="1526"/>
      <c r="D415" s="1526"/>
      <c r="E415" s="1526"/>
      <c r="F415" s="1526"/>
      <c r="G415" s="1526"/>
      <c r="H415" s="1526"/>
      <c r="I415" s="1526"/>
      <c r="J415" s="1526">
        <v>100000</v>
      </c>
      <c r="K415" s="1526"/>
      <c r="L415" s="1526"/>
      <c r="M415" s="1583"/>
      <c r="N415" s="1583"/>
      <c r="O415" s="1584"/>
    </row>
    <row r="416" spans="1:15" s="146" customFormat="1" ht="16.8" x14ac:dyDescent="0.15">
      <c r="A416" s="1612" t="s">
        <v>554</v>
      </c>
      <c r="B416" s="1535" t="s">
        <v>556</v>
      </c>
      <c r="C416" s="1526"/>
      <c r="D416" s="1526"/>
      <c r="E416" s="1526"/>
      <c r="F416" s="1526"/>
      <c r="G416" s="1526"/>
      <c r="H416" s="1526"/>
      <c r="I416" s="1526"/>
      <c r="J416" s="1526">
        <v>50000</v>
      </c>
      <c r="K416" s="1526"/>
      <c r="L416" s="1526"/>
      <c r="M416" s="1583"/>
      <c r="N416" s="1583"/>
      <c r="O416" s="1584"/>
    </row>
    <row r="417" spans="1:15" s="146" customFormat="1" ht="8.4" x14ac:dyDescent="0.15">
      <c r="A417" s="1612" t="s">
        <v>579</v>
      </c>
      <c r="B417" s="1535" t="s">
        <v>558</v>
      </c>
      <c r="C417" s="1526"/>
      <c r="D417" s="1526"/>
      <c r="E417" s="1526"/>
      <c r="F417" s="1526"/>
      <c r="G417" s="1526"/>
      <c r="H417" s="1526"/>
      <c r="I417" s="1526"/>
      <c r="J417" s="1526">
        <v>108000</v>
      </c>
      <c r="K417" s="1526"/>
      <c r="L417" s="1526"/>
      <c r="M417" s="1583"/>
      <c r="N417" s="1583"/>
      <c r="O417" s="1584"/>
    </row>
    <row r="418" spans="1:15" s="146" customFormat="1" ht="25.2" x14ac:dyDescent="0.15">
      <c r="A418" s="1612" t="s">
        <v>579</v>
      </c>
      <c r="B418" s="1535" t="s">
        <v>1470</v>
      </c>
      <c r="C418" s="1526"/>
      <c r="D418" s="1526"/>
      <c r="E418" s="1526"/>
      <c r="F418" s="1526"/>
      <c r="G418" s="1526"/>
      <c r="H418" s="1526"/>
      <c r="I418" s="1526"/>
      <c r="J418" s="1526">
        <v>4555000</v>
      </c>
      <c r="K418" s="1526"/>
      <c r="L418" s="1526"/>
      <c r="M418" s="1583"/>
      <c r="N418" s="1583"/>
      <c r="O418" s="1584" t="s">
        <v>1537</v>
      </c>
    </row>
    <row r="419" spans="1:15" s="146" customFormat="1" ht="8.4" x14ac:dyDescent="0.15">
      <c r="A419" s="1612" t="s">
        <v>579</v>
      </c>
      <c r="B419" s="1535" t="s">
        <v>129</v>
      </c>
      <c r="C419" s="1526"/>
      <c r="D419" s="1526"/>
      <c r="E419" s="1526"/>
      <c r="F419" s="1526"/>
      <c r="G419" s="1526"/>
      <c r="H419" s="1526"/>
      <c r="I419" s="1526"/>
      <c r="J419" s="1526">
        <v>2200</v>
      </c>
      <c r="K419" s="1526"/>
      <c r="L419" s="1526"/>
      <c r="M419" s="1583"/>
      <c r="N419" s="1583"/>
      <c r="O419" s="1584"/>
    </row>
    <row r="420" spans="1:15" s="146" customFormat="1" ht="16.8" x14ac:dyDescent="0.15">
      <c r="A420" s="1612" t="s">
        <v>579</v>
      </c>
      <c r="B420" s="1535" t="s">
        <v>559</v>
      </c>
      <c r="C420" s="1526"/>
      <c r="D420" s="1526"/>
      <c r="E420" s="1526"/>
      <c r="F420" s="1526"/>
      <c r="G420" s="1526"/>
      <c r="H420" s="1526"/>
      <c r="I420" s="1526"/>
      <c r="J420" s="1526">
        <v>13180000</v>
      </c>
      <c r="K420" s="1526"/>
      <c r="L420" s="1526"/>
      <c r="M420" s="1583"/>
      <c r="N420" s="1583"/>
      <c r="O420" s="1584"/>
    </row>
    <row r="421" spans="1:15" s="146" customFormat="1" ht="16.8" x14ac:dyDescent="0.15">
      <c r="A421" s="1612" t="s">
        <v>579</v>
      </c>
      <c r="B421" s="1535" t="s">
        <v>611</v>
      </c>
      <c r="C421" s="1526"/>
      <c r="D421" s="1526"/>
      <c r="E421" s="1526"/>
      <c r="F421" s="1526"/>
      <c r="G421" s="1526"/>
      <c r="H421" s="1526"/>
      <c r="I421" s="1526"/>
      <c r="J421" s="1526">
        <v>6171000</v>
      </c>
      <c r="K421" s="1526"/>
      <c r="L421" s="1526"/>
      <c r="M421" s="1583"/>
      <c r="N421" s="1583"/>
      <c r="O421" s="1584"/>
    </row>
    <row r="422" spans="1:15" s="146" customFormat="1" ht="8.4" x14ac:dyDescent="0.15">
      <c r="A422" s="1612" t="s">
        <v>579</v>
      </c>
      <c r="B422" s="1535" t="s">
        <v>129</v>
      </c>
      <c r="C422" s="1526"/>
      <c r="D422" s="1526"/>
      <c r="E422" s="1526"/>
      <c r="F422" s="1526"/>
      <c r="G422" s="1526"/>
      <c r="H422" s="1526"/>
      <c r="I422" s="1526"/>
      <c r="J422" s="1526">
        <v>7700</v>
      </c>
      <c r="K422" s="1526"/>
      <c r="L422" s="1526"/>
      <c r="M422" s="1583"/>
      <c r="N422" s="1583"/>
      <c r="O422" s="1584"/>
    </row>
    <row r="423" spans="1:15" s="146" customFormat="1" ht="16.8" x14ac:dyDescent="0.15">
      <c r="A423" s="1612" t="s">
        <v>602</v>
      </c>
      <c r="B423" s="1535" t="s">
        <v>612</v>
      </c>
      <c r="C423" s="1526"/>
      <c r="D423" s="1526"/>
      <c r="E423" s="1526"/>
      <c r="F423" s="1526"/>
      <c r="G423" s="1526"/>
      <c r="H423" s="1526"/>
      <c r="I423" s="1526"/>
      <c r="J423" s="1526">
        <v>3200000</v>
      </c>
      <c r="K423" s="1526"/>
      <c r="L423" s="1526"/>
      <c r="M423" s="1583"/>
      <c r="N423" s="1583"/>
      <c r="O423" s="1584"/>
    </row>
    <row r="424" spans="1:15" s="146" customFormat="1" ht="16.8" x14ac:dyDescent="0.15">
      <c r="A424" s="1612" t="s">
        <v>602</v>
      </c>
      <c r="B424" s="1535" t="s">
        <v>624</v>
      </c>
      <c r="C424" s="1526"/>
      <c r="D424" s="1526"/>
      <c r="E424" s="1526"/>
      <c r="F424" s="1526"/>
      <c r="G424" s="1526"/>
      <c r="H424" s="1526"/>
      <c r="I424" s="1526"/>
      <c r="J424" s="1526">
        <v>1200000</v>
      </c>
      <c r="K424" s="1526"/>
      <c r="L424" s="1526"/>
      <c r="M424" s="1583"/>
      <c r="N424" s="1583"/>
      <c r="O424" s="1584" t="s">
        <v>641</v>
      </c>
    </row>
    <row r="425" spans="1:15" s="146" customFormat="1" ht="16.8" x14ac:dyDescent="0.15">
      <c r="A425" s="1612" t="s">
        <v>623</v>
      </c>
      <c r="B425" s="1535" t="s">
        <v>625</v>
      </c>
      <c r="C425" s="1526"/>
      <c r="D425" s="1526"/>
      <c r="E425" s="1526"/>
      <c r="F425" s="1526"/>
      <c r="G425" s="1526"/>
      <c r="H425" s="1526"/>
      <c r="I425" s="1526"/>
      <c r="J425" s="1526">
        <v>2340000</v>
      </c>
      <c r="K425" s="1526"/>
      <c r="L425" s="1526"/>
      <c r="M425" s="1583"/>
      <c r="N425" s="1583"/>
      <c r="O425" s="1584"/>
    </row>
    <row r="426" spans="1:15" s="146" customFormat="1" ht="16.8" x14ac:dyDescent="0.15">
      <c r="A426" s="1612" t="s">
        <v>623</v>
      </c>
      <c r="B426" s="1535" t="s">
        <v>1211</v>
      </c>
      <c r="C426" s="1526"/>
      <c r="D426" s="1526"/>
      <c r="E426" s="1526"/>
      <c r="F426" s="1526"/>
      <c r="G426" s="1526"/>
      <c r="H426" s="1526"/>
      <c r="I426" s="1526"/>
      <c r="J426" s="1526">
        <v>800000</v>
      </c>
      <c r="K426" s="1526"/>
      <c r="L426" s="1526"/>
      <c r="M426" s="1583"/>
      <c r="N426" s="1583"/>
      <c r="O426" s="1584" t="s">
        <v>1213</v>
      </c>
    </row>
    <row r="427" spans="1:15" s="146" customFormat="1" ht="16.8" x14ac:dyDescent="0.15">
      <c r="A427" s="1612" t="s">
        <v>623</v>
      </c>
      <c r="B427" s="1535" t="s">
        <v>632</v>
      </c>
      <c r="C427" s="1526"/>
      <c r="D427" s="1526"/>
      <c r="E427" s="1526"/>
      <c r="F427" s="1526"/>
      <c r="G427" s="1526"/>
      <c r="H427" s="1526"/>
      <c r="I427" s="1526"/>
      <c r="J427" s="1526">
        <v>10200000</v>
      </c>
      <c r="K427" s="1526"/>
      <c r="L427" s="1526"/>
      <c r="M427" s="1583"/>
      <c r="N427" s="1583"/>
      <c r="O427" s="1584" t="s">
        <v>1212</v>
      </c>
    </row>
    <row r="428" spans="1:15" s="146" customFormat="1" ht="16.8" x14ac:dyDescent="0.15">
      <c r="A428" s="1612" t="s">
        <v>623</v>
      </c>
      <c r="B428" s="1535" t="s">
        <v>1242</v>
      </c>
      <c r="C428" s="1526"/>
      <c r="D428" s="1526"/>
      <c r="E428" s="1526"/>
      <c r="F428" s="1526"/>
      <c r="G428" s="1526"/>
      <c r="H428" s="1526"/>
      <c r="I428" s="1526"/>
      <c r="J428" s="1526">
        <v>500000</v>
      </c>
      <c r="K428" s="1526"/>
      <c r="L428" s="1526"/>
      <c r="M428" s="1583"/>
      <c r="N428" s="1583"/>
      <c r="O428" s="1584"/>
    </row>
    <row r="429" spans="1:15" s="146" customFormat="1" ht="16.8" x14ac:dyDescent="0.15">
      <c r="A429" s="1612" t="s">
        <v>623</v>
      </c>
      <c r="B429" s="1535" t="s">
        <v>1518</v>
      </c>
      <c r="C429" s="1526"/>
      <c r="D429" s="1526"/>
      <c r="E429" s="1526"/>
      <c r="F429" s="1526"/>
      <c r="G429" s="1526"/>
      <c r="H429" s="1526"/>
      <c r="I429" s="1526"/>
      <c r="J429" s="1526">
        <v>75000</v>
      </c>
      <c r="K429" s="1526"/>
      <c r="L429" s="1526"/>
      <c r="M429" s="1583"/>
      <c r="N429" s="1583"/>
      <c r="O429" s="1584"/>
    </row>
    <row r="430" spans="1:15" s="146" customFormat="1" ht="16.8" x14ac:dyDescent="0.15">
      <c r="A430" s="1612" t="s">
        <v>623</v>
      </c>
      <c r="B430" s="1535" t="s">
        <v>1519</v>
      </c>
      <c r="C430" s="1526"/>
      <c r="D430" s="1526"/>
      <c r="E430" s="1526"/>
      <c r="F430" s="1526"/>
      <c r="G430" s="1526"/>
      <c r="H430" s="1526"/>
      <c r="I430" s="1526"/>
      <c r="J430" s="1526">
        <v>1200000</v>
      </c>
      <c r="K430" s="1526"/>
      <c r="L430" s="1526"/>
      <c r="M430" s="1583"/>
      <c r="N430" s="1583"/>
      <c r="O430" s="1584"/>
    </row>
    <row r="431" spans="1:15" s="146" customFormat="1" ht="16.8" x14ac:dyDescent="0.15">
      <c r="A431" s="1612" t="s">
        <v>623</v>
      </c>
      <c r="B431" s="1535" t="s">
        <v>1520</v>
      </c>
      <c r="C431" s="1526"/>
      <c r="D431" s="1526"/>
      <c r="E431" s="1526"/>
      <c r="F431" s="1526"/>
      <c r="G431" s="1526"/>
      <c r="H431" s="1526"/>
      <c r="I431" s="1526"/>
      <c r="J431" s="1526">
        <v>60000</v>
      </c>
      <c r="K431" s="1526"/>
      <c r="L431" s="1526"/>
      <c r="M431" s="1583"/>
      <c r="N431" s="1583"/>
      <c r="O431" s="1584"/>
    </row>
    <row r="432" spans="1:15" s="146" customFormat="1" ht="16.8" x14ac:dyDescent="0.15">
      <c r="A432" s="1612" t="s">
        <v>623</v>
      </c>
      <c r="B432" s="1535" t="s">
        <v>1521</v>
      </c>
      <c r="C432" s="1526"/>
      <c r="D432" s="1526"/>
      <c r="E432" s="1526"/>
      <c r="F432" s="1526"/>
      <c r="G432" s="1526"/>
      <c r="H432" s="1526"/>
      <c r="I432" s="1526"/>
      <c r="J432" s="1526">
        <v>500000</v>
      </c>
      <c r="K432" s="1526"/>
      <c r="L432" s="1526"/>
      <c r="M432" s="1583"/>
      <c r="N432" s="1583"/>
      <c r="O432" s="1584" t="s">
        <v>1522</v>
      </c>
    </row>
    <row r="433" spans="1:15" s="146" customFormat="1" ht="8.4" x14ac:dyDescent="0.15">
      <c r="A433" s="1612" t="s">
        <v>633</v>
      </c>
      <c r="B433" s="1535" t="s">
        <v>849</v>
      </c>
      <c r="C433" s="1526"/>
      <c r="D433" s="1526"/>
      <c r="E433" s="1526"/>
      <c r="F433" s="1526"/>
      <c r="G433" s="1526"/>
      <c r="H433" s="1526"/>
      <c r="I433" s="1526"/>
      <c r="J433" s="1526">
        <v>1023000</v>
      </c>
      <c r="K433" s="1526"/>
      <c r="L433" s="1526"/>
      <c r="M433" s="1583"/>
      <c r="N433" s="1583"/>
      <c r="O433" s="1584"/>
    </row>
    <row r="434" spans="1:15" s="146" customFormat="1" ht="16.8" x14ac:dyDescent="0.15">
      <c r="A434" s="1612" t="s">
        <v>633</v>
      </c>
      <c r="B434" s="1535" t="s">
        <v>1517</v>
      </c>
      <c r="C434" s="1526"/>
      <c r="D434" s="1526"/>
      <c r="E434" s="1526"/>
      <c r="F434" s="1526"/>
      <c r="G434" s="1526"/>
      <c r="H434" s="1526"/>
      <c r="I434" s="1526"/>
      <c r="J434" s="1526">
        <v>1380000</v>
      </c>
      <c r="K434" s="1526"/>
      <c r="L434" s="1526"/>
      <c r="M434" s="1583"/>
      <c r="N434" s="1583"/>
      <c r="O434" s="1584"/>
    </row>
    <row r="435" spans="1:15" s="146" customFormat="1" ht="16.8" x14ac:dyDescent="0.15">
      <c r="A435" s="1612" t="s">
        <v>655</v>
      </c>
      <c r="B435" s="1535" t="s">
        <v>782</v>
      </c>
      <c r="C435" s="1526"/>
      <c r="D435" s="1526"/>
      <c r="E435" s="1526"/>
      <c r="F435" s="1526"/>
      <c r="G435" s="1526"/>
      <c r="H435" s="1526"/>
      <c r="I435" s="1526"/>
      <c r="J435" s="1526">
        <v>7000000</v>
      </c>
      <c r="K435" s="1542"/>
      <c r="L435" s="1526"/>
      <c r="M435" s="1583"/>
      <c r="N435" s="1583"/>
      <c r="O435" s="1584"/>
    </row>
    <row r="436" spans="1:15" s="146" customFormat="1" ht="8.4" x14ac:dyDescent="0.15">
      <c r="A436" s="1612" t="s">
        <v>655</v>
      </c>
      <c r="B436" s="1535" t="s">
        <v>129</v>
      </c>
      <c r="C436" s="1526"/>
      <c r="D436" s="1526"/>
      <c r="E436" s="1526"/>
      <c r="F436" s="1526"/>
      <c r="G436" s="1526"/>
      <c r="H436" s="1526"/>
      <c r="I436" s="1526"/>
      <c r="J436" s="1526">
        <v>10000</v>
      </c>
      <c r="K436" s="1542"/>
      <c r="L436" s="1526"/>
      <c r="M436" s="1583"/>
      <c r="N436" s="1583"/>
      <c r="O436" s="1584"/>
    </row>
    <row r="437" spans="1:15" s="146" customFormat="1" ht="25.2" x14ac:dyDescent="0.15">
      <c r="A437" s="1612" t="s">
        <v>655</v>
      </c>
      <c r="B437" s="1535" t="s">
        <v>1333</v>
      </c>
      <c r="C437" s="1526"/>
      <c r="D437" s="1526"/>
      <c r="E437" s="1526"/>
      <c r="F437" s="1526"/>
      <c r="G437" s="1526"/>
      <c r="H437" s="1526"/>
      <c r="I437" s="1526"/>
      <c r="J437" s="1526">
        <v>11000</v>
      </c>
      <c r="K437" s="1542"/>
      <c r="L437" s="1526"/>
      <c r="M437" s="1583"/>
      <c r="N437" s="1583"/>
      <c r="O437" s="1584"/>
    </row>
    <row r="438" spans="1:15" s="146" customFormat="1" ht="25.2" x14ac:dyDescent="0.15">
      <c r="A438" s="1612" t="s">
        <v>655</v>
      </c>
      <c r="B438" s="1535" t="s">
        <v>1334</v>
      </c>
      <c r="C438" s="1526"/>
      <c r="D438" s="1526"/>
      <c r="E438" s="1526"/>
      <c r="F438" s="1526"/>
      <c r="G438" s="1526"/>
      <c r="H438" s="1526"/>
      <c r="I438" s="1526"/>
      <c r="J438" s="1526">
        <v>10000</v>
      </c>
      <c r="K438" s="1542"/>
      <c r="L438" s="1526"/>
      <c r="M438" s="1583"/>
      <c r="N438" s="1583"/>
      <c r="O438" s="1584"/>
    </row>
    <row r="439" spans="1:15" s="146" customFormat="1" ht="25.2" x14ac:dyDescent="0.15">
      <c r="A439" s="1612" t="s">
        <v>655</v>
      </c>
      <c r="B439" s="1535" t="s">
        <v>1335</v>
      </c>
      <c r="C439" s="1526"/>
      <c r="D439" s="1526"/>
      <c r="E439" s="1526"/>
      <c r="F439" s="1526"/>
      <c r="G439" s="1526"/>
      <c r="H439" s="1526"/>
      <c r="I439" s="1526"/>
      <c r="J439" s="1526">
        <v>11000</v>
      </c>
      <c r="K439" s="1542"/>
      <c r="L439" s="1526"/>
      <c r="M439" s="1583"/>
      <c r="N439" s="1583"/>
      <c r="O439" s="1584"/>
    </row>
    <row r="440" spans="1:15" s="146" customFormat="1" ht="16.8" x14ac:dyDescent="0.15">
      <c r="A440" s="1612" t="s">
        <v>634</v>
      </c>
      <c r="B440" s="1535" t="s">
        <v>643</v>
      </c>
      <c r="C440" s="1526"/>
      <c r="D440" s="1526"/>
      <c r="E440" s="1526"/>
      <c r="F440" s="1526"/>
      <c r="G440" s="1526"/>
      <c r="H440" s="1526"/>
      <c r="I440" s="1526"/>
      <c r="J440" s="1526">
        <v>250000</v>
      </c>
      <c r="K440" s="1526"/>
      <c r="L440" s="1526"/>
      <c r="M440" s="1583"/>
      <c r="N440" s="1583"/>
      <c r="O440" s="1584"/>
    </row>
    <row r="441" spans="1:15" s="146" customFormat="1" ht="16.8" x14ac:dyDescent="0.15">
      <c r="A441" s="1612" t="s">
        <v>634</v>
      </c>
      <c r="B441" s="1535" t="s">
        <v>644</v>
      </c>
      <c r="C441" s="1526"/>
      <c r="D441" s="1526"/>
      <c r="E441" s="1526"/>
      <c r="F441" s="1526"/>
      <c r="G441" s="1526"/>
      <c r="H441" s="1526"/>
      <c r="I441" s="1526"/>
      <c r="J441" s="1526">
        <v>70000</v>
      </c>
      <c r="K441" s="1526"/>
      <c r="L441" s="1526"/>
      <c r="M441" s="1583"/>
      <c r="N441" s="1583"/>
      <c r="O441" s="1584"/>
    </row>
    <row r="442" spans="1:15" s="146" customFormat="1" ht="16.8" x14ac:dyDescent="0.15">
      <c r="A442" s="1612" t="s">
        <v>634</v>
      </c>
      <c r="B442" s="1535" t="s">
        <v>645</v>
      </c>
      <c r="C442" s="1526"/>
      <c r="D442" s="1526"/>
      <c r="E442" s="1526"/>
      <c r="F442" s="1526"/>
      <c r="G442" s="1526"/>
      <c r="H442" s="1526"/>
      <c r="I442" s="1526"/>
      <c r="J442" s="1526">
        <v>1200000</v>
      </c>
      <c r="K442" s="1526"/>
      <c r="L442" s="1526"/>
      <c r="M442" s="1583"/>
      <c r="N442" s="1583"/>
      <c r="O442" s="1584"/>
    </row>
    <row r="443" spans="1:15" s="146" customFormat="1" ht="16.8" x14ac:dyDescent="0.15">
      <c r="A443" s="1612" t="s">
        <v>634</v>
      </c>
      <c r="B443" s="1535" t="s">
        <v>646</v>
      </c>
      <c r="C443" s="1526"/>
      <c r="D443" s="1526"/>
      <c r="E443" s="1526"/>
      <c r="F443" s="1526"/>
      <c r="G443" s="1526"/>
      <c r="H443" s="1526"/>
      <c r="I443" s="1526"/>
      <c r="J443" s="1526">
        <v>1000000</v>
      </c>
      <c r="K443" s="1526"/>
      <c r="L443" s="1526"/>
      <c r="M443" s="1583"/>
      <c r="N443" s="1583"/>
      <c r="O443" s="1584"/>
    </row>
    <row r="444" spans="1:15" s="146" customFormat="1" ht="8.4" x14ac:dyDescent="0.15">
      <c r="A444" s="1612" t="s">
        <v>634</v>
      </c>
      <c r="B444" s="1535" t="s">
        <v>648</v>
      </c>
      <c r="C444" s="1526"/>
      <c r="D444" s="1526"/>
      <c r="E444" s="1526"/>
      <c r="F444" s="1526"/>
      <c r="G444" s="1526"/>
      <c r="H444" s="1526"/>
      <c r="I444" s="1526"/>
      <c r="J444" s="1526">
        <v>10000000</v>
      </c>
      <c r="K444" s="1526"/>
      <c r="L444" s="1526"/>
      <c r="M444" s="1583"/>
      <c r="N444" s="1583"/>
      <c r="O444" s="1584"/>
    </row>
    <row r="445" spans="1:15" s="146" customFormat="1" ht="16.8" x14ac:dyDescent="0.15">
      <c r="A445" s="1612" t="s">
        <v>651</v>
      </c>
      <c r="B445" s="1535" t="s">
        <v>775</v>
      </c>
      <c r="C445" s="1526"/>
      <c r="D445" s="1526"/>
      <c r="E445" s="1526"/>
      <c r="F445" s="1526"/>
      <c r="G445" s="1526"/>
      <c r="H445" s="1526">
        <v>10000000</v>
      </c>
      <c r="I445" s="1526"/>
      <c r="J445" s="1526"/>
      <c r="K445" s="1526"/>
      <c r="L445" s="1526"/>
      <c r="M445" s="1583"/>
      <c r="N445" s="1583"/>
      <c r="O445" s="1584"/>
    </row>
    <row r="446" spans="1:15" s="146" customFormat="1" ht="16.8" x14ac:dyDescent="0.15">
      <c r="A446" s="1612" t="s">
        <v>651</v>
      </c>
      <c r="B446" s="1535" t="s">
        <v>776</v>
      </c>
      <c r="C446" s="1526"/>
      <c r="D446" s="1526"/>
      <c r="E446" s="1526"/>
      <c r="F446" s="1526"/>
      <c r="G446" s="1526"/>
      <c r="H446" s="1526"/>
      <c r="I446" s="1526"/>
      <c r="J446" s="1526"/>
      <c r="K446" s="1526"/>
      <c r="L446" s="1526">
        <v>3140000</v>
      </c>
      <c r="M446" s="1583"/>
      <c r="N446" s="1583"/>
      <c r="O446" s="1584"/>
    </row>
    <row r="447" spans="1:15" s="146" customFormat="1" ht="25.2" x14ac:dyDescent="0.15">
      <c r="A447" s="1612" t="s">
        <v>651</v>
      </c>
      <c r="B447" s="1535" t="s">
        <v>1176</v>
      </c>
      <c r="C447" s="1526"/>
      <c r="D447" s="1526"/>
      <c r="E447" s="1526"/>
      <c r="F447" s="1526"/>
      <c r="G447" s="1526"/>
      <c r="H447" s="1526"/>
      <c r="I447" s="1526"/>
      <c r="J447" s="1542"/>
      <c r="K447" s="1526"/>
      <c r="L447" s="1526">
        <v>120000</v>
      </c>
      <c r="M447" s="1583"/>
      <c r="N447" s="1583"/>
      <c r="O447" s="1584"/>
    </row>
    <row r="448" spans="1:15" s="146" customFormat="1" ht="25.2" x14ac:dyDescent="0.15">
      <c r="A448" s="1612" t="s">
        <v>651</v>
      </c>
      <c r="B448" s="1535" t="s">
        <v>1177</v>
      </c>
      <c r="C448" s="1526"/>
      <c r="D448" s="1526"/>
      <c r="E448" s="1526"/>
      <c r="F448" s="1526"/>
      <c r="G448" s="1526"/>
      <c r="H448" s="1526"/>
      <c r="I448" s="1526"/>
      <c r="J448" s="1542"/>
      <c r="K448" s="1526"/>
      <c r="L448" s="1526">
        <v>490000</v>
      </c>
      <c r="M448" s="1583"/>
      <c r="N448" s="1583"/>
      <c r="O448" s="1584"/>
    </row>
    <row r="449" spans="1:15" s="146" customFormat="1" ht="25.2" x14ac:dyDescent="0.15">
      <c r="A449" s="1612" t="s">
        <v>651</v>
      </c>
      <c r="B449" s="1535" t="s">
        <v>1178</v>
      </c>
      <c r="C449" s="1526"/>
      <c r="D449" s="1526"/>
      <c r="E449" s="1526"/>
      <c r="F449" s="1526"/>
      <c r="G449" s="1526"/>
      <c r="H449" s="1526"/>
      <c r="I449" s="1526"/>
      <c r="J449" s="1542"/>
      <c r="K449" s="1526"/>
      <c r="L449" s="1526">
        <v>780000</v>
      </c>
      <c r="M449" s="1583"/>
      <c r="N449" s="1583"/>
      <c r="O449" s="1584"/>
    </row>
    <row r="450" spans="1:15" s="146" customFormat="1" ht="16.8" x14ac:dyDescent="0.15">
      <c r="A450" s="1612" t="s">
        <v>642</v>
      </c>
      <c r="B450" s="1535" t="s">
        <v>1346</v>
      </c>
      <c r="C450" s="1526"/>
      <c r="D450" s="1526"/>
      <c r="E450" s="1526"/>
      <c r="F450" s="1526"/>
      <c r="G450" s="1526"/>
      <c r="H450" s="1526"/>
      <c r="I450" s="1526"/>
      <c r="J450" s="1526">
        <v>300000</v>
      </c>
      <c r="K450" s="1526"/>
      <c r="L450" s="1526"/>
      <c r="M450" s="1583"/>
      <c r="N450" s="1583"/>
      <c r="O450" s="1584"/>
    </row>
    <row r="451" spans="1:15" s="146" customFormat="1" ht="8.4" x14ac:dyDescent="0.15">
      <c r="A451" s="1612" t="s">
        <v>642</v>
      </c>
      <c r="B451" s="1535" t="s">
        <v>682</v>
      </c>
      <c r="C451" s="1526"/>
      <c r="D451" s="1526"/>
      <c r="E451" s="1526"/>
      <c r="F451" s="1526"/>
      <c r="G451" s="1526"/>
      <c r="H451" s="1526"/>
      <c r="I451" s="1526"/>
      <c r="J451" s="1526">
        <v>625000</v>
      </c>
      <c r="K451" s="1526"/>
      <c r="L451" s="1526"/>
      <c r="M451" s="1583"/>
      <c r="N451" s="1583"/>
      <c r="O451" s="1584"/>
    </row>
    <row r="452" spans="1:15" s="146" customFormat="1" ht="8.4" x14ac:dyDescent="0.15">
      <c r="A452" s="1612" t="s">
        <v>642</v>
      </c>
      <c r="B452" s="1535" t="s">
        <v>652</v>
      </c>
      <c r="C452" s="1526"/>
      <c r="D452" s="1526"/>
      <c r="E452" s="1526"/>
      <c r="F452" s="1526"/>
      <c r="G452" s="1526"/>
      <c r="H452" s="1526"/>
      <c r="I452" s="1526"/>
      <c r="J452" s="1526">
        <v>382000</v>
      </c>
      <c r="K452" s="1526"/>
      <c r="L452" s="1526"/>
      <c r="M452" s="1583"/>
      <c r="N452" s="1583"/>
      <c r="O452" s="1584"/>
    </row>
    <row r="453" spans="1:15" s="146" customFormat="1" ht="8.4" x14ac:dyDescent="0.15">
      <c r="A453" s="1612" t="s">
        <v>649</v>
      </c>
      <c r="B453" s="1535" t="s">
        <v>940</v>
      </c>
      <c r="C453" s="1526"/>
      <c r="D453" s="1526"/>
      <c r="E453" s="1526"/>
      <c r="F453" s="1526"/>
      <c r="G453" s="1526"/>
      <c r="H453" s="1526">
        <v>114012000</v>
      </c>
      <c r="I453" s="1526"/>
      <c r="J453" s="1526"/>
      <c r="K453" s="1526"/>
      <c r="L453" s="1526"/>
      <c r="M453" s="1583"/>
      <c r="N453" s="1583"/>
      <c r="O453" s="1584"/>
    </row>
    <row r="454" spans="1:15" s="146" customFormat="1" ht="8.4" x14ac:dyDescent="0.15">
      <c r="A454" s="1612" t="s">
        <v>649</v>
      </c>
      <c r="B454" s="1535" t="s">
        <v>650</v>
      </c>
      <c r="C454" s="1526"/>
      <c r="D454" s="1526"/>
      <c r="E454" s="1526"/>
      <c r="F454" s="1526"/>
      <c r="G454" s="1526"/>
      <c r="H454" s="1526"/>
      <c r="I454" s="1526"/>
      <c r="J454" s="1526">
        <v>499000</v>
      </c>
      <c r="K454" s="1526"/>
      <c r="L454" s="1526"/>
      <c r="M454" s="1583"/>
      <c r="N454" s="1583"/>
      <c r="O454" s="1584"/>
    </row>
    <row r="455" spans="1:15" s="146" customFormat="1" ht="16.8" x14ac:dyDescent="0.15">
      <c r="A455" s="1612" t="s">
        <v>649</v>
      </c>
      <c r="B455" s="1535" t="s">
        <v>1527</v>
      </c>
      <c r="C455" s="1526"/>
      <c r="D455" s="1526"/>
      <c r="E455" s="1526"/>
      <c r="F455" s="1526"/>
      <c r="G455" s="1526"/>
      <c r="H455" s="1526"/>
      <c r="I455" s="1526"/>
      <c r="J455" s="1526">
        <v>500000</v>
      </c>
      <c r="K455" s="1526"/>
      <c r="L455" s="1526"/>
      <c r="M455" s="1583"/>
      <c r="N455" s="1583"/>
      <c r="O455" s="1584"/>
    </row>
    <row r="456" spans="1:15" s="146" customFormat="1" ht="25.2" x14ac:dyDescent="0.15">
      <c r="A456" s="1612" t="s">
        <v>718</v>
      </c>
      <c r="B456" s="1535" t="s">
        <v>1170</v>
      </c>
      <c r="C456" s="1526"/>
      <c r="D456" s="1526"/>
      <c r="E456" s="1526"/>
      <c r="F456" s="1526"/>
      <c r="G456" s="1526"/>
      <c r="H456" s="1526"/>
      <c r="I456" s="1526"/>
      <c r="J456" s="1542"/>
      <c r="K456" s="1526"/>
      <c r="L456" s="1526">
        <v>145000</v>
      </c>
      <c r="M456" s="1583"/>
      <c r="N456" s="1583"/>
      <c r="O456" s="1584"/>
    </row>
    <row r="457" spans="1:15" s="146" customFormat="1" ht="25.2" x14ac:dyDescent="0.15">
      <c r="A457" s="1612" t="s">
        <v>718</v>
      </c>
      <c r="B457" s="1535" t="s">
        <v>1171</v>
      </c>
      <c r="C457" s="1526"/>
      <c r="D457" s="1526"/>
      <c r="E457" s="1526"/>
      <c r="F457" s="1526"/>
      <c r="G457" s="1526"/>
      <c r="H457" s="1526"/>
      <c r="I457" s="1526"/>
      <c r="J457" s="1542"/>
      <c r="K457" s="1526"/>
      <c r="L457" s="1526">
        <v>250000</v>
      </c>
      <c r="M457" s="1583"/>
      <c r="N457" s="1583"/>
      <c r="O457" s="1584"/>
    </row>
    <row r="458" spans="1:15" s="146" customFormat="1" ht="25.2" x14ac:dyDescent="0.15">
      <c r="A458" s="1612" t="s">
        <v>718</v>
      </c>
      <c r="B458" s="1535" t="s">
        <v>1172</v>
      </c>
      <c r="C458" s="1526"/>
      <c r="D458" s="1526"/>
      <c r="E458" s="1526"/>
      <c r="F458" s="1526"/>
      <c r="G458" s="1526"/>
      <c r="H458" s="1526"/>
      <c r="I458" s="1526"/>
      <c r="J458" s="1542"/>
      <c r="K458" s="1526"/>
      <c r="L458" s="1526">
        <v>980000</v>
      </c>
      <c r="M458" s="1583"/>
      <c r="N458" s="1583"/>
      <c r="O458" s="1584"/>
    </row>
    <row r="459" spans="1:15" s="146" customFormat="1" ht="8.4" x14ac:dyDescent="0.15">
      <c r="A459" s="1612" t="s">
        <v>680</v>
      </c>
      <c r="B459" s="1535" t="s">
        <v>681</v>
      </c>
      <c r="C459" s="1526"/>
      <c r="D459" s="1526"/>
      <c r="E459" s="1526"/>
      <c r="F459" s="1526"/>
      <c r="G459" s="1526"/>
      <c r="H459" s="1526"/>
      <c r="I459" s="1526"/>
      <c r="J459" s="1526">
        <v>1500000</v>
      </c>
      <c r="K459" s="1526"/>
      <c r="L459" s="1526"/>
      <c r="M459" s="1583"/>
      <c r="N459" s="1583"/>
      <c r="O459" s="1584"/>
    </row>
    <row r="460" spans="1:15" s="146" customFormat="1" ht="8.4" x14ac:dyDescent="0.15">
      <c r="A460" s="1612" t="s">
        <v>680</v>
      </c>
      <c r="B460" s="1535" t="s">
        <v>129</v>
      </c>
      <c r="C460" s="1526"/>
      <c r="D460" s="1526"/>
      <c r="E460" s="1526"/>
      <c r="F460" s="1526"/>
      <c r="G460" s="1526"/>
      <c r="H460" s="1526"/>
      <c r="I460" s="1526"/>
      <c r="J460" s="1892">
        <v>10000</v>
      </c>
      <c r="K460" s="1526"/>
      <c r="L460" s="1526"/>
      <c r="M460" s="1583"/>
      <c r="N460" s="1583"/>
      <c r="O460" s="1584"/>
    </row>
    <row r="461" spans="1:15" s="146" customFormat="1" ht="25.2" x14ac:dyDescent="0.15">
      <c r="A461" s="1612" t="s">
        <v>1035</v>
      </c>
      <c r="B461" s="1535" t="s">
        <v>1173</v>
      </c>
      <c r="C461" s="1526"/>
      <c r="D461" s="1526"/>
      <c r="E461" s="1526"/>
      <c r="F461" s="1526"/>
      <c r="G461" s="1526"/>
      <c r="H461" s="1526"/>
      <c r="I461" s="1526"/>
      <c r="J461" s="1542"/>
      <c r="K461" s="1526"/>
      <c r="L461" s="1526">
        <v>30000</v>
      </c>
      <c r="M461" s="1583"/>
      <c r="N461" s="1583"/>
      <c r="O461" s="1584"/>
    </row>
    <row r="462" spans="1:15" s="146" customFormat="1" ht="16.8" x14ac:dyDescent="0.15">
      <c r="A462" s="1612" t="s">
        <v>1035</v>
      </c>
      <c r="B462" s="1535" t="s">
        <v>1174</v>
      </c>
      <c r="C462" s="1526"/>
      <c r="D462" s="1526"/>
      <c r="E462" s="1526"/>
      <c r="F462" s="1526"/>
      <c r="G462" s="1526"/>
      <c r="H462" s="1526"/>
      <c r="I462" s="1526"/>
      <c r="J462" s="1542"/>
      <c r="K462" s="1526"/>
      <c r="L462" s="1526">
        <v>80000</v>
      </c>
      <c r="M462" s="1583"/>
      <c r="N462" s="1583"/>
      <c r="O462" s="1584"/>
    </row>
    <row r="463" spans="1:15" s="146" customFormat="1" ht="16.8" x14ac:dyDescent="0.15">
      <c r="A463" s="1612" t="s">
        <v>1035</v>
      </c>
      <c r="B463" s="1535" t="s">
        <v>1175</v>
      </c>
      <c r="C463" s="1526"/>
      <c r="D463" s="1526"/>
      <c r="E463" s="1526"/>
      <c r="F463" s="1526"/>
      <c r="G463" s="1526"/>
      <c r="H463" s="1526"/>
      <c r="I463" s="1526"/>
      <c r="J463" s="1628"/>
      <c r="K463" s="1526"/>
      <c r="L463" s="1526">
        <v>380000</v>
      </c>
      <c r="M463" s="1583"/>
      <c r="N463" s="1583"/>
      <c r="O463" s="1584"/>
    </row>
    <row r="464" spans="1:15" s="146" customFormat="1" ht="16.8" x14ac:dyDescent="0.15">
      <c r="A464" s="1612" t="s">
        <v>700</v>
      </c>
      <c r="B464" s="1535" t="s">
        <v>701</v>
      </c>
      <c r="C464" s="1526"/>
      <c r="D464" s="1526"/>
      <c r="E464" s="1526"/>
      <c r="F464" s="1526"/>
      <c r="G464" s="1526"/>
      <c r="H464" s="1526"/>
      <c r="I464" s="1526"/>
      <c r="J464" s="1526">
        <v>47000</v>
      </c>
      <c r="K464" s="1526"/>
      <c r="L464" s="1526"/>
      <c r="M464" s="1583"/>
      <c r="N464" s="1583"/>
      <c r="O464" s="1584"/>
    </row>
    <row r="465" spans="1:15" s="146" customFormat="1" ht="33.6" x14ac:dyDescent="0.15">
      <c r="A465" s="1612" t="s">
        <v>700</v>
      </c>
      <c r="B465" s="1535" t="s">
        <v>703</v>
      </c>
      <c r="C465" s="1526"/>
      <c r="D465" s="1526"/>
      <c r="E465" s="1526"/>
      <c r="F465" s="1526"/>
      <c r="G465" s="1526"/>
      <c r="H465" s="1526"/>
      <c r="I465" s="1526"/>
      <c r="J465" s="1526">
        <v>1160000</v>
      </c>
      <c r="K465" s="1526"/>
      <c r="L465" s="1526"/>
      <c r="M465" s="1583"/>
      <c r="N465" s="1583"/>
      <c r="O465" s="1584" t="s">
        <v>758</v>
      </c>
    </row>
    <row r="466" spans="1:15" s="146" customFormat="1" ht="33.6" x14ac:dyDescent="0.15">
      <c r="A466" s="1612" t="s">
        <v>700</v>
      </c>
      <c r="B466" s="1535" t="s">
        <v>704</v>
      </c>
      <c r="C466" s="1526"/>
      <c r="D466" s="1526"/>
      <c r="E466" s="1526"/>
      <c r="F466" s="1526"/>
      <c r="G466" s="1526"/>
      <c r="H466" s="1526"/>
      <c r="I466" s="1526"/>
      <c r="J466" s="1526">
        <v>75000</v>
      </c>
      <c r="K466" s="1542"/>
      <c r="L466" s="1526"/>
      <c r="M466" s="1583"/>
      <c r="N466" s="1583"/>
      <c r="O466" s="1584" t="s">
        <v>759</v>
      </c>
    </row>
    <row r="467" spans="1:15" s="146" customFormat="1" ht="33.6" x14ac:dyDescent="0.15">
      <c r="A467" s="1612" t="s">
        <v>700</v>
      </c>
      <c r="B467" s="1535" t="s">
        <v>705</v>
      </c>
      <c r="C467" s="1526"/>
      <c r="D467" s="1526"/>
      <c r="E467" s="1526"/>
      <c r="F467" s="1526"/>
      <c r="G467" s="1526"/>
      <c r="H467" s="1526"/>
      <c r="I467" s="1526"/>
      <c r="J467" s="1526">
        <v>1600000</v>
      </c>
      <c r="K467" s="1526"/>
      <c r="L467" s="1526"/>
      <c r="M467" s="1583"/>
      <c r="N467" s="1583"/>
      <c r="O467" s="1584"/>
    </row>
    <row r="468" spans="1:15" s="146" customFormat="1" ht="33.6" x14ac:dyDescent="0.15">
      <c r="A468" s="1612" t="s">
        <v>700</v>
      </c>
      <c r="B468" s="1535" t="s">
        <v>706</v>
      </c>
      <c r="C468" s="1526"/>
      <c r="D468" s="1526"/>
      <c r="E468" s="1526"/>
      <c r="F468" s="1526"/>
      <c r="G468" s="1526"/>
      <c r="H468" s="1526"/>
      <c r="I468" s="1526"/>
      <c r="J468" s="1526">
        <v>190000</v>
      </c>
      <c r="K468" s="1526"/>
      <c r="L468" s="1526"/>
      <c r="M468" s="1583"/>
      <c r="N468" s="1583"/>
      <c r="O468" s="1584"/>
    </row>
    <row r="469" spans="1:15" s="146" customFormat="1" ht="33.6" x14ac:dyDescent="0.15">
      <c r="A469" s="1612" t="s">
        <v>700</v>
      </c>
      <c r="B469" s="1535" t="s">
        <v>707</v>
      </c>
      <c r="C469" s="1526"/>
      <c r="D469" s="1526"/>
      <c r="E469" s="1526"/>
      <c r="F469" s="1526"/>
      <c r="G469" s="1526"/>
      <c r="H469" s="1526"/>
      <c r="I469" s="1526"/>
      <c r="J469" s="1526">
        <v>1000000</v>
      </c>
      <c r="K469" s="1542"/>
      <c r="L469" s="1526"/>
      <c r="M469" s="1583"/>
      <c r="N469" s="1583"/>
      <c r="O469" s="1584" t="s">
        <v>759</v>
      </c>
    </row>
    <row r="470" spans="1:15" s="146" customFormat="1" ht="42" x14ac:dyDescent="0.15">
      <c r="A470" s="1612" t="s">
        <v>700</v>
      </c>
      <c r="B470" s="1535" t="s">
        <v>708</v>
      </c>
      <c r="C470" s="1526"/>
      <c r="D470" s="1526"/>
      <c r="E470" s="1526"/>
      <c r="F470" s="1526"/>
      <c r="G470" s="1526"/>
      <c r="H470" s="1526"/>
      <c r="I470" s="1526"/>
      <c r="J470" s="1526">
        <v>1000000</v>
      </c>
      <c r="K470" s="1542"/>
      <c r="L470" s="1526"/>
      <c r="M470" s="1583"/>
      <c r="N470" s="1583"/>
      <c r="O470" s="1584" t="s">
        <v>759</v>
      </c>
    </row>
    <row r="471" spans="1:15" s="146" customFormat="1" ht="33.6" x14ac:dyDescent="0.15">
      <c r="A471" s="1612" t="s">
        <v>700</v>
      </c>
      <c r="B471" s="1535" t="s">
        <v>1516</v>
      </c>
      <c r="C471" s="1526"/>
      <c r="D471" s="1526"/>
      <c r="E471" s="1526"/>
      <c r="F471" s="1526"/>
      <c r="G471" s="1526"/>
      <c r="H471" s="1526"/>
      <c r="I471" s="1526"/>
      <c r="J471" s="1526">
        <v>230000</v>
      </c>
      <c r="K471" s="1542"/>
      <c r="L471" s="1526"/>
      <c r="M471" s="1583"/>
      <c r="N471" s="1583"/>
      <c r="O471" s="1584" t="s">
        <v>759</v>
      </c>
    </row>
    <row r="472" spans="1:15" s="146" customFormat="1" ht="16.8" x14ac:dyDescent="0.15">
      <c r="A472" s="1612" t="s">
        <v>700</v>
      </c>
      <c r="B472" s="1535" t="s">
        <v>1179</v>
      </c>
      <c r="C472" s="1526"/>
      <c r="D472" s="1526"/>
      <c r="E472" s="1526"/>
      <c r="F472" s="1526"/>
      <c r="G472" s="1526"/>
      <c r="H472" s="1526"/>
      <c r="I472" s="1526"/>
      <c r="J472" s="1628"/>
      <c r="K472" s="1526"/>
      <c r="L472" s="1526">
        <v>460000</v>
      </c>
      <c r="M472" s="1583"/>
      <c r="N472" s="1583"/>
      <c r="O472" s="1584"/>
    </row>
    <row r="473" spans="1:15" s="146" customFormat="1" ht="16.8" x14ac:dyDescent="0.15">
      <c r="A473" s="1612" t="s">
        <v>764</v>
      </c>
      <c r="B473" s="1535" t="s">
        <v>763</v>
      </c>
      <c r="C473" s="1526"/>
      <c r="D473" s="1526"/>
      <c r="E473" s="1526"/>
      <c r="F473" s="1526"/>
      <c r="G473" s="1526"/>
      <c r="H473" s="1526"/>
      <c r="I473" s="1526"/>
      <c r="J473" s="1526">
        <v>3000000</v>
      </c>
      <c r="K473" s="1526"/>
      <c r="L473" s="1526"/>
      <c r="M473" s="1583"/>
      <c r="N473" s="1583"/>
      <c r="O473" s="1584"/>
    </row>
    <row r="474" spans="1:15" s="146" customFormat="1" ht="16.8" x14ac:dyDescent="0.15">
      <c r="A474" s="1612" t="s">
        <v>764</v>
      </c>
      <c r="B474" s="1535" t="s">
        <v>1547</v>
      </c>
      <c r="C474" s="1526"/>
      <c r="D474" s="1526"/>
      <c r="E474" s="1526"/>
      <c r="F474" s="1526"/>
      <c r="G474" s="1526"/>
      <c r="H474" s="1526"/>
      <c r="I474" s="1526"/>
      <c r="J474" s="1526">
        <v>9000000</v>
      </c>
      <c r="K474" s="1526"/>
      <c r="L474" s="1526"/>
      <c r="M474" s="1583"/>
      <c r="N474" s="1583"/>
      <c r="O474" s="1584"/>
    </row>
    <row r="475" spans="1:15" s="146" customFormat="1" ht="8.4" x14ac:dyDescent="0.15">
      <c r="A475" s="1612" t="s">
        <v>764</v>
      </c>
      <c r="B475" s="1535" t="s">
        <v>129</v>
      </c>
      <c r="C475" s="1526"/>
      <c r="D475" s="1526"/>
      <c r="E475" s="1526"/>
      <c r="F475" s="1526"/>
      <c r="G475" s="1526"/>
      <c r="H475" s="1526"/>
      <c r="I475" s="1526"/>
      <c r="J475" s="1526">
        <v>10000</v>
      </c>
      <c r="K475" s="1526"/>
      <c r="L475" s="1526"/>
      <c r="M475" s="1583"/>
      <c r="N475" s="1583"/>
      <c r="O475" s="1584"/>
    </row>
    <row r="476" spans="1:15" s="146" customFormat="1" ht="25.2" x14ac:dyDescent="0.15">
      <c r="A476" s="1612" t="s">
        <v>852</v>
      </c>
      <c r="B476" s="1535" t="s">
        <v>855</v>
      </c>
      <c r="C476" s="1526"/>
      <c r="D476" s="1526"/>
      <c r="E476" s="1526"/>
      <c r="F476" s="1526"/>
      <c r="G476" s="1526"/>
      <c r="H476" s="1526"/>
      <c r="I476" s="1526"/>
      <c r="J476" s="1526"/>
      <c r="K476" s="1526">
        <v>85000</v>
      </c>
      <c r="L476" s="1526"/>
      <c r="M476" s="1583"/>
      <c r="N476" s="1583"/>
      <c r="O476" s="1584"/>
    </row>
    <row r="477" spans="1:15" s="146" customFormat="1" ht="25.2" x14ac:dyDescent="0.15">
      <c r="A477" s="1612" t="s">
        <v>852</v>
      </c>
      <c r="B477" s="1535" t="s">
        <v>856</v>
      </c>
      <c r="C477" s="1526"/>
      <c r="D477" s="1526"/>
      <c r="E477" s="1526"/>
      <c r="F477" s="1526"/>
      <c r="G477" s="1526"/>
      <c r="H477" s="1526"/>
      <c r="I477" s="1526"/>
      <c r="J477" s="1526">
        <v>3200000</v>
      </c>
      <c r="K477" s="1526"/>
      <c r="L477" s="1526"/>
      <c r="M477" s="1583"/>
      <c r="N477" s="1583"/>
      <c r="O477" s="1584"/>
    </row>
    <row r="478" spans="1:15" s="146" customFormat="1" ht="25.2" x14ac:dyDescent="0.15">
      <c r="A478" s="1612" t="s">
        <v>852</v>
      </c>
      <c r="B478" s="1535" t="s">
        <v>857</v>
      </c>
      <c r="C478" s="1526"/>
      <c r="D478" s="1526"/>
      <c r="E478" s="1526"/>
      <c r="F478" s="1526"/>
      <c r="G478" s="1526"/>
      <c r="H478" s="1526"/>
      <c r="I478" s="1526"/>
      <c r="J478" s="1526"/>
      <c r="K478" s="1526">
        <v>180000</v>
      </c>
      <c r="L478" s="1526"/>
      <c r="M478" s="1583"/>
      <c r="N478" s="1583"/>
      <c r="O478" s="1584"/>
    </row>
    <row r="479" spans="1:15" s="146" customFormat="1" ht="16.8" x14ac:dyDescent="0.15">
      <c r="A479" s="1612" t="s">
        <v>852</v>
      </c>
      <c r="B479" s="1535" t="s">
        <v>858</v>
      </c>
      <c r="C479" s="1526"/>
      <c r="D479" s="1526"/>
      <c r="E479" s="1526"/>
      <c r="F479" s="1526"/>
      <c r="G479" s="1526"/>
      <c r="H479" s="1526"/>
      <c r="I479" s="1526"/>
      <c r="J479" s="1526">
        <v>700000</v>
      </c>
      <c r="K479" s="1526"/>
      <c r="L479" s="1526"/>
      <c r="M479" s="1583"/>
      <c r="N479" s="1583"/>
      <c r="O479" s="1584" t="s">
        <v>1496</v>
      </c>
    </row>
    <row r="480" spans="1:15" s="146" customFormat="1" ht="16.8" x14ac:dyDescent="0.15">
      <c r="A480" s="1612" t="s">
        <v>852</v>
      </c>
      <c r="B480" s="1535" t="s">
        <v>859</v>
      </c>
      <c r="C480" s="1526"/>
      <c r="D480" s="1526"/>
      <c r="E480" s="1526"/>
      <c r="F480" s="1526"/>
      <c r="G480" s="1526"/>
      <c r="H480" s="1526"/>
      <c r="I480" s="1526"/>
      <c r="J480" s="1526"/>
      <c r="K480" s="1526">
        <v>1500000</v>
      </c>
      <c r="L480" s="1526"/>
      <c r="M480" s="1583"/>
      <c r="N480" s="1583"/>
      <c r="O480" s="1584"/>
    </row>
    <row r="481" spans="1:15" s="146" customFormat="1" ht="16.8" x14ac:dyDescent="0.15">
      <c r="A481" s="1612" t="s">
        <v>742</v>
      </c>
      <c r="B481" s="1535" t="s">
        <v>1181</v>
      </c>
      <c r="C481" s="1526"/>
      <c r="D481" s="1526"/>
      <c r="E481" s="1526"/>
      <c r="F481" s="1526"/>
      <c r="G481" s="1893"/>
      <c r="H481" s="1893"/>
      <c r="I481" s="1526"/>
      <c r="J481" s="1526"/>
      <c r="K481" s="1526"/>
      <c r="L481" s="1526">
        <v>75000</v>
      </c>
      <c r="M481" s="1583"/>
      <c r="N481" s="1583"/>
      <c r="O481" s="1584"/>
    </row>
    <row r="482" spans="1:15" s="146" customFormat="1" ht="16.8" x14ac:dyDescent="0.15">
      <c r="A482" s="1612" t="s">
        <v>742</v>
      </c>
      <c r="B482" s="1535" t="s">
        <v>1180</v>
      </c>
      <c r="C482" s="1526"/>
      <c r="D482" s="1526"/>
      <c r="E482" s="1526"/>
      <c r="F482" s="1526"/>
      <c r="G482" s="1893"/>
      <c r="H482" s="1893"/>
      <c r="I482" s="1526"/>
      <c r="J482" s="1526"/>
      <c r="K482" s="1526"/>
      <c r="L482" s="1526">
        <v>250000</v>
      </c>
      <c r="M482" s="1583"/>
      <c r="N482" s="1583"/>
      <c r="O482" s="1584"/>
    </row>
    <row r="483" spans="1:15" s="146" customFormat="1" ht="16.8" x14ac:dyDescent="0.15">
      <c r="A483" s="1612" t="s">
        <v>742</v>
      </c>
      <c r="B483" s="1535" t="s">
        <v>1182</v>
      </c>
      <c r="C483" s="1526"/>
      <c r="D483" s="1526"/>
      <c r="E483" s="1526"/>
      <c r="F483" s="1526"/>
      <c r="G483" s="1526"/>
      <c r="H483" s="1526"/>
      <c r="I483" s="1526"/>
      <c r="J483" s="1526"/>
      <c r="K483" s="1526"/>
      <c r="L483" s="1526">
        <v>680000</v>
      </c>
      <c r="M483" s="1583"/>
      <c r="N483" s="1583"/>
      <c r="O483" s="1584"/>
    </row>
    <row r="484" spans="1:15" s="146" customFormat="1" ht="8.4" x14ac:dyDescent="0.15">
      <c r="A484" s="1612" t="s">
        <v>761</v>
      </c>
      <c r="B484" s="1535" t="s">
        <v>762</v>
      </c>
      <c r="C484" s="1526"/>
      <c r="D484" s="1526"/>
      <c r="E484" s="1526"/>
      <c r="F484" s="1526"/>
      <c r="G484" s="1526"/>
      <c r="H484" s="1526"/>
      <c r="I484" s="1893"/>
      <c r="J484" s="1526">
        <v>330000</v>
      </c>
      <c r="K484" s="1526"/>
      <c r="L484" s="1526"/>
      <c r="M484" s="1583"/>
      <c r="N484" s="1583"/>
      <c r="O484" s="1584"/>
    </row>
    <row r="485" spans="1:15" s="146" customFormat="1" ht="16.8" x14ac:dyDescent="0.15">
      <c r="A485" s="1612" t="s">
        <v>792</v>
      </c>
      <c r="B485" s="1535" t="s">
        <v>860</v>
      </c>
      <c r="C485" s="1526"/>
      <c r="D485" s="1526"/>
      <c r="E485" s="1526"/>
      <c r="F485" s="1526"/>
      <c r="G485" s="1526"/>
      <c r="H485" s="1526"/>
      <c r="I485" s="1893"/>
      <c r="J485" s="1526"/>
      <c r="K485" s="1526">
        <v>70000</v>
      </c>
      <c r="L485" s="1526"/>
      <c r="M485" s="1583"/>
      <c r="N485" s="1583"/>
      <c r="O485" s="1584"/>
    </row>
    <row r="486" spans="1:15" s="146" customFormat="1" ht="16.8" x14ac:dyDescent="0.15">
      <c r="A486" s="1612" t="s">
        <v>792</v>
      </c>
      <c r="B486" s="1535" t="s">
        <v>1498</v>
      </c>
      <c r="C486" s="1526"/>
      <c r="D486" s="1526"/>
      <c r="E486" s="1526"/>
      <c r="F486" s="1526"/>
      <c r="G486" s="1526"/>
      <c r="H486" s="1526"/>
      <c r="I486" s="1893"/>
      <c r="J486" s="1526">
        <v>1000000</v>
      </c>
      <c r="K486" s="1526"/>
      <c r="L486" s="1526"/>
      <c r="M486" s="1583"/>
      <c r="N486" s="1583"/>
      <c r="O486" s="1584"/>
    </row>
    <row r="487" spans="1:15" s="146" customFormat="1" ht="16.8" x14ac:dyDescent="0.15">
      <c r="A487" s="1612" t="s">
        <v>792</v>
      </c>
      <c r="B487" s="1535" t="s">
        <v>861</v>
      </c>
      <c r="C487" s="1526"/>
      <c r="D487" s="1526"/>
      <c r="E487" s="1526"/>
      <c r="F487" s="1526"/>
      <c r="G487" s="1526"/>
      <c r="H487" s="1526"/>
      <c r="I487" s="1526"/>
      <c r="J487" s="1526"/>
      <c r="K487" s="1526">
        <v>75000</v>
      </c>
      <c r="L487" s="1526"/>
      <c r="M487" s="1583"/>
      <c r="N487" s="1583"/>
      <c r="O487" s="1584"/>
    </row>
    <row r="488" spans="1:15" s="146" customFormat="1" ht="16.8" x14ac:dyDescent="0.15">
      <c r="A488" s="1612" t="s">
        <v>792</v>
      </c>
      <c r="B488" s="1535" t="s">
        <v>862</v>
      </c>
      <c r="C488" s="1526"/>
      <c r="D488" s="1526"/>
      <c r="E488" s="1526"/>
      <c r="F488" s="1526"/>
      <c r="G488" s="1526"/>
      <c r="H488" s="1526"/>
      <c r="I488" s="1526"/>
      <c r="J488" s="1526"/>
      <c r="K488" s="1526">
        <v>500000</v>
      </c>
      <c r="L488" s="1526"/>
      <c r="M488" s="1583"/>
      <c r="N488" s="1583"/>
      <c r="O488" s="1584" t="s">
        <v>1497</v>
      </c>
    </row>
    <row r="489" spans="1:15" s="146" customFormat="1" ht="16.8" x14ac:dyDescent="0.15">
      <c r="A489" s="1612" t="s">
        <v>765</v>
      </c>
      <c r="B489" s="1535" t="s">
        <v>1259</v>
      </c>
      <c r="C489" s="1526"/>
      <c r="D489" s="1526"/>
      <c r="E489" s="1526"/>
      <c r="F489" s="1526"/>
      <c r="G489" s="1526"/>
      <c r="H489" s="1526"/>
      <c r="I489" s="1526"/>
      <c r="J489" s="1526">
        <v>5000000</v>
      </c>
      <c r="K489" s="1526"/>
      <c r="L489" s="1526"/>
      <c r="M489" s="1583"/>
      <c r="N489" s="1583"/>
      <c r="O489" s="1584"/>
    </row>
    <row r="490" spans="1:15" s="146" customFormat="1" ht="8.4" x14ac:dyDescent="0.15">
      <c r="A490" s="1612" t="s">
        <v>765</v>
      </c>
      <c r="B490" s="1535" t="s">
        <v>129</v>
      </c>
      <c r="C490" s="1526"/>
      <c r="D490" s="1526"/>
      <c r="E490" s="1526"/>
      <c r="F490" s="1526"/>
      <c r="G490" s="1526"/>
      <c r="H490" s="1526"/>
      <c r="I490" s="1526"/>
      <c r="J490" s="1526">
        <v>10000</v>
      </c>
      <c r="K490" s="1526"/>
      <c r="L490" s="1526"/>
      <c r="M490" s="1583"/>
      <c r="N490" s="1583"/>
      <c r="O490" s="1584"/>
    </row>
    <row r="491" spans="1:15" s="146" customFormat="1" ht="25.2" x14ac:dyDescent="0.15">
      <c r="A491" s="1612" t="s">
        <v>765</v>
      </c>
      <c r="B491" s="1535" t="s">
        <v>1344</v>
      </c>
      <c r="C491" s="1526"/>
      <c r="D491" s="1526"/>
      <c r="E491" s="1526"/>
      <c r="F491" s="1526"/>
      <c r="G491" s="1526"/>
      <c r="H491" s="1526"/>
      <c r="I491" s="1893"/>
      <c r="J491" s="1526">
        <v>10000000</v>
      </c>
      <c r="K491" s="1526"/>
      <c r="L491" s="1526"/>
      <c r="M491" s="1583"/>
      <c r="N491" s="1583"/>
      <c r="O491" s="1584"/>
    </row>
    <row r="492" spans="1:15" s="146" customFormat="1" ht="16.8" x14ac:dyDescent="0.15">
      <c r="A492" s="1612" t="s">
        <v>843</v>
      </c>
      <c r="B492" s="1535" t="s">
        <v>1343</v>
      </c>
      <c r="C492" s="1526"/>
      <c r="D492" s="1526"/>
      <c r="E492" s="1526"/>
      <c r="F492" s="1526"/>
      <c r="G492" s="1526"/>
      <c r="H492" s="1526"/>
      <c r="I492" s="1893"/>
      <c r="J492" s="1526">
        <v>10000000</v>
      </c>
      <c r="K492" s="1526"/>
      <c r="L492" s="1526"/>
      <c r="M492" s="1583"/>
      <c r="N492" s="1583"/>
      <c r="O492" s="1584" t="s">
        <v>769</v>
      </c>
    </row>
    <row r="493" spans="1:15" s="146" customFormat="1" ht="25.2" x14ac:dyDescent="0.15">
      <c r="A493" s="1612" t="s">
        <v>844</v>
      </c>
      <c r="B493" s="1535" t="s">
        <v>1499</v>
      </c>
      <c r="C493" s="1526"/>
      <c r="D493" s="1526"/>
      <c r="E493" s="1526"/>
      <c r="F493" s="1526"/>
      <c r="G493" s="1526"/>
      <c r="H493" s="1526"/>
      <c r="I493" s="1526"/>
      <c r="J493" s="1526">
        <v>150000</v>
      </c>
      <c r="K493" s="1526"/>
      <c r="L493" s="1526"/>
      <c r="M493" s="1583"/>
      <c r="N493" s="1583"/>
      <c r="O493" s="1584"/>
    </row>
    <row r="494" spans="1:15" s="146" customFormat="1" ht="25.2" x14ac:dyDescent="0.15">
      <c r="A494" s="1612" t="s">
        <v>844</v>
      </c>
      <c r="B494" s="1535" t="s">
        <v>1501</v>
      </c>
      <c r="C494" s="1526"/>
      <c r="D494" s="1526"/>
      <c r="E494" s="1526"/>
      <c r="F494" s="1526"/>
      <c r="G494" s="1526"/>
      <c r="H494" s="1526"/>
      <c r="I494" s="1893"/>
      <c r="J494" s="1526">
        <v>100000</v>
      </c>
      <c r="K494" s="1526"/>
      <c r="L494" s="1526"/>
      <c r="M494" s="1583"/>
      <c r="N494" s="1583"/>
      <c r="O494" s="1584"/>
    </row>
    <row r="495" spans="1:15" s="146" customFormat="1" ht="25.2" x14ac:dyDescent="0.15">
      <c r="A495" s="1612" t="s">
        <v>844</v>
      </c>
      <c r="B495" s="1535" t="s">
        <v>1502</v>
      </c>
      <c r="C495" s="1526"/>
      <c r="D495" s="1526"/>
      <c r="E495" s="1526"/>
      <c r="F495" s="1526"/>
      <c r="G495" s="1526"/>
      <c r="H495" s="1526"/>
      <c r="I495" s="1893"/>
      <c r="J495" s="1526">
        <v>200000</v>
      </c>
      <c r="K495" s="1526"/>
      <c r="L495" s="1526"/>
      <c r="M495" s="1583"/>
      <c r="N495" s="1583"/>
      <c r="O495" s="1584"/>
    </row>
    <row r="496" spans="1:15" s="146" customFormat="1" ht="25.2" x14ac:dyDescent="0.15">
      <c r="A496" s="1612" t="s">
        <v>844</v>
      </c>
      <c r="B496" s="1535" t="s">
        <v>1503</v>
      </c>
      <c r="C496" s="1526"/>
      <c r="D496" s="1526"/>
      <c r="E496" s="1526"/>
      <c r="F496" s="1526"/>
      <c r="G496" s="1893"/>
      <c r="H496" s="1893"/>
      <c r="I496" s="1526"/>
      <c r="J496" s="1526">
        <v>1000000</v>
      </c>
      <c r="K496" s="1526"/>
      <c r="L496" s="1526"/>
      <c r="M496" s="1583"/>
      <c r="N496" s="1583"/>
      <c r="O496" s="1584" t="s">
        <v>1504</v>
      </c>
    </row>
    <row r="497" spans="1:16" s="146" customFormat="1" ht="25.2" x14ac:dyDescent="0.15">
      <c r="A497" s="1612" t="s">
        <v>844</v>
      </c>
      <c r="B497" s="1535" t="s">
        <v>1505</v>
      </c>
      <c r="C497" s="1526"/>
      <c r="D497" s="1526"/>
      <c r="E497" s="1526"/>
      <c r="F497" s="1526"/>
      <c r="G497" s="1893"/>
      <c r="H497" s="1893"/>
      <c r="I497" s="1526"/>
      <c r="J497" s="1526">
        <v>1500000</v>
      </c>
      <c r="K497" s="1526"/>
      <c r="L497" s="1526"/>
      <c r="M497" s="1583"/>
      <c r="N497" s="1583"/>
      <c r="O497" s="1584" t="s">
        <v>1509</v>
      </c>
    </row>
    <row r="498" spans="1:16" s="146" customFormat="1" ht="25.2" x14ac:dyDescent="0.15">
      <c r="A498" s="1612" t="s">
        <v>844</v>
      </c>
      <c r="B498" s="1535" t="s">
        <v>1506</v>
      </c>
      <c r="C498" s="1526"/>
      <c r="D498" s="1526"/>
      <c r="E498" s="1526"/>
      <c r="F498" s="1526"/>
      <c r="G498" s="1526"/>
      <c r="H498" s="1526"/>
      <c r="I498" s="1893"/>
      <c r="J498" s="1526">
        <v>740000</v>
      </c>
      <c r="K498" s="1526"/>
      <c r="L498" s="1526"/>
      <c r="M498" s="1583"/>
      <c r="N498" s="1583"/>
      <c r="O498" s="1584"/>
    </row>
    <row r="499" spans="1:16" s="146" customFormat="1" ht="25.2" x14ac:dyDescent="0.15">
      <c r="A499" s="1612" t="s">
        <v>844</v>
      </c>
      <c r="B499" s="1535" t="s">
        <v>1507</v>
      </c>
      <c r="C499" s="1526"/>
      <c r="D499" s="1526"/>
      <c r="E499" s="1526"/>
      <c r="F499" s="1526"/>
      <c r="G499" s="1526"/>
      <c r="H499" s="1526"/>
      <c r="I499" s="1893"/>
      <c r="J499" s="1526">
        <v>350000</v>
      </c>
      <c r="K499" s="1526"/>
      <c r="L499" s="1526"/>
      <c r="M499" s="1583"/>
      <c r="N499" s="1583"/>
      <c r="O499" s="1584"/>
    </row>
    <row r="500" spans="1:16" s="146" customFormat="1" ht="33.6" x14ac:dyDescent="0.15">
      <c r="A500" s="1612" t="s">
        <v>844</v>
      </c>
      <c r="B500" s="1535" t="s">
        <v>1500</v>
      </c>
      <c r="C500" s="1526"/>
      <c r="D500" s="1526"/>
      <c r="E500" s="1526"/>
      <c r="F500" s="1526"/>
      <c r="G500" s="1526"/>
      <c r="H500" s="1526"/>
      <c r="I500" s="1526"/>
      <c r="J500" s="1526"/>
      <c r="K500" s="1526">
        <v>1000000</v>
      </c>
      <c r="L500" s="1526"/>
      <c r="M500" s="1583"/>
      <c r="N500" s="1583"/>
      <c r="O500" s="1584"/>
    </row>
    <row r="501" spans="1:16" s="146" customFormat="1" ht="25.2" x14ac:dyDescent="0.15">
      <c r="A501" s="1612" t="s">
        <v>844</v>
      </c>
      <c r="B501" s="1535" t="s">
        <v>1508</v>
      </c>
      <c r="C501" s="1526"/>
      <c r="D501" s="1526"/>
      <c r="E501" s="1526"/>
      <c r="F501" s="1526"/>
      <c r="G501" s="1526"/>
      <c r="H501" s="1526"/>
      <c r="I501" s="1526"/>
      <c r="J501" s="1526">
        <v>500000</v>
      </c>
      <c r="K501" s="1526"/>
      <c r="L501" s="1526"/>
      <c r="M501" s="1583"/>
      <c r="N501" s="1583"/>
      <c r="O501" s="1584"/>
    </row>
    <row r="502" spans="1:16" s="146" customFormat="1" ht="25.2" x14ac:dyDescent="0.15">
      <c r="A502" s="1612" t="s">
        <v>844</v>
      </c>
      <c r="B502" s="1535" t="s">
        <v>1510</v>
      </c>
      <c r="C502" s="1526"/>
      <c r="D502" s="1526"/>
      <c r="E502" s="1526"/>
      <c r="F502" s="1526"/>
      <c r="G502" s="1526"/>
      <c r="H502" s="1526"/>
      <c r="I502" s="1526"/>
      <c r="J502" s="1526">
        <v>270000</v>
      </c>
      <c r="K502" s="1526"/>
      <c r="L502" s="1526"/>
      <c r="M502" s="1583"/>
      <c r="N502" s="1583"/>
      <c r="O502" s="1584"/>
    </row>
    <row r="503" spans="1:16" s="146" customFormat="1" ht="16.8" x14ac:dyDescent="0.15">
      <c r="A503" s="1612" t="s">
        <v>844</v>
      </c>
      <c r="B503" s="1535" t="s">
        <v>863</v>
      </c>
      <c r="C503" s="1526"/>
      <c r="D503" s="1526"/>
      <c r="E503" s="1526"/>
      <c r="F503" s="1526"/>
      <c r="G503" s="1526"/>
      <c r="H503" s="1526"/>
      <c r="I503" s="1526"/>
      <c r="J503" s="1526">
        <v>17500000</v>
      </c>
      <c r="K503" s="1526"/>
      <c r="L503" s="1526"/>
      <c r="M503" s="1583"/>
      <c r="N503" s="1583"/>
      <c r="O503" s="1584"/>
    </row>
    <row r="504" spans="1:16" s="146" customFormat="1" ht="33.6" x14ac:dyDescent="0.15">
      <c r="A504" s="1612" t="s">
        <v>864</v>
      </c>
      <c r="B504" s="1535" t="s">
        <v>889</v>
      </c>
      <c r="C504" s="1526"/>
      <c r="D504" s="1526"/>
      <c r="E504" s="1526"/>
      <c r="F504" s="1526"/>
      <c r="G504" s="1526"/>
      <c r="H504" s="1526"/>
      <c r="I504" s="1526"/>
      <c r="J504" s="1526">
        <v>500000</v>
      </c>
      <c r="K504" s="1526"/>
      <c r="L504" s="1526"/>
      <c r="M504" s="1583"/>
      <c r="N504" s="1583"/>
      <c r="O504" s="1584"/>
    </row>
    <row r="505" spans="1:16" s="146" customFormat="1" ht="33.6" x14ac:dyDescent="0.15">
      <c r="A505" s="1612" t="s">
        <v>864</v>
      </c>
      <c r="B505" s="1535" t="s">
        <v>868</v>
      </c>
      <c r="C505" s="1526"/>
      <c r="D505" s="1526"/>
      <c r="E505" s="1526"/>
      <c r="F505" s="1526"/>
      <c r="G505" s="1526"/>
      <c r="H505" s="1526"/>
      <c r="I505" s="1526"/>
      <c r="J505" s="1526">
        <v>120000</v>
      </c>
      <c r="K505" s="1526"/>
      <c r="L505" s="1526"/>
      <c r="M505" s="1583"/>
      <c r="N505" s="1583"/>
      <c r="O505" s="1584"/>
    </row>
    <row r="506" spans="1:16" s="146" customFormat="1" ht="25.2" x14ac:dyDescent="0.15">
      <c r="A506" s="1612" t="s">
        <v>864</v>
      </c>
      <c r="B506" s="1535" t="s">
        <v>865</v>
      </c>
      <c r="C506" s="1526"/>
      <c r="D506" s="1526"/>
      <c r="E506" s="1526"/>
      <c r="F506" s="1526"/>
      <c r="G506" s="1526"/>
      <c r="H506" s="1526"/>
      <c r="I506" s="1526"/>
      <c r="J506" s="1526">
        <v>200000</v>
      </c>
      <c r="K506" s="1526"/>
      <c r="L506" s="1526"/>
      <c r="M506" s="1583"/>
      <c r="N506" s="1583"/>
      <c r="O506" s="1584"/>
    </row>
    <row r="507" spans="1:16" s="146" customFormat="1" ht="33.6" x14ac:dyDescent="0.15">
      <c r="A507" s="1612" t="s">
        <v>864</v>
      </c>
      <c r="B507" s="1535" t="s">
        <v>866</v>
      </c>
      <c r="C507" s="1526"/>
      <c r="D507" s="1526"/>
      <c r="E507" s="1526"/>
      <c r="F507" s="1526"/>
      <c r="G507" s="1526"/>
      <c r="H507" s="1526"/>
      <c r="I507" s="1526"/>
      <c r="J507" s="1526">
        <v>1200000</v>
      </c>
      <c r="K507" s="1526"/>
      <c r="L507" s="1526"/>
      <c r="M507" s="1583"/>
      <c r="N507" s="1583"/>
      <c r="O507" s="1584"/>
    </row>
    <row r="508" spans="1:16" s="146" customFormat="1" ht="25.2" x14ac:dyDescent="0.15">
      <c r="A508" s="1612" t="s">
        <v>864</v>
      </c>
      <c r="B508" s="1535" t="s">
        <v>867</v>
      </c>
      <c r="C508" s="1526"/>
      <c r="D508" s="1526"/>
      <c r="E508" s="1526"/>
      <c r="F508" s="1526"/>
      <c r="G508" s="1526"/>
      <c r="H508" s="1526"/>
      <c r="I508" s="1526"/>
      <c r="J508" s="1526">
        <v>150000</v>
      </c>
      <c r="K508" s="1526"/>
      <c r="L508" s="1526"/>
      <c r="M508" s="1583"/>
      <c r="N508" s="1583"/>
      <c r="O508" s="1584"/>
    </row>
    <row r="509" spans="1:16" s="146" customFormat="1" ht="25.2" x14ac:dyDescent="0.15">
      <c r="A509" s="1612" t="s">
        <v>864</v>
      </c>
      <c r="B509" s="1535" t="s">
        <v>869</v>
      </c>
      <c r="C509" s="1526"/>
      <c r="D509" s="1526"/>
      <c r="E509" s="1526"/>
      <c r="F509" s="1526"/>
      <c r="G509" s="1526"/>
      <c r="H509" s="1526"/>
      <c r="I509" s="1526"/>
      <c r="J509" s="1526">
        <v>135000</v>
      </c>
      <c r="K509" s="1526"/>
      <c r="L509" s="1526"/>
      <c r="M509" s="1583"/>
      <c r="N509" s="1583"/>
      <c r="O509" s="1584"/>
    </row>
    <row r="510" spans="1:16" s="146" customFormat="1" ht="25.2" x14ac:dyDescent="0.15">
      <c r="A510" s="1612" t="s">
        <v>864</v>
      </c>
      <c r="B510" s="1535" t="s">
        <v>870</v>
      </c>
      <c r="C510" s="1526"/>
      <c r="D510" s="1526"/>
      <c r="E510" s="1526"/>
      <c r="F510" s="1526"/>
      <c r="G510" s="1526"/>
      <c r="H510" s="1526"/>
      <c r="I510" s="1526"/>
      <c r="J510" s="1526">
        <v>500000</v>
      </c>
      <c r="K510" s="1526"/>
      <c r="L510" s="1526"/>
      <c r="M510" s="1583"/>
      <c r="N510" s="1583"/>
      <c r="O510" s="1584"/>
      <c r="P510" s="1630"/>
    </row>
    <row r="511" spans="1:16" s="146" customFormat="1" ht="33.6" x14ac:dyDescent="0.15">
      <c r="A511" s="1612" t="s">
        <v>864</v>
      </c>
      <c r="B511" s="1535" t="s">
        <v>871</v>
      </c>
      <c r="C511" s="1526"/>
      <c r="D511" s="1526"/>
      <c r="E511" s="1526"/>
      <c r="F511" s="1526"/>
      <c r="G511" s="1526"/>
      <c r="H511" s="1526"/>
      <c r="I511" s="1526"/>
      <c r="J511" s="1526">
        <v>1650000</v>
      </c>
      <c r="K511" s="1526"/>
      <c r="L511" s="1526"/>
      <c r="M511" s="1583"/>
      <c r="N511" s="1583"/>
      <c r="O511" s="1584"/>
    </row>
    <row r="512" spans="1:16" s="146" customFormat="1" ht="33.6" x14ac:dyDescent="0.15">
      <c r="A512" s="1612" t="s">
        <v>864</v>
      </c>
      <c r="B512" s="1535" t="s">
        <v>888</v>
      </c>
      <c r="C512" s="1526"/>
      <c r="D512" s="1526"/>
      <c r="E512" s="1526"/>
      <c r="F512" s="1526"/>
      <c r="G512" s="1526"/>
      <c r="H512" s="1526"/>
      <c r="I512" s="1526"/>
      <c r="J512" s="1526">
        <v>1000000</v>
      </c>
      <c r="K512" s="1526"/>
      <c r="L512" s="1526"/>
      <c r="M512" s="1583"/>
      <c r="N512" s="1583"/>
      <c r="O512" s="1584" t="s">
        <v>1512</v>
      </c>
    </row>
    <row r="513" spans="1:15" s="146" customFormat="1" ht="33.6" x14ac:dyDescent="0.15">
      <c r="A513" s="1612" t="s">
        <v>864</v>
      </c>
      <c r="B513" s="1535" t="s">
        <v>1511</v>
      </c>
      <c r="C513" s="1526"/>
      <c r="D513" s="1526"/>
      <c r="E513" s="1526"/>
      <c r="F513" s="1526"/>
      <c r="G513" s="1526"/>
      <c r="H513" s="1526"/>
      <c r="I513" s="1526"/>
      <c r="J513" s="1526">
        <v>60000</v>
      </c>
      <c r="K513" s="1526"/>
      <c r="L513" s="1526"/>
      <c r="M513" s="1583"/>
      <c r="N513" s="1583"/>
      <c r="O513" s="1584"/>
    </row>
    <row r="514" spans="1:15" s="146" customFormat="1" ht="33.6" x14ac:dyDescent="0.15">
      <c r="A514" s="1612" t="s">
        <v>864</v>
      </c>
      <c r="B514" s="1535" t="s">
        <v>872</v>
      </c>
      <c r="C514" s="1526"/>
      <c r="D514" s="1526"/>
      <c r="E514" s="1526"/>
      <c r="F514" s="1526"/>
      <c r="G514" s="1526"/>
      <c r="H514" s="1526"/>
      <c r="I514" s="1526"/>
      <c r="J514" s="1526">
        <v>530000</v>
      </c>
      <c r="K514" s="1526"/>
      <c r="L514" s="1526"/>
      <c r="M514" s="1583"/>
      <c r="N514" s="1583"/>
      <c r="O514" s="1584"/>
    </row>
    <row r="515" spans="1:15" s="146" customFormat="1" ht="33.6" x14ac:dyDescent="0.15">
      <c r="A515" s="1612" t="s">
        <v>864</v>
      </c>
      <c r="B515" s="1535" t="s">
        <v>873</v>
      </c>
      <c r="C515" s="1526"/>
      <c r="D515" s="1526"/>
      <c r="E515" s="1526"/>
      <c r="F515" s="1526"/>
      <c r="G515" s="1526"/>
      <c r="H515" s="1526"/>
      <c r="I515" s="1526"/>
      <c r="J515" s="1526">
        <v>100000</v>
      </c>
      <c r="K515" s="1526"/>
      <c r="L515" s="1526"/>
      <c r="M515" s="1583"/>
      <c r="N515" s="1583"/>
      <c r="O515" s="1584"/>
    </row>
    <row r="516" spans="1:15" s="146" customFormat="1" ht="25.2" x14ac:dyDescent="0.15">
      <c r="A516" s="1612" t="s">
        <v>864</v>
      </c>
      <c r="B516" s="1535" t="s">
        <v>874</v>
      </c>
      <c r="C516" s="1526"/>
      <c r="D516" s="1526"/>
      <c r="E516" s="1526"/>
      <c r="F516" s="1526"/>
      <c r="G516" s="1526"/>
      <c r="H516" s="1526"/>
      <c r="I516" s="1526"/>
      <c r="J516" s="1526">
        <v>200000</v>
      </c>
      <c r="K516" s="1526"/>
      <c r="L516" s="1526"/>
      <c r="M516" s="1583"/>
      <c r="N516" s="1583"/>
      <c r="O516" s="1584"/>
    </row>
    <row r="517" spans="1:15" s="146" customFormat="1" ht="25.2" x14ac:dyDescent="0.15">
      <c r="A517" s="1612" t="s">
        <v>839</v>
      </c>
      <c r="B517" s="1535" t="s">
        <v>1209</v>
      </c>
      <c r="C517" s="1526"/>
      <c r="D517" s="1526"/>
      <c r="E517" s="1526"/>
      <c r="F517" s="1526"/>
      <c r="G517" s="1526"/>
      <c r="H517" s="1526"/>
      <c r="I517" s="1526"/>
      <c r="J517" s="1526">
        <v>4555000</v>
      </c>
      <c r="K517" s="1526"/>
      <c r="L517" s="1526"/>
      <c r="M517" s="1583"/>
      <c r="N517" s="1583"/>
      <c r="O517" s="1584"/>
    </row>
    <row r="518" spans="1:15" s="146" customFormat="1" ht="25.2" x14ac:dyDescent="0.15">
      <c r="A518" s="1612" t="s">
        <v>875</v>
      </c>
      <c r="B518" s="1535" t="s">
        <v>876</v>
      </c>
      <c r="C518" s="1526"/>
      <c r="D518" s="1526"/>
      <c r="E518" s="1526"/>
      <c r="F518" s="1526"/>
      <c r="G518" s="1526"/>
      <c r="H518" s="1526"/>
      <c r="I518" s="1526"/>
      <c r="J518" s="1526">
        <v>120000</v>
      </c>
      <c r="K518" s="1526"/>
      <c r="L518" s="1526"/>
      <c r="M518" s="1583"/>
      <c r="N518" s="1583"/>
      <c r="O518" s="1584"/>
    </row>
    <row r="519" spans="1:15" s="146" customFormat="1" ht="25.2" x14ac:dyDescent="0.15">
      <c r="A519" s="1612" t="s">
        <v>875</v>
      </c>
      <c r="B519" s="1535" t="s">
        <v>877</v>
      </c>
      <c r="C519" s="1526"/>
      <c r="D519" s="1526"/>
      <c r="E519" s="1526"/>
      <c r="F519" s="1526"/>
      <c r="G519" s="1526"/>
      <c r="H519" s="1526"/>
      <c r="I519" s="1526"/>
      <c r="J519" s="1526">
        <v>1000000</v>
      </c>
      <c r="K519" s="1526"/>
      <c r="L519" s="1526"/>
      <c r="M519" s="1583"/>
      <c r="N519" s="1583"/>
      <c r="O519" s="1584"/>
    </row>
    <row r="520" spans="1:15" s="146" customFormat="1" ht="16.8" x14ac:dyDescent="0.15">
      <c r="A520" s="1612" t="s">
        <v>875</v>
      </c>
      <c r="B520" s="1535" t="s">
        <v>878</v>
      </c>
      <c r="C520" s="1526"/>
      <c r="D520" s="1526"/>
      <c r="E520" s="1526"/>
      <c r="F520" s="1526"/>
      <c r="G520" s="1526"/>
      <c r="H520" s="1526"/>
      <c r="I520" s="1526"/>
      <c r="J520" s="1526">
        <v>1000000</v>
      </c>
      <c r="K520" s="1526"/>
      <c r="L520" s="1526"/>
      <c r="M520" s="1583"/>
      <c r="N520" s="1583"/>
      <c r="O520" s="1584" t="s">
        <v>1513</v>
      </c>
    </row>
    <row r="521" spans="1:15" s="146" customFormat="1" ht="16.8" x14ac:dyDescent="0.15">
      <c r="A521" s="1612" t="s">
        <v>875</v>
      </c>
      <c r="B521" s="1535" t="s">
        <v>879</v>
      </c>
      <c r="C521" s="1526"/>
      <c r="D521" s="1526"/>
      <c r="E521" s="1526"/>
      <c r="F521" s="1526"/>
      <c r="G521" s="1526"/>
      <c r="H521" s="1526"/>
      <c r="I521" s="1526"/>
      <c r="J521" s="1526">
        <v>190000</v>
      </c>
      <c r="K521" s="1526"/>
      <c r="L521" s="1526"/>
      <c r="M521" s="1583"/>
      <c r="N521" s="1583"/>
      <c r="O521" s="1584"/>
    </row>
    <row r="522" spans="1:15" s="146" customFormat="1" ht="25.2" x14ac:dyDescent="0.15">
      <c r="A522" s="1612" t="s">
        <v>823</v>
      </c>
      <c r="B522" s="1535" t="s">
        <v>880</v>
      </c>
      <c r="C522" s="1526"/>
      <c r="D522" s="1526"/>
      <c r="E522" s="1526"/>
      <c r="F522" s="1526"/>
      <c r="G522" s="1526"/>
      <c r="H522" s="1526"/>
      <c r="I522" s="1526"/>
      <c r="J522" s="1526">
        <v>120000</v>
      </c>
      <c r="K522" s="1526"/>
      <c r="L522" s="1526"/>
      <c r="M522" s="1583"/>
      <c r="N522" s="1583"/>
      <c r="O522" s="1584"/>
    </row>
    <row r="523" spans="1:15" s="146" customFormat="1" ht="16.8" x14ac:dyDescent="0.15">
      <c r="A523" s="1612" t="s">
        <v>823</v>
      </c>
      <c r="B523" s="1535" t="s">
        <v>881</v>
      </c>
      <c r="C523" s="1526"/>
      <c r="D523" s="1526"/>
      <c r="E523" s="1526"/>
      <c r="F523" s="1526"/>
      <c r="G523" s="1526"/>
      <c r="H523" s="1526"/>
      <c r="I523" s="1526"/>
      <c r="J523" s="1526">
        <v>500000</v>
      </c>
      <c r="K523" s="1526"/>
      <c r="L523" s="1526"/>
      <c r="M523" s="1583"/>
      <c r="N523" s="1583"/>
      <c r="O523" s="1584" t="s">
        <v>1514</v>
      </c>
    </row>
    <row r="524" spans="1:15" s="146" customFormat="1" ht="25.2" x14ac:dyDescent="0.15">
      <c r="A524" s="1612" t="s">
        <v>823</v>
      </c>
      <c r="B524" s="1535" t="s">
        <v>882</v>
      </c>
      <c r="C524" s="1526"/>
      <c r="D524" s="1526"/>
      <c r="E524" s="1526"/>
      <c r="F524" s="1526"/>
      <c r="G524" s="1526"/>
      <c r="H524" s="1526"/>
      <c r="I524" s="1526"/>
      <c r="J524" s="1526">
        <v>250000</v>
      </c>
      <c r="K524" s="1526"/>
      <c r="L524" s="1526"/>
      <c r="M524" s="1583"/>
      <c r="N524" s="1583"/>
      <c r="O524" s="1584"/>
    </row>
    <row r="525" spans="1:15" s="146" customFormat="1" ht="25.2" x14ac:dyDescent="0.15">
      <c r="A525" s="1612" t="s">
        <v>823</v>
      </c>
      <c r="B525" s="1535" t="s">
        <v>1232</v>
      </c>
      <c r="C525" s="1526"/>
      <c r="D525" s="1526"/>
      <c r="E525" s="1526"/>
      <c r="F525" s="1526"/>
      <c r="G525" s="1526"/>
      <c r="H525" s="1526"/>
      <c r="I525" s="1526"/>
      <c r="J525" s="1526">
        <v>1000000</v>
      </c>
      <c r="K525" s="1526"/>
      <c r="L525" s="1526"/>
      <c r="M525" s="1583"/>
      <c r="N525" s="1583"/>
      <c r="O525" s="1584"/>
    </row>
    <row r="526" spans="1:15" s="146" customFormat="1" ht="16.8" x14ac:dyDescent="0.15">
      <c r="A526" s="1612" t="s">
        <v>823</v>
      </c>
      <c r="B526" s="1535" t="s">
        <v>1257</v>
      </c>
      <c r="C526" s="1526"/>
      <c r="D526" s="1526"/>
      <c r="E526" s="1526"/>
      <c r="F526" s="1526"/>
      <c r="G526" s="1526"/>
      <c r="H526" s="1526"/>
      <c r="I526" s="1526"/>
      <c r="J526" s="1526">
        <v>332000</v>
      </c>
      <c r="K526" s="1526"/>
      <c r="L526" s="1526"/>
      <c r="M526" s="1583"/>
      <c r="N526" s="1583"/>
      <c r="O526" s="1584"/>
    </row>
    <row r="527" spans="1:15" s="146" customFormat="1" ht="8.4" x14ac:dyDescent="0.15">
      <c r="A527" s="1612" t="s">
        <v>823</v>
      </c>
      <c r="B527" s="1535" t="s">
        <v>1258</v>
      </c>
      <c r="C527" s="1526"/>
      <c r="D527" s="1526"/>
      <c r="E527" s="1526"/>
      <c r="F527" s="1526"/>
      <c r="G527" s="1526"/>
      <c r="H527" s="1526"/>
      <c r="I527" s="1526"/>
      <c r="J527" s="1526">
        <v>636000</v>
      </c>
      <c r="K527" s="1526"/>
      <c r="L527" s="1526"/>
      <c r="M527" s="1583"/>
      <c r="N527" s="1583"/>
      <c r="O527" s="1584"/>
    </row>
    <row r="528" spans="1:15" s="146" customFormat="1" ht="8.4" x14ac:dyDescent="0.15">
      <c r="A528" s="1612" t="s">
        <v>823</v>
      </c>
      <c r="B528" s="1535" t="s">
        <v>129</v>
      </c>
      <c r="C528" s="1526"/>
      <c r="D528" s="1526"/>
      <c r="E528" s="1526"/>
      <c r="F528" s="1526"/>
      <c r="G528" s="1526"/>
      <c r="H528" s="1526"/>
      <c r="I528" s="1526"/>
      <c r="J528" s="1526">
        <v>10000</v>
      </c>
      <c r="K528" s="1526"/>
      <c r="L528" s="1526"/>
      <c r="M528" s="1583"/>
      <c r="N528" s="1583"/>
      <c r="O528" s="1584"/>
    </row>
    <row r="529" spans="1:15" s="146" customFormat="1" ht="8.4" x14ac:dyDescent="0.15">
      <c r="A529" s="1612" t="s">
        <v>902</v>
      </c>
      <c r="B529" s="1535" t="s">
        <v>903</v>
      </c>
      <c r="C529" s="1526"/>
      <c r="D529" s="1526"/>
      <c r="E529" s="1526"/>
      <c r="F529" s="1526"/>
      <c r="G529" s="1526"/>
      <c r="H529" s="1526"/>
      <c r="I529" s="1526"/>
      <c r="J529" s="1526">
        <v>500000</v>
      </c>
      <c r="K529" s="1526"/>
      <c r="L529" s="1526"/>
      <c r="M529" s="1583"/>
      <c r="N529" s="1583"/>
      <c r="O529" s="1584"/>
    </row>
    <row r="530" spans="1:15" s="146" customFormat="1" ht="16.8" x14ac:dyDescent="0.15">
      <c r="A530" s="1612" t="s">
        <v>981</v>
      </c>
      <c r="B530" s="1535" t="s">
        <v>1527</v>
      </c>
      <c r="C530" s="1569"/>
      <c r="D530" s="1569"/>
      <c r="E530" s="1569"/>
      <c r="F530" s="1569"/>
      <c r="G530" s="1569"/>
      <c r="H530" s="1569"/>
      <c r="I530" s="1569"/>
      <c r="J530" s="1569">
        <v>500000</v>
      </c>
      <c r="K530" s="1526"/>
      <c r="L530" s="1526"/>
      <c r="M530" s="1583"/>
      <c r="N530" s="1583"/>
      <c r="O530" s="1584"/>
    </row>
    <row r="531" spans="1:15" s="1636" customFormat="1" ht="16.8" x14ac:dyDescent="0.15">
      <c r="A531" s="1612" t="s">
        <v>1006</v>
      </c>
      <c r="B531" s="1634" t="s">
        <v>1007</v>
      </c>
      <c r="C531" s="1555"/>
      <c r="D531" s="1555"/>
      <c r="E531" s="1555"/>
      <c r="F531" s="1555"/>
      <c r="G531" s="1555"/>
      <c r="H531" s="1555"/>
      <c r="I531" s="1555"/>
      <c r="J531" s="1526"/>
      <c r="K531" s="1526">
        <v>120000</v>
      </c>
      <c r="L531" s="1526"/>
      <c r="M531" s="1583"/>
      <c r="N531" s="1583"/>
      <c r="O531" s="1584"/>
    </row>
    <row r="532" spans="1:15" s="146" customFormat="1" ht="16.8" x14ac:dyDescent="0.15">
      <c r="A532" s="1612" t="s">
        <v>1006</v>
      </c>
      <c r="B532" s="1634" t="s">
        <v>1008</v>
      </c>
      <c r="C532" s="1637"/>
      <c r="D532" s="1637"/>
      <c r="E532" s="1637"/>
      <c r="F532" s="1637"/>
      <c r="G532" s="1638"/>
      <c r="H532" s="1638"/>
      <c r="I532" s="1637"/>
      <c r="J532" s="1526"/>
      <c r="K532" s="1526">
        <v>500000</v>
      </c>
      <c r="L532" s="1526"/>
      <c r="M532" s="1583"/>
      <c r="N532" s="1583"/>
      <c r="O532" s="1584" t="s">
        <v>1515</v>
      </c>
    </row>
    <row r="533" spans="1:15" s="146" customFormat="1" ht="16.8" x14ac:dyDescent="0.15">
      <c r="A533" s="1612" t="s">
        <v>983</v>
      </c>
      <c r="B533" s="1634" t="s">
        <v>1075</v>
      </c>
      <c r="C533" s="1136"/>
      <c r="D533" s="1136"/>
      <c r="E533" s="1136"/>
      <c r="F533" s="1136"/>
      <c r="G533" s="1136"/>
      <c r="H533" s="1136"/>
      <c r="I533" s="1136"/>
      <c r="J533" s="1526">
        <v>150000</v>
      </c>
      <c r="K533" s="1526"/>
      <c r="L533" s="1526"/>
      <c r="M533" s="1583"/>
      <c r="N533" s="1583"/>
      <c r="O533" s="1584"/>
    </row>
    <row r="534" spans="1:15" s="146" customFormat="1" ht="16.8" x14ac:dyDescent="0.15">
      <c r="A534" s="1612" t="s">
        <v>983</v>
      </c>
      <c r="B534" s="1634" t="s">
        <v>1076</v>
      </c>
      <c r="C534" s="1639"/>
      <c r="D534" s="1639"/>
      <c r="E534" s="1639"/>
      <c r="F534" s="1639"/>
      <c r="G534" s="1639"/>
      <c r="H534" s="1639"/>
      <c r="I534" s="1640"/>
      <c r="J534" s="1526">
        <v>560000</v>
      </c>
      <c r="K534" s="1526"/>
      <c r="L534" s="1526"/>
      <c r="M534" s="1583"/>
      <c r="N534" s="1583"/>
      <c r="O534" s="1584"/>
    </row>
    <row r="535" spans="1:15" s="146" customFormat="1" ht="16.8" x14ac:dyDescent="0.15">
      <c r="A535" s="1612" t="s">
        <v>983</v>
      </c>
      <c r="B535" s="1634" t="s">
        <v>1077</v>
      </c>
      <c r="C535" s="1641"/>
      <c r="D535" s="1641"/>
      <c r="E535" s="1641"/>
      <c r="F535" s="1641"/>
      <c r="G535" s="1641"/>
      <c r="H535" s="1641"/>
      <c r="I535" s="1641"/>
      <c r="J535" s="1526">
        <v>800000</v>
      </c>
      <c r="K535" s="1526"/>
      <c r="L535" s="1526"/>
      <c r="M535" s="1583"/>
      <c r="N535" s="1583"/>
      <c r="O535" s="1584"/>
    </row>
    <row r="536" spans="1:15" s="146" customFormat="1" ht="16.8" x14ac:dyDescent="0.15">
      <c r="A536" s="1612" t="s">
        <v>984</v>
      </c>
      <c r="B536" s="1634" t="s">
        <v>1207</v>
      </c>
      <c r="C536" s="1136"/>
      <c r="D536" s="1136"/>
      <c r="E536" s="1136"/>
      <c r="F536" s="1136"/>
      <c r="G536" s="1136"/>
      <c r="H536" s="1136"/>
      <c r="I536" s="1136"/>
      <c r="J536" s="1526">
        <v>9240000</v>
      </c>
      <c r="K536" s="1526"/>
      <c r="L536" s="1526"/>
      <c r="M536" s="1583"/>
      <c r="N536" s="1583"/>
      <c r="O536" s="1584"/>
    </row>
    <row r="537" spans="1:15" s="146" customFormat="1" ht="16.8" x14ac:dyDescent="0.15">
      <c r="A537" s="1612" t="s">
        <v>1105</v>
      </c>
      <c r="B537" s="1634" t="s">
        <v>1186</v>
      </c>
      <c r="C537" s="1136"/>
      <c r="D537" s="1136"/>
      <c r="E537" s="1136"/>
      <c r="F537" s="1136"/>
      <c r="G537" s="1136"/>
      <c r="H537" s="1136"/>
      <c r="I537" s="1136"/>
      <c r="J537" s="1526">
        <v>250000</v>
      </c>
      <c r="K537" s="1526"/>
      <c r="L537" s="1526"/>
      <c r="M537" s="1583"/>
      <c r="N537" s="1583"/>
      <c r="O537" s="1584"/>
    </row>
    <row r="538" spans="1:15" s="146" customFormat="1" ht="33.6" x14ac:dyDescent="0.15">
      <c r="A538" s="1612" t="s">
        <v>1105</v>
      </c>
      <c r="B538" s="1634" t="s">
        <v>1187</v>
      </c>
      <c r="C538" s="1136"/>
      <c r="D538" s="1136"/>
      <c r="E538" s="1136"/>
      <c r="F538" s="1136"/>
      <c r="G538" s="1136"/>
      <c r="H538" s="1136"/>
      <c r="I538" s="1136"/>
      <c r="J538" s="1526">
        <v>3500000</v>
      </c>
      <c r="K538" s="1526"/>
      <c r="L538" s="1526"/>
      <c r="M538" s="1583"/>
      <c r="N538" s="1583"/>
      <c r="O538" s="1584" t="s">
        <v>1494</v>
      </c>
    </row>
    <row r="539" spans="1:15" s="146" customFormat="1" ht="8.4" x14ac:dyDescent="0.15">
      <c r="A539" s="1850">
        <v>43872</v>
      </c>
      <c r="B539" s="1634" t="s">
        <v>2303</v>
      </c>
      <c r="C539" s="1136"/>
      <c r="D539" s="1136"/>
      <c r="E539" s="1136"/>
      <c r="F539" s="1136">
        <v>200000000</v>
      </c>
      <c r="G539" s="1136"/>
      <c r="H539" s="1136"/>
      <c r="I539" s="1136"/>
      <c r="J539" s="1526"/>
      <c r="K539" s="1526"/>
      <c r="L539" s="1526"/>
      <c r="M539" s="1583"/>
      <c r="N539" s="1583"/>
      <c r="O539" s="1584"/>
    </row>
    <row r="540" spans="1:15" s="146" customFormat="1" ht="8.4" x14ac:dyDescent="0.15">
      <c r="A540" s="1612" t="s">
        <v>1001</v>
      </c>
      <c r="B540" s="1634" t="s">
        <v>1002</v>
      </c>
      <c r="C540" s="1136"/>
      <c r="D540" s="1136"/>
      <c r="E540" s="1136"/>
      <c r="F540" s="1136"/>
      <c r="G540" s="1526"/>
      <c r="H540" s="1526">
        <v>110000000</v>
      </c>
      <c r="I540" s="1136"/>
      <c r="J540" s="1526"/>
      <c r="K540" s="1526"/>
      <c r="L540" s="1526"/>
      <c r="M540" s="1583"/>
      <c r="N540" s="1583"/>
      <c r="O540" s="1584"/>
    </row>
    <row r="541" spans="1:15" s="146" customFormat="1" ht="8.4" x14ac:dyDescent="0.15">
      <c r="A541" s="1612" t="s">
        <v>1001</v>
      </c>
      <c r="B541" s="1634" t="s">
        <v>1003</v>
      </c>
      <c r="C541" s="1136"/>
      <c r="D541" s="1136"/>
      <c r="E541" s="1136"/>
      <c r="F541" s="1136"/>
      <c r="G541" s="1136"/>
      <c r="H541" s="1136"/>
      <c r="I541" s="1136"/>
      <c r="J541" s="1526">
        <v>800000</v>
      </c>
      <c r="K541" s="1526"/>
      <c r="L541" s="1526"/>
      <c r="M541" s="1583"/>
      <c r="N541" s="1583"/>
      <c r="O541" s="1584"/>
    </row>
    <row r="542" spans="1:15" s="146" customFormat="1" ht="16.8" x14ac:dyDescent="0.15">
      <c r="A542" s="1612" t="s">
        <v>1018</v>
      </c>
      <c r="B542" s="1634" t="s">
        <v>1019</v>
      </c>
      <c r="C542" s="1136"/>
      <c r="D542" s="1136"/>
      <c r="E542" s="1136"/>
      <c r="F542" s="1136"/>
      <c r="G542" s="1136"/>
      <c r="H542" s="1136"/>
      <c r="I542" s="1136"/>
      <c r="J542" s="1526">
        <v>10000000</v>
      </c>
      <c r="K542" s="1526"/>
      <c r="L542" s="1526"/>
      <c r="M542" s="1583"/>
      <c r="N542" s="1583"/>
      <c r="O542" s="1584"/>
    </row>
    <row r="543" spans="1:15" s="146" customFormat="1" ht="8.4" x14ac:dyDescent="0.15">
      <c r="A543" s="1612" t="s">
        <v>1018</v>
      </c>
      <c r="B543" s="1634" t="s">
        <v>129</v>
      </c>
      <c r="C543" s="1136"/>
      <c r="D543" s="1136"/>
      <c r="E543" s="1136"/>
      <c r="F543" s="1136"/>
      <c r="G543" s="1136"/>
      <c r="H543" s="1136"/>
      <c r="I543" s="1136"/>
      <c r="J543" s="1526">
        <v>11000</v>
      </c>
      <c r="K543" s="1526"/>
      <c r="L543" s="1526"/>
      <c r="M543" s="1583"/>
      <c r="N543" s="1583"/>
      <c r="O543" s="1584"/>
    </row>
    <row r="544" spans="1:15" s="146" customFormat="1" ht="16.8" x14ac:dyDescent="0.15">
      <c r="A544" s="1612" t="s">
        <v>1018</v>
      </c>
      <c r="B544" s="1634" t="s">
        <v>1183</v>
      </c>
      <c r="C544" s="1136"/>
      <c r="D544" s="1136"/>
      <c r="E544" s="1136"/>
      <c r="F544" s="1136"/>
      <c r="G544" s="1418"/>
      <c r="H544" s="1418"/>
      <c r="I544" s="1418"/>
      <c r="J544" s="1526">
        <v>60000</v>
      </c>
      <c r="K544" s="1526"/>
      <c r="L544" s="1526"/>
      <c r="M544" s="1583"/>
      <c r="N544" s="1583"/>
      <c r="O544" s="1584"/>
    </row>
    <row r="545" spans="1:15" s="146" customFormat="1" ht="16.8" x14ac:dyDescent="0.15">
      <c r="A545" s="1612" t="s">
        <v>1018</v>
      </c>
      <c r="B545" s="1634" t="s">
        <v>1184</v>
      </c>
      <c r="C545" s="1136"/>
      <c r="D545" s="1136"/>
      <c r="E545" s="1136"/>
      <c r="F545" s="1136"/>
      <c r="G545" s="1418"/>
      <c r="H545" s="1418"/>
      <c r="I545" s="1418"/>
      <c r="J545" s="1526">
        <v>230000</v>
      </c>
      <c r="K545" s="1526"/>
      <c r="L545" s="1526"/>
      <c r="M545" s="1583"/>
      <c r="N545" s="1583"/>
      <c r="O545" s="1584"/>
    </row>
    <row r="546" spans="1:15" s="146" customFormat="1" ht="16.8" x14ac:dyDescent="0.15">
      <c r="A546" s="1612" t="s">
        <v>1018</v>
      </c>
      <c r="B546" s="1634" t="s">
        <v>1185</v>
      </c>
      <c r="C546" s="1136"/>
      <c r="D546" s="1136"/>
      <c r="E546" s="1136"/>
      <c r="F546" s="1136"/>
      <c r="G546" s="1418"/>
      <c r="H546" s="1418"/>
      <c r="I546" s="1418"/>
      <c r="J546" s="1526">
        <v>1018000</v>
      </c>
      <c r="K546" s="1526"/>
      <c r="L546" s="1526"/>
      <c r="M546" s="1583"/>
      <c r="N546" s="1583"/>
      <c r="O546" s="1584" t="s">
        <v>1493</v>
      </c>
    </row>
    <row r="547" spans="1:15" s="146" customFormat="1" ht="33.6" x14ac:dyDescent="0.15">
      <c r="A547" s="1612" t="s">
        <v>1030</v>
      </c>
      <c r="B547" s="1634" t="s">
        <v>1562</v>
      </c>
      <c r="C547" s="1136"/>
      <c r="D547" s="1136"/>
      <c r="E547" s="1136"/>
      <c r="F547" s="1136"/>
      <c r="G547" s="1418"/>
      <c r="H547" s="1418"/>
      <c r="I547" s="1418"/>
      <c r="J547" s="1526">
        <v>1420000</v>
      </c>
      <c r="K547" s="1526"/>
      <c r="L547" s="1526"/>
      <c r="M547" s="1583"/>
      <c r="N547" s="1583"/>
      <c r="O547" s="1584"/>
    </row>
    <row r="548" spans="1:15" s="146" customFormat="1" ht="8.4" x14ac:dyDescent="0.15">
      <c r="A548" s="1612" t="s">
        <v>1030</v>
      </c>
      <c r="B548" s="1634" t="s">
        <v>129</v>
      </c>
      <c r="C548" s="1136"/>
      <c r="D548" s="1136"/>
      <c r="E548" s="1136"/>
      <c r="F548" s="1136"/>
      <c r="G548" s="1418"/>
      <c r="H548" s="1418"/>
      <c r="I548" s="1418"/>
      <c r="J548" s="1526">
        <v>8000</v>
      </c>
      <c r="K548" s="1526"/>
      <c r="L548" s="1526"/>
      <c r="M548" s="1583"/>
      <c r="N548" s="1583"/>
      <c r="O548" s="1584"/>
    </row>
    <row r="549" spans="1:15" s="146" customFormat="1" ht="8.4" x14ac:dyDescent="0.15">
      <c r="A549" s="1612" t="s">
        <v>1030</v>
      </c>
      <c r="B549" s="1634" t="s">
        <v>903</v>
      </c>
      <c r="C549" s="1136"/>
      <c r="D549" s="1136"/>
      <c r="E549" s="1136"/>
      <c r="F549" s="1136"/>
      <c r="G549" s="1418"/>
      <c r="H549" s="1418"/>
      <c r="I549" s="1418"/>
      <c r="J549" s="1526">
        <v>1000000</v>
      </c>
      <c r="K549" s="1526"/>
      <c r="L549" s="1526"/>
      <c r="M549" s="1583"/>
      <c r="N549" s="1583"/>
      <c r="O549" s="1584" t="s">
        <v>1492</v>
      </c>
    </row>
    <row r="550" spans="1:15" s="146" customFormat="1" ht="16.8" x14ac:dyDescent="0.15">
      <c r="A550" s="1612" t="s">
        <v>1126</v>
      </c>
      <c r="B550" s="1634" t="s">
        <v>1402</v>
      </c>
      <c r="C550" s="1136"/>
      <c r="D550" s="1136"/>
      <c r="E550" s="1136"/>
      <c r="F550" s="1136"/>
      <c r="G550" s="1418"/>
      <c r="H550" s="1418"/>
      <c r="I550" s="1418"/>
      <c r="J550" s="1526">
        <v>2160000</v>
      </c>
      <c r="K550" s="1526"/>
      <c r="L550" s="1526"/>
      <c r="M550" s="1583"/>
      <c r="N550" s="1583"/>
      <c r="O550" s="1584"/>
    </row>
    <row r="551" spans="1:15" s="146" customFormat="1" ht="8.4" x14ac:dyDescent="0.15">
      <c r="A551" s="1612" t="s">
        <v>1126</v>
      </c>
      <c r="B551" s="1634" t="s">
        <v>1401</v>
      </c>
      <c r="C551" s="1136"/>
      <c r="D551" s="1136"/>
      <c r="E551" s="1136"/>
      <c r="F551" s="1136"/>
      <c r="G551" s="1418"/>
      <c r="H551" s="1418"/>
      <c r="I551" s="1418"/>
      <c r="J551" s="1526">
        <v>794000</v>
      </c>
      <c r="K551" s="1526"/>
      <c r="L551" s="1526"/>
      <c r="M551" s="1583"/>
      <c r="N551" s="1583"/>
      <c r="O551" s="1584"/>
    </row>
    <row r="552" spans="1:15" s="146" customFormat="1" ht="16.8" x14ac:dyDescent="0.15">
      <c r="A552" s="1612" t="s">
        <v>1126</v>
      </c>
      <c r="B552" s="1634" t="s">
        <v>1527</v>
      </c>
      <c r="C552" s="1136"/>
      <c r="D552" s="1136"/>
      <c r="E552" s="1136"/>
      <c r="F552" s="1136"/>
      <c r="G552" s="1418"/>
      <c r="H552" s="1418"/>
      <c r="I552" s="1418"/>
      <c r="J552" s="1526">
        <v>500000</v>
      </c>
      <c r="K552" s="1526"/>
      <c r="L552" s="1526"/>
      <c r="M552" s="1583"/>
      <c r="N552" s="1583"/>
      <c r="O552" s="1584"/>
    </row>
    <row r="553" spans="1:15" s="146" customFormat="1" ht="25.2" x14ac:dyDescent="0.15">
      <c r="A553" s="1612" t="s">
        <v>1033</v>
      </c>
      <c r="B553" s="1634" t="s">
        <v>1167</v>
      </c>
      <c r="C553" s="1136"/>
      <c r="D553" s="1136"/>
      <c r="E553" s="1136"/>
      <c r="F553" s="1136"/>
      <c r="G553" s="1418"/>
      <c r="H553" s="1418"/>
      <c r="I553" s="1418"/>
      <c r="J553" s="1526">
        <v>1000000</v>
      </c>
      <c r="K553" s="1526"/>
      <c r="L553" s="1526"/>
      <c r="M553" s="1583"/>
      <c r="N553" s="1583"/>
      <c r="O553" s="1584" t="s">
        <v>1491</v>
      </c>
    </row>
    <row r="554" spans="1:15" s="146" customFormat="1" ht="25.2" x14ac:dyDescent="0.15">
      <c r="A554" s="1612" t="s">
        <v>1033</v>
      </c>
      <c r="B554" s="1634" t="s">
        <v>1168</v>
      </c>
      <c r="C554" s="1136"/>
      <c r="D554" s="1136"/>
      <c r="E554" s="1136"/>
      <c r="F554" s="1136"/>
      <c r="G554" s="1418"/>
      <c r="H554" s="1418"/>
      <c r="I554" s="1418"/>
      <c r="J554" s="1526">
        <v>470000</v>
      </c>
      <c r="K554" s="1526"/>
      <c r="L554" s="1526"/>
      <c r="M554" s="1583"/>
      <c r="N554" s="1583"/>
      <c r="O554" s="1584"/>
    </row>
    <row r="555" spans="1:15" s="146" customFormat="1" ht="25.2" x14ac:dyDescent="0.15">
      <c r="A555" s="1612" t="s">
        <v>1033</v>
      </c>
      <c r="B555" s="1634" t="s">
        <v>1169</v>
      </c>
      <c r="C555" s="1136"/>
      <c r="D555" s="1136"/>
      <c r="E555" s="1136"/>
      <c r="F555" s="1136"/>
      <c r="G555" s="1418"/>
      <c r="H555" s="1418"/>
      <c r="I555" s="1418"/>
      <c r="J555" s="1526">
        <v>120000</v>
      </c>
      <c r="K555" s="1526"/>
      <c r="L555" s="1526"/>
      <c r="M555" s="1583"/>
      <c r="N555" s="1583"/>
      <c r="O555" s="1584"/>
    </row>
    <row r="556" spans="1:15" s="146" customFormat="1" ht="25.2" x14ac:dyDescent="0.15">
      <c r="A556" s="1612" t="s">
        <v>1033</v>
      </c>
      <c r="B556" s="1634" t="s">
        <v>1034</v>
      </c>
      <c r="C556" s="1136"/>
      <c r="D556" s="1136"/>
      <c r="E556" s="1136"/>
      <c r="F556" s="1136"/>
      <c r="G556" s="1418"/>
      <c r="H556" s="1418"/>
      <c r="I556" s="1418"/>
      <c r="J556" s="1526">
        <v>2420000</v>
      </c>
      <c r="K556" s="1526"/>
      <c r="L556" s="1526"/>
      <c r="M556" s="1583"/>
      <c r="N556" s="1583"/>
      <c r="O556" s="1584" t="s">
        <v>1165</v>
      </c>
    </row>
    <row r="557" spans="1:15" s="146" customFormat="1" ht="8.4" x14ac:dyDescent="0.15">
      <c r="A557" s="1612" t="s">
        <v>1033</v>
      </c>
      <c r="B557" s="1634" t="s">
        <v>129</v>
      </c>
      <c r="C557" s="1146"/>
      <c r="D557" s="1146"/>
      <c r="E557" s="1146"/>
      <c r="F557" s="1146"/>
      <c r="G557" s="1136"/>
      <c r="H557" s="1136"/>
      <c r="I557" s="1136"/>
      <c r="J557" s="1526">
        <v>10000</v>
      </c>
      <c r="K557" s="1526"/>
      <c r="L557" s="1526"/>
      <c r="M557" s="1583"/>
      <c r="N557" s="1583"/>
      <c r="O557" s="1584"/>
    </row>
    <row r="558" spans="1:15" s="146" customFormat="1" ht="50.4" x14ac:dyDescent="0.15">
      <c r="A558" s="1612" t="s">
        <v>1107</v>
      </c>
      <c r="B558" s="1634" t="s">
        <v>1228</v>
      </c>
      <c r="C558" s="1146"/>
      <c r="D558" s="1146"/>
      <c r="E558" s="1146"/>
      <c r="F558" s="1146"/>
      <c r="G558" s="1136"/>
      <c r="H558" s="1136"/>
      <c r="I558" s="1136"/>
      <c r="J558" s="1526">
        <v>8800000</v>
      </c>
      <c r="K558" s="1526"/>
      <c r="L558" s="1526"/>
      <c r="M558" s="1583"/>
      <c r="N558" s="1583"/>
      <c r="O558" s="1584" t="s">
        <v>1229</v>
      </c>
    </row>
    <row r="559" spans="1:15" s="146" customFormat="1" ht="8.4" x14ac:dyDescent="0.15">
      <c r="A559" s="1612" t="s">
        <v>1162</v>
      </c>
      <c r="B559" s="1634" t="s">
        <v>410</v>
      </c>
      <c r="C559" s="1146"/>
      <c r="D559" s="1146"/>
      <c r="E559" s="1146"/>
      <c r="F559" s="1146"/>
      <c r="G559" s="1136"/>
      <c r="H559" s="1136"/>
      <c r="I559" s="1136"/>
      <c r="J559" s="1526">
        <v>430000</v>
      </c>
      <c r="K559" s="1526"/>
      <c r="L559" s="1526"/>
      <c r="M559" s="1583"/>
      <c r="N559" s="1583"/>
      <c r="O559" s="1584"/>
    </row>
    <row r="560" spans="1:15" s="146" customFormat="1" ht="16.8" x14ac:dyDescent="0.15">
      <c r="A560" s="1612" t="s">
        <v>1162</v>
      </c>
      <c r="B560" s="1634" t="s">
        <v>1163</v>
      </c>
      <c r="C560" s="1146"/>
      <c r="D560" s="1146"/>
      <c r="E560" s="1146"/>
      <c r="F560" s="1146"/>
      <c r="G560" s="1136"/>
      <c r="H560" s="1136"/>
      <c r="I560" s="1136"/>
      <c r="J560" s="1526">
        <v>2600000</v>
      </c>
      <c r="K560" s="1526"/>
      <c r="L560" s="1526"/>
      <c r="M560" s="1583"/>
      <c r="N560" s="1583"/>
      <c r="O560" s="1584"/>
    </row>
    <row r="561" spans="1:15" s="146" customFormat="1" ht="16.8" x14ac:dyDescent="0.15">
      <c r="A561" s="1612" t="s">
        <v>1032</v>
      </c>
      <c r="B561" s="1634" t="s">
        <v>1490</v>
      </c>
      <c r="C561" s="1146"/>
      <c r="D561" s="1146"/>
      <c r="E561" s="1146"/>
      <c r="F561" s="1146"/>
      <c r="G561" s="1136"/>
      <c r="H561" s="1136"/>
      <c r="I561" s="1136"/>
      <c r="J561" s="1526">
        <v>1170000</v>
      </c>
      <c r="K561" s="1526"/>
      <c r="L561" s="1526"/>
      <c r="M561" s="1583"/>
      <c r="N561" s="1583"/>
      <c r="O561" s="1584"/>
    </row>
    <row r="562" spans="1:15" s="146" customFormat="1" ht="16.8" x14ac:dyDescent="0.15">
      <c r="A562" s="1612" t="s">
        <v>1166</v>
      </c>
      <c r="B562" s="1634" t="s">
        <v>1489</v>
      </c>
      <c r="C562" s="1146"/>
      <c r="D562" s="1146"/>
      <c r="E562" s="1146"/>
      <c r="F562" s="1146"/>
      <c r="G562" s="1136"/>
      <c r="H562" s="1136"/>
      <c r="I562" s="1136"/>
      <c r="J562" s="1526">
        <v>1156000</v>
      </c>
      <c r="K562" s="1526"/>
      <c r="L562" s="1526"/>
      <c r="M562" s="1583"/>
      <c r="N562" s="1583"/>
      <c r="O562" s="1584"/>
    </row>
    <row r="563" spans="1:15" s="146" customFormat="1" ht="8.4" x14ac:dyDescent="0.15">
      <c r="A563" s="1612" t="s">
        <v>1188</v>
      </c>
      <c r="B563" s="1634" t="s">
        <v>652</v>
      </c>
      <c r="C563" s="1146"/>
      <c r="D563" s="1146"/>
      <c r="E563" s="1146"/>
      <c r="F563" s="1146"/>
      <c r="G563" s="1136"/>
      <c r="H563" s="1136"/>
      <c r="I563" s="1136"/>
      <c r="J563" s="1526">
        <v>260000</v>
      </c>
      <c r="K563" s="1526"/>
      <c r="L563" s="1526"/>
      <c r="M563" s="1583"/>
      <c r="N563" s="1583"/>
      <c r="O563" s="1584"/>
    </row>
    <row r="564" spans="1:15" s="146" customFormat="1" ht="33.6" x14ac:dyDescent="0.15">
      <c r="A564" s="1612" t="s">
        <v>1188</v>
      </c>
      <c r="B564" s="1634" t="s">
        <v>1191</v>
      </c>
      <c r="C564" s="1146"/>
      <c r="D564" s="1146"/>
      <c r="E564" s="1146"/>
      <c r="F564" s="1146"/>
      <c r="G564" s="1136"/>
      <c r="H564" s="1136"/>
      <c r="I564" s="1136"/>
      <c r="J564" s="1526">
        <v>2000000</v>
      </c>
      <c r="K564" s="1526"/>
      <c r="L564" s="1526"/>
      <c r="M564" s="1583"/>
      <c r="N564" s="1583"/>
      <c r="O564" s="1584" t="s">
        <v>1329</v>
      </c>
    </row>
    <row r="565" spans="1:15" s="146" customFormat="1" ht="8.4" x14ac:dyDescent="0.15">
      <c r="A565" s="1612" t="s">
        <v>1188</v>
      </c>
      <c r="B565" s="1634" t="s">
        <v>129</v>
      </c>
      <c r="C565" s="1146"/>
      <c r="D565" s="1146"/>
      <c r="E565" s="1146"/>
      <c r="F565" s="1146"/>
      <c r="G565" s="1136"/>
      <c r="H565" s="1136"/>
      <c r="I565" s="1136"/>
      <c r="J565" s="1526">
        <v>7700</v>
      </c>
      <c r="K565" s="1526"/>
      <c r="L565" s="1526"/>
      <c r="M565" s="1583"/>
      <c r="N565" s="1583"/>
      <c r="O565" s="1584"/>
    </row>
    <row r="566" spans="1:15" s="146" customFormat="1" ht="25.2" x14ac:dyDescent="0.15">
      <c r="A566" s="1612" t="s">
        <v>1188</v>
      </c>
      <c r="B566" s="1634" t="s">
        <v>1192</v>
      </c>
      <c r="C566" s="1146"/>
      <c r="D566" s="1146"/>
      <c r="E566" s="1146"/>
      <c r="F566" s="1146"/>
      <c r="G566" s="1136"/>
      <c r="H566" s="1136"/>
      <c r="I566" s="1136"/>
      <c r="J566" s="1526">
        <v>3600000</v>
      </c>
      <c r="K566" s="1526"/>
      <c r="L566" s="1526"/>
      <c r="M566" s="1583"/>
      <c r="N566" s="1583"/>
      <c r="O566" s="1584" t="s">
        <v>1472</v>
      </c>
    </row>
    <row r="567" spans="1:15" s="146" customFormat="1" ht="8.4" x14ac:dyDescent="0.15">
      <c r="A567" s="1612" t="s">
        <v>1164</v>
      </c>
      <c r="B567" s="1642" t="s">
        <v>1197</v>
      </c>
      <c r="C567" s="1146"/>
      <c r="D567" s="1146"/>
      <c r="E567" s="1146"/>
      <c r="F567" s="1146"/>
      <c r="G567" s="1136"/>
      <c r="H567" s="1136"/>
      <c r="I567" s="1136"/>
      <c r="J567" s="1526">
        <v>130000</v>
      </c>
      <c r="K567" s="1569"/>
      <c r="L567" s="1569"/>
      <c r="M567" s="1894"/>
      <c r="N567" s="1894"/>
      <c r="O567" s="1895"/>
    </row>
    <row r="568" spans="1:15" s="146" customFormat="1" ht="8.4" x14ac:dyDescent="0.15">
      <c r="A568" s="1612" t="s">
        <v>1164</v>
      </c>
      <c r="B568" s="1642" t="s">
        <v>1198</v>
      </c>
      <c r="C568" s="1146"/>
      <c r="D568" s="1146"/>
      <c r="E568" s="1146"/>
      <c r="F568" s="1146"/>
      <c r="G568" s="1136"/>
      <c r="H568" s="1136"/>
      <c r="I568" s="1136"/>
      <c r="J568" s="1526">
        <v>110000</v>
      </c>
      <c r="K568" s="1569"/>
      <c r="L568" s="1569"/>
      <c r="M568" s="1894"/>
      <c r="N568" s="1894"/>
      <c r="O568" s="1895"/>
    </row>
    <row r="569" spans="1:15" s="146" customFormat="1" ht="16.8" x14ac:dyDescent="0.15">
      <c r="A569" s="1612" t="s">
        <v>1202</v>
      </c>
      <c r="B569" s="1634" t="s">
        <v>1256</v>
      </c>
      <c r="C569" s="1146"/>
      <c r="D569" s="1146"/>
      <c r="E569" s="1146"/>
      <c r="F569" s="1146"/>
      <c r="G569" s="1136"/>
      <c r="H569" s="1136"/>
      <c r="I569" s="1136"/>
      <c r="J569" s="1526">
        <v>2500000</v>
      </c>
      <c r="K569" s="1526"/>
      <c r="L569" s="1526"/>
      <c r="M569" s="1583"/>
      <c r="N569" s="1583"/>
      <c r="O569" s="1584"/>
    </row>
    <row r="570" spans="1:15" s="146" customFormat="1" ht="8.4" x14ac:dyDescent="0.15">
      <c r="A570" s="1612" t="s">
        <v>1202</v>
      </c>
      <c r="B570" s="1634" t="s">
        <v>129</v>
      </c>
      <c r="C570" s="1146"/>
      <c r="D570" s="1146"/>
      <c r="E570" s="1146"/>
      <c r="F570" s="1146"/>
      <c r="G570" s="1136"/>
      <c r="H570" s="1136"/>
      <c r="I570" s="1136"/>
      <c r="J570" s="1526">
        <v>20000</v>
      </c>
      <c r="K570" s="1526"/>
      <c r="L570" s="1526"/>
      <c r="M570" s="1583"/>
      <c r="N570" s="1583"/>
      <c r="O570" s="1584"/>
    </row>
    <row r="571" spans="1:15" s="146" customFormat="1" ht="33.6" x14ac:dyDescent="0.15">
      <c r="A571" s="1612" t="s">
        <v>1205</v>
      </c>
      <c r="B571" s="1634" t="s">
        <v>1495</v>
      </c>
      <c r="C571" s="1146"/>
      <c r="D571" s="1146"/>
      <c r="E571" s="1146"/>
      <c r="F571" s="1146"/>
      <c r="G571" s="1136"/>
      <c r="H571" s="1136"/>
      <c r="I571" s="1136"/>
      <c r="J571" s="1526">
        <v>2000000</v>
      </c>
      <c r="K571" s="1526"/>
      <c r="L571" s="1526"/>
      <c r="M571" s="1583"/>
      <c r="N571" s="1583"/>
      <c r="O571" s="1584" t="s">
        <v>1342</v>
      </c>
    </row>
    <row r="572" spans="1:15" s="146" customFormat="1" ht="16.8" x14ac:dyDescent="0.15">
      <c r="A572" s="1612" t="s">
        <v>1205</v>
      </c>
      <c r="B572" s="1634" t="s">
        <v>1254</v>
      </c>
      <c r="C572" s="1146"/>
      <c r="D572" s="1146"/>
      <c r="E572" s="1146"/>
      <c r="F572" s="1146"/>
      <c r="G572" s="1136"/>
      <c r="H572" s="1136"/>
      <c r="I572" s="1136"/>
      <c r="J572" s="1526">
        <v>4000000</v>
      </c>
      <c r="K572" s="1526"/>
      <c r="L572" s="1526"/>
      <c r="M572" s="1583"/>
      <c r="N572" s="1583"/>
      <c r="O572" s="1584"/>
    </row>
    <row r="573" spans="1:15" s="146" customFormat="1" ht="8.4" x14ac:dyDescent="0.15">
      <c r="A573" s="1612" t="s">
        <v>1205</v>
      </c>
      <c r="B573" s="1642" t="s">
        <v>129</v>
      </c>
      <c r="C573" s="1146"/>
      <c r="D573" s="1146"/>
      <c r="E573" s="1146"/>
      <c r="F573" s="1146"/>
      <c r="G573" s="1136"/>
      <c r="H573" s="1136"/>
      <c r="I573" s="1136"/>
      <c r="J573" s="1526">
        <v>10000</v>
      </c>
      <c r="K573" s="1569"/>
      <c r="L573" s="1569"/>
      <c r="M573" s="1894"/>
      <c r="N573" s="1894"/>
      <c r="O573" s="1895"/>
    </row>
    <row r="574" spans="1:15" s="146" customFormat="1" ht="16.8" x14ac:dyDescent="0.15">
      <c r="A574" s="1645" t="s">
        <v>1205</v>
      </c>
      <c r="B574" s="1642" t="s">
        <v>1328</v>
      </c>
      <c r="C574" s="1146"/>
      <c r="D574" s="1146"/>
      <c r="E574" s="1146"/>
      <c r="F574" s="1146"/>
      <c r="G574" s="1136"/>
      <c r="H574" s="1136"/>
      <c r="I574" s="1136"/>
      <c r="J574" s="1526">
        <v>10000000</v>
      </c>
      <c r="K574" s="1569"/>
      <c r="L574" s="1569"/>
      <c r="M574" s="1894"/>
      <c r="N574" s="1894"/>
      <c r="O574" s="1895"/>
    </row>
    <row r="575" spans="1:15" s="146" customFormat="1" ht="25.2" x14ac:dyDescent="0.15">
      <c r="A575" s="1645" t="s">
        <v>1205</v>
      </c>
      <c r="B575" s="1634" t="s">
        <v>1327</v>
      </c>
      <c r="C575" s="1146"/>
      <c r="D575" s="1146"/>
      <c r="E575" s="1146"/>
      <c r="F575" s="1146"/>
      <c r="G575" s="1136"/>
      <c r="H575" s="1136"/>
      <c r="I575" s="1136"/>
      <c r="J575" s="1526">
        <v>2500000</v>
      </c>
      <c r="K575" s="1526"/>
      <c r="L575" s="1526"/>
      <c r="M575" s="1583"/>
      <c r="N575" s="1583"/>
      <c r="O575" s="1584"/>
    </row>
    <row r="576" spans="1:15" s="146" customFormat="1" ht="25.2" x14ac:dyDescent="0.15">
      <c r="A576" s="1612" t="s">
        <v>1226</v>
      </c>
      <c r="B576" s="1634" t="s">
        <v>1227</v>
      </c>
      <c r="C576" s="1146"/>
      <c r="D576" s="1146"/>
      <c r="E576" s="1146"/>
      <c r="F576" s="1146"/>
      <c r="G576" s="1136"/>
      <c r="H576" s="1136"/>
      <c r="I576" s="1136"/>
      <c r="J576" s="1526">
        <v>3200000</v>
      </c>
      <c r="K576" s="1526"/>
      <c r="L576" s="1526"/>
      <c r="M576" s="1583"/>
      <c r="N576" s="1583"/>
      <c r="O576" s="1584"/>
    </row>
    <row r="577" spans="1:15" s="146" customFormat="1" ht="8.4" x14ac:dyDescent="0.15">
      <c r="A577" s="1612" t="s">
        <v>1226</v>
      </c>
      <c r="B577" s="1634" t="s">
        <v>129</v>
      </c>
      <c r="C577" s="1146"/>
      <c r="D577" s="1146"/>
      <c r="E577" s="1146"/>
      <c r="F577" s="1146"/>
      <c r="G577" s="1136"/>
      <c r="H577" s="1136"/>
      <c r="I577" s="1136"/>
      <c r="J577" s="1526">
        <v>10000</v>
      </c>
      <c r="K577" s="1526"/>
      <c r="L577" s="1526"/>
      <c r="M577" s="1583"/>
      <c r="N577" s="1583"/>
      <c r="O577" s="1584"/>
    </row>
    <row r="578" spans="1:15" s="146" customFormat="1" ht="16.8" x14ac:dyDescent="0.15">
      <c r="A578" s="1612" t="s">
        <v>1226</v>
      </c>
      <c r="B578" s="1634" t="s">
        <v>1488</v>
      </c>
      <c r="C578" s="1146"/>
      <c r="D578" s="1146"/>
      <c r="E578" s="1146"/>
      <c r="F578" s="1146"/>
      <c r="G578" s="1136"/>
      <c r="H578" s="1136"/>
      <c r="I578" s="1136"/>
      <c r="J578" s="1526">
        <v>678000</v>
      </c>
      <c r="K578" s="1526"/>
      <c r="L578" s="1526"/>
      <c r="M578" s="1583"/>
      <c r="N578" s="1583"/>
      <c r="O578" s="1584"/>
    </row>
    <row r="579" spans="1:15" s="146" customFormat="1" ht="8.4" x14ac:dyDescent="0.15">
      <c r="A579" s="1612" t="s">
        <v>1252</v>
      </c>
      <c r="B579" s="1634" t="s">
        <v>1482</v>
      </c>
      <c r="C579" s="1146"/>
      <c r="D579" s="1146"/>
      <c r="E579" s="1146"/>
      <c r="F579" s="1146"/>
      <c r="G579" s="1136"/>
      <c r="H579" s="1136"/>
      <c r="I579" s="1136"/>
      <c r="J579" s="1526">
        <v>390000</v>
      </c>
      <c r="K579" s="1526"/>
      <c r="L579" s="1526"/>
      <c r="M579" s="1583"/>
      <c r="N579" s="1583"/>
      <c r="O579" s="1584"/>
    </row>
    <row r="580" spans="1:15" s="146" customFormat="1" ht="58.8" x14ac:dyDescent="0.15">
      <c r="A580" s="1612" t="s">
        <v>1252</v>
      </c>
      <c r="B580" s="1634" t="s">
        <v>1468</v>
      </c>
      <c r="C580" s="1146"/>
      <c r="D580" s="1146"/>
      <c r="E580" s="1146"/>
      <c r="F580" s="1146"/>
      <c r="G580" s="1136"/>
      <c r="H580" s="1136"/>
      <c r="I580" s="1136"/>
      <c r="J580" s="1526">
        <v>390000</v>
      </c>
      <c r="K580" s="1526"/>
      <c r="L580" s="1526"/>
      <c r="M580" s="1583"/>
      <c r="N580" s="1583"/>
      <c r="O580" s="1584" t="s">
        <v>1469</v>
      </c>
    </row>
    <row r="581" spans="1:15" s="146" customFormat="1" ht="8.4" x14ac:dyDescent="0.15">
      <c r="A581" s="1612" t="s">
        <v>1357</v>
      </c>
      <c r="B581" s="1634" t="s">
        <v>1399</v>
      </c>
      <c r="C581" s="1146"/>
      <c r="D581" s="1146"/>
      <c r="E581" s="1146"/>
      <c r="F581" s="1146"/>
      <c r="G581" s="1136"/>
      <c r="H581" s="1136"/>
      <c r="I581" s="1136"/>
      <c r="J581" s="1526">
        <v>1002720</v>
      </c>
      <c r="K581" s="1526"/>
      <c r="L581" s="1526"/>
      <c r="M581" s="1583"/>
      <c r="N581" s="1583"/>
      <c r="O581" s="1584"/>
    </row>
    <row r="582" spans="1:15" s="146" customFormat="1" ht="16.8" x14ac:dyDescent="0.15">
      <c r="A582" s="1612" t="s">
        <v>1301</v>
      </c>
      <c r="B582" s="1634" t="s">
        <v>1546</v>
      </c>
      <c r="C582" s="1146"/>
      <c r="D582" s="1146"/>
      <c r="E582" s="1146"/>
      <c r="F582" s="1146"/>
      <c r="G582" s="1136"/>
      <c r="H582" s="1136"/>
      <c r="I582" s="1136"/>
      <c r="J582" s="1526">
        <v>8800000</v>
      </c>
      <c r="K582" s="1526"/>
      <c r="L582" s="1526"/>
      <c r="M582" s="1583"/>
      <c r="N582" s="1583"/>
      <c r="O582" s="1584"/>
    </row>
    <row r="583" spans="1:15" s="146" customFormat="1" ht="16.8" x14ac:dyDescent="0.15">
      <c r="A583" s="1612" t="s">
        <v>1301</v>
      </c>
      <c r="B583" s="1634" t="s">
        <v>1393</v>
      </c>
      <c r="C583" s="1146"/>
      <c r="D583" s="1146"/>
      <c r="E583" s="1146"/>
      <c r="F583" s="1146"/>
      <c r="G583" s="1136"/>
      <c r="H583" s="1136"/>
      <c r="I583" s="1136"/>
      <c r="J583" s="1526">
        <v>250000</v>
      </c>
      <c r="K583" s="1526"/>
      <c r="L583" s="1526"/>
      <c r="M583" s="1583"/>
      <c r="N583" s="1583"/>
      <c r="O583" s="1584"/>
    </row>
    <row r="584" spans="1:15" s="146" customFormat="1" ht="8.4" x14ac:dyDescent="0.15">
      <c r="A584" s="1612" t="s">
        <v>1301</v>
      </c>
      <c r="B584" s="1634" t="s">
        <v>1400</v>
      </c>
      <c r="C584" s="1146"/>
      <c r="D584" s="1146"/>
      <c r="E584" s="1146"/>
      <c r="F584" s="1146"/>
      <c r="G584" s="1136"/>
      <c r="H584" s="1136"/>
      <c r="I584" s="1136"/>
      <c r="J584" s="1526">
        <v>1018710</v>
      </c>
      <c r="K584" s="1526"/>
      <c r="L584" s="1526"/>
      <c r="M584" s="1583"/>
      <c r="N584" s="1583"/>
      <c r="O584" s="1584"/>
    </row>
    <row r="585" spans="1:15" s="146" customFormat="1" ht="16.8" x14ac:dyDescent="0.15">
      <c r="A585" s="1612" t="s">
        <v>1301</v>
      </c>
      <c r="B585" s="1634" t="s">
        <v>1397</v>
      </c>
      <c r="C585" s="1146"/>
      <c r="D585" s="1146"/>
      <c r="E585" s="1146"/>
      <c r="F585" s="1146"/>
      <c r="G585" s="1136"/>
      <c r="H585" s="1136"/>
      <c r="I585" s="1136"/>
      <c r="J585" s="1526">
        <v>640000</v>
      </c>
      <c r="K585" s="1526"/>
      <c r="L585" s="1526"/>
      <c r="M585" s="1583"/>
      <c r="N585" s="1583"/>
      <c r="O585" s="1584"/>
    </row>
    <row r="586" spans="1:15" s="146" customFormat="1" ht="16.8" x14ac:dyDescent="0.15">
      <c r="A586" s="1612" t="s">
        <v>1372</v>
      </c>
      <c r="B586" s="1634" t="s">
        <v>1396</v>
      </c>
      <c r="C586" s="1146"/>
      <c r="D586" s="1146"/>
      <c r="E586" s="1146"/>
      <c r="F586" s="1146"/>
      <c r="G586" s="1136"/>
      <c r="H586" s="1136"/>
      <c r="I586" s="1136"/>
      <c r="J586" s="1526">
        <v>351000</v>
      </c>
      <c r="K586" s="1526"/>
      <c r="L586" s="1526"/>
      <c r="M586" s="1583"/>
      <c r="N586" s="1583"/>
      <c r="O586" s="1584"/>
    </row>
    <row r="587" spans="1:15" s="146" customFormat="1" ht="16.8" x14ac:dyDescent="0.15">
      <c r="A587" s="1612" t="s">
        <v>1372</v>
      </c>
      <c r="B587" s="1634" t="s">
        <v>1398</v>
      </c>
      <c r="C587" s="1146"/>
      <c r="D587" s="1146"/>
      <c r="E587" s="1146"/>
      <c r="F587" s="1146"/>
      <c r="G587" s="1136"/>
      <c r="H587" s="1136"/>
      <c r="I587" s="1136"/>
      <c r="J587" s="1526">
        <v>213000</v>
      </c>
      <c r="K587" s="1526"/>
      <c r="L587" s="1526"/>
      <c r="M587" s="1583"/>
      <c r="N587" s="1583"/>
      <c r="O587" s="1584"/>
    </row>
    <row r="588" spans="1:15" s="146" customFormat="1" ht="25.2" x14ac:dyDescent="0.15">
      <c r="A588" s="1612" t="s">
        <v>1368</v>
      </c>
      <c r="B588" s="1634" t="s">
        <v>1467</v>
      </c>
      <c r="C588" s="1146"/>
      <c r="D588" s="1146"/>
      <c r="E588" s="1146"/>
      <c r="F588" s="1146"/>
      <c r="G588" s="1136"/>
      <c r="H588" s="1136"/>
      <c r="I588" s="1136"/>
      <c r="J588" s="1526">
        <v>950000</v>
      </c>
      <c r="K588" s="1526"/>
      <c r="L588" s="1526"/>
      <c r="M588" s="1583"/>
      <c r="N588" s="1583"/>
      <c r="O588" s="1584"/>
    </row>
    <row r="589" spans="1:15" s="146" customFormat="1" ht="16.8" x14ac:dyDescent="0.15">
      <c r="A589" s="1612" t="s">
        <v>1370</v>
      </c>
      <c r="B589" s="1634" t="s">
        <v>1466</v>
      </c>
      <c r="C589" s="1146"/>
      <c r="D589" s="1146"/>
      <c r="E589" s="1146"/>
      <c r="F589" s="1146"/>
      <c r="G589" s="1136"/>
      <c r="H589" s="1136"/>
      <c r="I589" s="1136"/>
      <c r="J589" s="1526">
        <v>3000000</v>
      </c>
      <c r="K589" s="1526"/>
      <c r="L589" s="1526"/>
      <c r="M589" s="1583"/>
      <c r="N589" s="1583"/>
      <c r="O589" s="1584"/>
    </row>
    <row r="590" spans="1:15" s="146" customFormat="1" ht="25.2" x14ac:dyDescent="0.15">
      <c r="A590" s="1612" t="s">
        <v>1370</v>
      </c>
      <c r="B590" s="1634" t="s">
        <v>1394</v>
      </c>
      <c r="C590" s="1146"/>
      <c r="D590" s="1146"/>
      <c r="E590" s="1146"/>
      <c r="F590" s="1146"/>
      <c r="G590" s="1136"/>
      <c r="H590" s="1136"/>
      <c r="I590" s="1136"/>
      <c r="J590" s="1526">
        <v>1000000</v>
      </c>
      <c r="K590" s="1526"/>
      <c r="L590" s="1526"/>
      <c r="M590" s="1583"/>
      <c r="N590" s="1583"/>
      <c r="O590" s="1584"/>
    </row>
    <row r="591" spans="1:15" s="146" customFormat="1" ht="25.2" x14ac:dyDescent="0.15">
      <c r="A591" s="1612" t="s">
        <v>1370</v>
      </c>
      <c r="B591" s="1642" t="s">
        <v>1395</v>
      </c>
      <c r="C591" s="1146"/>
      <c r="D591" s="1146"/>
      <c r="E591" s="1146"/>
      <c r="F591" s="1146"/>
      <c r="G591" s="1136"/>
      <c r="H591" s="1136"/>
      <c r="I591" s="1136"/>
      <c r="J591" s="1526">
        <v>50000</v>
      </c>
      <c r="K591" s="1569"/>
      <c r="L591" s="1569"/>
      <c r="M591" s="1894"/>
      <c r="N591" s="1894"/>
      <c r="O591" s="1895"/>
    </row>
    <row r="592" spans="1:15" s="146" customFormat="1" ht="16.8" x14ac:dyDescent="0.15">
      <c r="A592" s="1612" t="s">
        <v>1370</v>
      </c>
      <c r="B592" s="1642" t="s">
        <v>1539</v>
      </c>
      <c r="C592" s="1146"/>
      <c r="D592" s="1146"/>
      <c r="E592" s="1146"/>
      <c r="F592" s="1146"/>
      <c r="G592" s="1136"/>
      <c r="H592" s="1136"/>
      <c r="I592" s="1136"/>
      <c r="J592" s="1526">
        <v>755000</v>
      </c>
      <c r="K592" s="1569"/>
      <c r="L592" s="1569"/>
      <c r="M592" s="1894"/>
      <c r="N592" s="1894"/>
      <c r="O592" s="1895" t="s">
        <v>1876</v>
      </c>
    </row>
    <row r="593" spans="1:15" s="146" customFormat="1" ht="16.8" x14ac:dyDescent="0.15">
      <c r="A593" s="1645" t="s">
        <v>1478</v>
      </c>
      <c r="B593" s="1642" t="s">
        <v>1484</v>
      </c>
      <c r="C593" s="1146"/>
      <c r="D593" s="1146"/>
      <c r="E593" s="1146"/>
      <c r="F593" s="1146"/>
      <c r="G593" s="1136"/>
      <c r="H593" s="1136"/>
      <c r="I593" s="1136"/>
      <c r="J593" s="1526">
        <v>15000000</v>
      </c>
      <c r="K593" s="1569"/>
      <c r="L593" s="1569"/>
      <c r="M593" s="1894"/>
      <c r="N593" s="1894"/>
      <c r="O593" s="1895" t="s">
        <v>1483</v>
      </c>
    </row>
    <row r="594" spans="1:15" s="146" customFormat="1" ht="8.4" x14ac:dyDescent="0.15">
      <c r="A594" s="1645" t="s">
        <v>1478</v>
      </c>
      <c r="B594" s="1642" t="s">
        <v>1875</v>
      </c>
      <c r="C594" s="1146"/>
      <c r="D594" s="1146"/>
      <c r="E594" s="1146"/>
      <c r="F594" s="1146"/>
      <c r="G594" s="1136"/>
      <c r="H594" s="1136"/>
      <c r="I594" s="1136"/>
      <c r="J594" s="1526">
        <v>200000</v>
      </c>
      <c r="K594" s="1569"/>
      <c r="L594" s="1569"/>
      <c r="M594" s="1894"/>
      <c r="N594" s="1894"/>
      <c r="O594" s="1895"/>
    </row>
    <row r="595" spans="1:15" s="146" customFormat="1" ht="16.8" x14ac:dyDescent="0.15">
      <c r="A595" s="1597" t="s">
        <v>1531</v>
      </c>
      <c r="B595" s="1642" t="s">
        <v>1532</v>
      </c>
      <c r="C595" s="1646"/>
      <c r="D595" s="1646"/>
      <c r="E595" s="1646"/>
      <c r="F595" s="1646"/>
      <c r="G595" s="1571"/>
      <c r="H595" s="1571"/>
      <c r="I595" s="1571"/>
      <c r="J595" s="1569">
        <v>352000</v>
      </c>
      <c r="K595" s="1569"/>
      <c r="L595" s="1569"/>
      <c r="M595" s="1894"/>
      <c r="N595" s="1894"/>
      <c r="O595" s="1895"/>
    </row>
    <row r="596" spans="1:15" s="1830" customFormat="1" ht="16.8" x14ac:dyDescent="0.15">
      <c r="A596" s="1826" t="s">
        <v>1531</v>
      </c>
      <c r="B596" s="1827" t="s">
        <v>1558</v>
      </c>
      <c r="C596" s="1828"/>
      <c r="D596" s="1828"/>
      <c r="E596" s="1828"/>
      <c r="F596" s="1828"/>
      <c r="G596" s="1829"/>
      <c r="H596" s="1829"/>
      <c r="I596" s="1829"/>
      <c r="J596" s="1896">
        <v>12815000</v>
      </c>
      <c r="K596" s="1896"/>
      <c r="L596" s="1896"/>
      <c r="M596" s="1897"/>
      <c r="N596" s="1897"/>
      <c r="O596" s="1898"/>
    </row>
    <row r="597" spans="1:15" s="1831" customFormat="1" ht="16.8" x14ac:dyDescent="0.15">
      <c r="A597" s="1848" t="s">
        <v>1877</v>
      </c>
      <c r="B597" s="1665" t="s">
        <v>2307</v>
      </c>
      <c r="C597" s="1666"/>
      <c r="D597" s="1666"/>
      <c r="E597" s="1666"/>
      <c r="F597" s="1666"/>
      <c r="G597" s="1667"/>
      <c r="H597" s="1667"/>
      <c r="I597" s="1667"/>
      <c r="J597" s="1849">
        <v>4566000</v>
      </c>
      <c r="K597" s="1849"/>
      <c r="L597" s="1849"/>
      <c r="M597" s="1899"/>
      <c r="N597" s="1899"/>
      <c r="O597" s="1900"/>
    </row>
    <row r="598" spans="1:15" s="1831" customFormat="1" ht="8.4" x14ac:dyDescent="0.15">
      <c r="A598" s="1835" t="s">
        <v>2286</v>
      </c>
      <c r="B598" s="1665" t="s">
        <v>1999</v>
      </c>
      <c r="C598" s="1666"/>
      <c r="D598" s="1666"/>
      <c r="E598" s="1666"/>
      <c r="F598" s="1666"/>
      <c r="G598" s="1667"/>
      <c r="H598" s="1667"/>
      <c r="I598" s="1667"/>
      <c r="J598" s="1849">
        <f>10000+10000+60000+10000+10000+15000+40000+40000+15000+10000+10000+10000+15000+15000+10000+15000+40000+60000+10000+40000+10000+10000+100000+40000+40000+40000+60000+40000+40000+90000+40000+15000+15000+15000+10000+150000+150000</f>
        <v>1310000</v>
      </c>
      <c r="K598" s="1849"/>
      <c r="L598" s="1849"/>
      <c r="M598" s="1899"/>
      <c r="N598" s="1899"/>
      <c r="O598" s="1900" t="s">
        <v>2287</v>
      </c>
    </row>
    <row r="599" spans="1:15" s="1831" customFormat="1" ht="8.4" x14ac:dyDescent="0.15">
      <c r="A599" s="1835">
        <v>43842</v>
      </c>
      <c r="B599" s="1665" t="s">
        <v>2148</v>
      </c>
      <c r="C599" s="1666"/>
      <c r="D599" s="1666"/>
      <c r="E599" s="1666"/>
      <c r="F599" s="1666"/>
      <c r="G599" s="1667"/>
      <c r="H599" s="1667"/>
      <c r="I599" s="1667"/>
      <c r="J599" s="1849">
        <v>205000</v>
      </c>
      <c r="K599" s="1849"/>
      <c r="L599" s="1849"/>
      <c r="M599" s="1899"/>
      <c r="N599" s="1899"/>
      <c r="O599" s="1900"/>
    </row>
    <row r="600" spans="1:15" s="1831" customFormat="1" ht="8.4" x14ac:dyDescent="0.15">
      <c r="A600" s="1835">
        <v>43842</v>
      </c>
      <c r="B600" s="1665" t="s">
        <v>2174</v>
      </c>
      <c r="C600" s="1666"/>
      <c r="D600" s="1666"/>
      <c r="E600" s="1666"/>
      <c r="F600" s="1666"/>
      <c r="G600" s="1667"/>
      <c r="H600" s="1667"/>
      <c r="I600" s="1667"/>
      <c r="J600" s="1849">
        <v>650000</v>
      </c>
      <c r="K600" s="1849"/>
      <c r="L600" s="1849"/>
      <c r="M600" s="1899"/>
      <c r="N600" s="1899"/>
      <c r="O600" s="1900" t="s">
        <v>2287</v>
      </c>
    </row>
    <row r="601" spans="1:15" s="1831" customFormat="1" ht="8.4" x14ac:dyDescent="0.15">
      <c r="A601" s="1835">
        <v>43873</v>
      </c>
      <c r="B601" s="1665" t="s">
        <v>2304</v>
      </c>
      <c r="C601" s="1666"/>
      <c r="D601" s="1666"/>
      <c r="E601" s="1666"/>
      <c r="F601" s="1666"/>
      <c r="G601" s="1667"/>
      <c r="H601" s="1667"/>
      <c r="I601" s="1667"/>
      <c r="J601" s="1849">
        <v>100000000</v>
      </c>
      <c r="K601" s="1849"/>
      <c r="L601" s="1849"/>
      <c r="M601" s="1899"/>
      <c r="N601" s="1899"/>
      <c r="O601" s="1900"/>
    </row>
    <row r="602" spans="1:15" s="1831" customFormat="1" ht="8.4" x14ac:dyDescent="0.15">
      <c r="A602" s="1833">
        <v>43873</v>
      </c>
      <c r="B602" s="1665" t="s">
        <v>2271</v>
      </c>
      <c r="C602" s="1666"/>
      <c r="D602" s="1666"/>
      <c r="E602" s="1666"/>
      <c r="F602" s="1666"/>
      <c r="G602" s="1667"/>
      <c r="H602" s="1667"/>
      <c r="I602" s="1667"/>
      <c r="J602" s="1849">
        <v>12000000</v>
      </c>
      <c r="K602" s="1849"/>
      <c r="L602" s="1849"/>
      <c r="M602" s="1899"/>
      <c r="N602" s="1899"/>
      <c r="O602" s="1900"/>
    </row>
    <row r="603" spans="1:15" s="1831" customFormat="1" ht="8.4" x14ac:dyDescent="0.15">
      <c r="A603" s="1833">
        <v>43842</v>
      </c>
      <c r="B603" s="1665" t="s">
        <v>2224</v>
      </c>
      <c r="C603" s="1666"/>
      <c r="D603" s="1666"/>
      <c r="E603" s="1666"/>
      <c r="F603" s="1666"/>
      <c r="G603" s="1667"/>
      <c r="H603" s="1667"/>
      <c r="I603" s="1667"/>
      <c r="J603" s="1849">
        <v>60000</v>
      </c>
      <c r="K603" s="1849"/>
      <c r="L603" s="1849"/>
      <c r="M603" s="1899"/>
      <c r="N603" s="1899"/>
      <c r="O603" s="1900"/>
    </row>
    <row r="604" spans="1:15" s="1831" customFormat="1" ht="8.4" x14ac:dyDescent="0.15">
      <c r="A604" s="1833">
        <v>43842</v>
      </c>
      <c r="B604" s="1665" t="s">
        <v>2225</v>
      </c>
      <c r="C604" s="1666"/>
      <c r="D604" s="1666"/>
      <c r="E604" s="1666"/>
      <c r="F604" s="1666"/>
      <c r="G604" s="1667"/>
      <c r="H604" s="1667"/>
      <c r="I604" s="1667"/>
      <c r="J604" s="1849">
        <v>470000</v>
      </c>
      <c r="K604" s="1849"/>
      <c r="L604" s="1849"/>
      <c r="M604" s="1899"/>
      <c r="N604" s="1899"/>
      <c r="O604" s="1900"/>
    </row>
    <row r="605" spans="1:15" s="1831" customFormat="1" ht="8.4" x14ac:dyDescent="0.15">
      <c r="A605" s="1833">
        <v>43842</v>
      </c>
      <c r="B605" s="1665" t="s">
        <v>2226</v>
      </c>
      <c r="C605" s="1666"/>
      <c r="D605" s="1666"/>
      <c r="E605" s="1666"/>
      <c r="F605" s="1666"/>
      <c r="G605" s="1667"/>
      <c r="H605" s="1667"/>
      <c r="I605" s="1667"/>
      <c r="J605" s="1849">
        <v>1055000</v>
      </c>
      <c r="K605" s="1849"/>
      <c r="L605" s="1849"/>
      <c r="M605" s="1899"/>
      <c r="N605" s="1899"/>
      <c r="O605" s="1900"/>
    </row>
    <row r="606" spans="1:15" s="1831" customFormat="1" ht="8.4" x14ac:dyDescent="0.15">
      <c r="A606" s="1833">
        <v>43842</v>
      </c>
      <c r="B606" s="1665" t="s">
        <v>2297</v>
      </c>
      <c r="C606" s="1666"/>
      <c r="D606" s="1666"/>
      <c r="E606" s="1666"/>
      <c r="F606" s="1666"/>
      <c r="G606" s="1667"/>
      <c r="H606" s="1667"/>
      <c r="I606" s="1667"/>
      <c r="J606" s="1849">
        <v>5490000</v>
      </c>
      <c r="K606" s="1849"/>
      <c r="L606" s="1849"/>
      <c r="M606" s="1899"/>
      <c r="N606" s="1899"/>
      <c r="O606" s="1900"/>
    </row>
    <row r="607" spans="1:15" s="1831" customFormat="1" ht="8.4" x14ac:dyDescent="0.15">
      <c r="A607" s="1833">
        <v>43873</v>
      </c>
      <c r="B607" s="1665" t="s">
        <v>2060</v>
      </c>
      <c r="C607" s="1666"/>
      <c r="D607" s="1666"/>
      <c r="E607" s="1666"/>
      <c r="F607" s="1666"/>
      <c r="G607" s="1667"/>
      <c r="H607" s="1667"/>
      <c r="I607" s="1667"/>
      <c r="J607" s="1849">
        <v>145000</v>
      </c>
      <c r="K607" s="1849"/>
      <c r="L607" s="1849"/>
      <c r="M607" s="1899"/>
      <c r="N607" s="1899"/>
      <c r="O607" s="1900"/>
    </row>
    <row r="608" spans="1:15" s="1831" customFormat="1" ht="16.8" x14ac:dyDescent="0.15">
      <c r="A608" s="1833">
        <v>43873</v>
      </c>
      <c r="B608" s="1665" t="s">
        <v>2294</v>
      </c>
      <c r="C608" s="1666"/>
      <c r="D608" s="1666"/>
      <c r="E608" s="1666"/>
      <c r="F608" s="1666"/>
      <c r="G608" s="1667"/>
      <c r="H608" s="1667"/>
      <c r="I608" s="1667"/>
      <c r="J608" s="1849">
        <v>1045000</v>
      </c>
      <c r="K608" s="1849"/>
      <c r="L608" s="1849"/>
      <c r="M608" s="1899"/>
      <c r="N608" s="1899"/>
      <c r="O608" s="1900"/>
    </row>
    <row r="609" spans="1:15" s="1831" customFormat="1" ht="8.4" x14ac:dyDescent="0.15">
      <c r="A609" s="1833">
        <v>43902</v>
      </c>
      <c r="B609" s="1665" t="s">
        <v>2235</v>
      </c>
      <c r="C609" s="1666"/>
      <c r="D609" s="1666"/>
      <c r="E609" s="1666"/>
      <c r="F609" s="1666"/>
      <c r="G609" s="1667"/>
      <c r="H609" s="1667"/>
      <c r="I609" s="1667"/>
      <c r="J609" s="1849">
        <v>15000</v>
      </c>
      <c r="K609" s="1849"/>
      <c r="L609" s="1849"/>
      <c r="M609" s="1899"/>
      <c r="N609" s="1899"/>
      <c r="O609" s="1900"/>
    </row>
    <row r="610" spans="1:15" s="1831" customFormat="1" ht="8.4" x14ac:dyDescent="0.15">
      <c r="A610" s="1833">
        <v>43902</v>
      </c>
      <c r="B610" s="1665" t="s">
        <v>2227</v>
      </c>
      <c r="C610" s="1666"/>
      <c r="D610" s="1666"/>
      <c r="E610" s="1666"/>
      <c r="F610" s="1666"/>
      <c r="G610" s="1667"/>
      <c r="H610" s="1667"/>
      <c r="I610" s="1667"/>
      <c r="J610" s="1849">
        <v>632000</v>
      </c>
      <c r="K610" s="1849"/>
      <c r="L610" s="1849"/>
      <c r="M610" s="1899"/>
      <c r="N610" s="1899"/>
      <c r="O610" s="1900"/>
    </row>
    <row r="611" spans="1:15" s="1831" customFormat="1" ht="8.4" x14ac:dyDescent="0.15">
      <c r="A611" s="1833">
        <v>43902</v>
      </c>
      <c r="B611" s="1665" t="s">
        <v>2227</v>
      </c>
      <c r="C611" s="1666"/>
      <c r="D611" s="1666"/>
      <c r="E611" s="1666"/>
      <c r="F611" s="1666"/>
      <c r="G611" s="1667"/>
      <c r="H611" s="1667"/>
      <c r="I611" s="1667"/>
      <c r="J611" s="1849">
        <v>260000</v>
      </c>
      <c r="K611" s="1849"/>
      <c r="L611" s="1849"/>
      <c r="M611" s="1899"/>
      <c r="N611" s="1899"/>
      <c r="O611" s="1900"/>
    </row>
    <row r="612" spans="1:15" s="1831" customFormat="1" ht="8.4" x14ac:dyDescent="0.15">
      <c r="A612" s="1833">
        <v>43902</v>
      </c>
      <c r="B612" s="1665" t="s">
        <v>1991</v>
      </c>
      <c r="C612" s="1666"/>
      <c r="D612" s="1666"/>
      <c r="E612" s="1666"/>
      <c r="F612" s="1666"/>
      <c r="G612" s="1667"/>
      <c r="H612" s="1667"/>
      <c r="I612" s="1667"/>
      <c r="J612" s="1849">
        <v>265000</v>
      </c>
      <c r="K612" s="1849"/>
      <c r="L612" s="1849"/>
      <c r="M612" s="1899"/>
      <c r="N612" s="1899"/>
      <c r="O612" s="1900"/>
    </row>
    <row r="613" spans="1:15" s="1831" customFormat="1" ht="8.4" x14ac:dyDescent="0.15">
      <c r="A613" s="1833">
        <v>43902</v>
      </c>
      <c r="B613" s="1665" t="s">
        <v>2288</v>
      </c>
      <c r="C613" s="1666"/>
      <c r="D613" s="1666"/>
      <c r="E613" s="1666"/>
      <c r="F613" s="1666"/>
      <c r="G613" s="1667"/>
      <c r="H613" s="1667"/>
      <c r="I613" s="1667"/>
      <c r="J613" s="1849">
        <v>345000</v>
      </c>
      <c r="K613" s="1849"/>
      <c r="L613" s="1849"/>
      <c r="M613" s="1899"/>
      <c r="N613" s="1899"/>
      <c r="O613" s="1900"/>
    </row>
    <row r="614" spans="1:15" s="1831" customFormat="1" ht="8.4" x14ac:dyDescent="0.15">
      <c r="A614" s="1833">
        <v>43933</v>
      </c>
      <c r="B614" s="1665" t="s">
        <v>2148</v>
      </c>
      <c r="C614" s="1666"/>
      <c r="D614" s="1666"/>
      <c r="E614" s="1666"/>
      <c r="F614" s="1666"/>
      <c r="G614" s="1667"/>
      <c r="H614" s="1667"/>
      <c r="I614" s="1667"/>
      <c r="J614" s="1849">
        <v>136000</v>
      </c>
      <c r="K614" s="1849"/>
      <c r="L614" s="1849"/>
      <c r="M614" s="1899"/>
      <c r="N614" s="1899"/>
      <c r="O614" s="1900"/>
    </row>
    <row r="615" spans="1:15" s="1831" customFormat="1" ht="8.4" x14ac:dyDescent="0.15">
      <c r="A615" s="1833">
        <v>43933</v>
      </c>
      <c r="B615" s="1665" t="s">
        <v>2289</v>
      </c>
      <c r="C615" s="1666"/>
      <c r="D615" s="1666"/>
      <c r="E615" s="1666"/>
      <c r="F615" s="1666"/>
      <c r="G615" s="1667"/>
      <c r="H615" s="1667"/>
      <c r="I615" s="1667"/>
      <c r="J615" s="1849">
        <v>1006740</v>
      </c>
      <c r="K615" s="1849"/>
      <c r="L615" s="1849"/>
      <c r="M615" s="1899"/>
      <c r="N615" s="1899"/>
      <c r="O615" s="1900" t="s">
        <v>2287</v>
      </c>
    </row>
    <row r="616" spans="1:15" s="1831" customFormat="1" ht="8.4" x14ac:dyDescent="0.15">
      <c r="A616" s="1833">
        <v>43933</v>
      </c>
      <c r="B616" s="1665" t="s">
        <v>2228</v>
      </c>
      <c r="C616" s="1666"/>
      <c r="D616" s="1666"/>
      <c r="E616" s="1666"/>
      <c r="F616" s="1666"/>
      <c r="G616" s="1667"/>
      <c r="H616" s="1667"/>
      <c r="I616" s="1667"/>
      <c r="J616" s="1849">
        <v>90000</v>
      </c>
      <c r="K616" s="1849"/>
      <c r="L616" s="1849"/>
      <c r="M616" s="1899"/>
      <c r="N616" s="1899"/>
      <c r="O616" s="1900"/>
    </row>
    <row r="617" spans="1:15" s="1831" customFormat="1" ht="8.4" x14ac:dyDescent="0.15">
      <c r="A617" s="1833">
        <v>43933</v>
      </c>
      <c r="B617" s="1665" t="s">
        <v>2229</v>
      </c>
      <c r="C617" s="1666"/>
      <c r="D617" s="1666"/>
      <c r="E617" s="1666"/>
      <c r="F617" s="1666"/>
      <c r="G617" s="1667"/>
      <c r="H617" s="1667"/>
      <c r="I617" s="1667"/>
      <c r="J617" s="1849">
        <v>108000</v>
      </c>
      <c r="K617" s="1849"/>
      <c r="L617" s="1849"/>
      <c r="M617" s="1899"/>
      <c r="N617" s="1899"/>
      <c r="O617" s="1900"/>
    </row>
    <row r="618" spans="1:15" s="1831" customFormat="1" ht="8.4" x14ac:dyDescent="0.15">
      <c r="A618" s="1833">
        <v>43933</v>
      </c>
      <c r="B618" s="1665" t="s">
        <v>2230</v>
      </c>
      <c r="C618" s="1666"/>
      <c r="D618" s="1666"/>
      <c r="E618" s="1666"/>
      <c r="F618" s="1666"/>
      <c r="G618" s="1667"/>
      <c r="H618" s="1667"/>
      <c r="I618" s="1667"/>
      <c r="J618" s="1849">
        <v>643800</v>
      </c>
      <c r="K618" s="1849"/>
      <c r="L618" s="1849"/>
      <c r="M618" s="1899"/>
      <c r="N618" s="1899"/>
      <c r="O618" s="1900"/>
    </row>
    <row r="619" spans="1:15" s="1831" customFormat="1" ht="8.4" x14ac:dyDescent="0.15">
      <c r="A619" s="1833">
        <v>43963</v>
      </c>
      <c r="B619" s="1665" t="s">
        <v>2231</v>
      </c>
      <c r="C619" s="1666"/>
      <c r="D619" s="1666"/>
      <c r="E619" s="1666"/>
      <c r="F619" s="1666"/>
      <c r="G619" s="1667"/>
      <c r="H619" s="1667"/>
      <c r="I619" s="1667"/>
      <c r="J619" s="1849">
        <v>1950000</v>
      </c>
      <c r="K619" s="1849"/>
      <c r="L619" s="1849"/>
      <c r="M619" s="1899"/>
      <c r="N619" s="1899"/>
      <c r="O619" s="1900"/>
    </row>
    <row r="620" spans="1:15" s="1831" customFormat="1" ht="8.4" x14ac:dyDescent="0.15">
      <c r="A620" s="1833">
        <v>43963</v>
      </c>
      <c r="B620" s="1665" t="s">
        <v>2228</v>
      </c>
      <c r="C620" s="1666"/>
      <c r="D620" s="1666"/>
      <c r="E620" s="1666"/>
      <c r="F620" s="1666"/>
      <c r="G620" s="1667"/>
      <c r="H620" s="1667"/>
      <c r="I620" s="1667"/>
      <c r="J620" s="1849">
        <v>202000</v>
      </c>
      <c r="K620" s="1849"/>
      <c r="L620" s="1849"/>
      <c r="M620" s="1899"/>
      <c r="N620" s="1899"/>
      <c r="O620" s="1900"/>
    </row>
    <row r="621" spans="1:15" s="1831" customFormat="1" ht="8.4" x14ac:dyDescent="0.15">
      <c r="A621" s="1833">
        <v>43963</v>
      </c>
      <c r="B621" s="1665" t="s">
        <v>2290</v>
      </c>
      <c r="C621" s="1666"/>
      <c r="D621" s="1666"/>
      <c r="E621" s="1666"/>
      <c r="F621" s="1666"/>
      <c r="G621" s="1667"/>
      <c r="H621" s="1667"/>
      <c r="I621" s="1667"/>
      <c r="J621" s="1849">
        <v>750000</v>
      </c>
      <c r="K621" s="1849"/>
      <c r="L621" s="1849"/>
      <c r="M621" s="1899"/>
      <c r="N621" s="1899"/>
      <c r="O621" s="1900" t="s">
        <v>2292</v>
      </c>
    </row>
    <row r="622" spans="1:15" s="1831" customFormat="1" ht="8.4" x14ac:dyDescent="0.15">
      <c r="A622" s="1833">
        <v>43994</v>
      </c>
      <c r="B622" s="1665" t="s">
        <v>2174</v>
      </c>
      <c r="C622" s="1666"/>
      <c r="D622" s="1666"/>
      <c r="E622" s="1666"/>
      <c r="F622" s="1666"/>
      <c r="G622" s="1667"/>
      <c r="H622" s="1667"/>
      <c r="I622" s="1667"/>
      <c r="J622" s="1849">
        <v>300000</v>
      </c>
      <c r="K622" s="1849"/>
      <c r="L622" s="1849"/>
      <c r="M622" s="1899"/>
      <c r="N622" s="1899"/>
      <c r="O622" s="1900" t="s">
        <v>2287</v>
      </c>
    </row>
    <row r="623" spans="1:15" s="1831" customFormat="1" ht="8.4" x14ac:dyDescent="0.15">
      <c r="A623" s="1833">
        <v>43994</v>
      </c>
      <c r="B623" s="1665" t="s">
        <v>2232</v>
      </c>
      <c r="C623" s="1666"/>
      <c r="D623" s="1666"/>
      <c r="E623" s="1666"/>
      <c r="F623" s="1666"/>
      <c r="G623" s="1667"/>
      <c r="H623" s="1667"/>
      <c r="I623" s="1667"/>
      <c r="J623" s="1849">
        <v>861000</v>
      </c>
      <c r="K623" s="1849"/>
      <c r="L623" s="1849"/>
      <c r="M623" s="1899"/>
      <c r="N623" s="1899"/>
      <c r="O623" s="1900"/>
    </row>
    <row r="624" spans="1:15" s="1831" customFormat="1" ht="8.4" x14ac:dyDescent="0.15">
      <c r="A624" s="1833">
        <v>43994</v>
      </c>
      <c r="B624" s="1665" t="s">
        <v>2060</v>
      </c>
      <c r="C624" s="1666"/>
      <c r="D624" s="1666"/>
      <c r="E624" s="1666"/>
      <c r="F624" s="1666"/>
      <c r="G624" s="1667"/>
      <c r="H624" s="1667"/>
      <c r="I624" s="1667"/>
      <c r="J624" s="1849">
        <v>183000</v>
      </c>
      <c r="K624" s="1849"/>
      <c r="L624" s="1849"/>
      <c r="M624" s="1899"/>
      <c r="N624" s="1899"/>
      <c r="O624" s="1900"/>
    </row>
    <row r="625" spans="1:15" s="1831" customFormat="1" ht="8.4" x14ac:dyDescent="0.15">
      <c r="A625" s="1833">
        <v>43994</v>
      </c>
      <c r="B625" s="1665" t="s">
        <v>2233</v>
      </c>
      <c r="C625" s="1666"/>
      <c r="D625" s="1666"/>
      <c r="E625" s="1666"/>
      <c r="F625" s="1666"/>
      <c r="G625" s="1667"/>
      <c r="H625" s="1667"/>
      <c r="I625" s="1667"/>
      <c r="J625" s="1849">
        <v>50000</v>
      </c>
      <c r="K625" s="1849"/>
      <c r="L625" s="1849"/>
      <c r="M625" s="1899"/>
      <c r="N625" s="1899"/>
      <c r="O625" s="1900"/>
    </row>
    <row r="626" spans="1:15" s="1831" customFormat="1" ht="16.8" x14ac:dyDescent="0.15">
      <c r="A626" s="1833">
        <v>44024</v>
      </c>
      <c r="B626" s="1665" t="s">
        <v>2291</v>
      </c>
      <c r="C626" s="1666"/>
      <c r="D626" s="1666"/>
      <c r="E626" s="1666"/>
      <c r="F626" s="1666"/>
      <c r="G626" s="1667"/>
      <c r="H626" s="1667"/>
      <c r="I626" s="1667"/>
      <c r="J626" s="1849">
        <v>625000</v>
      </c>
      <c r="K626" s="1849"/>
      <c r="L626" s="1849"/>
      <c r="M626" s="1899"/>
      <c r="N626" s="1899"/>
      <c r="O626" s="1900"/>
    </row>
    <row r="627" spans="1:15" s="1831" customFormat="1" ht="8.4" x14ac:dyDescent="0.15">
      <c r="A627" s="1833">
        <v>44024</v>
      </c>
      <c r="B627" s="1665" t="s">
        <v>2120</v>
      </c>
      <c r="C627" s="1666"/>
      <c r="D627" s="1666"/>
      <c r="E627" s="1666"/>
      <c r="F627" s="1666"/>
      <c r="G627" s="1667"/>
      <c r="H627" s="1667"/>
      <c r="I627" s="1667"/>
      <c r="J627" s="1849">
        <v>300000</v>
      </c>
      <c r="K627" s="1849"/>
      <c r="L627" s="1849"/>
      <c r="M627" s="1899"/>
      <c r="N627" s="1899"/>
      <c r="O627" s="1900"/>
    </row>
    <row r="628" spans="1:15" s="1831" customFormat="1" ht="8.4" x14ac:dyDescent="0.15">
      <c r="A628" s="1833">
        <v>44013</v>
      </c>
      <c r="B628" s="1665" t="s">
        <v>2234</v>
      </c>
      <c r="C628" s="1666"/>
      <c r="D628" s="1666"/>
      <c r="E628" s="1666"/>
      <c r="F628" s="1666"/>
      <c r="G628" s="1667"/>
      <c r="H628" s="1667"/>
      <c r="I628" s="1667"/>
      <c r="J628" s="1849">
        <v>765000</v>
      </c>
      <c r="K628" s="1849"/>
      <c r="L628" s="1849"/>
      <c r="M628" s="1899"/>
      <c r="N628" s="1899"/>
      <c r="O628" s="1900"/>
    </row>
    <row r="629" spans="1:15" s="1831" customFormat="1" ht="8.4" x14ac:dyDescent="0.15">
      <c r="A629" s="1833">
        <v>44013</v>
      </c>
      <c r="B629" s="1665" t="s">
        <v>2228</v>
      </c>
      <c r="C629" s="1666"/>
      <c r="D629" s="1666"/>
      <c r="E629" s="1666"/>
      <c r="F629" s="1666"/>
      <c r="G629" s="1667"/>
      <c r="H629" s="1667"/>
      <c r="I629" s="1667"/>
      <c r="J629" s="1849">
        <v>270000</v>
      </c>
      <c r="K629" s="1849"/>
      <c r="L629" s="1849"/>
      <c r="M629" s="1899"/>
      <c r="N629" s="1899"/>
      <c r="O629" s="1900"/>
    </row>
    <row r="630" spans="1:15" s="1831" customFormat="1" ht="8.4" x14ac:dyDescent="0.15">
      <c r="A630" s="1833">
        <v>44024</v>
      </c>
      <c r="B630" s="1665" t="s">
        <v>2148</v>
      </c>
      <c r="C630" s="1666"/>
      <c r="D630" s="1666"/>
      <c r="E630" s="1666"/>
      <c r="F630" s="1666"/>
      <c r="G630" s="1667"/>
      <c r="H630" s="1667"/>
      <c r="I630" s="1667"/>
      <c r="J630" s="1849">
        <v>367000</v>
      </c>
      <c r="K630" s="1849"/>
      <c r="L630" s="1849"/>
      <c r="M630" s="1899"/>
      <c r="N630" s="1899"/>
      <c r="O630" s="1900"/>
    </row>
    <row r="631" spans="1:15" s="1831" customFormat="1" ht="8.4" x14ac:dyDescent="0.15">
      <c r="A631" s="1833">
        <v>44055</v>
      </c>
      <c r="B631" s="1665" t="s">
        <v>2295</v>
      </c>
      <c r="C631" s="1666"/>
      <c r="D631" s="1666"/>
      <c r="E631" s="1666"/>
      <c r="F631" s="1666"/>
      <c r="G631" s="1667"/>
      <c r="H631" s="1667"/>
      <c r="I631" s="1667"/>
      <c r="J631" s="1849">
        <v>500000</v>
      </c>
      <c r="K631" s="1849"/>
      <c r="L631" s="1849"/>
      <c r="M631" s="1899"/>
      <c r="N631" s="1899"/>
      <c r="O631" s="1900"/>
    </row>
    <row r="632" spans="1:15" s="1831" customFormat="1" ht="8.4" x14ac:dyDescent="0.15">
      <c r="A632" s="1833">
        <v>44055</v>
      </c>
      <c r="B632" s="1665" t="s">
        <v>2235</v>
      </c>
      <c r="C632" s="1666"/>
      <c r="D632" s="1666"/>
      <c r="E632" s="1666"/>
      <c r="F632" s="1666"/>
      <c r="G632" s="1667"/>
      <c r="H632" s="1667"/>
      <c r="I632" s="1667"/>
      <c r="J632" s="1849">
        <v>15000</v>
      </c>
      <c r="K632" s="1849"/>
      <c r="L632" s="1849"/>
      <c r="M632" s="1899"/>
      <c r="N632" s="1899"/>
      <c r="O632" s="1900"/>
    </row>
    <row r="633" spans="1:15" s="1831" customFormat="1" ht="8.4" x14ac:dyDescent="0.15">
      <c r="A633" s="1833">
        <v>44116</v>
      </c>
      <c r="B633" s="1845" t="s">
        <v>2236</v>
      </c>
      <c r="C633" s="1666"/>
      <c r="D633" s="1666"/>
      <c r="E633" s="1666"/>
      <c r="F633" s="1666"/>
      <c r="G633" s="1667"/>
      <c r="H633" s="1667"/>
      <c r="I633" s="1667"/>
      <c r="J633" s="1849">
        <v>84000</v>
      </c>
      <c r="K633" s="1849"/>
      <c r="L633" s="1849"/>
      <c r="M633" s="1899"/>
      <c r="N633" s="1899"/>
      <c r="O633" s="1900"/>
    </row>
    <row r="634" spans="1:15" s="1831" customFormat="1" ht="8.4" x14ac:dyDescent="0.15">
      <c r="A634" s="1833">
        <v>44116</v>
      </c>
      <c r="B634" s="1845" t="s">
        <v>2174</v>
      </c>
      <c r="C634" s="1666"/>
      <c r="D634" s="1666"/>
      <c r="E634" s="1666"/>
      <c r="F634" s="1666"/>
      <c r="G634" s="1667"/>
      <c r="H634" s="1667"/>
      <c r="I634" s="1667"/>
      <c r="J634" s="1849">
        <v>800000</v>
      </c>
      <c r="K634" s="1849"/>
      <c r="L634" s="1849"/>
      <c r="M634" s="1899"/>
      <c r="N634" s="1899"/>
      <c r="O634" s="1900" t="s">
        <v>2292</v>
      </c>
    </row>
    <row r="635" spans="1:15" s="1831" customFormat="1" ht="16.8" x14ac:dyDescent="0.15">
      <c r="A635" s="1833">
        <v>44116</v>
      </c>
      <c r="B635" s="1845" t="s">
        <v>2262</v>
      </c>
      <c r="C635" s="1666"/>
      <c r="D635" s="1666"/>
      <c r="E635" s="1666"/>
      <c r="F635" s="1666"/>
      <c r="G635" s="1667"/>
      <c r="H635" s="1667"/>
      <c r="I635" s="1667"/>
      <c r="J635" s="1849">
        <v>10500000</v>
      </c>
      <c r="K635" s="1849"/>
      <c r="L635" s="1849"/>
      <c r="M635" s="1899"/>
      <c r="N635" s="1899"/>
      <c r="O635" s="1900"/>
    </row>
    <row r="636" spans="1:15" s="1831" customFormat="1" ht="8.4" x14ac:dyDescent="0.15">
      <c r="A636" s="1833">
        <v>44147</v>
      </c>
      <c r="B636" s="1845" t="s">
        <v>2237</v>
      </c>
      <c r="C636" s="1666"/>
      <c r="D636" s="1666"/>
      <c r="E636" s="1666"/>
      <c r="F636" s="1666"/>
      <c r="G636" s="1667"/>
      <c r="H636" s="1667"/>
      <c r="I636" s="1667"/>
      <c r="J636" s="1849">
        <v>9500</v>
      </c>
      <c r="K636" s="1849"/>
      <c r="L636" s="1849"/>
      <c r="M636" s="1899"/>
      <c r="N636" s="1899"/>
      <c r="O636" s="1900"/>
    </row>
    <row r="637" spans="1:15" s="1831" customFormat="1" ht="8.4" x14ac:dyDescent="0.15">
      <c r="A637" s="1833">
        <v>44147</v>
      </c>
      <c r="B637" s="1845" t="s">
        <v>2238</v>
      </c>
      <c r="C637" s="1666"/>
      <c r="D637" s="1666"/>
      <c r="E637" s="1666"/>
      <c r="F637" s="1666"/>
      <c r="G637" s="1667"/>
      <c r="H637" s="1667"/>
      <c r="I637" s="1667"/>
      <c r="J637" s="1849">
        <v>332000</v>
      </c>
      <c r="K637" s="1849"/>
      <c r="L637" s="1849"/>
      <c r="M637" s="1899"/>
      <c r="N637" s="1899"/>
      <c r="O637" s="1900"/>
    </row>
    <row r="638" spans="1:15" s="1831" customFormat="1" ht="8.4" x14ac:dyDescent="0.15">
      <c r="A638" s="1833">
        <v>44147</v>
      </c>
      <c r="B638" s="1845" t="s">
        <v>2239</v>
      </c>
      <c r="C638" s="1666"/>
      <c r="D638" s="1666"/>
      <c r="E638" s="1666"/>
      <c r="F638" s="1666"/>
      <c r="G638" s="1667"/>
      <c r="H638" s="1667"/>
      <c r="I638" s="1667"/>
      <c r="J638" s="1849">
        <v>15000</v>
      </c>
      <c r="K638" s="1849"/>
      <c r="L638" s="1849"/>
      <c r="M638" s="1899"/>
      <c r="N638" s="1899"/>
      <c r="O638" s="1900"/>
    </row>
    <row r="639" spans="1:15" s="1831" customFormat="1" ht="8.4" x14ac:dyDescent="0.15">
      <c r="A639" s="1833">
        <v>44147</v>
      </c>
      <c r="B639" s="1845" t="s">
        <v>2071</v>
      </c>
      <c r="C639" s="1666"/>
      <c r="D639" s="1666"/>
      <c r="E639" s="1666"/>
      <c r="F639" s="1666"/>
      <c r="G639" s="1667"/>
      <c r="H639" s="1667"/>
      <c r="I639" s="1667"/>
      <c r="J639" s="1849">
        <v>10000</v>
      </c>
      <c r="K639" s="1849"/>
      <c r="L639" s="1849"/>
      <c r="M639" s="1899"/>
      <c r="N639" s="1899"/>
      <c r="O639" s="1900"/>
    </row>
    <row r="640" spans="1:15" s="1831" customFormat="1" ht="8.4" x14ac:dyDescent="0.15">
      <c r="A640" s="1833">
        <v>44147</v>
      </c>
      <c r="B640" s="1845" t="s">
        <v>2071</v>
      </c>
      <c r="C640" s="1666"/>
      <c r="D640" s="1666"/>
      <c r="E640" s="1666"/>
      <c r="F640" s="1666"/>
      <c r="G640" s="1667"/>
      <c r="H640" s="1667"/>
      <c r="I640" s="1667"/>
      <c r="J640" s="1849">
        <v>30000</v>
      </c>
      <c r="K640" s="1849"/>
      <c r="L640" s="1849"/>
      <c r="M640" s="1899"/>
      <c r="N640" s="1899"/>
      <c r="O640" s="1900"/>
    </row>
    <row r="641" spans="1:15" s="1831" customFormat="1" ht="16.8" x14ac:dyDescent="0.15">
      <c r="A641" s="1833">
        <v>44177</v>
      </c>
      <c r="B641" s="1845" t="s">
        <v>2240</v>
      </c>
      <c r="C641" s="1666"/>
      <c r="D641" s="1666"/>
      <c r="E641" s="1666"/>
      <c r="F641" s="1666"/>
      <c r="G641" s="1667"/>
      <c r="H641" s="1667"/>
      <c r="I641" s="1667"/>
      <c r="J641" s="1849">
        <v>992000</v>
      </c>
      <c r="K641" s="1849"/>
      <c r="L641" s="1849"/>
      <c r="M641" s="1899"/>
      <c r="N641" s="1899"/>
      <c r="O641" s="1900"/>
    </row>
    <row r="642" spans="1:15" s="1831" customFormat="1" ht="8.4" x14ac:dyDescent="0.15">
      <c r="A642" s="1833">
        <v>44177</v>
      </c>
      <c r="B642" s="1845" t="s">
        <v>2241</v>
      </c>
      <c r="C642" s="1666"/>
      <c r="D642" s="1666"/>
      <c r="E642" s="1666"/>
      <c r="F642" s="1666"/>
      <c r="G642" s="1667"/>
      <c r="H642" s="1667"/>
      <c r="I642" s="1667"/>
      <c r="J642" s="1849">
        <v>20000</v>
      </c>
      <c r="K642" s="1849"/>
      <c r="L642" s="1849"/>
      <c r="M642" s="1899"/>
      <c r="N642" s="1899"/>
      <c r="O642" s="1900"/>
    </row>
    <row r="643" spans="1:15" s="1831" customFormat="1" ht="8.4" x14ac:dyDescent="0.15">
      <c r="A643" s="1835" t="s">
        <v>1939</v>
      </c>
      <c r="B643" s="1845" t="s">
        <v>2242</v>
      </c>
      <c r="C643" s="1666"/>
      <c r="D643" s="1666"/>
      <c r="E643" s="1666"/>
      <c r="F643" s="1666"/>
      <c r="G643" s="1667"/>
      <c r="H643" s="1667"/>
      <c r="I643" s="1667"/>
      <c r="J643" s="1849">
        <v>235000</v>
      </c>
      <c r="K643" s="1849"/>
      <c r="L643" s="1849"/>
      <c r="M643" s="1899"/>
      <c r="N643" s="1899"/>
      <c r="O643" s="1900"/>
    </row>
    <row r="644" spans="1:15" s="1831" customFormat="1" ht="8.4" x14ac:dyDescent="0.15">
      <c r="A644" s="1835" t="s">
        <v>1939</v>
      </c>
      <c r="B644" s="1845" t="s">
        <v>2243</v>
      </c>
      <c r="C644" s="1666"/>
      <c r="D644" s="1666"/>
      <c r="E644" s="1666"/>
      <c r="F644" s="1666"/>
      <c r="G644" s="1667"/>
      <c r="H644" s="1667"/>
      <c r="I644" s="1667"/>
      <c r="J644" s="1849">
        <v>95000</v>
      </c>
      <c r="K644" s="1849"/>
      <c r="L644" s="1849"/>
      <c r="M644" s="1899"/>
      <c r="N644" s="1899"/>
      <c r="O644" s="1900"/>
    </row>
    <row r="645" spans="1:15" s="1831" customFormat="1" ht="8.4" x14ac:dyDescent="0.15">
      <c r="A645" s="1835" t="s">
        <v>1939</v>
      </c>
      <c r="B645" s="1845" t="s">
        <v>2244</v>
      </c>
      <c r="C645" s="1666"/>
      <c r="D645" s="1666"/>
      <c r="E645" s="1666"/>
      <c r="F645" s="1666"/>
      <c r="G645" s="1667"/>
      <c r="H645" s="1667"/>
      <c r="I645" s="1667"/>
      <c r="J645" s="1849">
        <v>1140000</v>
      </c>
      <c r="K645" s="1849"/>
      <c r="L645" s="1849"/>
      <c r="M645" s="1899"/>
      <c r="N645" s="1899"/>
      <c r="O645" s="1900"/>
    </row>
    <row r="646" spans="1:15" s="1831" customFormat="1" ht="8.4" x14ac:dyDescent="0.15">
      <c r="A646" s="1835" t="s">
        <v>1939</v>
      </c>
      <c r="B646" s="1845" t="s">
        <v>2174</v>
      </c>
      <c r="C646" s="1666"/>
      <c r="D646" s="1666"/>
      <c r="E646" s="1666"/>
      <c r="F646" s="1666"/>
      <c r="G646" s="1667"/>
      <c r="H646" s="1667"/>
      <c r="I646" s="1667"/>
      <c r="J646" s="1849">
        <v>1001360</v>
      </c>
      <c r="K646" s="1849"/>
      <c r="L646" s="1849"/>
      <c r="M646" s="1899"/>
      <c r="N646" s="1899"/>
      <c r="O646" s="1900" t="s">
        <v>2292</v>
      </c>
    </row>
    <row r="647" spans="1:15" s="1831" customFormat="1" ht="8.4" x14ac:dyDescent="0.15">
      <c r="A647" s="1835" t="s">
        <v>1939</v>
      </c>
      <c r="B647" s="1845" t="s">
        <v>2245</v>
      </c>
      <c r="C647" s="1666"/>
      <c r="D647" s="1666"/>
      <c r="E647" s="1666"/>
      <c r="F647" s="1666"/>
      <c r="G647" s="1667"/>
      <c r="H647" s="1667"/>
      <c r="I647" s="1667"/>
      <c r="J647" s="1849">
        <v>1143000</v>
      </c>
      <c r="K647" s="1849"/>
      <c r="L647" s="1849"/>
      <c r="M647" s="1899"/>
      <c r="N647" s="1899"/>
      <c r="O647" s="1900"/>
    </row>
    <row r="648" spans="1:15" s="1831" customFormat="1" ht="8.4" x14ac:dyDescent="0.15">
      <c r="A648" s="1835" t="s">
        <v>1939</v>
      </c>
      <c r="B648" s="1845" t="s">
        <v>2246</v>
      </c>
      <c r="C648" s="1666"/>
      <c r="D648" s="1666"/>
      <c r="E648" s="1666"/>
      <c r="F648" s="1666"/>
      <c r="G648" s="1667"/>
      <c r="H648" s="1667"/>
      <c r="I648" s="1667"/>
      <c r="J648" s="1849">
        <v>9750</v>
      </c>
      <c r="K648" s="1849"/>
      <c r="L648" s="1849"/>
      <c r="M648" s="1899"/>
      <c r="N648" s="1899"/>
      <c r="O648" s="1900"/>
    </row>
    <row r="649" spans="1:15" s="1831" customFormat="1" ht="8.4" x14ac:dyDescent="0.15">
      <c r="A649" s="1835" t="s">
        <v>1939</v>
      </c>
      <c r="B649" s="1845" t="s">
        <v>2238</v>
      </c>
      <c r="C649" s="1666"/>
      <c r="D649" s="1666"/>
      <c r="E649" s="1666"/>
      <c r="F649" s="1666"/>
      <c r="G649" s="1667"/>
      <c r="H649" s="1667"/>
      <c r="I649" s="1667"/>
      <c r="J649" s="1849">
        <v>350000</v>
      </c>
      <c r="K649" s="1849"/>
      <c r="L649" s="1849"/>
      <c r="M649" s="1899"/>
      <c r="N649" s="1899"/>
      <c r="O649" s="1900"/>
    </row>
    <row r="650" spans="1:15" s="1831" customFormat="1" ht="8.4" x14ac:dyDescent="0.15">
      <c r="A650" s="1835" t="s">
        <v>2076</v>
      </c>
      <c r="B650" s="1845" t="s">
        <v>2261</v>
      </c>
      <c r="C650" s="1666"/>
      <c r="D650" s="1666"/>
      <c r="E650" s="1666"/>
      <c r="F650" s="1666"/>
      <c r="G650" s="1667"/>
      <c r="H650" s="1667"/>
      <c r="I650" s="1667"/>
      <c r="J650" s="1849">
        <v>2000000</v>
      </c>
      <c r="K650" s="1849"/>
      <c r="L650" s="1849"/>
      <c r="M650" s="1899"/>
      <c r="N650" s="1899"/>
      <c r="O650" s="1900"/>
    </row>
    <row r="651" spans="1:15" s="1831" customFormat="1" ht="8.4" x14ac:dyDescent="0.15">
      <c r="A651" s="1835" t="s">
        <v>2059</v>
      </c>
      <c r="B651" s="1845" t="s">
        <v>2174</v>
      </c>
      <c r="C651" s="1666"/>
      <c r="D651" s="1666"/>
      <c r="E651" s="1666"/>
      <c r="F651" s="1666"/>
      <c r="G651" s="1667"/>
      <c r="H651" s="1667"/>
      <c r="I651" s="1667"/>
      <c r="J651" s="1849">
        <v>500000</v>
      </c>
      <c r="K651" s="1849"/>
      <c r="L651" s="1849"/>
      <c r="M651" s="1899"/>
      <c r="N651" s="1899"/>
      <c r="O651" s="1900" t="s">
        <v>2292</v>
      </c>
    </row>
    <row r="652" spans="1:15" s="1831" customFormat="1" ht="8.4" x14ac:dyDescent="0.15">
      <c r="A652" s="1835" t="s">
        <v>1942</v>
      </c>
      <c r="B652" s="1845" t="s">
        <v>2281</v>
      </c>
      <c r="C652" s="1666"/>
      <c r="D652" s="1666"/>
      <c r="E652" s="1666"/>
      <c r="F652" s="1666">
        <v>2000000</v>
      </c>
      <c r="G652" s="1667"/>
      <c r="H652" s="1667"/>
      <c r="I652" s="1667"/>
      <c r="J652" s="1849"/>
      <c r="K652" s="1849"/>
      <c r="L652" s="1849"/>
      <c r="M652" s="1899"/>
      <c r="N652" s="1899"/>
      <c r="O652" s="1900"/>
    </row>
    <row r="653" spans="1:15" s="1831" customFormat="1" ht="8.4" x14ac:dyDescent="0.15">
      <c r="A653" s="1835" t="s">
        <v>1942</v>
      </c>
      <c r="B653" s="1845" t="s">
        <v>2264</v>
      </c>
      <c r="C653" s="1666"/>
      <c r="D653" s="1666"/>
      <c r="E653" s="1666"/>
      <c r="F653" s="1666"/>
      <c r="G653" s="1667"/>
      <c r="H653" s="1667"/>
      <c r="I653" s="1667"/>
      <c r="J653" s="1849">
        <v>240000</v>
      </c>
      <c r="K653" s="1849"/>
      <c r="L653" s="1849"/>
      <c r="M653" s="1899"/>
      <c r="N653" s="1899"/>
      <c r="O653" s="1900"/>
    </row>
    <row r="654" spans="1:15" s="1831" customFormat="1" ht="8.4" x14ac:dyDescent="0.15">
      <c r="A654" s="1835" t="s">
        <v>1942</v>
      </c>
      <c r="B654" s="1845" t="s">
        <v>2247</v>
      </c>
      <c r="C654" s="1666"/>
      <c r="D654" s="1666"/>
      <c r="E654" s="1666"/>
      <c r="F654" s="1666"/>
      <c r="G654" s="1667"/>
      <c r="H654" s="1667"/>
      <c r="I654" s="1667"/>
      <c r="J654" s="1849">
        <v>267000</v>
      </c>
      <c r="K654" s="1849"/>
      <c r="L654" s="1849"/>
      <c r="M654" s="1899"/>
      <c r="N654" s="1899"/>
      <c r="O654" s="1900"/>
    </row>
    <row r="655" spans="1:15" s="1831" customFormat="1" ht="8.4" x14ac:dyDescent="0.15">
      <c r="A655" s="1835" t="s">
        <v>1945</v>
      </c>
      <c r="B655" s="1845" t="s">
        <v>2293</v>
      </c>
      <c r="C655" s="1666"/>
      <c r="D655" s="1666"/>
      <c r="E655" s="1666"/>
      <c r="F655" s="1666"/>
      <c r="G655" s="1667"/>
      <c r="H655" s="1667"/>
      <c r="I655" s="1667"/>
      <c r="J655" s="1849">
        <v>1730000</v>
      </c>
      <c r="K655" s="1849"/>
      <c r="L655" s="1849"/>
      <c r="M655" s="1899"/>
      <c r="N655" s="1899"/>
      <c r="O655" s="1900" t="s">
        <v>2292</v>
      </c>
    </row>
    <row r="656" spans="1:15" s="1831" customFormat="1" ht="8.4" x14ac:dyDescent="0.15">
      <c r="A656" s="1835" t="s">
        <v>1945</v>
      </c>
      <c r="B656" s="1845" t="s">
        <v>2010</v>
      </c>
      <c r="C656" s="1666"/>
      <c r="D656" s="1666"/>
      <c r="E656" s="1666"/>
      <c r="F656" s="1666">
        <v>7458000</v>
      </c>
      <c r="G656" s="1667"/>
      <c r="H656" s="1667"/>
      <c r="I656" s="1667"/>
      <c r="J656" s="1849"/>
      <c r="K656" s="1849"/>
      <c r="L656" s="1849"/>
      <c r="M656" s="1899"/>
      <c r="N656" s="1899"/>
      <c r="O656" s="1900"/>
    </row>
    <row r="657" spans="1:15" s="1831" customFormat="1" ht="8.4" x14ac:dyDescent="0.15">
      <c r="A657" s="1835" t="s">
        <v>1945</v>
      </c>
      <c r="B657" s="1845" t="s">
        <v>2174</v>
      </c>
      <c r="C657" s="1666"/>
      <c r="D657" s="1666"/>
      <c r="E657" s="1666"/>
      <c r="F657" s="1666"/>
      <c r="G657" s="1667"/>
      <c r="H657" s="1667"/>
      <c r="I657" s="1667"/>
      <c r="J657" s="1849">
        <v>500000</v>
      </c>
      <c r="K657" s="1849"/>
      <c r="L657" s="1849"/>
      <c r="M657" s="1899"/>
      <c r="N657" s="1899"/>
      <c r="O657" s="1900"/>
    </row>
    <row r="658" spans="1:15" s="1831" customFormat="1" ht="8.4" x14ac:dyDescent="0.15">
      <c r="A658" s="1835" t="s">
        <v>1945</v>
      </c>
      <c r="B658" s="1845" t="s">
        <v>2227</v>
      </c>
      <c r="C658" s="1666"/>
      <c r="D658" s="1666"/>
      <c r="E658" s="1666"/>
      <c r="F658" s="1666"/>
      <c r="G658" s="1667"/>
      <c r="H658" s="1667"/>
      <c r="I658" s="1667"/>
      <c r="J658" s="1849">
        <v>470000</v>
      </c>
      <c r="K658" s="1849"/>
      <c r="L658" s="1849"/>
      <c r="M658" s="1899"/>
      <c r="N658" s="1899"/>
      <c r="O658" s="1900"/>
    </row>
    <row r="659" spans="1:15" s="1831" customFormat="1" ht="8.4" x14ac:dyDescent="0.15">
      <c r="A659" s="1835" t="s">
        <v>1945</v>
      </c>
      <c r="B659" s="1845" t="s">
        <v>2024</v>
      </c>
      <c r="C659" s="1666"/>
      <c r="D659" s="1666"/>
      <c r="E659" s="1666"/>
      <c r="F659" s="1666"/>
      <c r="G659" s="1667"/>
      <c r="H659" s="1667"/>
      <c r="I659" s="1667"/>
      <c r="J659" s="1849">
        <v>205000</v>
      </c>
      <c r="K659" s="1849"/>
      <c r="L659" s="1849"/>
      <c r="M659" s="1899"/>
      <c r="N659" s="1899"/>
      <c r="O659" s="1900"/>
    </row>
    <row r="660" spans="1:15" s="1831" customFormat="1" ht="8.4" x14ac:dyDescent="0.15">
      <c r="A660" s="1835" t="s">
        <v>1945</v>
      </c>
      <c r="B660" s="1845" t="s">
        <v>2272</v>
      </c>
      <c r="C660" s="1666"/>
      <c r="D660" s="1666"/>
      <c r="E660" s="1666"/>
      <c r="F660" s="1666"/>
      <c r="G660" s="1667"/>
      <c r="H660" s="1667"/>
      <c r="I660" s="1667"/>
      <c r="J660" s="1849">
        <v>205000</v>
      </c>
      <c r="K660" s="1849"/>
      <c r="L660" s="1849"/>
      <c r="M660" s="1899"/>
      <c r="N660" s="1899"/>
      <c r="O660" s="1900"/>
    </row>
    <row r="661" spans="1:15" s="1831" customFormat="1" ht="16.8" x14ac:dyDescent="0.15">
      <c r="A661" s="1846" t="s">
        <v>1945</v>
      </c>
      <c r="B661" s="1845" t="s">
        <v>2260</v>
      </c>
      <c r="C661" s="1666"/>
      <c r="D661" s="1666"/>
      <c r="E661" s="1666"/>
      <c r="F661" s="1666"/>
      <c r="G661" s="1667"/>
      <c r="H661" s="1667"/>
      <c r="I661" s="1667"/>
      <c r="J661" s="1849">
        <v>2000000</v>
      </c>
      <c r="K661" s="1849"/>
      <c r="L661" s="1849"/>
      <c r="M661" s="1899"/>
      <c r="N661" s="1899"/>
      <c r="O661" s="1900"/>
    </row>
    <row r="662" spans="1:15" s="1831" customFormat="1" ht="8.4" x14ac:dyDescent="0.15">
      <c r="A662" s="1846" t="s">
        <v>1945</v>
      </c>
      <c r="B662" s="1845" t="s">
        <v>2263</v>
      </c>
      <c r="C662" s="1666"/>
      <c r="D662" s="1666"/>
      <c r="E662" s="1666"/>
      <c r="F662" s="1666"/>
      <c r="G662" s="1667"/>
      <c r="H662" s="1667"/>
      <c r="I662" s="1667"/>
      <c r="J662" s="1849">
        <v>1730000</v>
      </c>
      <c r="K662" s="1849"/>
      <c r="L662" s="1849"/>
      <c r="M662" s="1899"/>
      <c r="N662" s="1899"/>
      <c r="O662" s="1900"/>
    </row>
    <row r="663" spans="1:15" s="1831" customFormat="1" ht="8.4" x14ac:dyDescent="0.15">
      <c r="A663" s="1835" t="s">
        <v>1946</v>
      </c>
      <c r="B663" s="1845" t="s">
        <v>2248</v>
      </c>
      <c r="C663" s="1666"/>
      <c r="D663" s="1666"/>
      <c r="E663" s="1666"/>
      <c r="F663" s="1666"/>
      <c r="G663" s="1667"/>
      <c r="H663" s="1667"/>
      <c r="I663" s="1667"/>
      <c r="J663" s="1849">
        <v>540000</v>
      </c>
      <c r="K663" s="1849"/>
      <c r="L663" s="1849"/>
      <c r="M663" s="1899"/>
      <c r="N663" s="1899"/>
      <c r="O663" s="1900"/>
    </row>
    <row r="664" spans="1:15" s="1831" customFormat="1" ht="8.4" x14ac:dyDescent="0.15">
      <c r="A664" s="1835" t="s">
        <v>1946</v>
      </c>
      <c r="B664" s="1845" t="s">
        <v>2021</v>
      </c>
      <c r="C664" s="1666"/>
      <c r="D664" s="1666"/>
      <c r="E664" s="1666"/>
      <c r="F664" s="1666"/>
      <c r="G664" s="1667"/>
      <c r="H664" s="1667"/>
      <c r="I664" s="1667"/>
      <c r="J664" s="1849">
        <v>1000000</v>
      </c>
      <c r="K664" s="1849"/>
      <c r="L664" s="1849"/>
      <c r="M664" s="1899"/>
      <c r="N664" s="1899"/>
      <c r="O664" s="1900"/>
    </row>
    <row r="665" spans="1:15" s="1831" customFormat="1" ht="16.8" x14ac:dyDescent="0.15">
      <c r="A665" s="1835" t="s">
        <v>2249</v>
      </c>
      <c r="B665" s="1845" t="s">
        <v>2283</v>
      </c>
      <c r="C665" s="1666"/>
      <c r="D665" s="1666"/>
      <c r="E665" s="1666"/>
      <c r="F665" s="1666">
        <v>4030000</v>
      </c>
      <c r="G665" s="1667"/>
      <c r="H665" s="1667"/>
      <c r="I665" s="1667"/>
      <c r="J665" s="1849"/>
      <c r="K665" s="1849"/>
      <c r="L665" s="1849"/>
      <c r="M665" s="1899"/>
      <c r="N665" s="1899"/>
      <c r="O665" s="1900"/>
    </row>
    <row r="666" spans="1:15" s="1831" customFormat="1" ht="8.4" x14ac:dyDescent="0.15">
      <c r="A666" s="1835" t="s">
        <v>2249</v>
      </c>
      <c r="B666" s="1845" t="s">
        <v>2250</v>
      </c>
      <c r="C666" s="1666"/>
      <c r="D666" s="1666"/>
      <c r="E666" s="1666"/>
      <c r="F666" s="1666"/>
      <c r="G666" s="1667"/>
      <c r="H666" s="1667"/>
      <c r="I666" s="1667"/>
      <c r="J666" s="1849">
        <v>250000</v>
      </c>
      <c r="K666" s="1849"/>
      <c r="L666" s="1849"/>
      <c r="M666" s="1899"/>
      <c r="N666" s="1899"/>
      <c r="O666" s="1900"/>
    </row>
    <row r="667" spans="1:15" s="1831" customFormat="1" ht="8.4" x14ac:dyDescent="0.15">
      <c r="A667" s="1835" t="s">
        <v>2269</v>
      </c>
      <c r="B667" s="1845" t="s">
        <v>2270</v>
      </c>
      <c r="C667" s="1666"/>
      <c r="D667" s="1666"/>
      <c r="E667" s="1666"/>
      <c r="F667" s="1666"/>
      <c r="G667" s="1667"/>
      <c r="H667" s="1667"/>
      <c r="I667" s="1667"/>
      <c r="J667" s="1849">
        <v>70000</v>
      </c>
      <c r="K667" s="1849"/>
      <c r="L667" s="1849"/>
      <c r="M667" s="1899"/>
      <c r="N667" s="1899"/>
      <c r="O667" s="1900"/>
    </row>
    <row r="668" spans="1:15" s="1831" customFormat="1" ht="8.4" x14ac:dyDescent="0.15">
      <c r="A668" s="1835" t="s">
        <v>2099</v>
      </c>
      <c r="B668" s="1845" t="s">
        <v>2174</v>
      </c>
      <c r="C668" s="1666"/>
      <c r="D668" s="1666"/>
      <c r="E668" s="1666"/>
      <c r="F668" s="1666"/>
      <c r="G668" s="1667"/>
      <c r="H668" s="1667"/>
      <c r="I668" s="1667"/>
      <c r="J668" s="1849">
        <v>1000000</v>
      </c>
      <c r="K668" s="1849"/>
      <c r="L668" s="1849"/>
      <c r="M668" s="1899"/>
      <c r="N668" s="1899"/>
      <c r="O668" s="1900" t="s">
        <v>2287</v>
      </c>
    </row>
    <row r="669" spans="1:15" s="1831" customFormat="1" ht="8.4" x14ac:dyDescent="0.15">
      <c r="A669" s="1835" t="s">
        <v>1955</v>
      </c>
      <c r="B669" s="1845" t="s">
        <v>2282</v>
      </c>
      <c r="C669" s="1666"/>
      <c r="D669" s="1666"/>
      <c r="E669" s="1666"/>
      <c r="F669" s="1666">
        <v>3070000</v>
      </c>
      <c r="G669" s="1667"/>
      <c r="H669" s="1667"/>
      <c r="I669" s="1667"/>
      <c r="J669" s="1849"/>
      <c r="K669" s="1849"/>
      <c r="L669" s="1849"/>
      <c r="M669" s="1899"/>
      <c r="N669" s="1899"/>
      <c r="O669" s="1900"/>
    </row>
    <row r="670" spans="1:15" s="1831" customFormat="1" ht="8.4" x14ac:dyDescent="0.15">
      <c r="A670" s="1835" t="s">
        <v>1955</v>
      </c>
      <c r="B670" s="1845" t="s">
        <v>2296</v>
      </c>
      <c r="C670" s="1666"/>
      <c r="D670" s="1666"/>
      <c r="E670" s="1666"/>
      <c r="F670" s="1666"/>
      <c r="G670" s="1667"/>
      <c r="H670" s="1667"/>
      <c r="I670" s="1667"/>
      <c r="J670" s="1849">
        <v>2600000</v>
      </c>
      <c r="K670" s="1849"/>
      <c r="L670" s="1849"/>
      <c r="M670" s="1899"/>
      <c r="N670" s="1899"/>
      <c r="O670" s="1900"/>
    </row>
    <row r="671" spans="1:15" s="1831" customFormat="1" ht="8.4" x14ac:dyDescent="0.15">
      <c r="A671" s="1835" t="s">
        <v>1955</v>
      </c>
      <c r="B671" s="1845" t="s">
        <v>2251</v>
      </c>
      <c r="C671" s="1666"/>
      <c r="D671" s="1666"/>
      <c r="E671" s="1666"/>
      <c r="F671" s="1666"/>
      <c r="G671" s="1667"/>
      <c r="H671" s="1667"/>
      <c r="I671" s="1667"/>
      <c r="J671" s="1849">
        <v>421000</v>
      </c>
      <c r="K671" s="1849"/>
      <c r="L671" s="1849"/>
      <c r="M671" s="1899"/>
      <c r="N671" s="1899"/>
      <c r="O671" s="1900"/>
    </row>
    <row r="672" spans="1:15" s="1831" customFormat="1" ht="16.8" x14ac:dyDescent="0.15">
      <c r="A672" s="1835" t="s">
        <v>1955</v>
      </c>
      <c r="B672" s="1845" t="s">
        <v>2265</v>
      </c>
      <c r="C672" s="1666"/>
      <c r="D672" s="1666"/>
      <c r="E672" s="1666"/>
      <c r="F672" s="1666"/>
      <c r="G672" s="1667"/>
      <c r="H672" s="1667"/>
      <c r="I672" s="1667"/>
      <c r="J672" s="1849">
        <v>3616000</v>
      </c>
      <c r="K672" s="1849"/>
      <c r="L672" s="1849"/>
      <c r="M672" s="1899"/>
      <c r="N672" s="1899"/>
      <c r="O672" s="1900"/>
    </row>
    <row r="673" spans="1:15" s="1831" customFormat="1" ht="8.4" x14ac:dyDescent="0.15">
      <c r="A673" s="1835" t="s">
        <v>1955</v>
      </c>
      <c r="B673" s="1845" t="s">
        <v>2021</v>
      </c>
      <c r="C673" s="1666"/>
      <c r="D673" s="1666"/>
      <c r="E673" s="1666"/>
      <c r="F673" s="1666"/>
      <c r="G673" s="1667"/>
      <c r="H673" s="1667"/>
      <c r="I673" s="1667"/>
      <c r="J673" s="1849">
        <v>300000</v>
      </c>
      <c r="K673" s="1849"/>
      <c r="L673" s="1849"/>
      <c r="M673" s="1899"/>
      <c r="N673" s="1899"/>
      <c r="O673" s="1900"/>
    </row>
    <row r="674" spans="1:15" s="1831" customFormat="1" ht="8.4" x14ac:dyDescent="0.15">
      <c r="A674" s="1835" t="s">
        <v>1955</v>
      </c>
      <c r="B674" s="1845" t="s">
        <v>2272</v>
      </c>
      <c r="C674" s="1666"/>
      <c r="D674" s="1666"/>
      <c r="E674" s="1666"/>
      <c r="F674" s="1666"/>
      <c r="G674" s="1667"/>
      <c r="H674" s="1667"/>
      <c r="I674" s="1667"/>
      <c r="J674" s="1849">
        <v>331661</v>
      </c>
      <c r="K674" s="1849"/>
      <c r="L674" s="1849"/>
      <c r="M674" s="1899"/>
      <c r="N674" s="1899"/>
      <c r="O674" s="1900"/>
    </row>
    <row r="675" spans="1:15" s="1831" customFormat="1" ht="16.8" x14ac:dyDescent="0.15">
      <c r="A675" s="1835" t="s">
        <v>1949</v>
      </c>
      <c r="B675" s="1845" t="s">
        <v>2267</v>
      </c>
      <c r="C675" s="1666"/>
      <c r="D675" s="1666"/>
      <c r="E675" s="1666"/>
      <c r="F675" s="1666"/>
      <c r="G675" s="1667"/>
      <c r="H675" s="1667"/>
      <c r="I675" s="1667"/>
      <c r="J675" s="1849">
        <v>1580000</v>
      </c>
      <c r="K675" s="1849"/>
      <c r="L675" s="1849"/>
      <c r="M675" s="1899"/>
      <c r="N675" s="1899"/>
      <c r="O675" s="1900"/>
    </row>
    <row r="676" spans="1:15" s="1831" customFormat="1" ht="8.4" x14ac:dyDescent="0.15">
      <c r="A676" s="1835" t="s">
        <v>1949</v>
      </c>
      <c r="B676" s="1845" t="s">
        <v>2174</v>
      </c>
      <c r="C676" s="1666"/>
      <c r="D676" s="1666"/>
      <c r="E676" s="1666"/>
      <c r="F676" s="1666"/>
      <c r="G676" s="1667"/>
      <c r="H676" s="1667"/>
      <c r="I676" s="1667"/>
      <c r="J676" s="1849">
        <v>1026720</v>
      </c>
      <c r="K676" s="1849"/>
      <c r="L676" s="1849"/>
      <c r="M676" s="1899"/>
      <c r="N676" s="1899"/>
      <c r="O676" s="1900" t="s">
        <v>2287</v>
      </c>
    </row>
    <row r="677" spans="1:15" s="1831" customFormat="1" ht="8.4" x14ac:dyDescent="0.15">
      <c r="A677" s="1835" t="s">
        <v>1949</v>
      </c>
      <c r="B677" s="1845" t="s">
        <v>2268</v>
      </c>
      <c r="C677" s="1666"/>
      <c r="D677" s="1666"/>
      <c r="E677" s="1666"/>
      <c r="F677" s="1666"/>
      <c r="G677" s="1667"/>
      <c r="H677" s="1667"/>
      <c r="I677" s="1667"/>
      <c r="J677" s="1849">
        <v>1350000</v>
      </c>
      <c r="K677" s="1849"/>
      <c r="L677" s="1849"/>
      <c r="M677" s="1899"/>
      <c r="N677" s="1899"/>
      <c r="O677" s="1900"/>
    </row>
    <row r="678" spans="1:15" s="1831" customFormat="1" ht="8.4" x14ac:dyDescent="0.15">
      <c r="A678" s="1835" t="s">
        <v>1950</v>
      </c>
      <c r="B678" s="1845" t="s">
        <v>2252</v>
      </c>
      <c r="C678" s="1666"/>
      <c r="D678" s="1666"/>
      <c r="E678" s="1666"/>
      <c r="F678" s="1666"/>
      <c r="G678" s="1667"/>
      <c r="H678" s="1667"/>
      <c r="I678" s="1667"/>
      <c r="J678" s="1849">
        <v>115000</v>
      </c>
      <c r="K678" s="1849"/>
      <c r="L678" s="1849"/>
      <c r="M678" s="1899"/>
      <c r="N678" s="1899"/>
      <c r="O678" s="1900"/>
    </row>
    <row r="679" spans="1:15" s="1831" customFormat="1" ht="8.4" x14ac:dyDescent="0.15">
      <c r="A679" s="1835" t="s">
        <v>1950</v>
      </c>
      <c r="B679" s="1845" t="s">
        <v>2266</v>
      </c>
      <c r="C679" s="1666"/>
      <c r="D679" s="1666"/>
      <c r="E679" s="1666"/>
      <c r="F679" s="1666"/>
      <c r="G679" s="1667"/>
      <c r="H679" s="1667"/>
      <c r="I679" s="1667"/>
      <c r="J679" s="1849">
        <v>4000000</v>
      </c>
      <c r="K679" s="1849"/>
      <c r="L679" s="1849"/>
      <c r="M679" s="1899"/>
      <c r="N679" s="1899"/>
      <c r="O679" s="1900"/>
    </row>
    <row r="680" spans="1:15" s="1831" customFormat="1" ht="8.4" x14ac:dyDescent="0.15">
      <c r="A680" s="1835" t="s">
        <v>1950</v>
      </c>
      <c r="B680" s="1845" t="s">
        <v>2174</v>
      </c>
      <c r="C680" s="1666"/>
      <c r="D680" s="1666"/>
      <c r="E680" s="1666"/>
      <c r="F680" s="1666"/>
      <c r="G680" s="1667"/>
      <c r="H680" s="1667"/>
      <c r="I680" s="1667"/>
      <c r="J680" s="1849">
        <v>1000000</v>
      </c>
      <c r="K680" s="1849"/>
      <c r="L680" s="1849"/>
      <c r="M680" s="1899"/>
      <c r="N680" s="1899"/>
      <c r="O680" s="1900" t="s">
        <v>2287</v>
      </c>
    </row>
    <row r="681" spans="1:15" s="1831" customFormat="1" ht="8.4" x14ac:dyDescent="0.15">
      <c r="A681" s="1835" t="s">
        <v>2253</v>
      </c>
      <c r="B681" s="1845" t="s">
        <v>2254</v>
      </c>
      <c r="C681" s="1666"/>
      <c r="D681" s="1666"/>
      <c r="E681" s="1666"/>
      <c r="F681" s="1666"/>
      <c r="G681" s="1667"/>
      <c r="H681" s="1667"/>
      <c r="I681" s="1667"/>
      <c r="J681" s="1849">
        <v>91339</v>
      </c>
      <c r="K681" s="1849"/>
      <c r="L681" s="1849"/>
      <c r="M681" s="1899"/>
      <c r="N681" s="1899"/>
      <c r="O681" s="1900"/>
    </row>
    <row r="682" spans="1:15" s="1831" customFormat="1" ht="8.4" x14ac:dyDescent="0.15">
      <c r="A682" s="1835" t="s">
        <v>2253</v>
      </c>
      <c r="B682" s="1845" t="s">
        <v>2255</v>
      </c>
      <c r="C682" s="1666"/>
      <c r="D682" s="1666"/>
      <c r="E682" s="1666"/>
      <c r="F682" s="1666"/>
      <c r="G682" s="1667"/>
      <c r="H682" s="1667"/>
      <c r="I682" s="1667"/>
      <c r="J682" s="1849">
        <v>37400</v>
      </c>
      <c r="K682" s="1849"/>
      <c r="L682" s="1849"/>
      <c r="M682" s="1899"/>
      <c r="N682" s="1899"/>
      <c r="O682" s="1900"/>
    </row>
    <row r="683" spans="1:15" s="1831" customFormat="1" ht="8.4" x14ac:dyDescent="0.15">
      <c r="A683" s="1835" t="s">
        <v>2253</v>
      </c>
      <c r="B683" s="1845" t="s">
        <v>2021</v>
      </c>
      <c r="C683" s="1666"/>
      <c r="D683" s="1666"/>
      <c r="E683" s="1666"/>
      <c r="F683" s="1666"/>
      <c r="G683" s="1667"/>
      <c r="H683" s="1667"/>
      <c r="I683" s="1667"/>
      <c r="J683" s="1849">
        <v>5000000</v>
      </c>
      <c r="K683" s="1849"/>
      <c r="L683" s="1849"/>
      <c r="M683" s="1899"/>
      <c r="N683" s="1899"/>
      <c r="O683" s="1900"/>
    </row>
    <row r="684" spans="1:15" s="1831" customFormat="1" ht="8.4" x14ac:dyDescent="0.15">
      <c r="A684" s="1835" t="s">
        <v>2093</v>
      </c>
      <c r="B684" s="1845" t="s">
        <v>2060</v>
      </c>
      <c r="C684" s="1666"/>
      <c r="D684" s="1666"/>
      <c r="E684" s="1666"/>
      <c r="F684" s="1666"/>
      <c r="G684" s="1667"/>
      <c r="H684" s="1667"/>
      <c r="I684" s="1667"/>
      <c r="J684" s="1849">
        <v>120000</v>
      </c>
      <c r="K684" s="1849"/>
      <c r="L684" s="1849"/>
      <c r="M684" s="1899"/>
      <c r="N684" s="1899"/>
      <c r="O684" s="1900"/>
    </row>
    <row r="685" spans="1:15" s="1831" customFormat="1" ht="8.4" x14ac:dyDescent="0.15">
      <c r="A685" s="1835" t="s">
        <v>2093</v>
      </c>
      <c r="B685" s="1845" t="s">
        <v>2285</v>
      </c>
      <c r="C685" s="1666"/>
      <c r="D685" s="1666"/>
      <c r="E685" s="1666"/>
      <c r="F685" s="1666">
        <v>20000000</v>
      </c>
      <c r="G685" s="1667"/>
      <c r="H685" s="1667"/>
      <c r="I685" s="1667"/>
      <c r="J685" s="1849"/>
      <c r="K685" s="1849"/>
      <c r="L685" s="1849"/>
      <c r="M685" s="1899"/>
      <c r="N685" s="1899"/>
      <c r="O685" s="1900"/>
    </row>
    <row r="686" spans="1:15" s="1831" customFormat="1" ht="8.4" x14ac:dyDescent="0.15">
      <c r="A686" s="1835" t="s">
        <v>1998</v>
      </c>
      <c r="B686" s="1845" t="s">
        <v>2174</v>
      </c>
      <c r="C686" s="1666"/>
      <c r="D686" s="1666"/>
      <c r="E686" s="1666"/>
      <c r="F686" s="1666"/>
      <c r="G686" s="1667"/>
      <c r="H686" s="1667"/>
      <c r="I686" s="1667"/>
      <c r="J686" s="1849">
        <v>1064000</v>
      </c>
      <c r="K686" s="1849"/>
      <c r="L686" s="1849"/>
      <c r="M686" s="1899"/>
      <c r="N686" s="1899"/>
      <c r="O686" s="1900" t="s">
        <v>2292</v>
      </c>
    </row>
    <row r="687" spans="1:15" s="1831" customFormat="1" ht="8.4" x14ac:dyDescent="0.15">
      <c r="A687" s="1835" t="s">
        <v>1998</v>
      </c>
      <c r="B687" s="1845" t="s">
        <v>2284</v>
      </c>
      <c r="C687" s="1666"/>
      <c r="D687" s="1666"/>
      <c r="E687" s="1666"/>
      <c r="F687" s="1666">
        <v>10160000</v>
      </c>
      <c r="G687" s="1667"/>
      <c r="H687" s="1667"/>
      <c r="I687" s="1667"/>
      <c r="J687" s="1849"/>
      <c r="K687" s="1849"/>
      <c r="L687" s="1849"/>
      <c r="M687" s="1899"/>
      <c r="N687" s="1899"/>
      <c r="O687" s="1900"/>
    </row>
    <row r="688" spans="1:15" s="1831" customFormat="1" ht="8.4" x14ac:dyDescent="0.15">
      <c r="A688" s="1835" t="s">
        <v>1956</v>
      </c>
      <c r="B688" s="1845" t="s">
        <v>2256</v>
      </c>
      <c r="C688" s="1666"/>
      <c r="D688" s="1666"/>
      <c r="E688" s="1666"/>
      <c r="F688" s="1666"/>
      <c r="G688" s="1667"/>
      <c r="H688" s="1667"/>
      <c r="I688" s="1667"/>
      <c r="J688" s="1849">
        <v>180000</v>
      </c>
      <c r="K688" s="1849"/>
      <c r="L688" s="1849"/>
      <c r="M688" s="1899"/>
      <c r="N688" s="1899"/>
      <c r="O688" s="1900"/>
    </row>
    <row r="689" spans="1:15" s="1831" customFormat="1" ht="8.4" x14ac:dyDescent="0.15">
      <c r="A689" s="1835" t="s">
        <v>1956</v>
      </c>
      <c r="B689" s="1845" t="s">
        <v>2174</v>
      </c>
      <c r="C689" s="1666"/>
      <c r="D689" s="1666"/>
      <c r="E689" s="1666"/>
      <c r="F689" s="1666"/>
      <c r="G689" s="1667"/>
      <c r="H689" s="1667"/>
      <c r="I689" s="1667"/>
      <c r="J689" s="1849">
        <v>1005720</v>
      </c>
      <c r="K689" s="1849"/>
      <c r="L689" s="1849"/>
      <c r="M689" s="1899"/>
      <c r="N689" s="1899"/>
      <c r="O689" s="1900" t="s">
        <v>2287</v>
      </c>
    </row>
    <row r="690" spans="1:15" s="1831" customFormat="1" ht="8.4" x14ac:dyDescent="0.15">
      <c r="A690" s="1835" t="s">
        <v>2090</v>
      </c>
      <c r="B690" s="1845" t="s">
        <v>2257</v>
      </c>
      <c r="C690" s="1666"/>
      <c r="D690" s="1666"/>
      <c r="E690" s="1666"/>
      <c r="F690" s="1666"/>
      <c r="G690" s="1667"/>
      <c r="H690" s="1667"/>
      <c r="I690" s="1667"/>
      <c r="J690" s="1849">
        <v>600000</v>
      </c>
      <c r="K690" s="1849"/>
      <c r="L690" s="1849"/>
      <c r="M690" s="1899"/>
      <c r="N690" s="1899"/>
      <c r="O690" s="1900"/>
    </row>
    <row r="691" spans="1:15" s="1831" customFormat="1" ht="8.4" x14ac:dyDescent="0.15">
      <c r="A691" s="1835" t="s">
        <v>2090</v>
      </c>
      <c r="B691" s="1665" t="s">
        <v>2210</v>
      </c>
      <c r="C691" s="1666"/>
      <c r="D691" s="1666"/>
      <c r="E691" s="1666"/>
      <c r="F691" s="1666"/>
      <c r="G691" s="1667"/>
      <c r="H691" s="1667"/>
      <c r="I691" s="1667"/>
      <c r="J691" s="1849">
        <v>11200000</v>
      </c>
      <c r="K691" s="1849"/>
      <c r="L691" s="1849"/>
      <c r="M691" s="1899"/>
      <c r="N691" s="1899"/>
      <c r="O691" s="1900"/>
    </row>
    <row r="692" spans="1:15" s="1831" customFormat="1" ht="8.4" x14ac:dyDescent="0.15">
      <c r="A692" s="1835" t="s">
        <v>2090</v>
      </c>
      <c r="B692" s="1665" t="s">
        <v>2274</v>
      </c>
      <c r="C692" s="1666"/>
      <c r="D692" s="1666"/>
      <c r="E692" s="1666"/>
      <c r="F692" s="1666"/>
      <c r="G692" s="1667"/>
      <c r="H692" s="1667"/>
      <c r="I692" s="1667"/>
      <c r="J692" s="1849">
        <v>4700000</v>
      </c>
      <c r="K692" s="1849"/>
      <c r="L692" s="1849"/>
      <c r="M692" s="1899"/>
      <c r="N692" s="1899"/>
      <c r="O692" s="1900"/>
    </row>
    <row r="693" spans="1:15" s="1831" customFormat="1" ht="8.4" x14ac:dyDescent="0.15">
      <c r="A693" s="1835" t="s">
        <v>2090</v>
      </c>
      <c r="B693" s="1665" t="s">
        <v>2273</v>
      </c>
      <c r="C693" s="1666"/>
      <c r="D693" s="1666"/>
      <c r="E693" s="1666"/>
      <c r="F693" s="1666"/>
      <c r="G693" s="1667"/>
      <c r="H693" s="1667"/>
      <c r="I693" s="1667"/>
      <c r="J693" s="1849">
        <v>50000000</v>
      </c>
      <c r="K693" s="1849"/>
      <c r="L693" s="1849"/>
      <c r="M693" s="1899"/>
      <c r="N693" s="1899"/>
      <c r="O693" s="1900"/>
    </row>
    <row r="694" spans="1:15" s="1831" customFormat="1" ht="16.8" x14ac:dyDescent="0.15">
      <c r="A694" s="1835" t="s">
        <v>2061</v>
      </c>
      <c r="B694" s="1665" t="s">
        <v>2213</v>
      </c>
      <c r="C694" s="1666"/>
      <c r="D694" s="1666"/>
      <c r="E694" s="1666"/>
      <c r="F694" s="1666">
        <v>10000000</v>
      </c>
      <c r="G694" s="1667"/>
      <c r="H694" s="1667"/>
      <c r="I694" s="1667"/>
      <c r="J694" s="1849"/>
      <c r="K694" s="1849"/>
      <c r="L694" s="1849"/>
      <c r="M694" s="1899"/>
      <c r="N694" s="1899"/>
      <c r="O694" s="1900"/>
    </row>
    <row r="695" spans="1:15" s="1831" customFormat="1" ht="16.8" x14ac:dyDescent="0.15">
      <c r="A695" s="1835" t="s">
        <v>2061</v>
      </c>
      <c r="B695" s="1665" t="s">
        <v>2213</v>
      </c>
      <c r="C695" s="1666"/>
      <c r="D695" s="1666"/>
      <c r="E695" s="1666"/>
      <c r="F695" s="1666">
        <v>40000000</v>
      </c>
      <c r="G695" s="1667"/>
      <c r="H695" s="1667"/>
      <c r="I695" s="1667"/>
      <c r="J695" s="1849"/>
      <c r="K695" s="1849"/>
      <c r="L695" s="1849"/>
      <c r="M695" s="1899"/>
      <c r="N695" s="1899"/>
      <c r="O695" s="1900"/>
    </row>
    <row r="696" spans="1:15" s="1831" customFormat="1" ht="8.4" x14ac:dyDescent="0.15">
      <c r="A696" s="1835" t="s">
        <v>2061</v>
      </c>
      <c r="B696" s="1665" t="s">
        <v>2174</v>
      </c>
      <c r="C696" s="1666"/>
      <c r="D696" s="1666"/>
      <c r="E696" s="1666"/>
      <c r="F696" s="1666"/>
      <c r="G696" s="1667"/>
      <c r="H696" s="1667"/>
      <c r="I696" s="1667"/>
      <c r="J696" s="1849">
        <v>760000</v>
      </c>
      <c r="K696" s="1849"/>
      <c r="L696" s="1849"/>
      <c r="M696" s="1899"/>
      <c r="N696" s="1899"/>
      <c r="O696" s="1900" t="s">
        <v>2287</v>
      </c>
    </row>
    <row r="697" spans="1:15" s="1831" customFormat="1" ht="8.4" x14ac:dyDescent="0.15">
      <c r="A697" s="1835" t="s">
        <v>2061</v>
      </c>
      <c r="B697" s="1845" t="s">
        <v>2258</v>
      </c>
      <c r="C697" s="1666"/>
      <c r="D697" s="1666"/>
      <c r="E697" s="1666"/>
      <c r="F697" s="1666"/>
      <c r="G697" s="1667"/>
      <c r="H697" s="1667"/>
      <c r="I697" s="1667"/>
      <c r="J697" s="1849">
        <v>148000000</v>
      </c>
      <c r="K697" s="1849"/>
      <c r="L697" s="1849"/>
      <c r="M697" s="1899"/>
      <c r="N697" s="1899"/>
      <c r="O697" s="1900"/>
    </row>
    <row r="698" spans="1:15" s="1831" customFormat="1" ht="8.4" x14ac:dyDescent="0.15">
      <c r="A698" s="1835" t="s">
        <v>2061</v>
      </c>
      <c r="B698" s="1845" t="s">
        <v>2060</v>
      </c>
      <c r="C698" s="1666"/>
      <c r="D698" s="1666"/>
      <c r="E698" s="1666"/>
      <c r="F698" s="1666"/>
      <c r="G698" s="1667"/>
      <c r="H698" s="1667"/>
      <c r="I698" s="1667"/>
      <c r="J698" s="1849">
        <v>109000</v>
      </c>
      <c r="K698" s="1849"/>
      <c r="L698" s="1849"/>
      <c r="M698" s="1899"/>
      <c r="N698" s="1899"/>
      <c r="O698" s="1900"/>
    </row>
    <row r="699" spans="1:15" s="1831" customFormat="1" ht="8.4" x14ac:dyDescent="0.15">
      <c r="A699" s="1835" t="s">
        <v>2061</v>
      </c>
      <c r="B699" s="1845" t="s">
        <v>2259</v>
      </c>
      <c r="C699" s="1666"/>
      <c r="D699" s="1666"/>
      <c r="E699" s="1666"/>
      <c r="F699" s="1666"/>
      <c r="G699" s="1667"/>
      <c r="H699" s="1667"/>
      <c r="I699" s="1667"/>
      <c r="J699" s="1849">
        <v>5550000</v>
      </c>
      <c r="K699" s="1849"/>
      <c r="L699" s="1849"/>
      <c r="M699" s="1899"/>
      <c r="N699" s="1899"/>
      <c r="O699" s="1900"/>
    </row>
    <row r="700" spans="1:15" s="1831" customFormat="1" ht="8.4" x14ac:dyDescent="0.15">
      <c r="A700" s="2333" t="s">
        <v>2276</v>
      </c>
      <c r="B700" s="2333"/>
      <c r="C700" s="1847">
        <f>SUM(C262:C699)</f>
        <v>0</v>
      </c>
      <c r="D700" s="1847">
        <f t="shared" ref="D700:F700" si="1">SUM(D262:D699)</f>
        <v>352861750</v>
      </c>
      <c r="E700" s="1847">
        <f t="shared" si="1"/>
        <v>45000000</v>
      </c>
      <c r="F700" s="1847">
        <f t="shared" si="1"/>
        <v>1216019050</v>
      </c>
      <c r="G700" s="1651">
        <f>SUM(G262:G699)</f>
        <v>300000</v>
      </c>
      <c r="H700" s="1651">
        <f t="shared" ref="H700:N700" si="2">SUM(H262:H699)</f>
        <v>457714000</v>
      </c>
      <c r="I700" s="1651">
        <f t="shared" si="2"/>
        <v>45270000</v>
      </c>
      <c r="J700" s="1651">
        <f t="shared" si="2"/>
        <v>1154158720</v>
      </c>
      <c r="K700" s="1651">
        <f t="shared" si="2"/>
        <v>4030000</v>
      </c>
      <c r="L700" s="1651">
        <f t="shared" si="2"/>
        <v>15505000</v>
      </c>
      <c r="M700" s="1651">
        <f t="shared" si="2"/>
        <v>0</v>
      </c>
      <c r="N700" s="1651">
        <f t="shared" si="2"/>
        <v>0</v>
      </c>
      <c r="O700" s="1901"/>
    </row>
    <row r="701" spans="1:15" s="1831" customFormat="1" ht="8.4" x14ac:dyDescent="0.15">
      <c r="A701" s="2331" t="s">
        <v>2277</v>
      </c>
      <c r="B701" s="2331"/>
      <c r="C701" s="1847"/>
      <c r="D701" s="1847"/>
      <c r="E701" s="1847"/>
      <c r="F701" s="1847">
        <f>SUM(C700:F700)</f>
        <v>1613880800</v>
      </c>
      <c r="G701" s="1651"/>
      <c r="H701" s="1651"/>
      <c r="I701" s="1651"/>
      <c r="J701" s="1902"/>
      <c r="K701" s="1902"/>
      <c r="L701" s="1902"/>
      <c r="M701" s="1902"/>
      <c r="N701" s="1902"/>
      <c r="O701" s="1901"/>
    </row>
    <row r="702" spans="1:15" s="1831" customFormat="1" ht="8.4" x14ac:dyDescent="0.15">
      <c r="A702" s="2331" t="s">
        <v>2278</v>
      </c>
      <c r="B702" s="2331"/>
      <c r="C702" s="1847"/>
      <c r="D702" s="1847"/>
      <c r="E702" s="1847"/>
      <c r="F702" s="1847">
        <f>SUM(G700:N700)</f>
        <v>1676977720</v>
      </c>
      <c r="G702" s="1651"/>
      <c r="H702" s="1651"/>
      <c r="I702" s="1651"/>
      <c r="J702" s="1902"/>
      <c r="K702" s="1902"/>
      <c r="L702" s="1902"/>
      <c r="M702" s="1902"/>
      <c r="N702" s="1902"/>
      <c r="O702" s="1901"/>
    </row>
    <row r="703" spans="1:15" s="1831" customFormat="1" ht="8.4" x14ac:dyDescent="0.15">
      <c r="A703" s="2331" t="s">
        <v>2279</v>
      </c>
      <c r="B703" s="2331"/>
      <c r="C703" s="1847"/>
      <c r="D703" s="1847"/>
      <c r="E703" s="1847"/>
      <c r="F703" s="1847">
        <f>F701-F702</f>
        <v>-63096920</v>
      </c>
      <c r="G703" s="1651"/>
      <c r="H703" s="1651"/>
      <c r="I703" s="1651"/>
      <c r="J703" s="1902"/>
      <c r="K703" s="1902"/>
      <c r="L703" s="1902"/>
      <c r="M703" s="1902"/>
      <c r="N703" s="1902"/>
      <c r="O703" s="1901"/>
    </row>
    <row r="704" spans="1:15" s="1831" customFormat="1" ht="10.199999999999999" x14ac:dyDescent="0.2">
      <c r="A704" s="2332" t="s">
        <v>2280</v>
      </c>
      <c r="B704" s="2332"/>
      <c r="C704" s="1847"/>
      <c r="D704" s="1847"/>
      <c r="E704" s="1847"/>
      <c r="F704" s="1847">
        <f>F703</f>
        <v>-63096920</v>
      </c>
      <c r="G704" s="1651"/>
      <c r="H704" s="1651"/>
      <c r="I704" s="1651"/>
      <c r="J704" s="1902"/>
      <c r="K704" s="1902"/>
      <c r="L704" s="1902"/>
      <c r="M704" s="1902"/>
      <c r="N704" s="1902"/>
      <c r="O704" s="1901"/>
    </row>
    <row r="705" spans="1:15" s="1831" customFormat="1" ht="16.8" x14ac:dyDescent="0.15">
      <c r="A705" s="1832">
        <v>43831</v>
      </c>
      <c r="B705" s="1665" t="s">
        <v>2275</v>
      </c>
      <c r="C705" s="1666"/>
      <c r="D705" s="1666"/>
      <c r="E705" s="1666"/>
      <c r="F705" s="1666"/>
      <c r="G705" s="1667"/>
      <c r="H705" s="1667"/>
      <c r="I705" s="1667"/>
      <c r="J705" s="1849">
        <v>530000</v>
      </c>
      <c r="K705" s="1849"/>
      <c r="L705" s="1849"/>
      <c r="M705" s="1899"/>
      <c r="N705" s="1899"/>
      <c r="O705" s="1900"/>
    </row>
    <row r="706" spans="1:15" s="1831" customFormat="1" ht="8.4" x14ac:dyDescent="0.15">
      <c r="A706" s="1832">
        <v>43831</v>
      </c>
      <c r="B706" s="1665" t="s">
        <v>2176</v>
      </c>
      <c r="C706" s="1666"/>
      <c r="D706" s="1666"/>
      <c r="E706" s="1666"/>
      <c r="F706" s="1666"/>
      <c r="G706" s="1667"/>
      <c r="H706" s="1667"/>
      <c r="I706" s="1667"/>
      <c r="J706" s="1849">
        <v>580000</v>
      </c>
      <c r="K706" s="1849"/>
      <c r="L706" s="1849"/>
      <c r="M706" s="1899"/>
      <c r="N706" s="1899"/>
      <c r="O706" s="1900"/>
    </row>
    <row r="707" spans="1:15" s="1831" customFormat="1" ht="16.8" x14ac:dyDescent="0.15">
      <c r="A707" s="1832">
        <v>43831</v>
      </c>
      <c r="B707" s="1665" t="s">
        <v>2123</v>
      </c>
      <c r="C707" s="1666"/>
      <c r="D707" s="1666"/>
      <c r="E707" s="1666"/>
      <c r="F707" s="1666"/>
      <c r="G707" s="1667"/>
      <c r="H707" s="1667"/>
      <c r="I707" s="1667"/>
      <c r="J707" s="1849">
        <v>103143</v>
      </c>
      <c r="K707" s="1849"/>
      <c r="L707" s="1849"/>
      <c r="M707" s="1899"/>
      <c r="N707" s="1899"/>
      <c r="O707" s="1900"/>
    </row>
    <row r="708" spans="1:15" s="1831" customFormat="1" ht="8.4" x14ac:dyDescent="0.15">
      <c r="A708" s="1832">
        <v>43862</v>
      </c>
      <c r="B708" s="1665" t="s">
        <v>2165</v>
      </c>
      <c r="C708" s="1666"/>
      <c r="D708" s="1666"/>
      <c r="E708" s="1666"/>
      <c r="F708" s="1666"/>
      <c r="G708" s="1667"/>
      <c r="H708" s="1667"/>
      <c r="I708" s="1667"/>
      <c r="J708" s="1849">
        <v>709830</v>
      </c>
      <c r="K708" s="1849"/>
      <c r="L708" s="1849"/>
      <c r="M708" s="1899"/>
      <c r="N708" s="1899"/>
      <c r="O708" s="1900"/>
    </row>
    <row r="709" spans="1:15" s="1831" customFormat="1" ht="16.8" x14ac:dyDescent="0.15">
      <c r="A709" s="1832">
        <v>43862</v>
      </c>
      <c r="B709" s="1665" t="s">
        <v>2182</v>
      </c>
      <c r="C709" s="1666"/>
      <c r="D709" s="1666"/>
      <c r="E709" s="1666"/>
      <c r="F709" s="1666"/>
      <c r="G709" s="1667"/>
      <c r="H709" s="1667"/>
      <c r="I709" s="1667"/>
      <c r="J709" s="1849">
        <v>900000</v>
      </c>
      <c r="K709" s="1849"/>
      <c r="L709" s="1849"/>
      <c r="M709" s="1899"/>
      <c r="N709" s="1899"/>
      <c r="O709" s="1900"/>
    </row>
    <row r="710" spans="1:15" s="1831" customFormat="1" ht="8.4" x14ac:dyDescent="0.15">
      <c r="A710" s="1832">
        <v>43891</v>
      </c>
      <c r="B710" s="1665" t="s">
        <v>2166</v>
      </c>
      <c r="C710" s="1666"/>
      <c r="D710" s="1666"/>
      <c r="E710" s="1666"/>
      <c r="F710" s="1666"/>
      <c r="G710" s="1667"/>
      <c r="H710" s="1667"/>
      <c r="I710" s="1667"/>
      <c r="J710" s="1849">
        <v>1075500</v>
      </c>
      <c r="K710" s="1849"/>
      <c r="L710" s="1849"/>
      <c r="M710" s="1899"/>
      <c r="N710" s="1899"/>
      <c r="O710" s="1900"/>
    </row>
    <row r="711" spans="1:15" s="1831" customFormat="1" ht="8.4" x14ac:dyDescent="0.15">
      <c r="A711" s="1832">
        <v>43891</v>
      </c>
      <c r="B711" s="1665" t="s">
        <v>2206</v>
      </c>
      <c r="C711" s="1666"/>
      <c r="D711" s="1666"/>
      <c r="E711" s="1666"/>
      <c r="F711" s="1666"/>
      <c r="G711" s="1667"/>
      <c r="H711" s="1667"/>
      <c r="I711" s="1667"/>
      <c r="J711" s="1849">
        <v>10000000</v>
      </c>
      <c r="K711" s="1849"/>
      <c r="L711" s="1849"/>
      <c r="M711" s="1899"/>
      <c r="N711" s="1899"/>
      <c r="O711" s="1900"/>
    </row>
    <row r="712" spans="1:15" s="1831" customFormat="1" ht="8.4" x14ac:dyDescent="0.15">
      <c r="A712" s="1832">
        <v>43922</v>
      </c>
      <c r="B712" s="1665" t="s">
        <v>2167</v>
      </c>
      <c r="C712" s="1666"/>
      <c r="D712" s="1666"/>
      <c r="E712" s="1666"/>
      <c r="F712" s="1666"/>
      <c r="G712" s="1667"/>
      <c r="H712" s="1667"/>
      <c r="I712" s="1667"/>
      <c r="J712" s="1849">
        <v>600000</v>
      </c>
      <c r="K712" s="1849"/>
      <c r="L712" s="1849"/>
      <c r="M712" s="1899"/>
      <c r="N712" s="1899"/>
      <c r="O712" s="1900"/>
    </row>
    <row r="713" spans="1:15" s="1831" customFormat="1" ht="8.4" x14ac:dyDescent="0.15">
      <c r="A713" s="1832">
        <v>43952</v>
      </c>
      <c r="B713" s="1665" t="s">
        <v>2168</v>
      </c>
      <c r="C713" s="1666"/>
      <c r="D713" s="1666"/>
      <c r="E713" s="1666"/>
      <c r="F713" s="1666"/>
      <c r="G713" s="1667"/>
      <c r="H713" s="1667"/>
      <c r="I713" s="1667"/>
      <c r="J713" s="1849">
        <v>516240</v>
      </c>
      <c r="K713" s="1849"/>
      <c r="L713" s="1849"/>
      <c r="M713" s="1899"/>
      <c r="N713" s="1899"/>
      <c r="O713" s="1900"/>
    </row>
    <row r="714" spans="1:15" s="1831" customFormat="1" ht="8.4" x14ac:dyDescent="0.15">
      <c r="A714" s="1832">
        <v>43952</v>
      </c>
      <c r="B714" s="1665" t="s">
        <v>2183</v>
      </c>
      <c r="C714" s="1666"/>
      <c r="D714" s="1666"/>
      <c r="E714" s="1666"/>
      <c r="F714" s="1666"/>
      <c r="G714" s="1667"/>
      <c r="H714" s="1667"/>
      <c r="I714" s="1667"/>
      <c r="J714" s="1849">
        <v>275000</v>
      </c>
      <c r="K714" s="1849"/>
      <c r="L714" s="1849"/>
      <c r="M714" s="1899"/>
      <c r="N714" s="1899"/>
      <c r="O714" s="1900"/>
    </row>
    <row r="715" spans="1:15" s="1831" customFormat="1" ht="8.4" x14ac:dyDescent="0.15">
      <c r="A715" s="1832">
        <v>43983</v>
      </c>
      <c r="B715" s="1665" t="s">
        <v>2211</v>
      </c>
      <c r="C715" s="1666"/>
      <c r="D715" s="1666"/>
      <c r="E715" s="1666"/>
      <c r="F715" s="1666">
        <v>649000</v>
      </c>
      <c r="G715" s="1667"/>
      <c r="H715" s="1667"/>
      <c r="I715" s="1667"/>
      <c r="J715" s="1849"/>
      <c r="K715" s="1849"/>
      <c r="L715" s="1849"/>
      <c r="M715" s="1899"/>
      <c r="N715" s="1899"/>
      <c r="O715" s="1900"/>
    </row>
    <row r="716" spans="1:15" s="1831" customFormat="1" ht="8.4" x14ac:dyDescent="0.15">
      <c r="A716" s="1832">
        <v>43983</v>
      </c>
      <c r="B716" s="1665" t="s">
        <v>2212</v>
      </c>
      <c r="C716" s="1666"/>
      <c r="D716" s="1666"/>
      <c r="E716" s="1666"/>
      <c r="F716" s="1666">
        <v>268000</v>
      </c>
      <c r="G716" s="1667"/>
      <c r="H716" s="1667"/>
      <c r="I716" s="1667"/>
      <c r="J716" s="1849"/>
      <c r="K716" s="1849"/>
      <c r="L716" s="1849"/>
      <c r="M716" s="1899"/>
      <c r="N716" s="1899"/>
      <c r="O716" s="1900"/>
    </row>
    <row r="717" spans="1:15" s="1831" customFormat="1" ht="8.4" x14ac:dyDescent="0.15">
      <c r="A717" s="1832">
        <v>43983</v>
      </c>
      <c r="B717" s="1665" t="s">
        <v>2199</v>
      </c>
      <c r="C717" s="1666"/>
      <c r="D717" s="1666"/>
      <c r="E717" s="1666"/>
      <c r="F717" s="1666"/>
      <c r="G717" s="1667"/>
      <c r="H717" s="1667"/>
      <c r="I717" s="1667"/>
      <c r="J717" s="1849">
        <v>1042000</v>
      </c>
      <c r="K717" s="1849"/>
      <c r="L717" s="1849"/>
      <c r="M717" s="1899"/>
      <c r="N717" s="1899"/>
      <c r="O717" s="1900"/>
    </row>
    <row r="718" spans="1:15" s="1831" customFormat="1" ht="8.4" x14ac:dyDescent="0.15">
      <c r="A718" s="1832">
        <v>43983</v>
      </c>
      <c r="B718" s="1665" t="s">
        <v>2184</v>
      </c>
      <c r="C718" s="1666"/>
      <c r="D718" s="1666"/>
      <c r="E718" s="1666"/>
      <c r="F718" s="1666"/>
      <c r="G718" s="1667"/>
      <c r="H718" s="1667"/>
      <c r="I718" s="1667"/>
      <c r="J718" s="1849">
        <v>285000</v>
      </c>
      <c r="K718" s="1849"/>
      <c r="L718" s="1849"/>
      <c r="M718" s="1899"/>
      <c r="N718" s="1899"/>
      <c r="O718" s="1900"/>
    </row>
    <row r="719" spans="1:15" s="1831" customFormat="1" ht="8.4" x14ac:dyDescent="0.15">
      <c r="A719" s="1832">
        <v>43983</v>
      </c>
      <c r="B719" s="1665" t="s">
        <v>2185</v>
      </c>
      <c r="C719" s="1666"/>
      <c r="D719" s="1666"/>
      <c r="E719" s="1666"/>
      <c r="F719" s="1666"/>
      <c r="G719" s="1667"/>
      <c r="H719" s="1667"/>
      <c r="I719" s="1667"/>
      <c r="J719" s="1849">
        <v>360000</v>
      </c>
      <c r="K719" s="1849"/>
      <c r="L719" s="1849"/>
      <c r="M719" s="1899"/>
      <c r="N719" s="1899"/>
      <c r="O719" s="1900"/>
    </row>
    <row r="720" spans="1:15" s="1831" customFormat="1" ht="8.4" x14ac:dyDescent="0.15">
      <c r="A720" s="1832">
        <v>43983</v>
      </c>
      <c r="B720" s="1665" t="s">
        <v>2169</v>
      </c>
      <c r="C720" s="1666"/>
      <c r="D720" s="1666"/>
      <c r="E720" s="1666"/>
      <c r="F720" s="1666"/>
      <c r="G720" s="1667"/>
      <c r="H720" s="1667"/>
      <c r="I720" s="1667"/>
      <c r="J720" s="1849">
        <v>15000000</v>
      </c>
      <c r="K720" s="1849"/>
      <c r="L720" s="1849"/>
      <c r="M720" s="1899"/>
      <c r="N720" s="1899"/>
      <c r="O720" s="1900"/>
    </row>
    <row r="721" spans="1:15" s="1831" customFormat="1" ht="8.4" x14ac:dyDescent="0.15">
      <c r="A721" s="1832">
        <v>43983</v>
      </c>
      <c r="B721" s="1665" t="s">
        <v>2175</v>
      </c>
      <c r="C721" s="1666"/>
      <c r="D721" s="1666"/>
      <c r="E721" s="1666"/>
      <c r="F721" s="1666"/>
      <c r="G721" s="1667"/>
      <c r="H721" s="1667"/>
      <c r="I721" s="1667"/>
      <c r="J721" s="1849">
        <v>195000</v>
      </c>
      <c r="K721" s="1849"/>
      <c r="L721" s="1849"/>
      <c r="M721" s="1899"/>
      <c r="N721" s="1899"/>
      <c r="O721" s="1900"/>
    </row>
    <row r="722" spans="1:15" s="1831" customFormat="1" ht="16.8" x14ac:dyDescent="0.15">
      <c r="A722" s="1832">
        <v>43983</v>
      </c>
      <c r="B722" s="1665" t="s">
        <v>2197</v>
      </c>
      <c r="C722" s="1666"/>
      <c r="D722" s="1666"/>
      <c r="E722" s="1666"/>
      <c r="F722" s="1666"/>
      <c r="G722" s="1667"/>
      <c r="H722" s="1667"/>
      <c r="I722" s="1667"/>
      <c r="J722" s="1849">
        <v>8000000</v>
      </c>
      <c r="K722" s="1849"/>
      <c r="L722" s="1849"/>
      <c r="M722" s="1899"/>
      <c r="N722" s="1899"/>
      <c r="O722" s="1900"/>
    </row>
    <row r="723" spans="1:15" s="1831" customFormat="1" ht="16.8" x14ac:dyDescent="0.15">
      <c r="A723" s="1832">
        <v>43983</v>
      </c>
      <c r="B723" s="1665" t="s">
        <v>2198</v>
      </c>
      <c r="C723" s="1666"/>
      <c r="D723" s="1666"/>
      <c r="E723" s="1666"/>
      <c r="F723" s="1666"/>
      <c r="G723" s="1667"/>
      <c r="H723" s="1667"/>
      <c r="I723" s="1667"/>
      <c r="J723" s="1849">
        <v>4000000</v>
      </c>
      <c r="K723" s="1849"/>
      <c r="L723" s="1849"/>
      <c r="M723" s="1899"/>
      <c r="N723" s="1899"/>
      <c r="O723" s="1900"/>
    </row>
    <row r="724" spans="1:15" s="1831" customFormat="1" ht="8.4" x14ac:dyDescent="0.15">
      <c r="A724" s="1832">
        <v>44013</v>
      </c>
      <c r="B724" s="1665" t="s">
        <v>2170</v>
      </c>
      <c r="C724" s="1666"/>
      <c r="D724" s="1666"/>
      <c r="E724" s="1666"/>
      <c r="F724" s="1666"/>
      <c r="G724" s="1667"/>
      <c r="H724" s="1667"/>
      <c r="I724" s="1667"/>
      <c r="J724" s="1849">
        <v>608710</v>
      </c>
      <c r="K724" s="1849"/>
      <c r="L724" s="1849"/>
      <c r="M724" s="1899"/>
      <c r="N724" s="1899"/>
      <c r="O724" s="1900"/>
    </row>
    <row r="725" spans="1:15" s="1831" customFormat="1" ht="8.4" x14ac:dyDescent="0.15">
      <c r="A725" s="1832">
        <v>44075</v>
      </c>
      <c r="B725" s="1665" t="s">
        <v>2171</v>
      </c>
      <c r="C725" s="1666"/>
      <c r="D725" s="1666"/>
      <c r="E725" s="1666"/>
      <c r="F725" s="1666"/>
      <c r="G725" s="1667"/>
      <c r="H725" s="1667"/>
      <c r="I725" s="1667"/>
      <c r="J725" s="1849">
        <v>11000000</v>
      </c>
      <c r="K725" s="1849"/>
      <c r="L725" s="1849"/>
      <c r="M725" s="1899"/>
      <c r="N725" s="1899"/>
      <c r="O725" s="1900"/>
    </row>
    <row r="726" spans="1:15" s="1831" customFormat="1" ht="16.8" x14ac:dyDescent="0.15">
      <c r="A726" s="1832">
        <v>44166</v>
      </c>
      <c r="B726" s="1665" t="s">
        <v>2173</v>
      </c>
      <c r="C726" s="1666"/>
      <c r="D726" s="1666"/>
      <c r="E726" s="1666"/>
      <c r="F726" s="1666"/>
      <c r="G726" s="1667"/>
      <c r="H726" s="1667"/>
      <c r="I726" s="1667"/>
      <c r="J726" s="1849">
        <v>500000</v>
      </c>
      <c r="K726" s="1849"/>
      <c r="L726" s="1849"/>
      <c r="M726" s="1899"/>
      <c r="N726" s="1899"/>
      <c r="O726" s="1900"/>
    </row>
    <row r="727" spans="1:15" s="1831" customFormat="1" ht="8.4" x14ac:dyDescent="0.15">
      <c r="A727" s="1832">
        <v>44146</v>
      </c>
      <c r="B727" s="1665" t="s">
        <v>2172</v>
      </c>
      <c r="C727" s="1666"/>
      <c r="D727" s="1666"/>
      <c r="E727" s="1666"/>
      <c r="F727" s="1666"/>
      <c r="G727" s="1667"/>
      <c r="H727" s="1667"/>
      <c r="I727" s="1667"/>
      <c r="J727" s="1849">
        <v>500000</v>
      </c>
      <c r="K727" s="1849"/>
      <c r="L727" s="1849"/>
      <c r="M727" s="1899"/>
      <c r="N727" s="1899"/>
      <c r="O727" s="1900"/>
    </row>
    <row r="728" spans="1:15" s="1831" customFormat="1" ht="16.8" x14ac:dyDescent="0.15">
      <c r="A728" s="1834" t="s">
        <v>2124</v>
      </c>
      <c r="B728" s="1665" t="s">
        <v>2123</v>
      </c>
      <c r="C728" s="1666"/>
      <c r="D728" s="1666"/>
      <c r="E728" s="1666"/>
      <c r="F728" s="1666"/>
      <c r="G728" s="1667"/>
      <c r="H728" s="1667"/>
      <c r="I728" s="1667"/>
      <c r="J728" s="1849">
        <v>29900</v>
      </c>
      <c r="K728" s="1849"/>
      <c r="L728" s="1849"/>
      <c r="M728" s="1899"/>
      <c r="N728" s="1899"/>
      <c r="O728" s="1900"/>
    </row>
    <row r="729" spans="1:15" s="1831" customFormat="1" ht="16.8" x14ac:dyDescent="0.15">
      <c r="A729" s="1834" t="s">
        <v>2124</v>
      </c>
      <c r="B729" s="1665" t="s">
        <v>2123</v>
      </c>
      <c r="C729" s="1666"/>
      <c r="D729" s="1666"/>
      <c r="E729" s="1666"/>
      <c r="F729" s="1666"/>
      <c r="G729" s="1667"/>
      <c r="H729" s="1667"/>
      <c r="I729" s="1667"/>
      <c r="J729" s="1849">
        <v>187696</v>
      </c>
      <c r="K729" s="1849"/>
      <c r="L729" s="1849"/>
      <c r="M729" s="1899"/>
      <c r="N729" s="1899"/>
      <c r="O729" s="1900"/>
    </row>
    <row r="730" spans="1:15" s="1831" customFormat="1" ht="16.8" x14ac:dyDescent="0.15">
      <c r="A730" s="1834" t="s">
        <v>2124</v>
      </c>
      <c r="B730" s="1665" t="s">
        <v>2123</v>
      </c>
      <c r="C730" s="1666"/>
      <c r="D730" s="1666"/>
      <c r="E730" s="1666"/>
      <c r="F730" s="1666"/>
      <c r="G730" s="1667"/>
      <c r="H730" s="1667"/>
      <c r="I730" s="1667"/>
      <c r="J730" s="1849">
        <v>9500</v>
      </c>
      <c r="K730" s="1849"/>
      <c r="L730" s="1849"/>
      <c r="M730" s="1899"/>
      <c r="N730" s="1899"/>
      <c r="O730" s="1900"/>
    </row>
    <row r="731" spans="1:15" s="1831" customFormat="1" ht="16.8" x14ac:dyDescent="0.15">
      <c r="A731" s="1834" t="s">
        <v>2124</v>
      </c>
      <c r="B731" s="1665" t="s">
        <v>2214</v>
      </c>
      <c r="C731" s="1666"/>
      <c r="D731" s="1666"/>
      <c r="E731" s="1666"/>
      <c r="F731" s="1666">
        <v>1592000</v>
      </c>
      <c r="G731" s="1667"/>
      <c r="H731" s="1667"/>
      <c r="I731" s="1667"/>
      <c r="J731" s="1849"/>
      <c r="K731" s="1849"/>
      <c r="L731" s="1849"/>
      <c r="M731" s="1899"/>
      <c r="N731" s="1899"/>
      <c r="O731" s="1900"/>
    </row>
    <row r="732" spans="1:15" s="1831" customFormat="1" ht="8.4" x14ac:dyDescent="0.15">
      <c r="A732" s="1834" t="s">
        <v>2124</v>
      </c>
      <c r="B732" s="1665" t="s">
        <v>2215</v>
      </c>
      <c r="C732" s="1666"/>
      <c r="D732" s="1666"/>
      <c r="E732" s="1666"/>
      <c r="F732" s="1666">
        <v>1000000</v>
      </c>
      <c r="G732" s="1667"/>
      <c r="H732" s="1667"/>
      <c r="I732" s="1667"/>
      <c r="J732" s="1849"/>
      <c r="K732" s="1849"/>
      <c r="L732" s="1849"/>
      <c r="M732" s="1899"/>
      <c r="N732" s="1899"/>
      <c r="O732" s="1900"/>
    </row>
    <row r="733" spans="1:15" s="1831" customFormat="1" ht="8.4" x14ac:dyDescent="0.15">
      <c r="A733" s="1834" t="s">
        <v>2124</v>
      </c>
      <c r="B733" s="1665" t="s">
        <v>2216</v>
      </c>
      <c r="C733" s="1666"/>
      <c r="D733" s="1666"/>
      <c r="E733" s="1666"/>
      <c r="F733" s="1666">
        <v>5000000</v>
      </c>
      <c r="G733" s="1667"/>
      <c r="H733" s="1667"/>
      <c r="I733" s="1667"/>
      <c r="J733" s="1849"/>
      <c r="K733" s="1849"/>
      <c r="L733" s="1849"/>
      <c r="M733" s="1899"/>
      <c r="N733" s="1899"/>
      <c r="O733" s="1900"/>
    </row>
    <row r="734" spans="1:15" s="1831" customFormat="1" ht="8.4" x14ac:dyDescent="0.15">
      <c r="A734" s="1834" t="s">
        <v>2189</v>
      </c>
      <c r="B734" s="1665" t="s">
        <v>2217</v>
      </c>
      <c r="C734" s="1666"/>
      <c r="D734" s="1666"/>
      <c r="E734" s="1666"/>
      <c r="F734" s="1666">
        <v>2861000</v>
      </c>
      <c r="G734" s="1667"/>
      <c r="H734" s="1667"/>
      <c r="I734" s="1667"/>
      <c r="J734" s="1849"/>
      <c r="K734" s="1849"/>
      <c r="L734" s="1849"/>
      <c r="M734" s="1899"/>
      <c r="N734" s="1899"/>
      <c r="O734" s="1900"/>
    </row>
    <row r="735" spans="1:15" s="1831" customFormat="1" ht="16.8" x14ac:dyDescent="0.15">
      <c r="A735" s="1834" t="s">
        <v>2125</v>
      </c>
      <c r="B735" s="1665" t="s">
        <v>2123</v>
      </c>
      <c r="C735" s="1666"/>
      <c r="D735" s="1666"/>
      <c r="E735" s="1666"/>
      <c r="F735" s="1666"/>
      <c r="G735" s="1667"/>
      <c r="H735" s="1667"/>
      <c r="I735" s="1667"/>
      <c r="J735" s="1849">
        <v>43500</v>
      </c>
      <c r="K735" s="1849"/>
      <c r="L735" s="1849"/>
      <c r="M735" s="1899"/>
      <c r="N735" s="1899"/>
      <c r="O735" s="1900"/>
    </row>
    <row r="736" spans="1:15" s="1831" customFormat="1" ht="16.8" x14ac:dyDescent="0.15">
      <c r="A736" s="1834" t="s">
        <v>2125</v>
      </c>
      <c r="B736" s="1665" t="s">
        <v>2123</v>
      </c>
      <c r="C736" s="1666"/>
      <c r="D736" s="1666"/>
      <c r="E736" s="1666"/>
      <c r="F736" s="1666"/>
      <c r="G736" s="1667"/>
      <c r="H736" s="1667"/>
      <c r="I736" s="1667"/>
      <c r="J736" s="1849">
        <v>13000</v>
      </c>
      <c r="K736" s="1849"/>
      <c r="L736" s="1849"/>
      <c r="M736" s="1899"/>
      <c r="N736" s="1899"/>
      <c r="O736" s="1900"/>
    </row>
    <row r="737" spans="1:15" s="1831" customFormat="1" ht="8.4" x14ac:dyDescent="0.15">
      <c r="A737" s="1834" t="s">
        <v>2125</v>
      </c>
      <c r="B737" s="1665" t="s">
        <v>2174</v>
      </c>
      <c r="C737" s="1666"/>
      <c r="D737" s="1666"/>
      <c r="E737" s="1666"/>
      <c r="F737" s="1666"/>
      <c r="G737" s="1667"/>
      <c r="H737" s="1667"/>
      <c r="I737" s="1667"/>
      <c r="J737" s="1849">
        <v>1000000</v>
      </c>
      <c r="K737" s="1849"/>
      <c r="L737" s="1849"/>
      <c r="M737" s="1899"/>
      <c r="N737" s="1899"/>
      <c r="O737" s="1900"/>
    </row>
    <row r="738" spans="1:15" s="1831" customFormat="1" ht="16.8" x14ac:dyDescent="0.15">
      <c r="A738" s="1834" t="s">
        <v>2126</v>
      </c>
      <c r="B738" s="1665" t="s">
        <v>2123</v>
      </c>
      <c r="C738" s="1666"/>
      <c r="D738" s="1666"/>
      <c r="E738" s="1666"/>
      <c r="F738" s="1666"/>
      <c r="G738" s="1667"/>
      <c r="H738" s="1667"/>
      <c r="I738" s="1667"/>
      <c r="J738" s="1849">
        <v>93814</v>
      </c>
      <c r="K738" s="1849"/>
      <c r="L738" s="1849"/>
      <c r="M738" s="1899"/>
      <c r="N738" s="1899"/>
      <c r="O738" s="1900"/>
    </row>
    <row r="739" spans="1:15" s="1831" customFormat="1" ht="8.4" x14ac:dyDescent="0.15">
      <c r="A739" s="1832">
        <v>44136</v>
      </c>
      <c r="B739" s="1665" t="s">
        <v>2127</v>
      </c>
      <c r="C739" s="1666"/>
      <c r="D739" s="1666"/>
      <c r="E739" s="1666"/>
      <c r="F739" s="1666"/>
      <c r="G739" s="1667"/>
      <c r="H739" s="1667"/>
      <c r="I739" s="1667"/>
      <c r="J739" s="1849">
        <v>372000</v>
      </c>
      <c r="K739" s="1849"/>
      <c r="L739" s="1849"/>
      <c r="M739" s="1899"/>
      <c r="N739" s="1899"/>
      <c r="O739" s="1900"/>
    </row>
    <row r="740" spans="1:15" s="1831" customFormat="1" ht="16.8" x14ac:dyDescent="0.15">
      <c r="A740" s="1832">
        <v>43862</v>
      </c>
      <c r="B740" s="1665" t="s">
        <v>2179</v>
      </c>
      <c r="C740" s="1666"/>
      <c r="D740" s="1666"/>
      <c r="E740" s="1666"/>
      <c r="F740" s="1666"/>
      <c r="G740" s="1667"/>
      <c r="H740" s="1667"/>
      <c r="I740" s="1667"/>
      <c r="J740" s="1849">
        <v>220000</v>
      </c>
      <c r="K740" s="1849"/>
      <c r="L740" s="1849"/>
      <c r="M740" s="1899"/>
      <c r="N740" s="1899"/>
      <c r="O740" s="1900"/>
    </row>
    <row r="741" spans="1:15" s="1831" customFormat="1" ht="16.8" x14ac:dyDescent="0.15">
      <c r="A741" s="1832">
        <v>43891</v>
      </c>
      <c r="B741" s="1665" t="s">
        <v>2119</v>
      </c>
      <c r="C741" s="1666"/>
      <c r="D741" s="1666"/>
      <c r="E741" s="1666"/>
      <c r="F741" s="1666"/>
      <c r="G741" s="1667"/>
      <c r="H741" s="1667"/>
      <c r="I741" s="1667"/>
      <c r="J741" s="1849">
        <v>80000</v>
      </c>
      <c r="K741" s="1849"/>
      <c r="L741" s="1849"/>
      <c r="M741" s="1899"/>
      <c r="N741" s="1899"/>
      <c r="O741" s="1900"/>
    </row>
    <row r="742" spans="1:15" s="1831" customFormat="1" ht="8.4" x14ac:dyDescent="0.15">
      <c r="A742" s="1832"/>
      <c r="B742" s="1665" t="s">
        <v>2120</v>
      </c>
      <c r="C742" s="1666"/>
      <c r="D742" s="1666"/>
      <c r="E742" s="1666"/>
      <c r="F742" s="1666"/>
      <c r="G742" s="1667"/>
      <c r="H742" s="1667"/>
      <c r="I742" s="1667"/>
      <c r="J742" s="1849">
        <v>370000</v>
      </c>
      <c r="K742" s="1849"/>
      <c r="L742" s="1849"/>
      <c r="M742" s="1899"/>
      <c r="N742" s="1899"/>
      <c r="O742" s="1900"/>
    </row>
    <row r="743" spans="1:15" s="1831" customFormat="1" ht="8.4" x14ac:dyDescent="0.15">
      <c r="A743" s="1832"/>
      <c r="B743" s="1665" t="s">
        <v>2121</v>
      </c>
      <c r="C743" s="1666"/>
      <c r="D743" s="1666"/>
      <c r="E743" s="1666"/>
      <c r="F743" s="1666"/>
      <c r="G743" s="1667"/>
      <c r="H743" s="1667"/>
      <c r="I743" s="1667"/>
      <c r="J743" s="1849">
        <v>160000</v>
      </c>
      <c r="K743" s="1849"/>
      <c r="L743" s="1849"/>
      <c r="M743" s="1899"/>
      <c r="N743" s="1899"/>
      <c r="O743" s="1900"/>
    </row>
    <row r="744" spans="1:15" s="1831" customFormat="1" ht="8.4" x14ac:dyDescent="0.15">
      <c r="A744" s="1832"/>
      <c r="B744" s="1665" t="s">
        <v>2122</v>
      </c>
      <c r="C744" s="1666"/>
      <c r="D744" s="1666"/>
      <c r="E744" s="1666"/>
      <c r="F744" s="1666"/>
      <c r="G744" s="1667"/>
      <c r="H744" s="1667"/>
      <c r="I744" s="1667"/>
      <c r="J744" s="1849">
        <v>140000</v>
      </c>
      <c r="K744" s="1849"/>
      <c r="L744" s="1849"/>
      <c r="M744" s="1899"/>
      <c r="N744" s="1899"/>
      <c r="O744" s="1900"/>
    </row>
    <row r="745" spans="1:15" s="1831" customFormat="1" ht="8.4" x14ac:dyDescent="0.15">
      <c r="A745" s="1832"/>
      <c r="B745" s="1665" t="s">
        <v>2178</v>
      </c>
      <c r="C745" s="1666"/>
      <c r="D745" s="1666"/>
      <c r="E745" s="1666"/>
      <c r="F745" s="1666"/>
      <c r="G745" s="1667"/>
      <c r="H745" s="1667"/>
      <c r="I745" s="1667"/>
      <c r="J745" s="1849">
        <v>130000</v>
      </c>
      <c r="K745" s="1849"/>
      <c r="L745" s="1849"/>
      <c r="M745" s="1899"/>
      <c r="N745" s="1899"/>
      <c r="O745" s="1900"/>
    </row>
    <row r="746" spans="1:15" s="1831" customFormat="1" ht="8.4" x14ac:dyDescent="0.15">
      <c r="A746" s="1832">
        <v>43891</v>
      </c>
      <c r="B746" s="1665" t="s">
        <v>2180</v>
      </c>
      <c r="C746" s="1666"/>
      <c r="D746" s="1666"/>
      <c r="E746" s="1666"/>
      <c r="F746" s="1666"/>
      <c r="G746" s="1667"/>
      <c r="H746" s="1667"/>
      <c r="I746" s="1667"/>
      <c r="J746" s="1849">
        <v>500000</v>
      </c>
      <c r="K746" s="1849"/>
      <c r="L746" s="1849"/>
      <c r="M746" s="1899"/>
      <c r="N746" s="1899"/>
      <c r="O746" s="1900"/>
    </row>
    <row r="747" spans="1:15" s="1831" customFormat="1" ht="16.8" x14ac:dyDescent="0.15">
      <c r="A747" s="1832"/>
      <c r="B747" s="1665" t="s">
        <v>2181</v>
      </c>
      <c r="C747" s="1666"/>
      <c r="D747" s="1666"/>
      <c r="E747" s="1666"/>
      <c r="F747" s="1666"/>
      <c r="G747" s="1667"/>
      <c r="H747" s="1667"/>
      <c r="I747" s="1667"/>
      <c r="J747" s="1849">
        <v>850000</v>
      </c>
      <c r="K747" s="1849"/>
      <c r="L747" s="1849"/>
      <c r="M747" s="1899"/>
      <c r="N747" s="1899"/>
      <c r="O747" s="1900"/>
    </row>
    <row r="748" spans="1:15" s="1831" customFormat="1" ht="8.4" x14ac:dyDescent="0.15">
      <c r="A748" s="1832"/>
      <c r="B748" s="1665" t="s">
        <v>1999</v>
      </c>
      <c r="C748" s="1666"/>
      <c r="D748" s="1666"/>
      <c r="E748" s="1666"/>
      <c r="F748" s="1666"/>
      <c r="G748" s="1667"/>
      <c r="H748" s="1667"/>
      <c r="I748" s="1667"/>
      <c r="J748" s="1849">
        <v>15000</v>
      </c>
      <c r="K748" s="1849"/>
      <c r="L748" s="1849"/>
      <c r="M748" s="1899"/>
      <c r="N748" s="1899"/>
      <c r="O748" s="1900"/>
    </row>
    <row r="749" spans="1:15" s="1831" customFormat="1" ht="8.4" x14ac:dyDescent="0.15">
      <c r="A749" s="1833"/>
      <c r="B749" s="1665"/>
      <c r="C749" s="1666"/>
      <c r="D749" s="1666"/>
      <c r="E749" s="1666"/>
      <c r="F749" s="1666"/>
      <c r="G749" s="1667"/>
      <c r="H749" s="1667"/>
      <c r="I749" s="1667"/>
      <c r="J749" s="1849">
        <v>10000</v>
      </c>
      <c r="K749" s="1849"/>
      <c r="L749" s="1849"/>
      <c r="M749" s="1899"/>
      <c r="N749" s="1899"/>
      <c r="O749" s="1900"/>
    </row>
    <row r="750" spans="1:15" s="1831" customFormat="1" ht="8.4" x14ac:dyDescent="0.15">
      <c r="A750" s="1833"/>
      <c r="B750" s="1665"/>
      <c r="C750" s="1666"/>
      <c r="D750" s="1666"/>
      <c r="E750" s="1666"/>
      <c r="F750" s="1666"/>
      <c r="G750" s="1667"/>
      <c r="H750" s="1667"/>
      <c r="I750" s="1667"/>
      <c r="J750" s="1849">
        <v>15000</v>
      </c>
      <c r="K750" s="1849"/>
      <c r="L750" s="1849"/>
      <c r="M750" s="1899"/>
      <c r="N750" s="1899"/>
      <c r="O750" s="1900"/>
    </row>
    <row r="751" spans="1:15" s="1831" customFormat="1" ht="8.4" x14ac:dyDescent="0.15">
      <c r="A751" s="1833"/>
      <c r="B751" s="1665"/>
      <c r="C751" s="1666"/>
      <c r="D751" s="1666"/>
      <c r="E751" s="1666"/>
      <c r="F751" s="1666"/>
      <c r="G751" s="1667"/>
      <c r="H751" s="1667"/>
      <c r="I751" s="1667"/>
      <c r="J751" s="1849">
        <v>40000</v>
      </c>
      <c r="K751" s="1849"/>
      <c r="L751" s="1849"/>
      <c r="M751" s="1899"/>
      <c r="N751" s="1899"/>
      <c r="O751" s="1900"/>
    </row>
    <row r="752" spans="1:15" s="1831" customFormat="1" ht="8.4" x14ac:dyDescent="0.15">
      <c r="A752" s="1833"/>
      <c r="B752" s="1665"/>
      <c r="C752" s="1666"/>
      <c r="D752" s="1666"/>
      <c r="E752" s="1666"/>
      <c r="F752" s="1666"/>
      <c r="G752" s="1667"/>
      <c r="H752" s="1667"/>
      <c r="I752" s="1667"/>
      <c r="J752" s="1849">
        <v>90000</v>
      </c>
      <c r="K752" s="1849"/>
      <c r="L752" s="1849"/>
      <c r="M752" s="1899"/>
      <c r="N752" s="1899"/>
      <c r="O752" s="1900"/>
    </row>
    <row r="753" spans="1:15" s="1831" customFormat="1" ht="8.4" x14ac:dyDescent="0.15">
      <c r="A753" s="1833"/>
      <c r="B753" s="1665"/>
      <c r="C753" s="1666"/>
      <c r="D753" s="1666"/>
      <c r="E753" s="1666"/>
      <c r="F753" s="1666"/>
      <c r="G753" s="1667"/>
      <c r="H753" s="1667"/>
      <c r="I753" s="1667"/>
      <c r="J753" s="1849">
        <v>60000</v>
      </c>
      <c r="K753" s="1849"/>
      <c r="L753" s="1849"/>
      <c r="M753" s="1899"/>
      <c r="N753" s="1899"/>
      <c r="O753" s="1900"/>
    </row>
    <row r="754" spans="1:15" s="1831" customFormat="1" ht="8.4" x14ac:dyDescent="0.15">
      <c r="A754" s="1833"/>
      <c r="B754" s="1665"/>
      <c r="C754" s="1666"/>
      <c r="D754" s="1666"/>
      <c r="E754" s="1666"/>
      <c r="F754" s="1666"/>
      <c r="G754" s="1667"/>
      <c r="H754" s="1667"/>
      <c r="I754" s="1667"/>
      <c r="J754" s="1849">
        <v>40000</v>
      </c>
      <c r="K754" s="1849"/>
      <c r="L754" s="1849"/>
      <c r="M754" s="1899"/>
      <c r="N754" s="1899"/>
      <c r="O754" s="1900"/>
    </row>
    <row r="755" spans="1:15" s="1831" customFormat="1" ht="8.4" x14ac:dyDescent="0.15">
      <c r="A755" s="1833"/>
      <c r="B755" s="1665"/>
      <c r="C755" s="1666"/>
      <c r="D755" s="1666"/>
      <c r="E755" s="1666"/>
      <c r="F755" s="1666"/>
      <c r="G755" s="1667"/>
      <c r="H755" s="1667"/>
      <c r="I755" s="1667"/>
      <c r="J755" s="1849">
        <v>90000</v>
      </c>
      <c r="K755" s="1849"/>
      <c r="L755" s="1849"/>
      <c r="M755" s="1899"/>
      <c r="N755" s="1899"/>
      <c r="O755" s="1900"/>
    </row>
    <row r="756" spans="1:15" s="1831" customFormat="1" ht="8.4" x14ac:dyDescent="0.15">
      <c r="A756" s="1833"/>
      <c r="B756" s="1665"/>
      <c r="C756" s="1666"/>
      <c r="D756" s="1666"/>
      <c r="E756" s="1666"/>
      <c r="F756" s="1666"/>
      <c r="G756" s="1667"/>
      <c r="H756" s="1667"/>
      <c r="I756" s="1667"/>
      <c r="J756" s="1849">
        <v>90000</v>
      </c>
      <c r="K756" s="1849"/>
      <c r="L756" s="1849"/>
      <c r="M756" s="1899"/>
      <c r="N756" s="1899"/>
      <c r="O756" s="1900"/>
    </row>
    <row r="757" spans="1:15" s="1831" customFormat="1" ht="8.4" x14ac:dyDescent="0.15">
      <c r="A757" s="1833"/>
      <c r="B757" s="1665"/>
      <c r="C757" s="1666"/>
      <c r="D757" s="1666"/>
      <c r="E757" s="1666"/>
      <c r="F757" s="1666"/>
      <c r="G757" s="1667"/>
      <c r="H757" s="1667"/>
      <c r="I757" s="1667"/>
      <c r="J757" s="1849">
        <v>150000</v>
      </c>
      <c r="K757" s="1849"/>
      <c r="L757" s="1849"/>
      <c r="M757" s="1899"/>
      <c r="N757" s="1899"/>
      <c r="O757" s="1900"/>
    </row>
    <row r="758" spans="1:15" s="1831" customFormat="1" ht="8.4" x14ac:dyDescent="0.15">
      <c r="A758" s="1833"/>
      <c r="B758" s="1665"/>
      <c r="C758" s="1666"/>
      <c r="D758" s="1666"/>
      <c r="E758" s="1666"/>
      <c r="F758" s="1666"/>
      <c r="G758" s="1667"/>
      <c r="H758" s="1667"/>
      <c r="I758" s="1667"/>
      <c r="J758" s="1849">
        <v>35000</v>
      </c>
      <c r="K758" s="1849"/>
      <c r="L758" s="1849"/>
      <c r="M758" s="1899"/>
      <c r="N758" s="1899"/>
      <c r="O758" s="1900"/>
    </row>
    <row r="759" spans="1:15" s="1831" customFormat="1" ht="8.4" x14ac:dyDescent="0.15">
      <c r="A759" s="1833"/>
      <c r="B759" s="1665"/>
      <c r="C759" s="1666"/>
      <c r="D759" s="1666"/>
      <c r="E759" s="1666"/>
      <c r="F759" s="1666"/>
      <c r="G759" s="1667"/>
      <c r="H759" s="1667"/>
      <c r="I759" s="1667"/>
      <c r="J759" s="1849">
        <v>40000</v>
      </c>
      <c r="K759" s="1849"/>
      <c r="L759" s="1849"/>
      <c r="M759" s="1899"/>
      <c r="N759" s="1899"/>
      <c r="O759" s="1900"/>
    </row>
    <row r="760" spans="1:15" s="1831" customFormat="1" ht="8.4" x14ac:dyDescent="0.15">
      <c r="A760" s="1833"/>
      <c r="B760" s="1665"/>
      <c r="C760" s="1666"/>
      <c r="D760" s="1666"/>
      <c r="E760" s="1666"/>
      <c r="F760" s="1666"/>
      <c r="G760" s="1667"/>
      <c r="H760" s="1667"/>
      <c r="I760" s="1667"/>
      <c r="J760" s="1849">
        <v>65000</v>
      </c>
      <c r="K760" s="1849"/>
      <c r="L760" s="1849"/>
      <c r="M760" s="1899"/>
      <c r="N760" s="1899"/>
      <c r="O760" s="1900"/>
    </row>
    <row r="761" spans="1:15" s="1831" customFormat="1" ht="16.8" x14ac:dyDescent="0.15">
      <c r="A761" s="1833">
        <v>44013</v>
      </c>
      <c r="B761" s="1665" t="s">
        <v>2128</v>
      </c>
      <c r="C761" s="1666"/>
      <c r="D761" s="1666"/>
      <c r="E761" s="1666"/>
      <c r="F761" s="1666"/>
      <c r="G761" s="1667"/>
      <c r="H761" s="1667"/>
      <c r="I761" s="1667"/>
      <c r="J761" s="1849">
        <v>179000</v>
      </c>
      <c r="K761" s="1849"/>
      <c r="L761" s="1849"/>
      <c r="M761" s="1899"/>
      <c r="N761" s="1899"/>
      <c r="O761" s="1900"/>
    </row>
    <row r="762" spans="1:15" s="1831" customFormat="1" ht="8.4" x14ac:dyDescent="0.15">
      <c r="A762" s="1833"/>
      <c r="B762" s="1665" t="s">
        <v>2129</v>
      </c>
      <c r="C762" s="1666"/>
      <c r="D762" s="1666"/>
      <c r="E762" s="1666"/>
      <c r="F762" s="1666"/>
      <c r="G762" s="1667"/>
      <c r="H762" s="1667"/>
      <c r="I762" s="1667"/>
      <c r="J762" s="1849">
        <v>69031</v>
      </c>
      <c r="K762" s="1849"/>
      <c r="L762" s="1849"/>
      <c r="M762" s="1899"/>
      <c r="N762" s="1899"/>
      <c r="O762" s="1900"/>
    </row>
    <row r="763" spans="1:15" s="1831" customFormat="1" ht="8.4" x14ac:dyDescent="0.15">
      <c r="A763" s="1833">
        <v>43922</v>
      </c>
      <c r="B763" s="1665" t="s">
        <v>2209</v>
      </c>
      <c r="C763" s="1666"/>
      <c r="D763" s="1666"/>
      <c r="E763" s="1666"/>
      <c r="F763" s="1666"/>
      <c r="G763" s="1667"/>
      <c r="H763" s="1667"/>
      <c r="I763" s="1667"/>
      <c r="J763" s="1849">
        <f>4018000+1154000</f>
        <v>5172000</v>
      </c>
      <c r="K763" s="1849"/>
      <c r="L763" s="1849"/>
      <c r="M763" s="1899"/>
      <c r="N763" s="1899"/>
      <c r="O763" s="1900"/>
    </row>
    <row r="764" spans="1:15" s="1844" customFormat="1" ht="8.4" x14ac:dyDescent="0.15">
      <c r="A764" s="1840">
        <v>44044</v>
      </c>
      <c r="B764" s="1841" t="s">
        <v>2177</v>
      </c>
      <c r="C764" s="1842"/>
      <c r="D764" s="1842"/>
      <c r="E764" s="1842"/>
      <c r="F764" s="1842"/>
      <c r="G764" s="1843"/>
      <c r="H764" s="1843"/>
      <c r="I764" s="1843"/>
      <c r="J764" s="1843">
        <v>3158000</v>
      </c>
      <c r="K764" s="1843"/>
      <c r="L764" s="1843"/>
      <c r="M764" s="1903"/>
      <c r="N764" s="1903"/>
      <c r="O764" s="1904"/>
    </row>
    <row r="765" spans="1:15" s="1831" customFormat="1" ht="8.4" x14ac:dyDescent="0.15">
      <c r="A765" s="1833">
        <v>44013</v>
      </c>
      <c r="B765" s="1665" t="s">
        <v>2130</v>
      </c>
      <c r="C765" s="1666"/>
      <c r="D765" s="1666"/>
      <c r="E765" s="1666"/>
      <c r="F765" s="1666"/>
      <c r="G765" s="1667"/>
      <c r="H765" s="1667"/>
      <c r="I765" s="1667"/>
      <c r="J765" s="1849">
        <v>55000</v>
      </c>
      <c r="K765" s="1849"/>
      <c r="L765" s="1849"/>
      <c r="M765" s="1899"/>
      <c r="N765" s="1899"/>
      <c r="O765" s="1900"/>
    </row>
    <row r="766" spans="1:15" s="1831" customFormat="1" ht="8.4" x14ac:dyDescent="0.15">
      <c r="A766" s="1833">
        <v>44044</v>
      </c>
      <c r="B766" s="1836" t="s">
        <v>2142</v>
      </c>
      <c r="C766" s="1666"/>
      <c r="D766" s="1666"/>
      <c r="E766" s="1666"/>
      <c r="F766" s="1666"/>
      <c r="G766" s="1667"/>
      <c r="H766" s="1667"/>
      <c r="I766" s="1667"/>
      <c r="J766" s="1849">
        <v>35000</v>
      </c>
      <c r="K766" s="1849"/>
      <c r="L766" s="1849"/>
      <c r="M766" s="1899"/>
      <c r="N766" s="1899"/>
      <c r="O766" s="1900"/>
    </row>
    <row r="767" spans="1:15" s="1831" customFormat="1" ht="8.4" x14ac:dyDescent="0.15">
      <c r="A767" s="1833">
        <v>44044</v>
      </c>
      <c r="B767" s="1665" t="s">
        <v>2143</v>
      </c>
      <c r="C767" s="1666"/>
      <c r="D767" s="1666"/>
      <c r="E767" s="1666"/>
      <c r="F767" s="1666"/>
      <c r="G767" s="1667"/>
      <c r="H767" s="1667"/>
      <c r="I767" s="1667"/>
      <c r="J767" s="1849">
        <v>156000</v>
      </c>
      <c r="K767" s="1849"/>
      <c r="L767" s="1849"/>
      <c r="M767" s="1899"/>
      <c r="N767" s="1899"/>
      <c r="O767" s="1900"/>
    </row>
    <row r="768" spans="1:15" s="1831" customFormat="1" ht="8.4" x14ac:dyDescent="0.15">
      <c r="A768" s="1833">
        <v>44044</v>
      </c>
      <c r="B768" s="1665" t="s">
        <v>2144</v>
      </c>
      <c r="C768" s="1666"/>
      <c r="D768" s="1666"/>
      <c r="E768" s="1666"/>
      <c r="F768" s="1666"/>
      <c r="G768" s="1667"/>
      <c r="H768" s="1667"/>
      <c r="I768" s="1667"/>
      <c r="J768" s="1849">
        <v>172000</v>
      </c>
      <c r="K768" s="1849"/>
      <c r="L768" s="1849"/>
      <c r="M768" s="1899"/>
      <c r="N768" s="1899"/>
      <c r="O768" s="1900"/>
    </row>
    <row r="769" spans="1:15" s="1831" customFormat="1" ht="8.4" x14ac:dyDescent="0.15">
      <c r="A769" s="1833">
        <v>44044</v>
      </c>
      <c r="B769" s="1665" t="s">
        <v>2145</v>
      </c>
      <c r="C769" s="1666"/>
      <c r="D769" s="1666"/>
      <c r="E769" s="1666"/>
      <c r="F769" s="1666"/>
      <c r="G769" s="1667"/>
      <c r="H769" s="1667"/>
      <c r="I769" s="1667"/>
      <c r="J769" s="1849">
        <v>391000</v>
      </c>
      <c r="K769" s="1849"/>
      <c r="L769" s="1849"/>
      <c r="M769" s="1899"/>
      <c r="N769" s="1899"/>
      <c r="O769" s="1900"/>
    </row>
    <row r="770" spans="1:15" s="1831" customFormat="1" ht="8.4" x14ac:dyDescent="0.15">
      <c r="A770" s="1833">
        <v>44044</v>
      </c>
      <c r="B770" s="1665" t="s">
        <v>2162</v>
      </c>
      <c r="C770" s="1666"/>
      <c r="D770" s="1666"/>
      <c r="E770" s="1666"/>
      <c r="F770" s="1666"/>
      <c r="G770" s="1667"/>
      <c r="H770" s="1667"/>
      <c r="I770" s="1667"/>
      <c r="J770" s="1849">
        <v>70000</v>
      </c>
      <c r="K770" s="1849"/>
      <c r="L770" s="1849"/>
      <c r="M770" s="1899"/>
      <c r="N770" s="1899"/>
      <c r="O770" s="1900"/>
    </row>
    <row r="771" spans="1:15" s="1831" customFormat="1" ht="8.4" x14ac:dyDescent="0.15">
      <c r="A771" s="1833">
        <v>44044</v>
      </c>
      <c r="B771" s="1665" t="s">
        <v>2163</v>
      </c>
      <c r="C771" s="1666"/>
      <c r="D771" s="1666"/>
      <c r="E771" s="1666"/>
      <c r="F771" s="1666"/>
      <c r="G771" s="1667"/>
      <c r="H771" s="1667"/>
      <c r="I771" s="1667"/>
      <c r="J771" s="1849">
        <v>70000</v>
      </c>
      <c r="K771" s="1849"/>
      <c r="L771" s="1849"/>
      <c r="M771" s="1899"/>
      <c r="N771" s="1899"/>
      <c r="O771" s="1900"/>
    </row>
    <row r="772" spans="1:15" s="1831" customFormat="1" ht="8.4" x14ac:dyDescent="0.15">
      <c r="A772" s="1833">
        <v>44044</v>
      </c>
      <c r="B772" s="1665" t="s">
        <v>2120</v>
      </c>
      <c r="C772" s="1666"/>
      <c r="D772" s="1666"/>
      <c r="E772" s="1666"/>
      <c r="F772" s="1666"/>
      <c r="G772" s="1667"/>
      <c r="H772" s="1667"/>
      <c r="I772" s="1667"/>
      <c r="J772" s="1849">
        <v>425000</v>
      </c>
      <c r="K772" s="1849"/>
      <c r="L772" s="1849"/>
      <c r="M772" s="1899"/>
      <c r="N772" s="1899"/>
      <c r="O772" s="1900"/>
    </row>
    <row r="773" spans="1:15" s="1831" customFormat="1" ht="8.4" x14ac:dyDescent="0.15">
      <c r="A773" s="1833">
        <v>44075</v>
      </c>
      <c r="B773" s="1665" t="s">
        <v>2151</v>
      </c>
      <c r="C773" s="1666"/>
      <c r="D773" s="1666"/>
      <c r="E773" s="1666"/>
      <c r="F773" s="1666"/>
      <c r="G773" s="1667"/>
      <c r="H773" s="1667"/>
      <c r="I773" s="1667"/>
      <c r="J773" s="1849">
        <v>225000</v>
      </c>
      <c r="K773" s="1849"/>
      <c r="L773" s="1849"/>
      <c r="M773" s="1899"/>
      <c r="N773" s="1899"/>
      <c r="O773" s="1900"/>
    </row>
    <row r="774" spans="1:15" s="1831" customFormat="1" ht="8.4" x14ac:dyDescent="0.15">
      <c r="A774" s="1833">
        <v>44075</v>
      </c>
      <c r="B774" s="1665" t="s">
        <v>2161</v>
      </c>
      <c r="C774" s="1666"/>
      <c r="D774" s="1666"/>
      <c r="E774" s="1666"/>
      <c r="F774" s="1666"/>
      <c r="G774" s="1667"/>
      <c r="H774" s="1667"/>
      <c r="I774" s="1667"/>
      <c r="J774" s="1849">
        <v>95000</v>
      </c>
      <c r="K774" s="1849"/>
      <c r="L774" s="1849"/>
      <c r="M774" s="1899"/>
      <c r="N774" s="1899"/>
      <c r="O774" s="1900"/>
    </row>
    <row r="775" spans="1:15" s="1831" customFormat="1" ht="8.4" x14ac:dyDescent="0.15">
      <c r="A775" s="1833">
        <v>44075</v>
      </c>
      <c r="B775" s="1665" t="s">
        <v>2160</v>
      </c>
      <c r="C775" s="1666"/>
      <c r="D775" s="1666"/>
      <c r="E775" s="1666"/>
      <c r="F775" s="1666"/>
      <c r="G775" s="1667"/>
      <c r="H775" s="1667"/>
      <c r="I775" s="1667"/>
      <c r="J775" s="1849">
        <v>190000</v>
      </c>
      <c r="K775" s="1849"/>
      <c r="L775" s="1849"/>
      <c r="M775" s="1899"/>
      <c r="N775" s="1899"/>
      <c r="O775" s="1900"/>
    </row>
    <row r="776" spans="1:15" s="1831" customFormat="1" ht="8.4" x14ac:dyDescent="0.15">
      <c r="A776" s="1833">
        <v>44075</v>
      </c>
      <c r="B776" s="1665" t="s">
        <v>2148</v>
      </c>
      <c r="C776" s="1666"/>
      <c r="D776" s="1666"/>
      <c r="E776" s="1666"/>
      <c r="F776" s="1666"/>
      <c r="G776" s="1667"/>
      <c r="H776" s="1667"/>
      <c r="I776" s="1667"/>
      <c r="J776" s="1849">
        <v>181000</v>
      </c>
      <c r="K776" s="1849"/>
      <c r="L776" s="1849"/>
      <c r="M776" s="1899"/>
      <c r="N776" s="1899"/>
      <c r="O776" s="1900"/>
    </row>
    <row r="777" spans="1:15" s="1831" customFormat="1" ht="8.4" x14ac:dyDescent="0.15">
      <c r="A777" s="1833">
        <v>44075</v>
      </c>
      <c r="B777" s="1665" t="s">
        <v>2146</v>
      </c>
      <c r="C777" s="1666"/>
      <c r="D777" s="1666"/>
      <c r="E777" s="1666"/>
      <c r="F777" s="1666"/>
      <c r="G777" s="1667"/>
      <c r="H777" s="1667"/>
      <c r="I777" s="1667"/>
      <c r="J777" s="1849">
        <v>642000</v>
      </c>
      <c r="K777" s="1849"/>
      <c r="L777" s="1849"/>
      <c r="M777" s="1899"/>
      <c r="N777" s="1899"/>
      <c r="O777" s="1900"/>
    </row>
    <row r="778" spans="1:15" s="1831" customFormat="1" ht="8.4" x14ac:dyDescent="0.15">
      <c r="A778" s="1833">
        <v>44105</v>
      </c>
      <c r="B778" s="1665" t="s">
        <v>2151</v>
      </c>
      <c r="C778" s="1666"/>
      <c r="D778" s="1666"/>
      <c r="E778" s="1666"/>
      <c r="F778" s="1666"/>
      <c r="G778" s="1667"/>
      <c r="H778" s="1667"/>
      <c r="I778" s="1667"/>
      <c r="J778" s="1849">
        <v>255000</v>
      </c>
      <c r="K778" s="1849"/>
      <c r="L778" s="1849"/>
      <c r="M778" s="1899"/>
      <c r="N778" s="1899"/>
      <c r="O778" s="1900"/>
    </row>
    <row r="779" spans="1:15" s="1831" customFormat="1" ht="8.4" x14ac:dyDescent="0.15">
      <c r="A779" s="1833">
        <v>44105</v>
      </c>
      <c r="B779" s="1665" t="s">
        <v>2148</v>
      </c>
      <c r="C779" s="1666"/>
      <c r="D779" s="1666"/>
      <c r="E779" s="1666"/>
      <c r="F779" s="1666"/>
      <c r="G779" s="1667"/>
      <c r="H779" s="1667"/>
      <c r="I779" s="1667"/>
      <c r="J779" s="1849">
        <v>35000</v>
      </c>
      <c r="K779" s="1849"/>
      <c r="L779" s="1849"/>
      <c r="M779" s="1899"/>
      <c r="N779" s="1899"/>
      <c r="O779" s="1900"/>
    </row>
    <row r="780" spans="1:15" s="1831" customFormat="1" ht="8.4" x14ac:dyDescent="0.15">
      <c r="A780" s="1833">
        <v>44105</v>
      </c>
      <c r="B780" s="1665" t="s">
        <v>2159</v>
      </c>
      <c r="C780" s="1666"/>
      <c r="D780" s="1666"/>
      <c r="E780" s="1666"/>
      <c r="F780" s="1666"/>
      <c r="G780" s="1667"/>
      <c r="H780" s="1667"/>
      <c r="I780" s="1667"/>
      <c r="J780" s="1849">
        <v>550000</v>
      </c>
      <c r="K780" s="1849"/>
      <c r="L780" s="1849"/>
      <c r="M780" s="1899"/>
      <c r="N780" s="1899"/>
      <c r="O780" s="1900"/>
    </row>
    <row r="781" spans="1:15" s="1831" customFormat="1" ht="8.4" x14ac:dyDescent="0.15">
      <c r="A781" s="1833">
        <v>44105</v>
      </c>
      <c r="B781" s="1665" t="s">
        <v>2148</v>
      </c>
      <c r="C781" s="1666"/>
      <c r="D781" s="1666"/>
      <c r="E781" s="1666"/>
      <c r="F781" s="1666"/>
      <c r="G781" s="1667"/>
      <c r="H781" s="1667"/>
      <c r="I781" s="1667"/>
      <c r="J781" s="1849">
        <v>84000</v>
      </c>
      <c r="K781" s="1849"/>
      <c r="L781" s="1849"/>
      <c r="M781" s="1899"/>
      <c r="N781" s="1899"/>
      <c r="O781" s="1900"/>
    </row>
    <row r="782" spans="1:15" s="1831" customFormat="1" ht="8.4" x14ac:dyDescent="0.15">
      <c r="A782" s="1833">
        <v>44105</v>
      </c>
      <c r="B782" s="1665" t="s">
        <v>2158</v>
      </c>
      <c r="C782" s="1666"/>
      <c r="D782" s="1666"/>
      <c r="E782" s="1666"/>
      <c r="F782" s="1666"/>
      <c r="G782" s="1667"/>
      <c r="H782" s="1667"/>
      <c r="I782" s="1667"/>
      <c r="J782" s="1849">
        <v>100000</v>
      </c>
      <c r="K782" s="1849"/>
      <c r="L782" s="1849"/>
      <c r="M782" s="1899"/>
      <c r="N782" s="1899"/>
      <c r="O782" s="1900"/>
    </row>
    <row r="783" spans="1:15" s="1831" customFormat="1" ht="8.4" x14ac:dyDescent="0.15">
      <c r="A783" s="1833">
        <v>44136</v>
      </c>
      <c r="B783" s="1665" t="s">
        <v>2147</v>
      </c>
      <c r="C783" s="1666"/>
      <c r="D783" s="1666"/>
      <c r="E783" s="1666"/>
      <c r="F783" s="1666"/>
      <c r="G783" s="1667"/>
      <c r="H783" s="1667"/>
      <c r="I783" s="1667"/>
      <c r="J783" s="1849">
        <v>40000</v>
      </c>
      <c r="K783" s="1849"/>
      <c r="L783" s="1849"/>
      <c r="M783" s="1899"/>
      <c r="N783" s="1899"/>
      <c r="O783" s="1900"/>
    </row>
    <row r="784" spans="1:15" s="1831" customFormat="1" ht="8.4" x14ac:dyDescent="0.15">
      <c r="A784" s="1833">
        <v>44146</v>
      </c>
      <c r="B784" s="1665" t="s">
        <v>2149</v>
      </c>
      <c r="C784" s="1666"/>
      <c r="D784" s="1666"/>
      <c r="E784" s="1666"/>
      <c r="F784" s="1666"/>
      <c r="G784" s="1667"/>
      <c r="H784" s="1667"/>
      <c r="I784" s="1667"/>
      <c r="J784" s="1849">
        <v>559000</v>
      </c>
      <c r="K784" s="1849"/>
      <c r="L784" s="1849"/>
      <c r="M784" s="1899"/>
      <c r="N784" s="1899"/>
      <c r="O784" s="1900"/>
    </row>
    <row r="785" spans="1:15" s="1831" customFormat="1" ht="16.8" x14ac:dyDescent="0.15">
      <c r="A785" s="1833">
        <v>44146</v>
      </c>
      <c r="B785" s="1665" t="s">
        <v>2150</v>
      </c>
      <c r="C785" s="1666"/>
      <c r="D785" s="1666"/>
      <c r="E785" s="1666"/>
      <c r="F785" s="1666"/>
      <c r="G785" s="1667"/>
      <c r="H785" s="1667"/>
      <c r="I785" s="1667"/>
      <c r="J785" s="1849">
        <v>430000</v>
      </c>
      <c r="K785" s="1849"/>
      <c r="L785" s="1849"/>
      <c r="M785" s="1899"/>
      <c r="N785" s="1899"/>
      <c r="O785" s="1900"/>
    </row>
    <row r="786" spans="1:15" s="1831" customFormat="1" ht="8.4" x14ac:dyDescent="0.15">
      <c r="A786" s="1833"/>
      <c r="B786" s="1665" t="s">
        <v>2151</v>
      </c>
      <c r="C786" s="1666"/>
      <c r="D786" s="1666"/>
      <c r="E786" s="1666"/>
      <c r="F786" s="1666"/>
      <c r="G786" s="1667"/>
      <c r="H786" s="1667"/>
      <c r="I786" s="1667"/>
      <c r="J786" s="1849">
        <v>210000</v>
      </c>
      <c r="K786" s="1849"/>
      <c r="L786" s="1849"/>
      <c r="M786" s="1899"/>
      <c r="N786" s="1899"/>
      <c r="O786" s="1900"/>
    </row>
    <row r="787" spans="1:15" s="1831" customFormat="1" ht="8.4" x14ac:dyDescent="0.15">
      <c r="A787" s="1833"/>
      <c r="B787" s="1665" t="s">
        <v>2152</v>
      </c>
      <c r="C787" s="1666"/>
      <c r="D787" s="1666"/>
      <c r="E787" s="1666"/>
      <c r="F787" s="1666"/>
      <c r="G787" s="1667"/>
      <c r="H787" s="1667"/>
      <c r="I787" s="1667"/>
      <c r="J787" s="1849">
        <v>1000000</v>
      </c>
      <c r="K787" s="1849"/>
      <c r="L787" s="1849"/>
      <c r="M787" s="1899"/>
      <c r="N787" s="1899"/>
      <c r="O787" s="1900"/>
    </row>
    <row r="788" spans="1:15" s="1831" customFormat="1" ht="8.4" x14ac:dyDescent="0.15">
      <c r="A788" s="1833"/>
      <c r="B788" s="1665" t="s">
        <v>2153</v>
      </c>
      <c r="C788" s="1666"/>
      <c r="D788" s="1666"/>
      <c r="E788" s="1666"/>
      <c r="F788" s="1666"/>
      <c r="G788" s="1667"/>
      <c r="H788" s="1667"/>
      <c r="I788" s="1667"/>
      <c r="J788" s="1849">
        <v>165000</v>
      </c>
      <c r="K788" s="1849"/>
      <c r="L788" s="1849"/>
      <c r="M788" s="1899"/>
      <c r="N788" s="1899"/>
      <c r="O788" s="1900"/>
    </row>
    <row r="789" spans="1:15" s="1831" customFormat="1" ht="8.4" x14ac:dyDescent="0.15">
      <c r="A789" s="1833"/>
      <c r="B789" s="1665" t="s">
        <v>2154</v>
      </c>
      <c r="C789" s="1666"/>
      <c r="D789" s="1666"/>
      <c r="E789" s="1666"/>
      <c r="F789" s="1666"/>
      <c r="G789" s="1667"/>
      <c r="H789" s="1667"/>
      <c r="I789" s="1667"/>
      <c r="J789" s="1849">
        <v>62000</v>
      </c>
      <c r="K789" s="1849"/>
      <c r="L789" s="1849"/>
      <c r="M789" s="1899"/>
      <c r="N789" s="1899"/>
      <c r="O789" s="1900"/>
    </row>
    <row r="790" spans="1:15" s="1831" customFormat="1" ht="8.4" x14ac:dyDescent="0.15">
      <c r="A790" s="1833"/>
      <c r="B790" s="1665" t="s">
        <v>2155</v>
      </c>
      <c r="C790" s="1666"/>
      <c r="D790" s="1666"/>
      <c r="E790" s="1666"/>
      <c r="F790" s="1666"/>
      <c r="G790" s="1667"/>
      <c r="H790" s="1667"/>
      <c r="I790" s="1667"/>
      <c r="J790" s="1849">
        <v>100000</v>
      </c>
      <c r="K790" s="1849"/>
      <c r="L790" s="1849"/>
      <c r="M790" s="1899"/>
      <c r="N790" s="1899"/>
      <c r="O790" s="1900"/>
    </row>
    <row r="791" spans="1:15" s="1831" customFormat="1" ht="8.4" x14ac:dyDescent="0.15">
      <c r="A791" s="1833"/>
      <c r="B791" s="1665" t="s">
        <v>2156</v>
      </c>
      <c r="C791" s="1666"/>
      <c r="D791" s="1666"/>
      <c r="E791" s="1666"/>
      <c r="F791" s="1666"/>
      <c r="G791" s="1667"/>
      <c r="H791" s="1667"/>
      <c r="I791" s="1667"/>
      <c r="J791" s="1849">
        <v>70000</v>
      </c>
      <c r="K791" s="1849"/>
      <c r="L791" s="1849"/>
      <c r="M791" s="1899"/>
      <c r="N791" s="1899"/>
      <c r="O791" s="1900"/>
    </row>
    <row r="792" spans="1:15" s="1831" customFormat="1" ht="8.4" x14ac:dyDescent="0.15">
      <c r="A792" s="1833">
        <v>44166</v>
      </c>
      <c r="B792" s="1665" t="s">
        <v>2157</v>
      </c>
      <c r="C792" s="1666"/>
      <c r="D792" s="1666"/>
      <c r="E792" s="1666"/>
      <c r="F792" s="1666"/>
      <c r="G792" s="1667"/>
      <c r="H792" s="1667"/>
      <c r="I792" s="1667"/>
      <c r="J792" s="1849">
        <v>330000</v>
      </c>
      <c r="K792" s="1849"/>
      <c r="L792" s="1849"/>
      <c r="M792" s="1899"/>
      <c r="N792" s="1899"/>
      <c r="O792" s="1900"/>
    </row>
    <row r="793" spans="1:15" s="1831" customFormat="1" ht="8.4" x14ac:dyDescent="0.15">
      <c r="A793" s="1833"/>
      <c r="B793" s="1665" t="s">
        <v>2164</v>
      </c>
      <c r="C793" s="1666"/>
      <c r="D793" s="1666"/>
      <c r="E793" s="1666"/>
      <c r="F793" s="1666"/>
      <c r="G793" s="1667"/>
      <c r="H793" s="1667"/>
      <c r="I793" s="1667"/>
      <c r="J793" s="1849">
        <v>472000</v>
      </c>
      <c r="K793" s="1849"/>
      <c r="L793" s="1849"/>
      <c r="M793" s="1899"/>
      <c r="N793" s="1899"/>
      <c r="O793" s="1900"/>
    </row>
    <row r="794" spans="1:15" s="1831" customFormat="1" ht="8.4" x14ac:dyDescent="0.15">
      <c r="A794" s="1833">
        <v>44044</v>
      </c>
      <c r="B794" s="1665" t="s">
        <v>2131</v>
      </c>
      <c r="C794" s="1666"/>
      <c r="D794" s="1666"/>
      <c r="E794" s="1666"/>
      <c r="F794" s="1666"/>
      <c r="G794" s="1667"/>
      <c r="H794" s="1667"/>
      <c r="I794" s="1667"/>
      <c r="J794" s="1849">
        <v>300000</v>
      </c>
      <c r="K794" s="1849"/>
      <c r="L794" s="1849"/>
      <c r="M794" s="1899"/>
      <c r="N794" s="1899"/>
      <c r="O794" s="1900"/>
    </row>
    <row r="795" spans="1:15" s="1831" customFormat="1" ht="8.4" x14ac:dyDescent="0.15">
      <c r="A795" s="1835" t="s">
        <v>2124</v>
      </c>
      <c r="B795" s="1665" t="s">
        <v>2132</v>
      </c>
      <c r="C795" s="1666"/>
      <c r="D795" s="1666"/>
      <c r="E795" s="1666"/>
      <c r="F795" s="1666"/>
      <c r="G795" s="1667"/>
      <c r="H795" s="1667"/>
      <c r="I795" s="1667"/>
      <c r="J795" s="1849">
        <v>55000</v>
      </c>
      <c r="K795" s="1849"/>
      <c r="L795" s="1849"/>
      <c r="M795" s="1899"/>
      <c r="N795" s="1899"/>
      <c r="O795" s="1900"/>
    </row>
    <row r="796" spans="1:15" s="1831" customFormat="1" ht="8.4" x14ac:dyDescent="0.15">
      <c r="A796" s="1835" t="s">
        <v>2124</v>
      </c>
      <c r="B796" s="1665" t="s">
        <v>2132</v>
      </c>
      <c r="C796" s="1666"/>
      <c r="D796" s="1666"/>
      <c r="E796" s="1666"/>
      <c r="F796" s="1666"/>
      <c r="G796" s="1667"/>
      <c r="H796" s="1667"/>
      <c r="I796" s="1667"/>
      <c r="J796" s="1849">
        <v>56000</v>
      </c>
      <c r="K796" s="1849"/>
      <c r="L796" s="1849"/>
      <c r="M796" s="1899"/>
      <c r="N796" s="1899"/>
      <c r="O796" s="1900"/>
    </row>
    <row r="797" spans="1:15" s="1831" customFormat="1" ht="8.4" x14ac:dyDescent="0.15">
      <c r="A797" s="1835" t="s">
        <v>2191</v>
      </c>
      <c r="B797" s="1665" t="s">
        <v>2192</v>
      </c>
      <c r="C797" s="1666"/>
      <c r="D797" s="1666"/>
      <c r="E797" s="1666"/>
      <c r="F797" s="1666"/>
      <c r="G797" s="1667"/>
      <c r="H797" s="1667"/>
      <c r="I797" s="1667"/>
      <c r="J797" s="1849">
        <v>4122000</v>
      </c>
      <c r="K797" s="1849"/>
      <c r="L797" s="1849"/>
      <c r="M797" s="1899"/>
      <c r="N797" s="1899"/>
      <c r="O797" s="1900"/>
    </row>
    <row r="798" spans="1:15" s="1831" customFormat="1" ht="8.4" x14ac:dyDescent="0.15">
      <c r="A798" s="1835" t="s">
        <v>2135</v>
      </c>
      <c r="B798" s="1665" t="s">
        <v>2136</v>
      </c>
      <c r="C798" s="1666"/>
      <c r="D798" s="1666"/>
      <c r="E798" s="1666"/>
      <c r="F798" s="1666"/>
      <c r="G798" s="1667"/>
      <c r="H798" s="1667"/>
      <c r="I798" s="1667"/>
      <c r="J798" s="1849">
        <v>140000</v>
      </c>
      <c r="K798" s="1849"/>
      <c r="L798" s="1849"/>
      <c r="M798" s="1899"/>
      <c r="N798" s="1899"/>
      <c r="O798" s="1900"/>
    </row>
    <row r="799" spans="1:15" s="1831" customFormat="1" ht="8.4" x14ac:dyDescent="0.15">
      <c r="A799" s="1835" t="s">
        <v>2135</v>
      </c>
      <c r="B799" s="1665" t="s">
        <v>2136</v>
      </c>
      <c r="C799" s="1666"/>
      <c r="D799" s="1666"/>
      <c r="E799" s="1666"/>
      <c r="F799" s="1666"/>
      <c r="G799" s="1667"/>
      <c r="H799" s="1667"/>
      <c r="I799" s="1667"/>
      <c r="J799" s="1849">
        <v>147100</v>
      </c>
      <c r="K799" s="1849"/>
      <c r="L799" s="1849"/>
      <c r="M799" s="1899"/>
      <c r="N799" s="1899"/>
      <c r="O799" s="1900"/>
    </row>
    <row r="800" spans="1:15" s="1831" customFormat="1" ht="8.4" x14ac:dyDescent="0.15">
      <c r="A800" s="1835" t="s">
        <v>2135</v>
      </c>
      <c r="B800" s="1665" t="s">
        <v>2136</v>
      </c>
      <c r="C800" s="1666"/>
      <c r="D800" s="1666"/>
      <c r="E800" s="1666"/>
      <c r="F800" s="1666"/>
      <c r="G800" s="1667"/>
      <c r="H800" s="1667"/>
      <c r="I800" s="1667"/>
      <c r="J800" s="1849">
        <v>66800</v>
      </c>
      <c r="K800" s="1849"/>
      <c r="L800" s="1849"/>
      <c r="M800" s="1899"/>
      <c r="N800" s="1899"/>
      <c r="O800" s="1900"/>
    </row>
    <row r="801" spans="1:15" s="1831" customFormat="1" ht="8.4" x14ac:dyDescent="0.15">
      <c r="A801" s="1835" t="s">
        <v>2133</v>
      </c>
      <c r="B801" s="1665" t="s">
        <v>2134</v>
      </c>
      <c r="C801" s="1666"/>
      <c r="D801" s="1666"/>
      <c r="E801" s="1666"/>
      <c r="F801" s="1666"/>
      <c r="G801" s="1667"/>
      <c r="H801" s="1667"/>
      <c r="I801" s="1667"/>
      <c r="J801" s="1849">
        <v>241000</v>
      </c>
      <c r="K801" s="1849"/>
      <c r="L801" s="1849"/>
      <c r="M801" s="1899"/>
      <c r="N801" s="1899"/>
      <c r="O801" s="1900"/>
    </row>
    <row r="802" spans="1:15" s="1831" customFormat="1" ht="8.4" x14ac:dyDescent="0.15">
      <c r="A802" s="1835" t="s">
        <v>2124</v>
      </c>
      <c r="B802" s="1665" t="s">
        <v>2139</v>
      </c>
      <c r="C802" s="1666"/>
      <c r="D802" s="1666"/>
      <c r="E802" s="1666"/>
      <c r="F802" s="1666"/>
      <c r="G802" s="1667"/>
      <c r="H802" s="1667"/>
      <c r="I802" s="1667"/>
      <c r="J802" s="1849">
        <v>713660</v>
      </c>
      <c r="K802" s="1849"/>
      <c r="L802" s="1849"/>
      <c r="M802" s="1899"/>
      <c r="N802" s="1899"/>
      <c r="O802" s="1900"/>
    </row>
    <row r="803" spans="1:15" s="1831" customFormat="1" ht="8.4" x14ac:dyDescent="0.15">
      <c r="A803" s="1835" t="s">
        <v>2189</v>
      </c>
      <c r="B803" s="1665" t="s">
        <v>2190</v>
      </c>
      <c r="C803" s="1666"/>
      <c r="D803" s="1666"/>
      <c r="E803" s="1666"/>
      <c r="F803" s="1666"/>
      <c r="G803" s="1667"/>
      <c r="H803" s="1667"/>
      <c r="I803" s="1667"/>
      <c r="J803" s="1849">
        <v>1900000</v>
      </c>
      <c r="K803" s="1849"/>
      <c r="L803" s="1849"/>
      <c r="M803" s="1899"/>
      <c r="N803" s="1899"/>
      <c r="O803" s="1900"/>
    </row>
    <row r="804" spans="1:15" s="1831" customFormat="1" ht="8.4" x14ac:dyDescent="0.15">
      <c r="A804" s="1835" t="s">
        <v>2125</v>
      </c>
      <c r="B804" s="1665" t="s">
        <v>2139</v>
      </c>
      <c r="C804" s="1666"/>
      <c r="D804" s="1666"/>
      <c r="E804" s="1666"/>
      <c r="F804" s="1666"/>
      <c r="G804" s="1667"/>
      <c r="H804" s="1667"/>
      <c r="I804" s="1667"/>
      <c r="J804" s="1849">
        <v>1023359</v>
      </c>
      <c r="K804" s="1849"/>
      <c r="L804" s="1849"/>
      <c r="M804" s="1899"/>
      <c r="N804" s="1899"/>
      <c r="O804" s="1900"/>
    </row>
    <row r="805" spans="1:15" s="1831" customFormat="1" ht="16.8" x14ac:dyDescent="0.15">
      <c r="A805" s="1835" t="s">
        <v>2137</v>
      </c>
      <c r="B805" s="1665" t="s">
        <v>2305</v>
      </c>
      <c r="C805" s="1666"/>
      <c r="D805" s="1666"/>
      <c r="E805" s="1666"/>
      <c r="F805" s="1666"/>
      <c r="G805" s="1667"/>
      <c r="H805" s="1667"/>
      <c r="I805" s="1667"/>
      <c r="J805" s="1849">
        <v>6000000</v>
      </c>
      <c r="K805" s="1849"/>
      <c r="L805" s="1849"/>
      <c r="M805" s="1899"/>
      <c r="N805" s="1899"/>
      <c r="O805" s="1900"/>
    </row>
    <row r="806" spans="1:15" s="1831" customFormat="1" ht="8.4" x14ac:dyDescent="0.15">
      <c r="A806" s="1835" t="s">
        <v>2137</v>
      </c>
      <c r="B806" s="1665" t="s">
        <v>2186</v>
      </c>
      <c r="C806" s="1666"/>
      <c r="D806" s="1666"/>
      <c r="E806" s="1666"/>
      <c r="F806" s="1666"/>
      <c r="G806" s="1667"/>
      <c r="H806" s="1667"/>
      <c r="I806" s="1667"/>
      <c r="J806" s="1849">
        <v>1000000</v>
      </c>
      <c r="K806" s="1849"/>
      <c r="L806" s="1849"/>
      <c r="M806" s="1899"/>
      <c r="N806" s="1899"/>
      <c r="O806" s="1900"/>
    </row>
    <row r="807" spans="1:15" s="1831" customFormat="1" ht="8.4" x14ac:dyDescent="0.15">
      <c r="A807" s="1835" t="s">
        <v>2137</v>
      </c>
      <c r="B807" s="1665" t="s">
        <v>2138</v>
      </c>
      <c r="C807" s="1666"/>
      <c r="D807" s="1666"/>
      <c r="E807" s="1666"/>
      <c r="F807" s="1666"/>
      <c r="G807" s="1667"/>
      <c r="H807" s="1667"/>
      <c r="I807" s="1667"/>
      <c r="J807" s="1849">
        <v>15000</v>
      </c>
      <c r="K807" s="1849"/>
      <c r="L807" s="1849"/>
      <c r="M807" s="1899"/>
      <c r="N807" s="1899"/>
      <c r="O807" s="1900"/>
    </row>
    <row r="808" spans="1:15" s="1831" customFormat="1" ht="8.4" x14ac:dyDescent="0.15">
      <c r="A808" s="1835"/>
      <c r="B808" s="1665" t="s">
        <v>2138</v>
      </c>
      <c r="C808" s="1666"/>
      <c r="D808" s="1666"/>
      <c r="E808" s="1666"/>
      <c r="F808" s="1666"/>
      <c r="G808" s="1667"/>
      <c r="H808" s="1667"/>
      <c r="I808" s="1667"/>
      <c r="J808" s="1849">
        <v>15000</v>
      </c>
      <c r="K808" s="1849"/>
      <c r="L808" s="1849"/>
      <c r="M808" s="1899"/>
      <c r="N808" s="1899"/>
      <c r="O808" s="1900"/>
    </row>
    <row r="809" spans="1:15" s="1831" customFormat="1" ht="8.4" x14ac:dyDescent="0.15">
      <c r="A809" s="1835"/>
      <c r="B809" s="1665" t="s">
        <v>2138</v>
      </c>
      <c r="C809" s="1666"/>
      <c r="D809" s="1666"/>
      <c r="E809" s="1666"/>
      <c r="F809" s="1666"/>
      <c r="G809" s="1667"/>
      <c r="H809" s="1667"/>
      <c r="I809" s="1667"/>
      <c r="J809" s="1849">
        <v>10000</v>
      </c>
      <c r="K809" s="1849"/>
      <c r="L809" s="1849"/>
      <c r="M809" s="1899"/>
      <c r="N809" s="1899"/>
      <c r="O809" s="1900"/>
    </row>
    <row r="810" spans="1:15" s="1831" customFormat="1" ht="8.4" x14ac:dyDescent="0.15">
      <c r="A810" s="1835"/>
      <c r="B810" s="1665" t="s">
        <v>2138</v>
      </c>
      <c r="C810" s="1666"/>
      <c r="D810" s="1666"/>
      <c r="E810" s="1666"/>
      <c r="F810" s="1666"/>
      <c r="G810" s="1667"/>
      <c r="H810" s="1667"/>
      <c r="I810" s="1667"/>
      <c r="J810" s="1849">
        <v>10000</v>
      </c>
      <c r="K810" s="1849"/>
      <c r="L810" s="1849"/>
      <c r="M810" s="1899"/>
      <c r="N810" s="1899"/>
      <c r="O810" s="1900"/>
    </row>
    <row r="811" spans="1:15" s="1831" customFormat="1" ht="8.4" x14ac:dyDescent="0.15">
      <c r="A811" s="1835"/>
      <c r="B811" s="1665" t="s">
        <v>2138</v>
      </c>
      <c r="C811" s="1666"/>
      <c r="D811" s="1666"/>
      <c r="E811" s="1666"/>
      <c r="F811" s="1666"/>
      <c r="G811" s="1667"/>
      <c r="H811" s="1667"/>
      <c r="I811" s="1667"/>
      <c r="J811" s="1849">
        <v>35000</v>
      </c>
      <c r="K811" s="1849"/>
      <c r="L811" s="1849"/>
      <c r="M811" s="1899"/>
      <c r="N811" s="1899"/>
      <c r="O811" s="1900"/>
    </row>
    <row r="812" spans="1:15" s="1831" customFormat="1" ht="8.4" x14ac:dyDescent="0.15">
      <c r="A812" s="1833"/>
      <c r="B812" s="1665" t="s">
        <v>2138</v>
      </c>
      <c r="C812" s="1666"/>
      <c r="D812" s="1666"/>
      <c r="E812" s="1666"/>
      <c r="F812" s="1666"/>
      <c r="G812" s="1667"/>
      <c r="H812" s="1667"/>
      <c r="I812" s="1667"/>
      <c r="J812" s="1849">
        <v>35000</v>
      </c>
      <c r="K812" s="1849"/>
      <c r="L812" s="1849"/>
      <c r="M812" s="1899"/>
      <c r="N812" s="1899"/>
      <c r="O812" s="1900"/>
    </row>
    <row r="813" spans="1:15" s="1831" customFormat="1" ht="8.4" x14ac:dyDescent="0.15">
      <c r="A813" s="1833"/>
      <c r="B813" s="1665" t="s">
        <v>2138</v>
      </c>
      <c r="C813" s="1666"/>
      <c r="D813" s="1666"/>
      <c r="E813" s="1666"/>
      <c r="F813" s="1666"/>
      <c r="G813" s="1667"/>
      <c r="H813" s="1667"/>
      <c r="I813" s="1667"/>
      <c r="J813" s="1849">
        <v>10000</v>
      </c>
      <c r="K813" s="1849"/>
      <c r="L813" s="1849"/>
      <c r="M813" s="1899"/>
      <c r="N813" s="1899"/>
      <c r="O813" s="1900"/>
    </row>
    <row r="814" spans="1:15" s="1831" customFormat="1" ht="8.4" x14ac:dyDescent="0.15">
      <c r="A814" s="1833"/>
      <c r="B814" s="1665" t="s">
        <v>2138</v>
      </c>
      <c r="C814" s="1666"/>
      <c r="D814" s="1666"/>
      <c r="E814" s="1666"/>
      <c r="F814" s="1666"/>
      <c r="G814" s="1667"/>
      <c r="H814" s="1667"/>
      <c r="I814" s="1667"/>
      <c r="J814" s="1849">
        <v>35000</v>
      </c>
      <c r="K814" s="1849"/>
      <c r="L814" s="1849"/>
      <c r="M814" s="1899"/>
      <c r="N814" s="1899"/>
      <c r="O814" s="1900"/>
    </row>
    <row r="815" spans="1:15" s="1831" customFormat="1" ht="8.4" x14ac:dyDescent="0.15">
      <c r="A815" s="1833"/>
      <c r="B815" s="1665" t="s">
        <v>2138</v>
      </c>
      <c r="C815" s="1666"/>
      <c r="D815" s="1666"/>
      <c r="E815" s="1666"/>
      <c r="F815" s="1666"/>
      <c r="G815" s="1667"/>
      <c r="H815" s="1667"/>
      <c r="I815" s="1667"/>
      <c r="J815" s="1849">
        <v>15000</v>
      </c>
      <c r="K815" s="1849"/>
      <c r="L815" s="1849"/>
      <c r="M815" s="1899"/>
      <c r="N815" s="1899"/>
      <c r="O815" s="1900"/>
    </row>
    <row r="816" spans="1:15" s="1831" customFormat="1" ht="8.4" x14ac:dyDescent="0.15">
      <c r="A816" s="1833"/>
      <c r="B816" s="1665" t="s">
        <v>2138</v>
      </c>
      <c r="C816" s="1666"/>
      <c r="D816" s="1666"/>
      <c r="E816" s="1666"/>
      <c r="F816" s="1666"/>
      <c r="G816" s="1667"/>
      <c r="H816" s="1667"/>
      <c r="I816" s="1667"/>
      <c r="J816" s="1849">
        <v>40000</v>
      </c>
      <c r="K816" s="1849"/>
      <c r="L816" s="1849"/>
      <c r="M816" s="1899"/>
      <c r="N816" s="1899"/>
      <c r="O816" s="1900"/>
    </row>
    <row r="817" spans="1:15" s="1831" customFormat="1" ht="8.4" x14ac:dyDescent="0.15">
      <c r="A817" s="1833"/>
      <c r="B817" s="1665" t="s">
        <v>2138</v>
      </c>
      <c r="C817" s="1666"/>
      <c r="D817" s="1666"/>
      <c r="E817" s="1666"/>
      <c r="F817" s="1666"/>
      <c r="G817" s="1667"/>
      <c r="H817" s="1667"/>
      <c r="I817" s="1667"/>
      <c r="J817" s="1849">
        <v>60000</v>
      </c>
      <c r="K817" s="1849"/>
      <c r="L817" s="1849"/>
      <c r="M817" s="1899"/>
      <c r="N817" s="1899"/>
      <c r="O817" s="1900"/>
    </row>
    <row r="818" spans="1:15" s="1831" customFormat="1" ht="8.4" x14ac:dyDescent="0.15">
      <c r="A818" s="1833"/>
      <c r="B818" s="1665" t="s">
        <v>2138</v>
      </c>
      <c r="C818" s="1666"/>
      <c r="D818" s="1666"/>
      <c r="E818" s="1666"/>
      <c r="F818" s="1666"/>
      <c r="G818" s="1667"/>
      <c r="H818" s="1667"/>
      <c r="I818" s="1667"/>
      <c r="J818" s="1849">
        <v>90000</v>
      </c>
      <c r="K818" s="1849"/>
      <c r="L818" s="1849"/>
      <c r="M818" s="1899"/>
      <c r="N818" s="1899"/>
      <c r="O818" s="1900"/>
    </row>
    <row r="819" spans="1:15" s="1831" customFormat="1" ht="8.4" x14ac:dyDescent="0.15">
      <c r="A819" s="1833"/>
      <c r="B819" s="1665" t="s">
        <v>2138</v>
      </c>
      <c r="C819" s="1666"/>
      <c r="D819" s="1666"/>
      <c r="E819" s="1666"/>
      <c r="F819" s="1666"/>
      <c r="G819" s="1667"/>
      <c r="H819" s="1667"/>
      <c r="I819" s="1667"/>
      <c r="J819" s="1849">
        <v>60000</v>
      </c>
      <c r="K819" s="1849"/>
      <c r="L819" s="1849"/>
      <c r="M819" s="1899"/>
      <c r="N819" s="1899"/>
      <c r="O819" s="1900"/>
    </row>
    <row r="820" spans="1:15" s="1831" customFormat="1" ht="8.4" x14ac:dyDescent="0.15">
      <c r="A820" s="1833"/>
      <c r="B820" s="1665" t="s">
        <v>2138</v>
      </c>
      <c r="C820" s="1666"/>
      <c r="D820" s="1666"/>
      <c r="E820" s="1666"/>
      <c r="F820" s="1666"/>
      <c r="G820" s="1667"/>
      <c r="H820" s="1667"/>
      <c r="I820" s="1667"/>
      <c r="J820" s="1849">
        <v>90000</v>
      </c>
      <c r="K820" s="1849"/>
      <c r="L820" s="1849"/>
      <c r="M820" s="1899"/>
      <c r="N820" s="1899"/>
      <c r="O820" s="1900"/>
    </row>
    <row r="821" spans="1:15" s="1831" customFormat="1" ht="8.4" x14ac:dyDescent="0.15">
      <c r="A821" s="1833"/>
      <c r="B821" s="1665" t="s">
        <v>2138</v>
      </c>
      <c r="C821" s="1666"/>
      <c r="D821" s="1666"/>
      <c r="E821" s="1666"/>
      <c r="F821" s="1666"/>
      <c r="G821" s="1667"/>
      <c r="H821" s="1667"/>
      <c r="I821" s="1667"/>
      <c r="J821" s="1849">
        <v>60000</v>
      </c>
      <c r="K821" s="1849"/>
      <c r="L821" s="1849"/>
      <c r="M821" s="1899"/>
      <c r="N821" s="1899"/>
      <c r="O821" s="1900"/>
    </row>
    <row r="822" spans="1:15" s="1831" customFormat="1" ht="8.4" x14ac:dyDescent="0.15">
      <c r="A822" s="1833"/>
      <c r="B822" s="1665" t="s">
        <v>2138</v>
      </c>
      <c r="C822" s="1666"/>
      <c r="D822" s="1666"/>
      <c r="E822" s="1666"/>
      <c r="F822" s="1666"/>
      <c r="G822" s="1667"/>
      <c r="H822" s="1667"/>
      <c r="I822" s="1667"/>
      <c r="J822" s="1849">
        <v>60000</v>
      </c>
      <c r="K822" s="1849"/>
      <c r="L822" s="1849"/>
      <c r="M822" s="1899"/>
      <c r="N822" s="1899"/>
      <c r="O822" s="1900"/>
    </row>
    <row r="823" spans="1:15" s="1831" customFormat="1" ht="8.4" x14ac:dyDescent="0.15">
      <c r="A823" s="1833"/>
      <c r="B823" s="1665" t="s">
        <v>2138</v>
      </c>
      <c r="C823" s="1666"/>
      <c r="D823" s="1666"/>
      <c r="E823" s="1666"/>
      <c r="F823" s="1666"/>
      <c r="G823" s="1667"/>
      <c r="H823" s="1667"/>
      <c r="I823" s="1667"/>
      <c r="J823" s="1849">
        <v>90000</v>
      </c>
      <c r="K823" s="1849"/>
      <c r="L823" s="1849"/>
      <c r="M823" s="1899"/>
      <c r="N823" s="1899"/>
      <c r="O823" s="1900"/>
    </row>
    <row r="824" spans="1:15" s="1831" customFormat="1" ht="8.4" x14ac:dyDescent="0.15">
      <c r="A824" s="1833"/>
      <c r="B824" s="1665" t="s">
        <v>2138</v>
      </c>
      <c r="C824" s="1666"/>
      <c r="D824" s="1666"/>
      <c r="E824" s="1666"/>
      <c r="F824" s="1666"/>
      <c r="G824" s="1667"/>
      <c r="H824" s="1667"/>
      <c r="I824" s="1667"/>
      <c r="J824" s="1849">
        <v>40000</v>
      </c>
      <c r="K824" s="1849"/>
      <c r="L824" s="1849"/>
      <c r="M824" s="1899"/>
      <c r="N824" s="1899"/>
      <c r="O824" s="1900"/>
    </row>
    <row r="825" spans="1:15" s="1831" customFormat="1" ht="8.4" x14ac:dyDescent="0.15">
      <c r="A825" s="1833"/>
      <c r="B825" s="1665" t="s">
        <v>2138</v>
      </c>
      <c r="C825" s="1666"/>
      <c r="D825" s="1666"/>
      <c r="E825" s="1666"/>
      <c r="F825" s="1666"/>
      <c r="G825" s="1667"/>
      <c r="H825" s="1667"/>
      <c r="I825" s="1667"/>
      <c r="J825" s="1849">
        <v>40000</v>
      </c>
      <c r="K825" s="1849"/>
      <c r="L825" s="1849"/>
      <c r="M825" s="1899"/>
      <c r="N825" s="1899"/>
      <c r="O825" s="1900"/>
    </row>
    <row r="826" spans="1:15" s="1831" customFormat="1" ht="8.4" x14ac:dyDescent="0.15">
      <c r="A826" s="1833"/>
      <c r="B826" s="1665" t="s">
        <v>2138</v>
      </c>
      <c r="C826" s="1666"/>
      <c r="D826" s="1666"/>
      <c r="E826" s="1666"/>
      <c r="F826" s="1666"/>
      <c r="G826" s="1667"/>
      <c r="H826" s="1667"/>
      <c r="I826" s="1667"/>
      <c r="J826" s="1849">
        <v>40000</v>
      </c>
      <c r="K826" s="1849"/>
      <c r="L826" s="1849"/>
      <c r="M826" s="1899"/>
      <c r="N826" s="1899"/>
      <c r="O826" s="1900"/>
    </row>
    <row r="827" spans="1:15" s="1831" customFormat="1" ht="8.4" x14ac:dyDescent="0.15">
      <c r="A827" s="1833"/>
      <c r="B827" s="1665" t="s">
        <v>2138</v>
      </c>
      <c r="C827" s="1666"/>
      <c r="D827" s="1666"/>
      <c r="E827" s="1666"/>
      <c r="F827" s="1666"/>
      <c r="G827" s="1667"/>
      <c r="H827" s="1667"/>
      <c r="I827" s="1667"/>
      <c r="J827" s="1849">
        <v>90000</v>
      </c>
      <c r="K827" s="1849"/>
      <c r="L827" s="1849"/>
      <c r="M827" s="1899"/>
      <c r="N827" s="1899"/>
      <c r="O827" s="1900"/>
    </row>
    <row r="828" spans="1:15" s="1831" customFormat="1" ht="8.4" x14ac:dyDescent="0.15">
      <c r="A828" s="1835" t="s">
        <v>2135</v>
      </c>
      <c r="B828" s="1665" t="s">
        <v>2139</v>
      </c>
      <c r="C828" s="1666"/>
      <c r="D828" s="1666"/>
      <c r="E828" s="1666"/>
      <c r="F828" s="1666"/>
      <c r="G828" s="1667"/>
      <c r="H828" s="1667"/>
      <c r="I828" s="1667"/>
      <c r="J828" s="1849">
        <v>857200</v>
      </c>
      <c r="K828" s="1849"/>
      <c r="L828" s="1849"/>
      <c r="M828" s="1899"/>
      <c r="N828" s="1899"/>
      <c r="O828" s="1900"/>
    </row>
    <row r="829" spans="1:15" s="1831" customFormat="1" ht="8.4" x14ac:dyDescent="0.15">
      <c r="A829" s="1835" t="s">
        <v>2135</v>
      </c>
      <c r="B829" s="1665" t="s">
        <v>2200</v>
      </c>
      <c r="C829" s="1666"/>
      <c r="D829" s="1666"/>
      <c r="E829" s="1666"/>
      <c r="F829" s="1666"/>
      <c r="G829" s="1667"/>
      <c r="H829" s="1667"/>
      <c r="I829" s="1667"/>
      <c r="J829" s="1849">
        <v>10000000</v>
      </c>
      <c r="K829" s="1849"/>
      <c r="L829" s="1849"/>
      <c r="M829" s="1899"/>
      <c r="N829" s="1899"/>
      <c r="O829" s="1900"/>
    </row>
    <row r="830" spans="1:15" s="1831" customFormat="1" ht="8.4" x14ac:dyDescent="0.15">
      <c r="A830" s="1835" t="s">
        <v>2135</v>
      </c>
      <c r="B830" s="1665" t="s">
        <v>2188</v>
      </c>
      <c r="C830" s="1666"/>
      <c r="D830" s="1666"/>
      <c r="E830" s="1666"/>
      <c r="F830" s="1666"/>
      <c r="G830" s="1667"/>
      <c r="H830" s="1667"/>
      <c r="I830" s="1667"/>
      <c r="J830" s="1849">
        <v>5000000</v>
      </c>
      <c r="K830" s="1849"/>
      <c r="L830" s="1849"/>
      <c r="M830" s="1899"/>
      <c r="N830" s="1899"/>
      <c r="O830" s="1900"/>
    </row>
    <row r="831" spans="1:15" s="1831" customFormat="1" ht="8.4" x14ac:dyDescent="0.15">
      <c r="A831" s="1835" t="s">
        <v>2135</v>
      </c>
      <c r="B831" s="1665" t="s">
        <v>2223</v>
      </c>
      <c r="C831" s="1666"/>
      <c r="D831" s="1666"/>
      <c r="E831" s="1666"/>
      <c r="F831" s="1666">
        <v>100000000</v>
      </c>
      <c r="G831" s="1667"/>
      <c r="H831" s="1667"/>
      <c r="I831" s="1667"/>
      <c r="J831" s="1849"/>
      <c r="K831" s="1849"/>
      <c r="L831" s="1849"/>
      <c r="M831" s="1899"/>
      <c r="N831" s="1899"/>
      <c r="O831" s="1900"/>
    </row>
    <row r="832" spans="1:15" s="1831" customFormat="1" ht="8.4" x14ac:dyDescent="0.15">
      <c r="A832" s="1835" t="s">
        <v>2135</v>
      </c>
      <c r="B832" s="1665" t="s">
        <v>2218</v>
      </c>
      <c r="C832" s="1666"/>
      <c r="D832" s="1666"/>
      <c r="E832" s="1666"/>
      <c r="F832" s="1666">
        <v>1670000</v>
      </c>
      <c r="G832" s="1667"/>
      <c r="H832" s="1667"/>
      <c r="I832" s="1667"/>
      <c r="J832" s="1849"/>
      <c r="K832" s="1849"/>
      <c r="L832" s="1849"/>
      <c r="M832" s="1899"/>
      <c r="N832" s="1899"/>
      <c r="O832" s="1900"/>
    </row>
    <row r="833" spans="1:15" s="1831" customFormat="1" ht="8.4" x14ac:dyDescent="0.15">
      <c r="A833" s="1835" t="s">
        <v>2133</v>
      </c>
      <c r="B833" s="1665" t="s">
        <v>2187</v>
      </c>
      <c r="C833" s="1666"/>
      <c r="D833" s="1666"/>
      <c r="E833" s="1666"/>
      <c r="F833" s="1666"/>
      <c r="G833" s="1667"/>
      <c r="H833" s="1667"/>
      <c r="I833" s="1667"/>
      <c r="J833" s="1849">
        <v>500000</v>
      </c>
      <c r="K833" s="1849"/>
      <c r="L833" s="1849"/>
      <c r="M833" s="1899"/>
      <c r="N833" s="1899"/>
      <c r="O833" s="1900"/>
    </row>
    <row r="834" spans="1:15" s="1831" customFormat="1" ht="8.4" x14ac:dyDescent="0.15">
      <c r="A834" s="1835" t="s">
        <v>2133</v>
      </c>
      <c r="B834" s="1665" t="s">
        <v>2219</v>
      </c>
      <c r="C834" s="1666"/>
      <c r="D834" s="1666"/>
      <c r="E834" s="1666"/>
      <c r="F834" s="1666">
        <v>682000</v>
      </c>
      <c r="G834" s="1667"/>
      <c r="H834" s="1667"/>
      <c r="I834" s="1667"/>
      <c r="J834" s="1849"/>
      <c r="K834" s="1849"/>
      <c r="L834" s="1849"/>
      <c r="M834" s="1899"/>
      <c r="N834" s="1899"/>
      <c r="O834" s="1900"/>
    </row>
    <row r="835" spans="1:15" s="1831" customFormat="1" ht="8.4" x14ac:dyDescent="0.15">
      <c r="A835" s="1835" t="s">
        <v>2133</v>
      </c>
      <c r="B835" s="1665" t="s">
        <v>2220</v>
      </c>
      <c r="C835" s="1666"/>
      <c r="D835" s="1666"/>
      <c r="E835" s="1666"/>
      <c r="F835" s="1666">
        <v>20000000</v>
      </c>
      <c r="G835" s="1667"/>
      <c r="H835" s="1667"/>
      <c r="I835" s="1667"/>
      <c r="J835" s="1849"/>
      <c r="K835" s="1849"/>
      <c r="L835" s="1849"/>
      <c r="M835" s="1899"/>
      <c r="N835" s="1899"/>
      <c r="O835" s="1900"/>
    </row>
    <row r="836" spans="1:15" s="1831" customFormat="1" ht="16.8" x14ac:dyDescent="0.15">
      <c r="A836" s="1835" t="s">
        <v>2126</v>
      </c>
      <c r="B836" s="1665" t="s">
        <v>2195</v>
      </c>
      <c r="C836" s="1666"/>
      <c r="D836" s="1666"/>
      <c r="E836" s="1666"/>
      <c r="F836" s="1666"/>
      <c r="G836" s="1667"/>
      <c r="H836" s="1667"/>
      <c r="I836" s="1667"/>
      <c r="J836" s="1849">
        <v>20000000</v>
      </c>
      <c r="K836" s="1849"/>
      <c r="L836" s="1849"/>
      <c r="M836" s="1899"/>
      <c r="N836" s="1899"/>
      <c r="O836" s="1900"/>
    </row>
    <row r="837" spans="1:15" s="1831" customFormat="1" ht="16.8" x14ac:dyDescent="0.15">
      <c r="A837" s="1835" t="s">
        <v>2126</v>
      </c>
      <c r="B837" s="1665" t="s">
        <v>2196</v>
      </c>
      <c r="C837" s="1666"/>
      <c r="D837" s="1666"/>
      <c r="E837" s="1666"/>
      <c r="F837" s="1666"/>
      <c r="G837" s="1667"/>
      <c r="H837" s="1667"/>
      <c r="I837" s="1667"/>
      <c r="J837" s="1849">
        <v>2350000</v>
      </c>
      <c r="K837" s="1849"/>
      <c r="L837" s="1849"/>
      <c r="M837" s="1899"/>
      <c r="N837" s="1899"/>
      <c r="O837" s="1900"/>
    </row>
    <row r="838" spans="1:15" s="1831" customFormat="1" ht="8.4" x14ac:dyDescent="0.15">
      <c r="A838" s="1835" t="s">
        <v>2126</v>
      </c>
      <c r="B838" s="1665" t="s">
        <v>2221</v>
      </c>
      <c r="C838" s="1666"/>
      <c r="D838" s="1666"/>
      <c r="E838" s="1666"/>
      <c r="F838" s="1666">
        <v>20000000</v>
      </c>
      <c r="G838" s="1667"/>
      <c r="H838" s="1667"/>
      <c r="I838" s="1667"/>
      <c r="J838" s="1849"/>
      <c r="K838" s="1849"/>
      <c r="L838" s="1849"/>
      <c r="M838" s="1899"/>
      <c r="N838" s="1899"/>
      <c r="O838" s="1900"/>
    </row>
    <row r="839" spans="1:15" s="1831" customFormat="1" ht="8.4" x14ac:dyDescent="0.15">
      <c r="A839" s="1835" t="s">
        <v>2140</v>
      </c>
      <c r="B839" s="1665" t="s">
        <v>2139</v>
      </c>
      <c r="C839" s="1666"/>
      <c r="D839" s="1666"/>
      <c r="E839" s="1666"/>
      <c r="F839" s="1666"/>
      <c r="G839" s="1667"/>
      <c r="H839" s="1667"/>
      <c r="I839" s="1667"/>
      <c r="J839" s="1849">
        <v>700000</v>
      </c>
      <c r="K839" s="1849"/>
      <c r="L839" s="1849"/>
      <c r="M839" s="1899"/>
      <c r="N839" s="1899"/>
      <c r="O839" s="1900"/>
    </row>
    <row r="840" spans="1:15" s="1831" customFormat="1" ht="8.4" x14ac:dyDescent="0.15">
      <c r="A840" s="1835" t="s">
        <v>2140</v>
      </c>
      <c r="B840" s="1665" t="s">
        <v>2222</v>
      </c>
      <c r="C840" s="1666"/>
      <c r="D840" s="1666"/>
      <c r="E840" s="1666"/>
      <c r="F840" s="1666">
        <v>1182000</v>
      </c>
      <c r="G840" s="1667"/>
      <c r="H840" s="1667"/>
      <c r="I840" s="1667"/>
      <c r="J840" s="1849"/>
      <c r="K840" s="1849"/>
      <c r="L840" s="1849"/>
      <c r="M840" s="1899"/>
      <c r="N840" s="1899"/>
      <c r="O840" s="1900"/>
    </row>
    <row r="841" spans="1:15" s="1831" customFormat="1" ht="8.4" x14ac:dyDescent="0.15">
      <c r="A841" s="1835" t="s">
        <v>2141</v>
      </c>
      <c r="B841" s="1665" t="s">
        <v>2139</v>
      </c>
      <c r="C841" s="1666"/>
      <c r="D841" s="1666"/>
      <c r="E841" s="1666"/>
      <c r="F841" s="1666"/>
      <c r="G841" s="1667"/>
      <c r="H841" s="1667"/>
      <c r="I841" s="1667"/>
      <c r="J841" s="1849">
        <v>1003680</v>
      </c>
      <c r="K841" s="1849"/>
      <c r="L841" s="1849"/>
      <c r="M841" s="1899"/>
      <c r="N841" s="1899"/>
      <c r="O841" s="1900"/>
    </row>
    <row r="842" spans="1:15" s="1831" customFormat="1" ht="16.8" x14ac:dyDescent="0.15">
      <c r="A842" s="1835" t="s">
        <v>2141</v>
      </c>
      <c r="B842" s="1665" t="s">
        <v>2194</v>
      </c>
      <c r="C842" s="1666"/>
      <c r="D842" s="1666"/>
      <c r="E842" s="1666"/>
      <c r="F842" s="1666"/>
      <c r="G842" s="1667"/>
      <c r="H842" s="1667"/>
      <c r="I842" s="1667"/>
      <c r="J842" s="1849">
        <v>2000000</v>
      </c>
      <c r="K842" s="1849"/>
      <c r="L842" s="1849"/>
      <c r="M842" s="1899"/>
      <c r="N842" s="1899"/>
      <c r="O842" s="1900"/>
    </row>
    <row r="843" spans="1:15" s="1831" customFormat="1" ht="16.8" x14ac:dyDescent="0.15">
      <c r="A843" s="1835" t="s">
        <v>2201</v>
      </c>
      <c r="B843" s="1665" t="s">
        <v>2194</v>
      </c>
      <c r="C843" s="1666"/>
      <c r="D843" s="1666"/>
      <c r="E843" s="1666"/>
      <c r="F843" s="1666"/>
      <c r="G843" s="1667"/>
      <c r="H843" s="1667"/>
      <c r="I843" s="1667"/>
      <c r="J843" s="1849">
        <v>10000000</v>
      </c>
      <c r="K843" s="1849"/>
      <c r="L843" s="1849"/>
      <c r="M843" s="1899"/>
      <c r="N843" s="1899"/>
      <c r="O843" s="1900"/>
    </row>
    <row r="844" spans="1:15" s="1831" customFormat="1" ht="16.8" x14ac:dyDescent="0.15">
      <c r="A844" s="1835" t="s">
        <v>2193</v>
      </c>
      <c r="B844" s="1665" t="s">
        <v>2202</v>
      </c>
      <c r="C844" s="1666"/>
      <c r="D844" s="1666"/>
      <c r="E844" s="1666"/>
      <c r="F844" s="1666"/>
      <c r="G844" s="1667"/>
      <c r="H844" s="1667"/>
      <c r="I844" s="1667"/>
      <c r="J844" s="1849">
        <v>2000000</v>
      </c>
      <c r="K844" s="1849"/>
      <c r="L844" s="1849"/>
      <c r="M844" s="1899"/>
      <c r="N844" s="1899"/>
      <c r="O844" s="1900"/>
    </row>
    <row r="845" spans="1:15" s="1831" customFormat="1" ht="16.8" x14ac:dyDescent="0.15">
      <c r="A845" s="1835" t="s">
        <v>2193</v>
      </c>
      <c r="B845" s="1665" t="s">
        <v>2203</v>
      </c>
      <c r="C845" s="1666"/>
      <c r="D845" s="1666"/>
      <c r="E845" s="1666"/>
      <c r="F845" s="1666"/>
      <c r="G845" s="1667"/>
      <c r="H845" s="1667"/>
      <c r="I845" s="1667"/>
      <c r="J845" s="1849">
        <v>2000000</v>
      </c>
      <c r="K845" s="1849"/>
      <c r="L845" s="1849"/>
      <c r="M845" s="1899"/>
      <c r="N845" s="1899"/>
      <c r="O845" s="1900"/>
    </row>
    <row r="846" spans="1:15" s="1831" customFormat="1" ht="16.8" x14ac:dyDescent="0.15">
      <c r="A846" s="1835" t="s">
        <v>2193</v>
      </c>
      <c r="B846" s="1665" t="s">
        <v>2208</v>
      </c>
      <c r="C846" s="1666"/>
      <c r="D846" s="1666"/>
      <c r="E846" s="1666"/>
      <c r="F846" s="1666"/>
      <c r="G846" s="1667"/>
      <c r="H846" s="1667"/>
      <c r="I846" s="1667"/>
      <c r="J846" s="1849">
        <v>6000000</v>
      </c>
      <c r="K846" s="1849"/>
      <c r="L846" s="1849"/>
      <c r="M846" s="1899"/>
      <c r="N846" s="1899"/>
      <c r="O846" s="1900"/>
    </row>
    <row r="847" spans="1:15" s="1831" customFormat="1" ht="16.8" x14ac:dyDescent="0.15">
      <c r="A847" s="1835" t="s">
        <v>2204</v>
      </c>
      <c r="B847" s="1665" t="s">
        <v>2205</v>
      </c>
      <c r="C847" s="1666"/>
      <c r="D847" s="1666"/>
      <c r="E847" s="1666"/>
      <c r="F847" s="1666"/>
      <c r="G847" s="1667"/>
      <c r="H847" s="1667"/>
      <c r="I847" s="1667"/>
      <c r="J847" s="1849">
        <v>31000000</v>
      </c>
      <c r="K847" s="1849"/>
      <c r="L847" s="1849"/>
      <c r="M847" s="1899"/>
      <c r="N847" s="1899"/>
      <c r="O847" s="1900"/>
    </row>
    <row r="848" spans="1:15" s="1831" customFormat="1" ht="25.2" x14ac:dyDescent="0.15">
      <c r="A848" s="1835" t="s">
        <v>2204</v>
      </c>
      <c r="B848" s="1665" t="s">
        <v>2207</v>
      </c>
      <c r="C848" s="1666"/>
      <c r="D848" s="1666"/>
      <c r="E848" s="1666"/>
      <c r="F848" s="1666"/>
      <c r="G848" s="1667"/>
      <c r="H848" s="1667"/>
      <c r="I848" s="1667"/>
      <c r="J848" s="1849">
        <v>13000000</v>
      </c>
      <c r="K848" s="1849"/>
      <c r="L848" s="1849"/>
      <c r="M848" s="1899"/>
      <c r="N848" s="1899"/>
      <c r="O848" s="1900"/>
    </row>
    <row r="849" spans="1:15" s="1831" customFormat="1" ht="0.75" customHeight="1" x14ac:dyDescent="0.15">
      <c r="A849" s="1835"/>
      <c r="B849" s="1665"/>
      <c r="C849" s="1666"/>
      <c r="D849" s="1666"/>
      <c r="E849" s="1666"/>
      <c r="F849" s="1666"/>
      <c r="G849" s="1667"/>
      <c r="H849" s="1667"/>
      <c r="I849" s="1667"/>
      <c r="J849" s="1849"/>
      <c r="K849" s="1849"/>
      <c r="L849" s="1849"/>
      <c r="M849" s="1899"/>
      <c r="N849" s="1899"/>
      <c r="O849" s="1900"/>
    </row>
    <row r="850" spans="1:15" s="146" customFormat="1" ht="8.4" x14ac:dyDescent="0.15">
      <c r="A850" s="2341" t="s">
        <v>2299</v>
      </c>
      <c r="B850" s="2341"/>
      <c r="C850" s="1824">
        <f>SUM(C705:C848)</f>
        <v>0</v>
      </c>
      <c r="D850" s="1824">
        <f t="shared" ref="D850:F850" si="3">SUM(D705:D848)</f>
        <v>0</v>
      </c>
      <c r="E850" s="1824">
        <f t="shared" si="3"/>
        <v>0</v>
      </c>
      <c r="F850" s="1824">
        <f t="shared" si="3"/>
        <v>154904000</v>
      </c>
      <c r="G850" s="1824">
        <f>SUM(G705:G848)</f>
        <v>0</v>
      </c>
      <c r="H850" s="1824">
        <f t="shared" ref="H850:N850" si="4">SUM(H705:H848)</f>
        <v>0</v>
      </c>
      <c r="I850" s="1824">
        <f t="shared" si="4"/>
        <v>0</v>
      </c>
      <c r="J850" s="1824">
        <f t="shared" si="4"/>
        <v>200582663</v>
      </c>
      <c r="K850" s="1824">
        <f t="shared" si="4"/>
        <v>0</v>
      </c>
      <c r="L850" s="1824">
        <f t="shared" si="4"/>
        <v>0</v>
      </c>
      <c r="M850" s="1824">
        <f t="shared" si="4"/>
        <v>0</v>
      </c>
      <c r="N850" s="1824">
        <f t="shared" si="4"/>
        <v>0</v>
      </c>
      <c r="O850" s="1825"/>
    </row>
    <row r="851" spans="1:15" s="146" customFormat="1" ht="8.4" x14ac:dyDescent="0.15">
      <c r="A851" s="2331" t="s">
        <v>2298</v>
      </c>
      <c r="B851" s="2331"/>
      <c r="C851" s="2334">
        <f>SUM(C850:F850)</f>
        <v>154904000</v>
      </c>
      <c r="D851" s="2335"/>
      <c r="E851" s="2335"/>
      <c r="F851" s="2335"/>
      <c r="G851" s="1648"/>
      <c r="H851" s="1648"/>
      <c r="I851" s="1649"/>
      <c r="J851" s="1649"/>
      <c r="K851" s="1649"/>
      <c r="L851" s="1650"/>
      <c r="M851" s="1650"/>
      <c r="N851" s="1650"/>
      <c r="O851" s="442"/>
    </row>
    <row r="852" spans="1:15" s="146" customFormat="1" ht="8.4" x14ac:dyDescent="0.15">
      <c r="A852" s="2331" t="s">
        <v>2300</v>
      </c>
      <c r="B852" s="2331"/>
      <c r="C852" s="2334">
        <f>SUM(G850:L850)</f>
        <v>200582663</v>
      </c>
      <c r="D852" s="2335"/>
      <c r="E852" s="2335"/>
      <c r="F852" s="2335"/>
      <c r="G852" s="1651"/>
      <c r="H852" s="1651"/>
      <c r="I852" s="1651"/>
      <c r="J852" s="1651"/>
      <c r="K852" s="1651"/>
      <c r="L852" s="1651"/>
      <c r="M852" s="1651"/>
      <c r="N852" s="1651"/>
      <c r="O852" s="442"/>
    </row>
    <row r="853" spans="1:15" s="146" customFormat="1" ht="8.4" x14ac:dyDescent="0.15">
      <c r="A853" s="2331" t="s">
        <v>2301</v>
      </c>
      <c r="B853" s="2331"/>
      <c r="C853" s="2334">
        <f>C851-C852</f>
        <v>-45678663</v>
      </c>
      <c r="D853" s="2335"/>
      <c r="E853" s="2335"/>
      <c r="F853" s="2335"/>
      <c r="G853" s="1651"/>
      <c r="H853" s="1651"/>
      <c r="I853" s="1651"/>
      <c r="J853" s="1651"/>
      <c r="K853" s="1651"/>
      <c r="L853" s="1651"/>
      <c r="M853" s="1651"/>
      <c r="N853" s="1651"/>
      <c r="O853" s="442"/>
    </row>
    <row r="854" spans="1:15" ht="26.25" customHeight="1" x14ac:dyDescent="0.25">
      <c r="A854" s="2336" t="s">
        <v>2302</v>
      </c>
      <c r="B854" s="2337"/>
      <c r="C854" s="2338">
        <f>C853+F704</f>
        <v>-108775583</v>
      </c>
      <c r="D854" s="2339"/>
      <c r="E854" s="2339"/>
      <c r="F854" s="2340"/>
      <c r="G854" s="1354"/>
      <c r="H854" s="1354"/>
      <c r="I854" s="1354"/>
      <c r="J854" s="1354"/>
      <c r="K854" s="1354"/>
      <c r="L854" s="1354"/>
      <c r="M854" s="1354"/>
      <c r="N854" s="1354"/>
      <c r="O854" s="1656"/>
    </row>
  </sheetData>
  <mergeCells count="26">
    <mergeCell ref="A3:O3"/>
    <mergeCell ref="A4:O4"/>
    <mergeCell ref="A5:A6"/>
    <mergeCell ref="B5:B6"/>
    <mergeCell ref="C5:F5"/>
    <mergeCell ref="G5:L5"/>
    <mergeCell ref="O5:O6"/>
    <mergeCell ref="A257:B257"/>
    <mergeCell ref="A258:B258"/>
    <mergeCell ref="A259:B259"/>
    <mergeCell ref="A260:B260"/>
    <mergeCell ref="O271:O273"/>
    <mergeCell ref="A853:B853"/>
    <mergeCell ref="C853:F853"/>
    <mergeCell ref="A854:B854"/>
    <mergeCell ref="C854:F854"/>
    <mergeCell ref="A850:B850"/>
    <mergeCell ref="A851:B851"/>
    <mergeCell ref="C851:F851"/>
    <mergeCell ref="A852:B852"/>
    <mergeCell ref="C852:F852"/>
    <mergeCell ref="A702:B702"/>
    <mergeCell ref="A703:B703"/>
    <mergeCell ref="A704:B704"/>
    <mergeCell ref="A700:B700"/>
    <mergeCell ref="A701:B701"/>
  </mergeCells>
  <pageMargins left="0" right="0.16" top="0" bottom="0" header="0.31496062992126" footer="0.31496062992126"/>
  <pageSetup paperSize="9" scale="95" orientation="landscape" verticalDpi="0" r:id="rId1"/>
  <rowBreaks count="1" manualBreakCount="1">
    <brk id="701" max="14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0"/>
  <sheetViews>
    <sheetView zoomScale="118" zoomScaleNormal="118" workbookViewId="0">
      <pane ySplit="6" topLeftCell="A262" activePane="bottomLeft" state="frozen"/>
      <selection pane="bottomLeft" activeCell="C267" sqref="C267"/>
    </sheetView>
  </sheetViews>
  <sheetFormatPr defaultColWidth="9.109375" defaultRowHeight="13.8" x14ac:dyDescent="0.25"/>
  <cols>
    <col min="1" max="1" width="3.44140625" style="1" customWidth="1"/>
    <col min="2" max="2" width="21.33203125" style="13" customWidth="1"/>
    <col min="3" max="3" width="7.44140625" style="15" customWidth="1"/>
    <col min="4" max="4" width="8.6640625" style="15" customWidth="1"/>
    <col min="5" max="5" width="9.109375" style="15" customWidth="1"/>
    <col min="6" max="6" width="10.5546875" style="15" customWidth="1"/>
    <col min="7" max="7" width="8" style="3" customWidth="1"/>
    <col min="8" max="8" width="9.109375" style="3" customWidth="1"/>
    <col min="9" max="9" width="10" style="3" customWidth="1"/>
    <col min="10" max="10" width="9.33203125" style="3" customWidth="1"/>
    <col min="11" max="11" width="9" style="3" customWidth="1"/>
    <col min="12" max="12" width="9.5546875" style="3" customWidth="1"/>
    <col min="13" max="13" width="6.44140625" style="3" customWidth="1"/>
    <col min="14" max="14" width="6.5546875" style="3" customWidth="1"/>
    <col min="15" max="15" width="8.5546875" style="13" customWidth="1"/>
    <col min="16" max="16" width="11.44140625" style="1" customWidth="1"/>
    <col min="17" max="16384" width="9.109375" style="1"/>
  </cols>
  <sheetData>
    <row r="1" spans="1:15" ht="16.8" x14ac:dyDescent="0.3">
      <c r="A1" s="5" t="s">
        <v>3</v>
      </c>
      <c r="B1" s="16"/>
      <c r="C1" s="33"/>
      <c r="D1" s="33"/>
      <c r="E1" s="33"/>
      <c r="F1" s="1657"/>
      <c r="G1" s="1"/>
      <c r="H1" s="1"/>
      <c r="I1" s="1"/>
      <c r="J1" s="1"/>
      <c r="K1" s="1"/>
      <c r="L1" s="1"/>
      <c r="M1" s="1"/>
      <c r="N1" s="1"/>
    </row>
    <row r="2" spans="1:15" x14ac:dyDescent="0.25">
      <c r="A2" s="7" t="s">
        <v>5</v>
      </c>
      <c r="B2" s="17"/>
      <c r="C2" s="34"/>
      <c r="D2" s="34"/>
      <c r="E2" s="34"/>
      <c r="F2" s="34"/>
      <c r="G2" s="1"/>
      <c r="H2" s="1"/>
      <c r="I2" s="1"/>
      <c r="J2" s="1"/>
      <c r="K2" s="1"/>
      <c r="L2" s="1"/>
      <c r="M2" s="1"/>
      <c r="N2" s="1"/>
    </row>
    <row r="3" spans="1:15" ht="20.399999999999999" x14ac:dyDescent="0.35">
      <c r="A3" s="2124" t="s">
        <v>1866</v>
      </c>
      <c r="B3" s="2124"/>
      <c r="C3" s="2124"/>
      <c r="D3" s="2124"/>
      <c r="E3" s="2124"/>
      <c r="F3" s="2124"/>
      <c r="G3" s="2124"/>
      <c r="H3" s="2124"/>
      <c r="I3" s="2124"/>
      <c r="J3" s="2124"/>
      <c r="K3" s="2124"/>
      <c r="L3" s="2124"/>
      <c r="M3" s="2124"/>
      <c r="N3" s="2124"/>
      <c r="O3" s="2124"/>
    </row>
    <row r="4" spans="1:15" ht="14.4" thickBot="1" x14ac:dyDescent="0.3">
      <c r="A4" s="2348" t="s">
        <v>1872</v>
      </c>
      <c r="B4" s="2348"/>
      <c r="C4" s="2348"/>
      <c r="D4" s="2348"/>
      <c r="E4" s="2348"/>
      <c r="F4" s="2348"/>
      <c r="G4" s="2348"/>
      <c r="H4" s="2348"/>
      <c r="I4" s="2348"/>
      <c r="J4" s="2348"/>
      <c r="K4" s="2348"/>
      <c r="L4" s="2348"/>
      <c r="M4" s="2348"/>
      <c r="N4" s="2348"/>
      <c r="O4" s="2348"/>
    </row>
    <row r="5" spans="1:15" s="146" customFormat="1" ht="9" thickTop="1" x14ac:dyDescent="0.15">
      <c r="A5" s="2349" t="s">
        <v>153</v>
      </c>
      <c r="B5" s="2351" t="s">
        <v>91</v>
      </c>
      <c r="C5" s="2353" t="s">
        <v>609</v>
      </c>
      <c r="D5" s="2354"/>
      <c r="E5" s="2354"/>
      <c r="F5" s="2354"/>
      <c r="G5" s="2355" t="s">
        <v>92</v>
      </c>
      <c r="H5" s="2356"/>
      <c r="I5" s="2356"/>
      <c r="J5" s="2356"/>
      <c r="K5" s="2356"/>
      <c r="L5" s="2357"/>
      <c r="M5" s="1511"/>
      <c r="N5" s="1511"/>
      <c r="O5" s="2358" t="s">
        <v>1</v>
      </c>
    </row>
    <row r="6" spans="1:15" s="146" customFormat="1" ht="33.6" x14ac:dyDescent="0.15">
      <c r="A6" s="2350"/>
      <c r="B6" s="2352"/>
      <c r="C6" s="1512" t="s">
        <v>1837</v>
      </c>
      <c r="D6" s="1512" t="s">
        <v>683</v>
      </c>
      <c r="E6" s="1512" t="s">
        <v>685</v>
      </c>
      <c r="F6" s="1512" t="s">
        <v>1566</v>
      </c>
      <c r="G6" s="1513" t="s">
        <v>1837</v>
      </c>
      <c r="H6" s="1513" t="s">
        <v>683</v>
      </c>
      <c r="I6" s="1513" t="s">
        <v>685</v>
      </c>
      <c r="J6" s="1513" t="s">
        <v>686</v>
      </c>
      <c r="K6" s="1514" t="s">
        <v>688</v>
      </c>
      <c r="L6" s="1514" t="s">
        <v>1838</v>
      </c>
      <c r="M6" s="1514" t="s">
        <v>1839</v>
      </c>
      <c r="N6" s="1514" t="s">
        <v>1840</v>
      </c>
      <c r="O6" s="2359"/>
    </row>
    <row r="7" spans="1:15" s="1523" customFormat="1" ht="8.4" x14ac:dyDescent="0.15">
      <c r="A7" s="1515" t="s">
        <v>1569</v>
      </c>
      <c r="B7" s="1516" t="s">
        <v>1570</v>
      </c>
      <c r="C7" s="1517">
        <v>40000000</v>
      </c>
      <c r="D7" s="1518"/>
      <c r="E7" s="1519"/>
      <c r="F7" s="1517"/>
      <c r="G7" s="1520"/>
      <c r="H7" s="1521"/>
      <c r="I7" s="1521"/>
      <c r="J7" s="1520"/>
      <c r="K7" s="1520"/>
      <c r="L7" s="1520"/>
      <c r="M7" s="1520"/>
      <c r="N7" s="1520"/>
      <c r="O7" s="1522"/>
    </row>
    <row r="8" spans="1:15" s="1523" customFormat="1" ht="8.4" x14ac:dyDescent="0.15">
      <c r="A8" s="1524"/>
      <c r="B8" s="1525" t="s">
        <v>1571</v>
      </c>
      <c r="C8" s="1526">
        <v>60000000</v>
      </c>
      <c r="D8" s="1527"/>
      <c r="E8" s="1527"/>
      <c r="F8" s="1526"/>
      <c r="G8" s="1526"/>
      <c r="H8" s="1528"/>
      <c r="I8" s="1528"/>
      <c r="J8" s="1526"/>
      <c r="K8" s="1526"/>
      <c r="L8" s="1526"/>
      <c r="M8" s="1526"/>
      <c r="N8" s="1526"/>
      <c r="O8" s="1529"/>
    </row>
    <row r="9" spans="1:15" s="1523" customFormat="1" ht="8.4" x14ac:dyDescent="0.15">
      <c r="A9" s="1524"/>
      <c r="B9" s="1525" t="s">
        <v>1572</v>
      </c>
      <c r="C9" s="1526">
        <v>36000000</v>
      </c>
      <c r="D9" s="1527"/>
      <c r="E9" s="1527"/>
      <c r="F9" s="1526"/>
      <c r="G9" s="1526"/>
      <c r="H9" s="1528"/>
      <c r="I9" s="1528"/>
      <c r="J9" s="1526"/>
      <c r="K9" s="1526"/>
      <c r="L9" s="1526"/>
      <c r="M9" s="1526"/>
      <c r="N9" s="1526"/>
      <c r="O9" s="1529"/>
    </row>
    <row r="10" spans="1:15" s="1523" customFormat="1" ht="8.4" x14ac:dyDescent="0.15">
      <c r="A10" s="1524"/>
      <c r="B10" s="1525" t="s">
        <v>1573</v>
      </c>
      <c r="C10" s="1526">
        <v>42000000</v>
      </c>
      <c r="D10" s="1527"/>
      <c r="E10" s="1527"/>
      <c r="F10" s="1526"/>
      <c r="G10" s="1526"/>
      <c r="H10" s="1528"/>
      <c r="I10" s="1528"/>
      <c r="J10" s="1526"/>
      <c r="K10" s="1526"/>
      <c r="L10" s="1526"/>
      <c r="M10" s="1526"/>
      <c r="N10" s="1526"/>
      <c r="O10" s="1529"/>
    </row>
    <row r="11" spans="1:15" s="1523" customFormat="1" ht="16.8" x14ac:dyDescent="0.15">
      <c r="A11" s="1530"/>
      <c r="B11" s="1531" t="s">
        <v>1574</v>
      </c>
      <c r="C11" s="1532">
        <v>13346750</v>
      </c>
      <c r="D11" s="1527"/>
      <c r="E11" s="1527"/>
      <c r="F11" s="1533"/>
      <c r="G11" s="1533"/>
      <c r="H11" s="1528"/>
      <c r="I11" s="1528"/>
      <c r="J11" s="1533"/>
      <c r="K11" s="1533"/>
      <c r="L11" s="1533"/>
      <c r="M11" s="1533"/>
      <c r="N11" s="1533"/>
      <c r="O11" s="1529"/>
    </row>
    <row r="12" spans="1:15" s="1523" customFormat="1" ht="8.4" x14ac:dyDescent="0.15">
      <c r="A12" s="1524"/>
      <c r="B12" s="1525" t="s">
        <v>1575</v>
      </c>
      <c r="C12" s="1526">
        <v>80000000</v>
      </c>
      <c r="D12" s="1527"/>
      <c r="E12" s="1527"/>
      <c r="F12" s="1526"/>
      <c r="G12" s="1526"/>
      <c r="H12" s="1528"/>
      <c r="I12" s="1528"/>
      <c r="J12" s="1526"/>
      <c r="K12" s="1526"/>
      <c r="L12" s="1526"/>
      <c r="M12" s="1526"/>
      <c r="N12" s="1526"/>
      <c r="O12" s="1529"/>
    </row>
    <row r="13" spans="1:15" s="1523" customFormat="1" ht="8.4" x14ac:dyDescent="0.15">
      <c r="A13" s="1524"/>
      <c r="B13" s="1525" t="s">
        <v>1576</v>
      </c>
      <c r="C13" s="1526">
        <v>10000000</v>
      </c>
      <c r="D13" s="1527"/>
      <c r="E13" s="1527"/>
      <c r="F13" s="1526"/>
      <c r="G13" s="1526"/>
      <c r="H13" s="1528"/>
      <c r="I13" s="1528"/>
      <c r="J13" s="1526"/>
      <c r="K13" s="1526"/>
      <c r="L13" s="1526"/>
      <c r="M13" s="1526"/>
      <c r="N13" s="1526"/>
      <c r="O13" s="1529"/>
    </row>
    <row r="14" spans="1:15" s="1523" customFormat="1" ht="25.2" x14ac:dyDescent="0.15">
      <c r="A14" s="1534"/>
      <c r="B14" s="1535" t="s">
        <v>1577</v>
      </c>
      <c r="C14" s="1536"/>
      <c r="D14" s="1527"/>
      <c r="E14" s="1527"/>
      <c r="F14" s="1526"/>
      <c r="G14" s="1526">
        <v>30000000</v>
      </c>
      <c r="H14" s="1528"/>
      <c r="I14" s="1528"/>
      <c r="J14" s="1526"/>
      <c r="K14" s="1526"/>
      <c r="L14" s="1526"/>
      <c r="M14" s="1526"/>
      <c r="N14" s="1526"/>
      <c r="O14" s="1529"/>
    </row>
    <row r="15" spans="1:15" s="1523" customFormat="1" ht="25.2" x14ac:dyDescent="0.15">
      <c r="A15" s="1534"/>
      <c r="B15" s="1535" t="s">
        <v>1578</v>
      </c>
      <c r="C15" s="1536"/>
      <c r="D15" s="1527"/>
      <c r="E15" s="1527"/>
      <c r="F15" s="1526"/>
      <c r="G15" s="1526">
        <v>8400000</v>
      </c>
      <c r="H15" s="1528"/>
      <c r="I15" s="1528"/>
      <c r="J15" s="1526"/>
      <c r="K15" s="1526"/>
      <c r="L15" s="1526"/>
      <c r="M15" s="1526"/>
      <c r="N15" s="1526"/>
      <c r="O15" s="1529"/>
    </row>
    <row r="16" spans="1:15" s="1523" customFormat="1" ht="25.2" x14ac:dyDescent="0.15">
      <c r="A16" s="1534"/>
      <c r="B16" s="1535" t="s">
        <v>1579</v>
      </c>
      <c r="C16" s="1536"/>
      <c r="D16" s="1527"/>
      <c r="E16" s="1527"/>
      <c r="F16" s="1526"/>
      <c r="G16" s="1526">
        <v>10000000</v>
      </c>
      <c r="H16" s="1528"/>
      <c r="I16" s="1528"/>
      <c r="J16" s="1526"/>
      <c r="K16" s="1526"/>
      <c r="L16" s="1526"/>
      <c r="M16" s="1526"/>
      <c r="N16" s="1526"/>
      <c r="O16" s="1529"/>
    </row>
    <row r="17" spans="1:15" s="1523" customFormat="1" ht="16.8" x14ac:dyDescent="0.15">
      <c r="A17" s="1534"/>
      <c r="B17" s="1535" t="s">
        <v>1580</v>
      </c>
      <c r="C17" s="1526"/>
      <c r="D17" s="1527"/>
      <c r="E17" s="1527"/>
      <c r="F17" s="1526"/>
      <c r="G17" s="1526">
        <v>60000000</v>
      </c>
      <c r="H17" s="1528"/>
      <c r="I17" s="1528"/>
      <c r="J17" s="1526"/>
      <c r="K17" s="1526"/>
      <c r="L17" s="1526"/>
      <c r="M17" s="1526"/>
      <c r="N17" s="1526"/>
      <c r="O17" s="1529"/>
    </row>
    <row r="18" spans="1:15" s="1523" customFormat="1" ht="8.4" x14ac:dyDescent="0.15">
      <c r="A18" s="1524"/>
      <c r="B18" s="1537" t="s">
        <v>1581</v>
      </c>
      <c r="C18" s="1526"/>
      <c r="D18" s="1527"/>
      <c r="E18" s="1527"/>
      <c r="F18" s="1526"/>
      <c r="G18" s="1526">
        <v>10000000</v>
      </c>
      <c r="H18" s="1528"/>
      <c r="I18" s="1528"/>
      <c r="J18" s="1526"/>
      <c r="K18" s="1526"/>
      <c r="L18" s="1526"/>
      <c r="M18" s="1526"/>
      <c r="N18" s="1526"/>
      <c r="O18" s="1529"/>
    </row>
    <row r="19" spans="1:15" s="1523" customFormat="1" ht="8.4" x14ac:dyDescent="0.15">
      <c r="A19" s="1524"/>
      <c r="B19" s="1525" t="s">
        <v>1582</v>
      </c>
      <c r="C19" s="1146"/>
      <c r="D19" s="1527"/>
      <c r="E19" s="1527"/>
      <c r="F19" s="1526"/>
      <c r="G19" s="1526">
        <v>20000000</v>
      </c>
      <c r="H19" s="1528"/>
      <c r="I19" s="1528"/>
      <c r="J19" s="1526"/>
      <c r="K19" s="1526"/>
      <c r="L19" s="1526"/>
      <c r="M19" s="1526"/>
      <c r="N19" s="1526"/>
      <c r="O19" s="1529"/>
    </row>
    <row r="20" spans="1:15" s="1523" customFormat="1" ht="8.4" x14ac:dyDescent="0.15">
      <c r="A20" s="1524"/>
      <c r="B20" s="1525" t="s">
        <v>1583</v>
      </c>
      <c r="C20" s="1526"/>
      <c r="D20" s="1527"/>
      <c r="E20" s="1527"/>
      <c r="F20" s="1526"/>
      <c r="G20" s="1526">
        <v>21000000</v>
      </c>
      <c r="H20" s="1528"/>
      <c r="I20" s="1528"/>
      <c r="J20" s="1526"/>
      <c r="K20" s="1526"/>
      <c r="L20" s="1526"/>
      <c r="M20" s="1526"/>
      <c r="N20" s="1526"/>
      <c r="O20" s="1529"/>
    </row>
    <row r="21" spans="1:15" s="1523" customFormat="1" ht="8.4" x14ac:dyDescent="0.15">
      <c r="A21" s="1538" t="s">
        <v>1584</v>
      </c>
      <c r="B21" s="1525" t="s">
        <v>1585</v>
      </c>
      <c r="C21" s="1526"/>
      <c r="D21" s="1527"/>
      <c r="E21" s="1527"/>
      <c r="F21" s="1526"/>
      <c r="G21" s="1539">
        <v>14550000</v>
      </c>
      <c r="H21" s="1528"/>
      <c r="I21" s="1528"/>
      <c r="J21" s="1526"/>
      <c r="K21" s="1526"/>
      <c r="L21" s="1526"/>
      <c r="M21" s="1526"/>
      <c r="N21" s="1526"/>
      <c r="O21" s="1529"/>
    </row>
    <row r="22" spans="1:15" s="1523" customFormat="1" ht="25.2" x14ac:dyDescent="0.15">
      <c r="A22" s="1538"/>
      <c r="B22" s="1540" t="s">
        <v>1586</v>
      </c>
      <c r="C22" s="1526"/>
      <c r="D22" s="1527"/>
      <c r="E22" s="1527"/>
      <c r="F22" s="1526"/>
      <c r="G22" s="1526">
        <v>16600000</v>
      </c>
      <c r="H22" s="1528"/>
      <c r="I22" s="1528"/>
      <c r="J22" s="1526"/>
      <c r="K22" s="1526"/>
      <c r="L22" s="1526"/>
      <c r="M22" s="1526"/>
      <c r="N22" s="1526"/>
      <c r="O22" s="1529"/>
    </row>
    <row r="23" spans="1:15" s="1523" customFormat="1" ht="8.4" x14ac:dyDescent="0.15">
      <c r="A23" s="1524" t="s">
        <v>1587</v>
      </c>
      <c r="B23" s="1525" t="s">
        <v>1588</v>
      </c>
      <c r="C23" s="1526"/>
      <c r="D23" s="1527"/>
      <c r="E23" s="1527"/>
      <c r="F23" s="1526"/>
      <c r="G23" s="1539">
        <v>1935000</v>
      </c>
      <c r="H23" s="1528"/>
      <c r="I23" s="1528"/>
      <c r="J23" s="1526"/>
      <c r="K23" s="1526"/>
      <c r="L23" s="1526"/>
      <c r="M23" s="1526"/>
      <c r="N23" s="1526"/>
      <c r="O23" s="1529"/>
    </row>
    <row r="24" spans="1:15" s="1523" customFormat="1" ht="8.4" x14ac:dyDescent="0.15">
      <c r="A24" s="1524"/>
      <c r="B24" s="1525" t="s">
        <v>1589</v>
      </c>
      <c r="C24" s="1526"/>
      <c r="D24" s="1527"/>
      <c r="E24" s="1527"/>
      <c r="F24" s="1526"/>
      <c r="G24" s="1526">
        <v>1950000</v>
      </c>
      <c r="H24" s="1528"/>
      <c r="I24" s="1528"/>
      <c r="J24" s="1526"/>
      <c r="K24" s="1526"/>
      <c r="L24" s="1526"/>
      <c r="M24" s="1526"/>
      <c r="N24" s="1526"/>
      <c r="O24" s="1529"/>
    </row>
    <row r="25" spans="1:15" s="1523" customFormat="1" ht="8.4" x14ac:dyDescent="0.15">
      <c r="A25" s="1524"/>
      <c r="B25" s="1525" t="s">
        <v>1590</v>
      </c>
      <c r="C25" s="1526"/>
      <c r="D25" s="1527"/>
      <c r="E25" s="1527"/>
      <c r="F25" s="1526"/>
      <c r="G25" s="1526">
        <v>3750000</v>
      </c>
      <c r="H25" s="1528"/>
      <c r="I25" s="1528"/>
      <c r="J25" s="1526"/>
      <c r="K25" s="1526"/>
      <c r="L25" s="1526"/>
      <c r="M25" s="1526"/>
      <c r="N25" s="1526"/>
      <c r="O25" s="1529"/>
    </row>
    <row r="26" spans="1:15" s="1523" customFormat="1" ht="8.4" x14ac:dyDescent="0.15">
      <c r="A26" s="1524"/>
      <c r="B26" s="1525" t="s">
        <v>1591</v>
      </c>
      <c r="C26" s="1526"/>
      <c r="D26" s="1527"/>
      <c r="E26" s="1527"/>
      <c r="F26" s="1526"/>
      <c r="G26" s="1526">
        <v>1600000</v>
      </c>
      <c r="H26" s="1528"/>
      <c r="I26" s="1528"/>
      <c r="J26" s="1526"/>
      <c r="K26" s="1526"/>
      <c r="L26" s="1526"/>
      <c r="M26" s="1526"/>
      <c r="N26" s="1526"/>
      <c r="O26" s="1529"/>
    </row>
    <row r="27" spans="1:15" s="1523" customFormat="1" ht="8.4" x14ac:dyDescent="0.15">
      <c r="A27" s="1524"/>
      <c r="B27" s="1525" t="s">
        <v>1592</v>
      </c>
      <c r="C27" s="1526"/>
      <c r="D27" s="1527"/>
      <c r="E27" s="1527"/>
      <c r="F27" s="1526"/>
      <c r="G27" s="1526">
        <v>2760000</v>
      </c>
      <c r="H27" s="1528"/>
      <c r="I27" s="1528"/>
      <c r="J27" s="1526"/>
      <c r="K27" s="1526"/>
      <c r="L27" s="1526"/>
      <c r="M27" s="1526"/>
      <c r="N27" s="1526"/>
      <c r="O27" s="1529"/>
    </row>
    <row r="28" spans="1:15" s="1523" customFormat="1" ht="8.4" x14ac:dyDescent="0.15">
      <c r="A28" s="1524" t="s">
        <v>1593</v>
      </c>
      <c r="B28" s="1525" t="s">
        <v>1594</v>
      </c>
      <c r="C28" s="1526"/>
      <c r="D28" s="1527"/>
      <c r="E28" s="1527"/>
      <c r="F28" s="1526"/>
      <c r="G28" s="1526">
        <v>6000000</v>
      </c>
      <c r="H28" s="1528"/>
      <c r="I28" s="1528"/>
      <c r="J28" s="1526"/>
      <c r="K28" s="1526"/>
      <c r="L28" s="1526"/>
      <c r="M28" s="1526"/>
      <c r="N28" s="1526"/>
      <c r="O28" s="1529"/>
    </row>
    <row r="29" spans="1:15" s="1523" customFormat="1" ht="8.4" x14ac:dyDescent="0.15">
      <c r="A29" s="1524"/>
      <c r="B29" s="1525" t="s">
        <v>1595</v>
      </c>
      <c r="C29" s="1526"/>
      <c r="D29" s="1527"/>
      <c r="E29" s="1527"/>
      <c r="F29" s="1526"/>
      <c r="G29" s="1526">
        <v>1850000</v>
      </c>
      <c r="H29" s="1528"/>
      <c r="I29" s="1528"/>
      <c r="J29" s="1526"/>
      <c r="K29" s="1526"/>
      <c r="L29" s="1526"/>
      <c r="M29" s="1526"/>
      <c r="N29" s="1526"/>
      <c r="O29" s="1529"/>
    </row>
    <row r="30" spans="1:15" s="1523" customFormat="1" ht="8.4" x14ac:dyDescent="0.15">
      <c r="A30" s="1524"/>
      <c r="B30" s="1525" t="s">
        <v>1596</v>
      </c>
      <c r="C30" s="1526"/>
      <c r="D30" s="1527"/>
      <c r="E30" s="1527"/>
      <c r="F30" s="1526"/>
      <c r="G30" s="1539">
        <v>1570000</v>
      </c>
      <c r="H30" s="1528"/>
      <c r="I30" s="1528"/>
      <c r="J30" s="1526"/>
      <c r="K30" s="1526"/>
      <c r="L30" s="1526"/>
      <c r="M30" s="1526"/>
      <c r="N30" s="1526"/>
      <c r="O30" s="1529"/>
    </row>
    <row r="31" spans="1:15" s="1523" customFormat="1" ht="8.4" x14ac:dyDescent="0.15">
      <c r="A31" s="1538"/>
      <c r="B31" s="1525" t="s">
        <v>1597</v>
      </c>
      <c r="C31" s="1526"/>
      <c r="D31" s="1527"/>
      <c r="E31" s="1527"/>
      <c r="F31" s="1526"/>
      <c r="G31" s="1539">
        <v>5240000</v>
      </c>
      <c r="H31" s="1528"/>
      <c r="I31" s="1528"/>
      <c r="J31" s="1526"/>
      <c r="K31" s="1526"/>
      <c r="L31" s="1526"/>
      <c r="M31" s="1526"/>
      <c r="N31" s="1526"/>
      <c r="O31" s="1529"/>
    </row>
    <row r="32" spans="1:15" s="1523" customFormat="1" ht="8.4" x14ac:dyDescent="0.15">
      <c r="A32" s="1538"/>
      <c r="B32" s="1525" t="s">
        <v>1598</v>
      </c>
      <c r="C32" s="1526"/>
      <c r="D32" s="1527"/>
      <c r="E32" s="1527"/>
      <c r="F32" s="1526"/>
      <c r="G32" s="1539">
        <v>5448000</v>
      </c>
      <c r="H32" s="1528"/>
      <c r="I32" s="1528"/>
      <c r="J32" s="1526"/>
      <c r="K32" s="1526"/>
      <c r="L32" s="1526"/>
      <c r="M32" s="1526"/>
      <c r="N32" s="1526"/>
      <c r="O32" s="1529"/>
    </row>
    <row r="33" spans="1:15" s="1523" customFormat="1" ht="8.4" x14ac:dyDescent="0.15">
      <c r="A33" s="1524"/>
      <c r="B33" s="1525" t="s">
        <v>1599</v>
      </c>
      <c r="C33" s="1526"/>
      <c r="D33" s="1527"/>
      <c r="E33" s="1527"/>
      <c r="F33" s="1526"/>
      <c r="G33" s="1526">
        <v>720000</v>
      </c>
      <c r="H33" s="1528"/>
      <c r="I33" s="1528"/>
      <c r="J33" s="1526"/>
      <c r="K33" s="1526"/>
      <c r="L33" s="1526"/>
      <c r="M33" s="1526"/>
      <c r="N33" s="1526"/>
      <c r="O33" s="1529"/>
    </row>
    <row r="34" spans="1:15" s="1523" customFormat="1" ht="8.4" x14ac:dyDescent="0.15">
      <c r="A34" s="1524"/>
      <c r="B34" s="1525" t="s">
        <v>1600</v>
      </c>
      <c r="C34" s="1526"/>
      <c r="D34" s="1527"/>
      <c r="E34" s="1527"/>
      <c r="F34" s="1526"/>
      <c r="G34" s="1526">
        <v>135000</v>
      </c>
      <c r="H34" s="1528"/>
      <c r="I34" s="1528"/>
      <c r="J34" s="1526"/>
      <c r="K34" s="1526"/>
      <c r="L34" s="1526"/>
      <c r="M34" s="1526"/>
      <c r="N34" s="1526"/>
      <c r="O34" s="1529"/>
    </row>
    <row r="35" spans="1:15" s="1523" customFormat="1" ht="8.4" x14ac:dyDescent="0.15">
      <c r="A35" s="1524"/>
      <c r="B35" s="1525" t="s">
        <v>1601</v>
      </c>
      <c r="C35" s="1526"/>
      <c r="D35" s="1527"/>
      <c r="E35" s="1527"/>
      <c r="F35" s="1526"/>
      <c r="G35" s="1526">
        <v>50000</v>
      </c>
      <c r="H35" s="1528"/>
      <c r="I35" s="1528"/>
      <c r="J35" s="1526"/>
      <c r="K35" s="1526"/>
      <c r="L35" s="1526"/>
      <c r="M35" s="1526"/>
      <c r="N35" s="1526"/>
      <c r="O35" s="1529"/>
    </row>
    <row r="36" spans="1:15" s="1523" customFormat="1" ht="16.8" x14ac:dyDescent="0.15">
      <c r="A36" s="1524"/>
      <c r="B36" s="1525" t="s">
        <v>1602</v>
      </c>
      <c r="C36" s="1526"/>
      <c r="D36" s="1527"/>
      <c r="E36" s="1527"/>
      <c r="F36" s="1526"/>
      <c r="G36" s="1526">
        <v>790000</v>
      </c>
      <c r="H36" s="1528"/>
      <c r="I36" s="1528"/>
      <c r="J36" s="1526"/>
      <c r="K36" s="1526"/>
      <c r="L36" s="1526"/>
      <c r="M36" s="1526"/>
      <c r="N36" s="1526"/>
      <c r="O36" s="1529"/>
    </row>
    <row r="37" spans="1:15" s="1523" customFormat="1" ht="8.4" x14ac:dyDescent="0.15">
      <c r="A37" s="1538"/>
      <c r="B37" s="1525" t="s">
        <v>1603</v>
      </c>
      <c r="C37" s="1526"/>
      <c r="D37" s="1527"/>
      <c r="E37" s="1527"/>
      <c r="F37" s="1526"/>
      <c r="G37" s="1526">
        <v>1800000</v>
      </c>
      <c r="H37" s="1528"/>
      <c r="I37" s="1528"/>
      <c r="J37" s="1526"/>
      <c r="K37" s="1526"/>
      <c r="L37" s="1526"/>
      <c r="M37" s="1526"/>
      <c r="N37" s="1526"/>
      <c r="O37" s="1529"/>
    </row>
    <row r="38" spans="1:15" s="1523" customFormat="1" ht="8.4" x14ac:dyDescent="0.15">
      <c r="A38" s="1538"/>
      <c r="B38" s="1525" t="s">
        <v>1604</v>
      </c>
      <c r="C38" s="1526"/>
      <c r="D38" s="1527"/>
      <c r="E38" s="1527"/>
      <c r="F38" s="1526"/>
      <c r="G38" s="1526">
        <v>80000</v>
      </c>
      <c r="H38" s="1528"/>
      <c r="I38" s="1528"/>
      <c r="J38" s="1526"/>
      <c r="K38" s="1526"/>
      <c r="L38" s="1526"/>
      <c r="M38" s="1526"/>
      <c r="N38" s="1526"/>
      <c r="O38" s="1529"/>
    </row>
    <row r="39" spans="1:15" s="1523" customFormat="1" ht="8.4" x14ac:dyDescent="0.15">
      <c r="A39" s="1524"/>
      <c r="B39" s="1525" t="s">
        <v>1605</v>
      </c>
      <c r="C39" s="1526"/>
      <c r="D39" s="1527"/>
      <c r="E39" s="1527"/>
      <c r="F39" s="1526"/>
      <c r="G39" s="1526">
        <v>850000</v>
      </c>
      <c r="H39" s="1528"/>
      <c r="I39" s="1528"/>
      <c r="J39" s="1526"/>
      <c r="K39" s="1526"/>
      <c r="L39" s="1526"/>
      <c r="M39" s="1526"/>
      <c r="N39" s="1526"/>
      <c r="O39" s="1529"/>
    </row>
    <row r="40" spans="1:15" s="1523" customFormat="1" ht="8.4" x14ac:dyDescent="0.15">
      <c r="A40" s="1524"/>
      <c r="B40" s="1525" t="s">
        <v>1606</v>
      </c>
      <c r="C40" s="1526"/>
      <c r="D40" s="1527"/>
      <c r="E40" s="1527"/>
      <c r="F40" s="1526"/>
      <c r="G40" s="1526">
        <v>1200000</v>
      </c>
      <c r="H40" s="1528"/>
      <c r="I40" s="1528"/>
      <c r="J40" s="1526"/>
      <c r="K40" s="1526"/>
      <c r="L40" s="1526"/>
      <c r="M40" s="1526"/>
      <c r="N40" s="1526"/>
      <c r="O40" s="1529"/>
    </row>
    <row r="41" spans="1:15" s="1523" customFormat="1" ht="8.4" x14ac:dyDescent="0.15">
      <c r="A41" s="1538"/>
      <c r="B41" s="1525" t="s">
        <v>1607</v>
      </c>
      <c r="C41" s="1526"/>
      <c r="D41" s="1527"/>
      <c r="E41" s="1527"/>
      <c r="F41" s="1526"/>
      <c r="G41" s="1526">
        <v>1700000</v>
      </c>
      <c r="H41" s="1528"/>
      <c r="I41" s="1528"/>
      <c r="J41" s="1526"/>
      <c r="K41" s="1526"/>
      <c r="L41" s="1526"/>
      <c r="M41" s="1526"/>
      <c r="N41" s="1526"/>
      <c r="O41" s="1529"/>
    </row>
    <row r="42" spans="1:15" s="1523" customFormat="1" ht="8.4" x14ac:dyDescent="0.15">
      <c r="A42" s="1538"/>
      <c r="B42" s="1525" t="s">
        <v>1608</v>
      </c>
      <c r="C42" s="1526"/>
      <c r="D42" s="1527"/>
      <c r="E42" s="1527"/>
      <c r="F42" s="1526"/>
      <c r="G42" s="1526">
        <v>115000</v>
      </c>
      <c r="H42" s="1528"/>
      <c r="I42" s="1528"/>
      <c r="J42" s="1526"/>
      <c r="K42" s="1526"/>
      <c r="L42" s="1526"/>
      <c r="M42" s="1526"/>
      <c r="N42" s="1526"/>
      <c r="O42" s="1529"/>
    </row>
    <row r="43" spans="1:15" s="1523" customFormat="1" ht="8.4" x14ac:dyDescent="0.15">
      <c r="A43" s="1524"/>
      <c r="B43" s="1525" t="s">
        <v>1609</v>
      </c>
      <c r="C43" s="1526"/>
      <c r="D43" s="1527"/>
      <c r="E43" s="1527"/>
      <c r="F43" s="1526"/>
      <c r="G43" s="1526">
        <v>160000</v>
      </c>
      <c r="H43" s="1528"/>
      <c r="I43" s="1528"/>
      <c r="J43" s="1526"/>
      <c r="K43" s="1526"/>
      <c r="L43" s="1526"/>
      <c r="M43" s="1526"/>
      <c r="N43" s="1526"/>
      <c r="O43" s="1529"/>
    </row>
    <row r="44" spans="1:15" s="1523" customFormat="1" ht="8.4" x14ac:dyDescent="0.15">
      <c r="A44" s="1524"/>
      <c r="B44" s="1525" t="s">
        <v>1610</v>
      </c>
      <c r="C44" s="1526"/>
      <c r="D44" s="1527"/>
      <c r="E44" s="1527"/>
      <c r="F44" s="1526"/>
      <c r="G44" s="1526">
        <v>30000</v>
      </c>
      <c r="H44" s="1528"/>
      <c r="I44" s="1528"/>
      <c r="J44" s="1526"/>
      <c r="K44" s="1526"/>
      <c r="L44" s="1526"/>
      <c r="M44" s="1526"/>
      <c r="N44" s="1526"/>
      <c r="O44" s="1529"/>
    </row>
    <row r="45" spans="1:15" s="1523" customFormat="1" ht="8.4" x14ac:dyDescent="0.15">
      <c r="A45" s="1524" t="s">
        <v>1611</v>
      </c>
      <c r="B45" s="1525" t="s">
        <v>1612</v>
      </c>
      <c r="C45" s="1526"/>
      <c r="D45" s="1527"/>
      <c r="E45" s="1527"/>
      <c r="F45" s="1526"/>
      <c r="G45" s="1539">
        <v>32000</v>
      </c>
      <c r="H45" s="1528"/>
      <c r="I45" s="1528"/>
      <c r="J45" s="1526"/>
      <c r="K45" s="1526"/>
      <c r="L45" s="1526"/>
      <c r="M45" s="1526"/>
      <c r="N45" s="1526"/>
      <c r="O45" s="1529"/>
    </row>
    <row r="46" spans="1:15" s="1523" customFormat="1" ht="8.4" x14ac:dyDescent="0.15">
      <c r="A46" s="1524"/>
      <c r="B46" s="1525" t="s">
        <v>1613</v>
      </c>
      <c r="C46" s="1526"/>
      <c r="D46" s="1527"/>
      <c r="E46" s="1527"/>
      <c r="F46" s="1526"/>
      <c r="G46" s="1526">
        <v>789000</v>
      </c>
      <c r="H46" s="1528"/>
      <c r="I46" s="1528"/>
      <c r="J46" s="1526"/>
      <c r="K46" s="1526"/>
      <c r="L46" s="1526"/>
      <c r="M46" s="1526"/>
      <c r="N46" s="1526"/>
      <c r="O46" s="1529"/>
    </row>
    <row r="47" spans="1:15" s="1523" customFormat="1" ht="8.4" x14ac:dyDescent="0.15">
      <c r="A47" s="1538" t="s">
        <v>1614</v>
      </c>
      <c r="B47" s="1525" t="s">
        <v>1615</v>
      </c>
      <c r="C47" s="1526"/>
      <c r="D47" s="1527"/>
      <c r="E47" s="1527"/>
      <c r="F47" s="1526"/>
      <c r="G47" s="1539">
        <v>442000</v>
      </c>
      <c r="H47" s="1528"/>
      <c r="I47" s="1528"/>
      <c r="J47" s="1526"/>
      <c r="K47" s="1526"/>
      <c r="L47" s="1526"/>
      <c r="M47" s="1526"/>
      <c r="N47" s="1526"/>
      <c r="O47" s="1529"/>
    </row>
    <row r="48" spans="1:15" s="1523" customFormat="1" ht="8.4" x14ac:dyDescent="0.15">
      <c r="A48" s="1538"/>
      <c r="B48" s="1525" t="s">
        <v>1616</v>
      </c>
      <c r="C48" s="1526"/>
      <c r="D48" s="1527"/>
      <c r="E48" s="1527"/>
      <c r="F48" s="1526"/>
      <c r="G48" s="1526">
        <f>660000-G47</f>
        <v>218000</v>
      </c>
      <c r="H48" s="1528"/>
      <c r="I48" s="1528"/>
      <c r="J48" s="1526"/>
      <c r="K48" s="1526"/>
      <c r="L48" s="1526"/>
      <c r="M48" s="1526"/>
      <c r="N48" s="1526"/>
      <c r="O48" s="1529"/>
    </row>
    <row r="49" spans="1:15" s="1523" customFormat="1" ht="8.4" x14ac:dyDescent="0.15">
      <c r="A49" s="1538"/>
      <c r="B49" s="1525" t="s">
        <v>1617</v>
      </c>
      <c r="C49" s="1526"/>
      <c r="D49" s="1527"/>
      <c r="E49" s="1527"/>
      <c r="F49" s="1526"/>
      <c r="G49" s="1526">
        <v>93000</v>
      </c>
      <c r="H49" s="1528"/>
      <c r="I49" s="1528"/>
      <c r="J49" s="1526"/>
      <c r="K49" s="1526"/>
      <c r="L49" s="1526"/>
      <c r="M49" s="1526"/>
      <c r="N49" s="1526"/>
      <c r="O49" s="1529"/>
    </row>
    <row r="50" spans="1:15" s="1523" customFormat="1" ht="16.8" x14ac:dyDescent="0.15">
      <c r="A50" s="1538"/>
      <c r="B50" s="1525" t="s">
        <v>1618</v>
      </c>
      <c r="C50" s="1526"/>
      <c r="D50" s="1527"/>
      <c r="E50" s="1527"/>
      <c r="F50" s="1526"/>
      <c r="G50" s="1526">
        <v>181000</v>
      </c>
      <c r="H50" s="1528"/>
      <c r="I50" s="1528"/>
      <c r="J50" s="1526"/>
      <c r="K50" s="1526"/>
      <c r="L50" s="1526"/>
      <c r="M50" s="1526"/>
      <c r="N50" s="1526"/>
      <c r="O50" s="1529"/>
    </row>
    <row r="51" spans="1:15" s="1523" customFormat="1" ht="16.8" x14ac:dyDescent="0.15">
      <c r="A51" s="1524" t="s">
        <v>1619</v>
      </c>
      <c r="B51" s="1525" t="s">
        <v>1620</v>
      </c>
      <c r="C51" s="1526"/>
      <c r="D51" s="1527"/>
      <c r="E51" s="1527"/>
      <c r="F51" s="1526"/>
      <c r="G51" s="1539">
        <v>283000</v>
      </c>
      <c r="H51" s="1528"/>
      <c r="I51" s="1528"/>
      <c r="J51" s="1526"/>
      <c r="K51" s="1526"/>
      <c r="L51" s="1526"/>
      <c r="M51" s="1526"/>
      <c r="N51" s="1526"/>
      <c r="O51" s="1529"/>
    </row>
    <row r="52" spans="1:15" s="1523" customFormat="1" ht="16.8" x14ac:dyDescent="0.15">
      <c r="A52" s="1524" t="s">
        <v>1621</v>
      </c>
      <c r="B52" s="1525" t="s">
        <v>1622</v>
      </c>
      <c r="C52" s="1526"/>
      <c r="D52" s="1527"/>
      <c r="E52" s="1527"/>
      <c r="F52" s="1526"/>
      <c r="G52" s="1539">
        <v>517000</v>
      </c>
      <c r="H52" s="1528"/>
      <c r="I52" s="1528"/>
      <c r="J52" s="1526"/>
      <c r="K52" s="1526"/>
      <c r="L52" s="1526"/>
      <c r="M52" s="1526"/>
      <c r="N52" s="1526"/>
      <c r="O52" s="1529"/>
    </row>
    <row r="53" spans="1:15" s="1523" customFormat="1" ht="8.4" x14ac:dyDescent="0.15">
      <c r="A53" s="1524"/>
      <c r="B53" s="1525" t="s">
        <v>1623</v>
      </c>
      <c r="C53" s="1526"/>
      <c r="D53" s="1527"/>
      <c r="E53" s="1527"/>
      <c r="F53" s="1526"/>
      <c r="G53" s="1526">
        <v>50000</v>
      </c>
      <c r="H53" s="1528"/>
      <c r="I53" s="1528"/>
      <c r="J53" s="1526"/>
      <c r="K53" s="1526"/>
      <c r="L53" s="1526"/>
      <c r="M53" s="1526"/>
      <c r="N53" s="1526"/>
      <c r="O53" s="1529"/>
    </row>
    <row r="54" spans="1:15" s="1523" customFormat="1" ht="8.4" x14ac:dyDescent="0.15">
      <c r="A54" s="1538"/>
      <c r="B54" s="1525" t="s">
        <v>1624</v>
      </c>
      <c r="C54" s="1526"/>
      <c r="D54" s="1527"/>
      <c r="E54" s="1527"/>
      <c r="F54" s="1526"/>
      <c r="G54" s="1526">
        <v>500000</v>
      </c>
      <c r="H54" s="1528"/>
      <c r="I54" s="1528"/>
      <c r="J54" s="1526"/>
      <c r="K54" s="1526"/>
      <c r="L54" s="1526"/>
      <c r="M54" s="1526"/>
      <c r="N54" s="1526"/>
      <c r="O54" s="1529"/>
    </row>
    <row r="55" spans="1:15" s="1523" customFormat="1" ht="16.8" x14ac:dyDescent="0.15">
      <c r="A55" s="1538"/>
      <c r="B55" s="1525" t="s">
        <v>1625</v>
      </c>
      <c r="C55" s="1526"/>
      <c r="D55" s="1527"/>
      <c r="E55" s="1527"/>
      <c r="F55" s="1526"/>
      <c r="G55" s="1539">
        <v>115000</v>
      </c>
      <c r="H55" s="1528"/>
      <c r="I55" s="1528"/>
      <c r="J55" s="1526"/>
      <c r="K55" s="1526"/>
      <c r="L55" s="1526"/>
      <c r="M55" s="1526"/>
      <c r="N55" s="1526"/>
      <c r="O55" s="1529"/>
    </row>
    <row r="56" spans="1:15" s="1523" customFormat="1" ht="8.4" x14ac:dyDescent="0.15">
      <c r="A56" s="1524"/>
      <c r="B56" s="1525" t="s">
        <v>1626</v>
      </c>
      <c r="C56" s="1526"/>
      <c r="D56" s="1527"/>
      <c r="E56" s="1527"/>
      <c r="F56" s="1526"/>
      <c r="G56" s="1539">
        <v>2300000</v>
      </c>
      <c r="H56" s="1528"/>
      <c r="I56" s="1528"/>
      <c r="J56" s="1526"/>
      <c r="K56" s="1526"/>
      <c r="L56" s="1526"/>
      <c r="M56" s="1526"/>
      <c r="N56" s="1526"/>
      <c r="O56" s="1529"/>
    </row>
    <row r="57" spans="1:15" s="1523" customFormat="1" ht="16.8" x14ac:dyDescent="0.15">
      <c r="A57" s="1524"/>
      <c r="B57" s="1525" t="s">
        <v>1627</v>
      </c>
      <c r="C57" s="1526"/>
      <c r="D57" s="1527"/>
      <c r="E57" s="1527"/>
      <c r="F57" s="1526"/>
      <c r="G57" s="1526">
        <v>500000</v>
      </c>
      <c r="H57" s="1528"/>
      <c r="I57" s="1528"/>
      <c r="J57" s="1526"/>
      <c r="K57" s="1526"/>
      <c r="L57" s="1526"/>
      <c r="M57" s="1526"/>
      <c r="N57" s="1526"/>
      <c r="O57" s="1529"/>
    </row>
    <row r="58" spans="1:15" s="1523" customFormat="1" ht="16.8" x14ac:dyDescent="0.15">
      <c r="A58" s="1524"/>
      <c r="B58" s="1525" t="s">
        <v>1628</v>
      </c>
      <c r="C58" s="1526"/>
      <c r="D58" s="1527"/>
      <c r="E58" s="1527"/>
      <c r="F58" s="1526"/>
      <c r="G58" s="1526">
        <v>350000</v>
      </c>
      <c r="H58" s="1528"/>
      <c r="I58" s="1528"/>
      <c r="J58" s="1526"/>
      <c r="K58" s="1526"/>
      <c r="L58" s="1526"/>
      <c r="M58" s="1526"/>
      <c r="N58" s="1526"/>
      <c r="O58" s="1529"/>
    </row>
    <row r="59" spans="1:15" s="1523" customFormat="1" ht="8.4" x14ac:dyDescent="0.15">
      <c r="A59" s="1524"/>
      <c r="B59" s="1525" t="s">
        <v>1629</v>
      </c>
      <c r="C59" s="1526"/>
      <c r="D59" s="1527"/>
      <c r="E59" s="1527"/>
      <c r="F59" s="1526"/>
      <c r="G59" s="1526">
        <v>130000</v>
      </c>
      <c r="H59" s="1528"/>
      <c r="I59" s="1528"/>
      <c r="J59" s="1526"/>
      <c r="K59" s="1526"/>
      <c r="L59" s="1526"/>
      <c r="M59" s="1526"/>
      <c r="N59" s="1526"/>
      <c r="O59" s="1529"/>
    </row>
    <row r="60" spans="1:15" s="1523" customFormat="1" ht="25.2" x14ac:dyDescent="0.15">
      <c r="A60" s="1538"/>
      <c r="B60" s="1525" t="s">
        <v>1630</v>
      </c>
      <c r="C60" s="1526"/>
      <c r="D60" s="1527"/>
      <c r="E60" s="1527"/>
      <c r="F60" s="1526"/>
      <c r="G60" s="1526">
        <v>110000</v>
      </c>
      <c r="H60" s="1528"/>
      <c r="I60" s="1528"/>
      <c r="J60" s="1526"/>
      <c r="K60" s="1526"/>
      <c r="L60" s="1526"/>
      <c r="M60" s="1526"/>
      <c r="N60" s="1526"/>
      <c r="O60" s="1529"/>
    </row>
    <row r="61" spans="1:15" s="1523" customFormat="1" ht="8.4" x14ac:dyDescent="0.15">
      <c r="A61" s="1538" t="s">
        <v>1631</v>
      </c>
      <c r="B61" s="1525" t="s">
        <v>1632</v>
      </c>
      <c r="C61" s="1526"/>
      <c r="D61" s="1527"/>
      <c r="E61" s="1527"/>
      <c r="F61" s="1526"/>
      <c r="G61" s="1539">
        <v>30000</v>
      </c>
      <c r="H61" s="1528"/>
      <c r="I61" s="1528"/>
      <c r="J61" s="1526"/>
      <c r="K61" s="1526"/>
      <c r="L61" s="1526"/>
      <c r="M61" s="1526"/>
      <c r="N61" s="1526"/>
      <c r="O61" s="1529"/>
    </row>
    <row r="62" spans="1:15" s="1523" customFormat="1" ht="16.8" x14ac:dyDescent="0.15">
      <c r="A62" s="1538"/>
      <c r="B62" s="1525" t="s">
        <v>1633</v>
      </c>
      <c r="C62" s="1526"/>
      <c r="D62" s="1527"/>
      <c r="E62" s="1527"/>
      <c r="F62" s="1526"/>
      <c r="G62" s="1526">
        <v>500000</v>
      </c>
      <c r="H62" s="1528"/>
      <c r="I62" s="1528"/>
      <c r="J62" s="1526"/>
      <c r="K62" s="1526"/>
      <c r="L62" s="1526"/>
      <c r="M62" s="1526"/>
      <c r="N62" s="1526"/>
      <c r="O62" s="1529"/>
    </row>
    <row r="63" spans="1:15" s="1523" customFormat="1" ht="8.4" x14ac:dyDescent="0.15">
      <c r="A63" s="1538"/>
      <c r="B63" s="1525" t="s">
        <v>1634</v>
      </c>
      <c r="C63" s="1526"/>
      <c r="D63" s="1527"/>
      <c r="E63" s="1527"/>
      <c r="F63" s="1526"/>
      <c r="G63" s="1526">
        <v>442000</v>
      </c>
      <c r="H63" s="1528"/>
      <c r="I63" s="1528"/>
      <c r="J63" s="1526"/>
      <c r="K63" s="1526"/>
      <c r="L63" s="1526"/>
      <c r="M63" s="1526"/>
      <c r="N63" s="1526"/>
      <c r="O63" s="1529"/>
    </row>
    <row r="64" spans="1:15" s="1523" customFormat="1" ht="8.4" x14ac:dyDescent="0.15">
      <c r="A64" s="1524"/>
      <c r="B64" s="1535" t="s">
        <v>1635</v>
      </c>
      <c r="C64" s="1526"/>
      <c r="D64" s="1527"/>
      <c r="E64" s="1527"/>
      <c r="F64" s="1526"/>
      <c r="G64" s="1526">
        <v>14000000</v>
      </c>
      <c r="H64" s="1528"/>
      <c r="I64" s="1528"/>
      <c r="J64" s="1526"/>
      <c r="K64" s="1526"/>
      <c r="L64" s="1526"/>
      <c r="M64" s="1526"/>
      <c r="N64" s="1526"/>
      <c r="O64" s="1529"/>
    </row>
    <row r="65" spans="1:15" s="1523" customFormat="1" ht="25.2" x14ac:dyDescent="0.15">
      <c r="A65" s="1534"/>
      <c r="B65" s="1541" t="s">
        <v>1636</v>
      </c>
      <c r="C65" s="1526"/>
      <c r="D65" s="1527"/>
      <c r="E65" s="1527"/>
      <c r="F65" s="1526"/>
      <c r="G65" s="1526">
        <v>14500000</v>
      </c>
      <c r="H65" s="1528"/>
      <c r="I65" s="1528"/>
      <c r="J65" s="1526"/>
      <c r="K65" s="1526"/>
      <c r="L65" s="1526"/>
      <c r="M65" s="1526"/>
      <c r="N65" s="1526"/>
      <c r="O65" s="1529"/>
    </row>
    <row r="66" spans="1:15" s="1523" customFormat="1" ht="25.2" x14ac:dyDescent="0.15">
      <c r="A66" s="1534"/>
      <c r="B66" s="1541" t="s">
        <v>1637</v>
      </c>
      <c r="C66" s="1526"/>
      <c r="D66" s="1527"/>
      <c r="E66" s="1527"/>
      <c r="F66" s="1526"/>
      <c r="G66" s="1526">
        <v>16000000</v>
      </c>
      <c r="H66" s="1528"/>
      <c r="I66" s="1528"/>
      <c r="J66" s="1526"/>
      <c r="K66" s="1526"/>
      <c r="L66" s="1526"/>
      <c r="M66" s="1526"/>
      <c r="N66" s="1526"/>
      <c r="O66" s="1529"/>
    </row>
    <row r="67" spans="1:15" s="1523" customFormat="1" ht="8.4" x14ac:dyDescent="0.15">
      <c r="A67" s="1534"/>
      <c r="B67" s="1541" t="s">
        <v>1638</v>
      </c>
      <c r="C67" s="1526"/>
      <c r="D67" s="1527"/>
      <c r="E67" s="1527"/>
      <c r="F67" s="1526"/>
      <c r="G67" s="1542"/>
      <c r="H67" s="1528"/>
      <c r="I67" s="1528"/>
      <c r="J67" s="1526">
        <v>500000</v>
      </c>
      <c r="K67" s="1526"/>
      <c r="L67" s="1526"/>
      <c r="M67" s="1526"/>
      <c r="N67" s="1526"/>
      <c r="O67" s="1529"/>
    </row>
    <row r="68" spans="1:15" s="1523" customFormat="1" ht="8.4" x14ac:dyDescent="0.15">
      <c r="A68" s="1538"/>
      <c r="B68" s="1541" t="s">
        <v>1639</v>
      </c>
      <c r="C68" s="1526"/>
      <c r="D68" s="1527"/>
      <c r="E68" s="1527"/>
      <c r="F68" s="1526"/>
      <c r="G68" s="1542"/>
      <c r="H68" s="1528"/>
      <c r="I68" s="1528"/>
      <c r="J68" s="1526">
        <v>300000</v>
      </c>
      <c r="K68" s="1526"/>
      <c r="L68" s="1526"/>
      <c r="M68" s="1526"/>
      <c r="N68" s="1526"/>
      <c r="O68" s="1529"/>
    </row>
    <row r="69" spans="1:15" s="1523" customFormat="1" ht="8.4" x14ac:dyDescent="0.15">
      <c r="A69" s="1538"/>
      <c r="B69" s="1541" t="s">
        <v>1640</v>
      </c>
      <c r="C69" s="1526"/>
      <c r="D69" s="1527"/>
      <c r="E69" s="1527"/>
      <c r="F69" s="1526"/>
      <c r="G69" s="1542"/>
      <c r="H69" s="1528"/>
      <c r="I69" s="1528"/>
      <c r="J69" s="1526">
        <v>4000000</v>
      </c>
      <c r="K69" s="1526"/>
      <c r="L69" s="1526"/>
      <c r="M69" s="1526"/>
      <c r="N69" s="1526"/>
      <c r="O69" s="1529"/>
    </row>
    <row r="70" spans="1:15" s="1523" customFormat="1" ht="8.4" x14ac:dyDescent="0.15">
      <c r="A70" s="1538"/>
      <c r="B70" s="1541" t="s">
        <v>1641</v>
      </c>
      <c r="C70" s="1526"/>
      <c r="D70" s="1527"/>
      <c r="E70" s="1527"/>
      <c r="F70" s="1526"/>
      <c r="G70" s="1542"/>
      <c r="H70" s="1528"/>
      <c r="I70" s="1528"/>
      <c r="J70" s="1539">
        <v>800000</v>
      </c>
      <c r="K70" s="1526"/>
      <c r="L70" s="1526"/>
      <c r="M70" s="1526"/>
      <c r="N70" s="1526"/>
      <c r="O70" s="1529"/>
    </row>
    <row r="71" spans="1:15" s="1523" customFormat="1" ht="8.4" x14ac:dyDescent="0.15">
      <c r="A71" s="1543" t="s">
        <v>1642</v>
      </c>
      <c r="B71" s="1541" t="s">
        <v>1643</v>
      </c>
      <c r="C71" s="1526"/>
      <c r="D71" s="1527"/>
      <c r="E71" s="1527"/>
      <c r="F71" s="1526"/>
      <c r="G71" s="1542"/>
      <c r="H71" s="1528"/>
      <c r="I71" s="1528"/>
      <c r="J71" s="1539">
        <v>1237135</v>
      </c>
      <c r="K71" s="1526"/>
      <c r="L71" s="1526"/>
      <c r="M71" s="1526"/>
      <c r="N71" s="1526"/>
      <c r="O71" s="1529"/>
    </row>
    <row r="72" spans="1:15" s="1523" customFormat="1" ht="8.4" x14ac:dyDescent="0.15">
      <c r="A72" s="1543"/>
      <c r="B72" s="1544" t="s">
        <v>1644</v>
      </c>
      <c r="C72" s="1526"/>
      <c r="D72" s="1527"/>
      <c r="E72" s="1527"/>
      <c r="F72" s="1526"/>
      <c r="G72" s="1542"/>
      <c r="H72" s="1528"/>
      <c r="I72" s="1528"/>
      <c r="J72" s="1539">
        <v>123715</v>
      </c>
      <c r="K72" s="1526"/>
      <c r="L72" s="1526"/>
      <c r="M72" s="1526"/>
      <c r="N72" s="1526"/>
      <c r="O72" s="1529"/>
    </row>
    <row r="73" spans="1:15" s="1523" customFormat="1" ht="8.4" x14ac:dyDescent="0.15">
      <c r="A73" s="1543"/>
      <c r="B73" s="1541" t="s">
        <v>1643</v>
      </c>
      <c r="C73" s="1526"/>
      <c r="D73" s="1527"/>
      <c r="E73" s="1527"/>
      <c r="F73" s="1526"/>
      <c r="G73" s="1542"/>
      <c r="H73" s="1528"/>
      <c r="I73" s="1528"/>
      <c r="J73" s="1539">
        <v>34095</v>
      </c>
      <c r="K73" s="1526"/>
      <c r="L73" s="1526"/>
      <c r="M73" s="1526"/>
      <c r="N73" s="1526"/>
      <c r="O73" s="1529"/>
    </row>
    <row r="74" spans="1:15" s="1523" customFormat="1" ht="8.4" x14ac:dyDescent="0.15">
      <c r="A74" s="1543"/>
      <c r="B74" s="1536" t="s">
        <v>1645</v>
      </c>
      <c r="C74" s="1526"/>
      <c r="D74" s="1527"/>
      <c r="E74" s="1527"/>
      <c r="F74" s="1526"/>
      <c r="G74" s="1542"/>
      <c r="H74" s="1528"/>
      <c r="I74" s="1528"/>
      <c r="J74" s="1539">
        <v>1705</v>
      </c>
      <c r="K74" s="1526"/>
      <c r="L74" s="1526"/>
      <c r="M74" s="1526"/>
      <c r="N74" s="1526"/>
      <c r="O74" s="1529"/>
    </row>
    <row r="75" spans="1:15" s="1523" customFormat="1" ht="8.4" x14ac:dyDescent="0.15">
      <c r="A75" s="1534"/>
      <c r="B75" s="1541" t="s">
        <v>1646</v>
      </c>
      <c r="C75" s="1526"/>
      <c r="D75" s="1527"/>
      <c r="E75" s="1527"/>
      <c r="F75" s="1526"/>
      <c r="G75" s="1526"/>
      <c r="H75" s="1528"/>
      <c r="I75" s="1528"/>
      <c r="J75" s="1539">
        <f>78000000-38400000</f>
        <v>39600000</v>
      </c>
      <c r="K75" s="1526"/>
      <c r="L75" s="1526"/>
      <c r="M75" s="1526"/>
      <c r="N75" s="1526"/>
      <c r="O75" s="1529"/>
    </row>
    <row r="76" spans="1:15" s="1523" customFormat="1" ht="8.4" x14ac:dyDescent="0.15">
      <c r="A76" s="1534"/>
      <c r="B76" s="1541" t="s">
        <v>1647</v>
      </c>
      <c r="C76" s="1526"/>
      <c r="D76" s="1527"/>
      <c r="E76" s="1527"/>
      <c r="F76" s="1526"/>
      <c r="G76" s="1526"/>
      <c r="H76" s="1528"/>
      <c r="I76" s="1528"/>
      <c r="J76" s="1526">
        <v>67500000</v>
      </c>
      <c r="K76" s="1526"/>
      <c r="L76" s="1526"/>
      <c r="M76" s="1526"/>
      <c r="N76" s="1526"/>
      <c r="O76" s="1529"/>
    </row>
    <row r="77" spans="1:15" s="1523" customFormat="1" ht="8.4" x14ac:dyDescent="0.15">
      <c r="A77" s="1534"/>
      <c r="B77" s="1541" t="s">
        <v>1648</v>
      </c>
      <c r="C77" s="1526"/>
      <c r="D77" s="1527"/>
      <c r="E77" s="1527"/>
      <c r="F77" s="1526"/>
      <c r="G77" s="1526"/>
      <c r="H77" s="1528"/>
      <c r="I77" s="1528"/>
      <c r="J77" s="1526">
        <v>50550000</v>
      </c>
      <c r="K77" s="1526"/>
      <c r="L77" s="1526"/>
      <c r="M77" s="1526"/>
      <c r="N77" s="1526"/>
      <c r="O77" s="1529"/>
    </row>
    <row r="78" spans="1:15" s="1523" customFormat="1" ht="8.4" x14ac:dyDescent="0.15">
      <c r="A78" s="1524" t="s">
        <v>1649</v>
      </c>
      <c r="B78" s="1525" t="s">
        <v>1650</v>
      </c>
      <c r="C78" s="1526"/>
      <c r="D78" s="1527"/>
      <c r="E78" s="1527"/>
      <c r="F78" s="1526"/>
      <c r="G78" s="1136"/>
      <c r="H78" s="1528"/>
      <c r="I78" s="1528"/>
      <c r="J78" s="1526"/>
      <c r="K78" s="1539">
        <v>367000</v>
      </c>
      <c r="L78" s="1526"/>
      <c r="M78" s="1526"/>
      <c r="N78" s="1526"/>
      <c r="O78" s="1529"/>
    </row>
    <row r="79" spans="1:15" s="1523" customFormat="1" ht="8.4" x14ac:dyDescent="0.15">
      <c r="A79" s="1538"/>
      <c r="B79" s="1525" t="s">
        <v>1651</v>
      </c>
      <c r="C79" s="1526"/>
      <c r="D79" s="1527"/>
      <c r="E79" s="1527"/>
      <c r="F79" s="1526"/>
      <c r="G79" s="1136"/>
      <c r="H79" s="1528"/>
      <c r="I79" s="1528"/>
      <c r="J79" s="1526"/>
      <c r="K79" s="1539">
        <v>574000</v>
      </c>
      <c r="L79" s="1526"/>
      <c r="M79" s="1526"/>
      <c r="N79" s="1526"/>
      <c r="O79" s="1529"/>
    </row>
    <row r="80" spans="1:15" s="1523" customFormat="1" ht="8.4" x14ac:dyDescent="0.15">
      <c r="A80" s="1538" t="s">
        <v>1649</v>
      </c>
      <c r="B80" s="1525" t="s">
        <v>1652</v>
      </c>
      <c r="C80" s="1526"/>
      <c r="D80" s="1527"/>
      <c r="E80" s="1527"/>
      <c r="F80" s="1526"/>
      <c r="G80" s="1136"/>
      <c r="H80" s="1528"/>
      <c r="I80" s="1528"/>
      <c r="J80" s="1526"/>
      <c r="K80" s="1539">
        <v>500000</v>
      </c>
      <c r="L80" s="1526"/>
      <c r="M80" s="1526"/>
      <c r="N80" s="1526"/>
      <c r="O80" s="1529"/>
    </row>
    <row r="81" spans="1:15" s="1523" customFormat="1" ht="8.4" x14ac:dyDescent="0.15">
      <c r="A81" s="1538"/>
      <c r="B81" s="1525" t="s">
        <v>1653</v>
      </c>
      <c r="C81" s="1526"/>
      <c r="D81" s="1527"/>
      <c r="E81" s="1527"/>
      <c r="F81" s="1526"/>
      <c r="G81" s="1136"/>
      <c r="H81" s="1528"/>
      <c r="I81" s="1528"/>
      <c r="J81" s="1526"/>
      <c r="K81" s="1526">
        <v>200000</v>
      </c>
      <c r="L81" s="1526"/>
      <c r="M81" s="1526"/>
      <c r="N81" s="1526"/>
      <c r="O81" s="1529"/>
    </row>
    <row r="82" spans="1:15" s="1523" customFormat="1" ht="8.4" x14ac:dyDescent="0.15">
      <c r="A82" s="1538"/>
      <c r="B82" s="1525" t="s">
        <v>1654</v>
      </c>
      <c r="C82" s="1526"/>
      <c r="D82" s="1527"/>
      <c r="E82" s="1527"/>
      <c r="F82" s="1526"/>
      <c r="G82" s="1136"/>
      <c r="H82" s="1528"/>
      <c r="I82" s="1528"/>
      <c r="J82" s="1526"/>
      <c r="K82" s="1526">
        <v>250000</v>
      </c>
      <c r="L82" s="1526"/>
      <c r="M82" s="1526"/>
      <c r="N82" s="1526"/>
      <c r="O82" s="1529"/>
    </row>
    <row r="83" spans="1:15" s="1523" customFormat="1" ht="8.4" x14ac:dyDescent="0.15">
      <c r="A83" s="1524"/>
      <c r="B83" s="1525" t="s">
        <v>1655</v>
      </c>
      <c r="C83" s="1526"/>
      <c r="D83" s="1527"/>
      <c r="E83" s="1527"/>
      <c r="F83" s="1526"/>
      <c r="G83" s="1136"/>
      <c r="H83" s="1528"/>
      <c r="I83" s="1528"/>
      <c r="J83" s="1526"/>
      <c r="K83" s="1539">
        <v>240000</v>
      </c>
      <c r="L83" s="1526"/>
      <c r="M83" s="1526"/>
      <c r="N83" s="1526"/>
      <c r="O83" s="1529"/>
    </row>
    <row r="84" spans="1:15" s="1523" customFormat="1" ht="8.4" x14ac:dyDescent="0.15">
      <c r="A84" s="1524"/>
      <c r="B84" s="1525" t="s">
        <v>1656</v>
      </c>
      <c r="C84" s="1526"/>
      <c r="D84" s="1527"/>
      <c r="E84" s="1527"/>
      <c r="F84" s="1526"/>
      <c r="G84" s="1136"/>
      <c r="H84" s="1528"/>
      <c r="I84" s="1528"/>
      <c r="J84" s="1526"/>
      <c r="K84" s="1526">
        <v>500000</v>
      </c>
      <c r="L84" s="1526"/>
      <c r="M84" s="1526"/>
      <c r="N84" s="1526"/>
      <c r="O84" s="1529"/>
    </row>
    <row r="85" spans="1:15" s="1523" customFormat="1" ht="8.4" x14ac:dyDescent="0.15">
      <c r="A85" s="1524"/>
      <c r="B85" s="1525" t="s">
        <v>1657</v>
      </c>
      <c r="C85" s="1526"/>
      <c r="D85" s="1527"/>
      <c r="E85" s="1527"/>
      <c r="F85" s="1526"/>
      <c r="G85" s="1136"/>
      <c r="H85" s="1528"/>
      <c r="I85" s="1528"/>
      <c r="J85" s="1526">
        <v>20000000</v>
      </c>
      <c r="K85" s="1526"/>
      <c r="L85" s="1526"/>
      <c r="M85" s="1526"/>
      <c r="N85" s="1526"/>
      <c r="O85" s="1529"/>
    </row>
    <row r="86" spans="1:15" s="1523" customFormat="1" ht="16.8" x14ac:dyDescent="0.15">
      <c r="A86" s="1534" t="s">
        <v>1658</v>
      </c>
      <c r="B86" s="1545" t="s">
        <v>1659</v>
      </c>
      <c r="C86" s="1526"/>
      <c r="D86" s="1527"/>
      <c r="E86" s="1527"/>
      <c r="F86" s="1526"/>
      <c r="G86" s="1526"/>
      <c r="H86" s="1528"/>
      <c r="I86" s="1528"/>
      <c r="J86" s="1526">
        <v>14000000</v>
      </c>
      <c r="K86" s="1526"/>
      <c r="L86" s="1526"/>
      <c r="M86" s="1526"/>
      <c r="N86" s="1526"/>
      <c r="O86" s="1529"/>
    </row>
    <row r="87" spans="1:15" s="1523" customFormat="1" ht="8.4" x14ac:dyDescent="0.15">
      <c r="A87" s="1534"/>
      <c r="B87" s="1525" t="s">
        <v>1660</v>
      </c>
      <c r="C87" s="1526"/>
      <c r="D87" s="1527"/>
      <c r="E87" s="1527"/>
      <c r="F87" s="1526"/>
      <c r="G87" s="1526"/>
      <c r="H87" s="1528"/>
      <c r="I87" s="1528"/>
      <c r="J87" s="1526"/>
      <c r="K87" s="1526">
        <v>30000000</v>
      </c>
      <c r="L87" s="1526"/>
      <c r="M87" s="1526"/>
      <c r="N87" s="1526"/>
      <c r="O87" s="1529"/>
    </row>
    <row r="88" spans="1:15" s="1523" customFormat="1" ht="16.8" x14ac:dyDescent="0.15">
      <c r="A88" s="1534" t="s">
        <v>1661</v>
      </c>
      <c r="B88" s="1541" t="s">
        <v>1662</v>
      </c>
      <c r="C88" s="1526">
        <v>4000000</v>
      </c>
      <c r="D88" s="1527"/>
      <c r="E88" s="1527"/>
      <c r="F88" s="1526"/>
      <c r="G88" s="1526"/>
      <c r="H88" s="1528"/>
      <c r="I88" s="1528"/>
      <c r="J88" s="1526"/>
      <c r="K88" s="1526"/>
      <c r="L88" s="1526"/>
      <c r="M88" s="1526"/>
      <c r="N88" s="1526"/>
      <c r="O88" s="1529"/>
    </row>
    <row r="89" spans="1:15" s="1523" customFormat="1" ht="16.8" x14ac:dyDescent="0.15">
      <c r="A89" s="1534"/>
      <c r="B89" s="1541" t="s">
        <v>1662</v>
      </c>
      <c r="C89" s="1526">
        <v>1500000</v>
      </c>
      <c r="D89" s="1527"/>
      <c r="E89" s="1527"/>
      <c r="F89" s="1526"/>
      <c r="G89" s="1526"/>
      <c r="H89" s="1528"/>
      <c r="I89" s="1528"/>
      <c r="J89" s="1526"/>
      <c r="K89" s="1526"/>
      <c r="L89" s="1526"/>
      <c r="M89" s="1526"/>
      <c r="N89" s="1526"/>
      <c r="O89" s="1529"/>
    </row>
    <row r="90" spans="1:15" s="1523" customFormat="1" ht="16.8" x14ac:dyDescent="0.15">
      <c r="A90" s="1534"/>
      <c r="B90" s="1541" t="s">
        <v>1662</v>
      </c>
      <c r="C90" s="1526">
        <v>1500000</v>
      </c>
      <c r="D90" s="1527"/>
      <c r="E90" s="1527"/>
      <c r="F90" s="1526"/>
      <c r="G90" s="1526"/>
      <c r="H90" s="1528"/>
      <c r="I90" s="1528"/>
      <c r="J90" s="1526"/>
      <c r="K90" s="1526"/>
      <c r="L90" s="1526"/>
      <c r="M90" s="1526"/>
      <c r="N90" s="1526"/>
      <c r="O90" s="1529"/>
    </row>
    <row r="91" spans="1:15" s="1523" customFormat="1" ht="16.8" x14ac:dyDescent="0.15">
      <c r="A91" s="1534"/>
      <c r="B91" s="1541" t="s">
        <v>1662</v>
      </c>
      <c r="C91" s="1526">
        <v>1500000</v>
      </c>
      <c r="D91" s="1527"/>
      <c r="E91" s="1527"/>
      <c r="F91" s="1526"/>
      <c r="G91" s="1526"/>
      <c r="H91" s="1528"/>
      <c r="I91" s="1528"/>
      <c r="J91" s="1526"/>
      <c r="K91" s="1526"/>
      <c r="L91" s="1526"/>
      <c r="M91" s="1526"/>
      <c r="N91" s="1526"/>
      <c r="O91" s="1529"/>
    </row>
    <row r="92" spans="1:15" s="1523" customFormat="1" ht="16.8" x14ac:dyDescent="0.15">
      <c r="A92" s="1534"/>
      <c r="B92" s="1541" t="s">
        <v>1662</v>
      </c>
      <c r="C92" s="1526">
        <v>500000</v>
      </c>
      <c r="D92" s="1527"/>
      <c r="E92" s="1527"/>
      <c r="F92" s="1526"/>
      <c r="G92" s="1526"/>
      <c r="H92" s="1528"/>
      <c r="I92" s="1528"/>
      <c r="J92" s="1526"/>
      <c r="K92" s="1526"/>
      <c r="L92" s="1526"/>
      <c r="M92" s="1526"/>
      <c r="N92" s="1526"/>
      <c r="O92" s="1529"/>
    </row>
    <row r="93" spans="1:15" s="1523" customFormat="1" ht="8.4" x14ac:dyDescent="0.15">
      <c r="A93" s="1534"/>
      <c r="B93" s="1546" t="s">
        <v>1663</v>
      </c>
      <c r="C93" s="1526">
        <v>250000</v>
      </c>
      <c r="D93" s="1527"/>
      <c r="E93" s="1527"/>
      <c r="F93" s="1526"/>
      <c r="G93" s="1526"/>
      <c r="H93" s="1528"/>
      <c r="I93" s="1528"/>
      <c r="J93" s="1526"/>
      <c r="K93" s="1526"/>
      <c r="L93" s="1526"/>
      <c r="M93" s="1526"/>
      <c r="N93" s="1526"/>
      <c r="O93" s="1529"/>
    </row>
    <row r="94" spans="1:15" s="1523" customFormat="1" ht="8.4" x14ac:dyDescent="0.15">
      <c r="A94" s="1534"/>
      <c r="B94" s="1541" t="s">
        <v>1664</v>
      </c>
      <c r="C94" s="1526">
        <v>100000</v>
      </c>
      <c r="D94" s="1527"/>
      <c r="E94" s="1527"/>
      <c r="F94" s="1526"/>
      <c r="G94" s="1526"/>
      <c r="H94" s="1528"/>
      <c r="I94" s="1528"/>
      <c r="J94" s="1526"/>
      <c r="K94" s="1526"/>
      <c r="L94" s="1526"/>
      <c r="M94" s="1526"/>
      <c r="N94" s="1526"/>
      <c r="O94" s="1529"/>
    </row>
    <row r="95" spans="1:15" s="1523" customFormat="1" ht="8.4" x14ac:dyDescent="0.15">
      <c r="A95" s="1534"/>
      <c r="B95" s="1541" t="s">
        <v>1664</v>
      </c>
      <c r="C95" s="1526">
        <v>150000</v>
      </c>
      <c r="D95" s="1527"/>
      <c r="E95" s="1527"/>
      <c r="F95" s="1526"/>
      <c r="G95" s="1526"/>
      <c r="H95" s="1528"/>
      <c r="I95" s="1528"/>
      <c r="J95" s="1526"/>
      <c r="K95" s="1526"/>
      <c r="L95" s="1526"/>
      <c r="M95" s="1526"/>
      <c r="N95" s="1526"/>
      <c r="O95" s="1529"/>
    </row>
    <row r="96" spans="1:15" s="1523" customFormat="1" ht="16.8" x14ac:dyDescent="0.15">
      <c r="A96" s="1534"/>
      <c r="B96" s="1541" t="s">
        <v>1665</v>
      </c>
      <c r="C96" s="1526">
        <v>400000</v>
      </c>
      <c r="D96" s="1527"/>
      <c r="E96" s="1527"/>
      <c r="F96" s="1526"/>
      <c r="G96" s="1526"/>
      <c r="H96" s="1528"/>
      <c r="I96" s="1528"/>
      <c r="J96" s="1526"/>
      <c r="K96" s="1526"/>
      <c r="L96" s="1526"/>
      <c r="M96" s="1526"/>
      <c r="N96" s="1526"/>
      <c r="O96" s="1529"/>
    </row>
    <row r="97" spans="1:15" s="1523" customFormat="1" ht="25.2" x14ac:dyDescent="0.15">
      <c r="A97" s="1534"/>
      <c r="B97" s="1541" t="s">
        <v>1666</v>
      </c>
      <c r="C97" s="1526">
        <v>840000</v>
      </c>
      <c r="D97" s="1527"/>
      <c r="E97" s="1527"/>
      <c r="F97" s="1526"/>
      <c r="G97" s="1526"/>
      <c r="H97" s="1528"/>
      <c r="I97" s="1528"/>
      <c r="J97" s="1526"/>
      <c r="K97" s="1526"/>
      <c r="L97" s="1526"/>
      <c r="M97" s="1526"/>
      <c r="N97" s="1526"/>
      <c r="O97" s="1529"/>
    </row>
    <row r="98" spans="1:15" s="1523" customFormat="1" ht="16.8" x14ac:dyDescent="0.15">
      <c r="A98" s="1534" t="s">
        <v>1667</v>
      </c>
      <c r="B98" s="1525" t="s">
        <v>1668</v>
      </c>
      <c r="C98" s="1526"/>
      <c r="D98" s="1527"/>
      <c r="E98" s="1527"/>
      <c r="F98" s="1526"/>
      <c r="G98" s="1539">
        <v>912000</v>
      </c>
      <c r="H98" s="1528"/>
      <c r="I98" s="1528"/>
      <c r="J98" s="1526"/>
      <c r="K98" s="1526"/>
      <c r="L98" s="1526"/>
      <c r="M98" s="1526"/>
      <c r="N98" s="1526"/>
      <c r="O98" s="1529"/>
    </row>
    <row r="99" spans="1:15" s="1523" customFormat="1" ht="8.4" x14ac:dyDescent="0.15">
      <c r="A99" s="1534" t="s">
        <v>1669</v>
      </c>
      <c r="B99" s="1540" t="s">
        <v>1670</v>
      </c>
      <c r="C99" s="1526"/>
      <c r="D99" s="1527"/>
      <c r="E99" s="1527"/>
      <c r="F99" s="1526"/>
      <c r="G99" s="1526">
        <v>550000</v>
      </c>
      <c r="H99" s="1528"/>
      <c r="I99" s="1528"/>
      <c r="J99" s="1526"/>
      <c r="K99" s="1526"/>
      <c r="L99" s="1526"/>
      <c r="M99" s="1526"/>
      <c r="N99" s="1526"/>
      <c r="O99" s="1529"/>
    </row>
    <row r="100" spans="1:15" s="1523" customFormat="1" ht="8.4" x14ac:dyDescent="0.15">
      <c r="A100" s="1534" t="s">
        <v>1669</v>
      </c>
      <c r="B100" s="1540" t="s">
        <v>1671</v>
      </c>
      <c r="C100" s="1526"/>
      <c r="D100" s="1527"/>
      <c r="E100" s="1527"/>
      <c r="F100" s="1526"/>
      <c r="G100" s="1539">
        <v>290000</v>
      </c>
      <c r="H100" s="1528"/>
      <c r="I100" s="1528"/>
      <c r="J100" s="1526"/>
      <c r="K100" s="1526"/>
      <c r="L100" s="1526"/>
      <c r="M100" s="1526"/>
      <c r="N100" s="1526"/>
      <c r="O100" s="1529"/>
    </row>
    <row r="101" spans="1:15" s="1523" customFormat="1" ht="8.4" x14ac:dyDescent="0.15">
      <c r="A101" s="1534"/>
      <c r="B101" s="1525" t="s">
        <v>1672</v>
      </c>
      <c r="C101" s="1526"/>
      <c r="D101" s="1527"/>
      <c r="E101" s="1527"/>
      <c r="F101" s="1526"/>
      <c r="G101" s="1526">
        <v>250000</v>
      </c>
      <c r="H101" s="1528"/>
      <c r="I101" s="1528"/>
      <c r="J101" s="1526"/>
      <c r="K101" s="1526"/>
      <c r="L101" s="1526"/>
      <c r="M101" s="1526"/>
      <c r="N101" s="1526"/>
      <c r="O101" s="1529"/>
    </row>
    <row r="102" spans="1:15" s="1523" customFormat="1" ht="8.4" x14ac:dyDescent="0.15">
      <c r="A102" s="1534" t="s">
        <v>1673</v>
      </c>
      <c r="B102" s="1525" t="s">
        <v>1674</v>
      </c>
      <c r="C102" s="1526"/>
      <c r="D102" s="1527"/>
      <c r="E102" s="1527"/>
      <c r="F102" s="1526"/>
      <c r="G102" s="1539">
        <v>117000</v>
      </c>
      <c r="H102" s="1528"/>
      <c r="I102" s="1528"/>
      <c r="J102" s="1526"/>
      <c r="K102" s="1526"/>
      <c r="L102" s="1526"/>
      <c r="M102" s="1526"/>
      <c r="N102" s="1526"/>
      <c r="O102" s="1529"/>
    </row>
    <row r="103" spans="1:15" s="1523" customFormat="1" ht="8.4" x14ac:dyDescent="0.15">
      <c r="A103" s="1534" t="s">
        <v>1675</v>
      </c>
      <c r="B103" s="1525" t="s">
        <v>1676</v>
      </c>
      <c r="C103" s="1526"/>
      <c r="D103" s="1527"/>
      <c r="E103" s="1527"/>
      <c r="F103" s="1526"/>
      <c r="G103" s="1539">
        <v>146000</v>
      </c>
      <c r="H103" s="1528"/>
      <c r="I103" s="1528"/>
      <c r="J103" s="1526"/>
      <c r="K103" s="1526"/>
      <c r="L103" s="1526"/>
      <c r="M103" s="1526"/>
      <c r="N103" s="1526"/>
      <c r="O103" s="1529"/>
    </row>
    <row r="104" spans="1:15" s="1523" customFormat="1" ht="8.4" x14ac:dyDescent="0.15">
      <c r="A104" s="1534"/>
      <c r="B104" s="1525" t="s">
        <v>1677</v>
      </c>
      <c r="C104" s="1526"/>
      <c r="D104" s="1527"/>
      <c r="E104" s="1527"/>
      <c r="F104" s="1526"/>
      <c r="G104" s="1526">
        <v>130000</v>
      </c>
      <c r="H104" s="1528"/>
      <c r="I104" s="1528"/>
      <c r="J104" s="1526"/>
      <c r="K104" s="1526"/>
      <c r="L104" s="1526"/>
      <c r="M104" s="1526"/>
      <c r="N104" s="1526"/>
      <c r="O104" s="1529"/>
    </row>
    <row r="105" spans="1:15" s="1523" customFormat="1" ht="8.4" x14ac:dyDescent="0.15">
      <c r="A105" s="1534"/>
      <c r="B105" s="1525" t="s">
        <v>1678</v>
      </c>
      <c r="C105" s="1526"/>
      <c r="D105" s="1527"/>
      <c r="E105" s="1527"/>
      <c r="F105" s="1526"/>
      <c r="G105" s="1526">
        <v>500000</v>
      </c>
      <c r="H105" s="1528"/>
      <c r="I105" s="1528"/>
      <c r="J105" s="1526"/>
      <c r="K105" s="1526"/>
      <c r="L105" s="1526"/>
      <c r="M105" s="1526"/>
      <c r="N105" s="1526"/>
      <c r="O105" s="1529"/>
    </row>
    <row r="106" spans="1:15" s="1523" customFormat="1" ht="8.4" x14ac:dyDescent="0.15">
      <c r="A106" s="1547" t="s">
        <v>1679</v>
      </c>
      <c r="B106" s="1525" t="s">
        <v>1680</v>
      </c>
      <c r="C106" s="1526"/>
      <c r="D106" s="1527"/>
      <c r="E106" s="1527"/>
      <c r="F106" s="1526"/>
      <c r="G106" s="1539">
        <v>147000</v>
      </c>
      <c r="H106" s="1528"/>
      <c r="I106" s="1528"/>
      <c r="J106" s="1526"/>
      <c r="K106" s="1526"/>
      <c r="L106" s="1526"/>
      <c r="M106" s="1526"/>
      <c r="N106" s="1526"/>
      <c r="O106" s="1529"/>
    </row>
    <row r="107" spans="1:15" s="1523" customFormat="1" ht="8.4" x14ac:dyDescent="0.15">
      <c r="A107" s="1534" t="s">
        <v>1681</v>
      </c>
      <c r="B107" s="1525" t="s">
        <v>1682</v>
      </c>
      <c r="C107" s="1526"/>
      <c r="D107" s="1527"/>
      <c r="E107" s="1527"/>
      <c r="F107" s="1526"/>
      <c r="G107" s="1539">
        <v>189000</v>
      </c>
      <c r="H107" s="1528"/>
      <c r="I107" s="1528"/>
      <c r="J107" s="1526"/>
      <c r="K107" s="1526"/>
      <c r="L107" s="1526"/>
      <c r="M107" s="1526"/>
      <c r="N107" s="1526"/>
      <c r="O107" s="1529"/>
    </row>
    <row r="108" spans="1:15" s="1523" customFormat="1" ht="8.4" x14ac:dyDescent="0.15">
      <c r="A108" s="1534"/>
      <c r="B108" s="1525" t="s">
        <v>1683</v>
      </c>
      <c r="C108" s="1526"/>
      <c r="D108" s="1527"/>
      <c r="E108" s="1527"/>
      <c r="F108" s="1526"/>
      <c r="G108" s="1526">
        <v>250000</v>
      </c>
      <c r="H108" s="1528"/>
      <c r="I108" s="1528"/>
      <c r="J108" s="1526"/>
      <c r="K108" s="1526"/>
      <c r="L108" s="1526"/>
      <c r="M108" s="1526"/>
      <c r="N108" s="1526"/>
      <c r="O108" s="1529"/>
    </row>
    <row r="109" spans="1:15" s="1523" customFormat="1" ht="8.4" x14ac:dyDescent="0.15">
      <c r="A109" s="1534"/>
      <c r="B109" s="1525" t="s">
        <v>1684</v>
      </c>
      <c r="C109" s="1526"/>
      <c r="D109" s="1527"/>
      <c r="E109" s="1527"/>
      <c r="F109" s="1526"/>
      <c r="G109" s="1526">
        <v>110000</v>
      </c>
      <c r="H109" s="1528"/>
      <c r="I109" s="1528"/>
      <c r="J109" s="1526"/>
      <c r="K109" s="1526"/>
      <c r="L109" s="1526"/>
      <c r="M109" s="1526"/>
      <c r="N109" s="1526"/>
      <c r="O109" s="1529"/>
    </row>
    <row r="110" spans="1:15" s="1523" customFormat="1" ht="8.4" x14ac:dyDescent="0.15">
      <c r="A110" s="1534"/>
      <c r="B110" s="1525" t="s">
        <v>1685</v>
      </c>
      <c r="C110" s="1526"/>
      <c r="D110" s="1527"/>
      <c r="E110" s="1527"/>
      <c r="F110" s="1526"/>
      <c r="G110" s="1526">
        <v>1300000</v>
      </c>
      <c r="H110" s="1528"/>
      <c r="I110" s="1528"/>
      <c r="J110" s="1526"/>
      <c r="K110" s="1526"/>
      <c r="L110" s="1526"/>
      <c r="M110" s="1526"/>
      <c r="N110" s="1526"/>
      <c r="O110" s="1529"/>
    </row>
    <row r="111" spans="1:15" s="1523" customFormat="1" ht="8.4" x14ac:dyDescent="0.15">
      <c r="A111" s="1534"/>
      <c r="B111" s="1525" t="s">
        <v>1686</v>
      </c>
      <c r="C111" s="1526"/>
      <c r="D111" s="1527"/>
      <c r="E111" s="1527"/>
      <c r="F111" s="1526"/>
      <c r="G111" s="1526">
        <v>500000</v>
      </c>
      <c r="H111" s="1528"/>
      <c r="I111" s="1528"/>
      <c r="J111" s="1526"/>
      <c r="K111" s="1526"/>
      <c r="L111" s="1526"/>
      <c r="M111" s="1526"/>
      <c r="N111" s="1526"/>
      <c r="O111" s="1529"/>
    </row>
    <row r="112" spans="1:15" s="1523" customFormat="1" ht="8.4" x14ac:dyDescent="0.15">
      <c r="A112" s="1534" t="s">
        <v>1661</v>
      </c>
      <c r="B112" s="1525" t="s">
        <v>1687</v>
      </c>
      <c r="C112" s="1526"/>
      <c r="D112" s="1527"/>
      <c r="E112" s="1527"/>
      <c r="F112" s="1526"/>
      <c r="G112" s="1526">
        <v>1300000</v>
      </c>
      <c r="H112" s="1528"/>
      <c r="I112" s="1528"/>
      <c r="J112" s="1526"/>
      <c r="K112" s="1526"/>
      <c r="L112" s="1526"/>
      <c r="M112" s="1526"/>
      <c r="N112" s="1526"/>
      <c r="O112" s="1529"/>
    </row>
    <row r="113" spans="1:15" s="1523" customFormat="1" ht="16.8" x14ac:dyDescent="0.15">
      <c r="A113" s="1534"/>
      <c r="B113" s="1525" t="s">
        <v>1688</v>
      </c>
      <c r="C113" s="1526"/>
      <c r="D113" s="1527"/>
      <c r="E113" s="1527"/>
      <c r="F113" s="1526"/>
      <c r="G113" s="1526">
        <v>2000000</v>
      </c>
      <c r="H113" s="1528"/>
      <c r="I113" s="1528"/>
      <c r="J113" s="1526"/>
      <c r="K113" s="1526"/>
      <c r="L113" s="1526"/>
      <c r="M113" s="1526"/>
      <c r="N113" s="1526"/>
      <c r="O113" s="1529"/>
    </row>
    <row r="114" spans="1:15" s="1523" customFormat="1" ht="8.4" x14ac:dyDescent="0.15">
      <c r="A114" s="1534"/>
      <c r="B114" s="1525" t="s">
        <v>1689</v>
      </c>
      <c r="C114" s="1526"/>
      <c r="D114" s="1527"/>
      <c r="E114" s="1527"/>
      <c r="F114" s="1526"/>
      <c r="G114" s="1526">
        <v>500000</v>
      </c>
      <c r="H114" s="1528"/>
      <c r="I114" s="1528"/>
      <c r="J114" s="1526"/>
      <c r="K114" s="1526"/>
      <c r="L114" s="1526"/>
      <c r="M114" s="1526"/>
      <c r="N114" s="1526"/>
      <c r="O114" s="1529"/>
    </row>
    <row r="115" spans="1:15" s="1523" customFormat="1" ht="8.4" x14ac:dyDescent="0.15">
      <c r="A115" s="1534"/>
      <c r="B115" s="1525" t="s">
        <v>1690</v>
      </c>
      <c r="C115" s="1526"/>
      <c r="D115" s="1527"/>
      <c r="E115" s="1527"/>
      <c r="F115" s="1526"/>
      <c r="G115" s="1526">
        <v>200000</v>
      </c>
      <c r="H115" s="1528"/>
      <c r="I115" s="1528"/>
      <c r="J115" s="1526"/>
      <c r="K115" s="1526"/>
      <c r="L115" s="1526"/>
      <c r="M115" s="1526"/>
      <c r="N115" s="1526"/>
      <c r="O115" s="1529"/>
    </row>
    <row r="116" spans="1:15" s="1523" customFormat="1" ht="8.4" x14ac:dyDescent="0.15">
      <c r="A116" s="1534"/>
      <c r="B116" s="1525" t="s">
        <v>1691</v>
      </c>
      <c r="C116" s="1526"/>
      <c r="D116" s="1527"/>
      <c r="E116" s="1527"/>
      <c r="F116" s="1526"/>
      <c r="G116" s="1526">
        <v>500000</v>
      </c>
      <c r="H116" s="1528"/>
      <c r="I116" s="1528"/>
      <c r="J116" s="1526"/>
      <c r="K116" s="1526"/>
      <c r="L116" s="1526"/>
      <c r="M116" s="1526"/>
      <c r="N116" s="1526"/>
      <c r="O116" s="1529"/>
    </row>
    <row r="117" spans="1:15" s="1523" customFormat="1" ht="8.4" x14ac:dyDescent="0.15">
      <c r="A117" s="1534"/>
      <c r="B117" s="1525" t="s">
        <v>1533</v>
      </c>
      <c r="C117" s="1526"/>
      <c r="D117" s="1527"/>
      <c r="E117" s="1527"/>
      <c r="F117" s="1526"/>
      <c r="G117" s="1526">
        <v>380000</v>
      </c>
      <c r="H117" s="1528"/>
      <c r="I117" s="1528"/>
      <c r="J117" s="1526"/>
      <c r="K117" s="1526"/>
      <c r="L117" s="1526"/>
      <c r="M117" s="1526"/>
      <c r="N117" s="1526"/>
      <c r="O117" s="1529"/>
    </row>
    <row r="118" spans="1:15" s="1523" customFormat="1" ht="16.8" x14ac:dyDescent="0.15">
      <c r="A118" s="1534"/>
      <c r="B118" s="1525" t="s">
        <v>1692</v>
      </c>
      <c r="C118" s="1526"/>
      <c r="D118" s="1527"/>
      <c r="E118" s="1527"/>
      <c r="F118" s="1526"/>
      <c r="G118" s="1526">
        <v>205000</v>
      </c>
      <c r="H118" s="1528"/>
      <c r="I118" s="1528"/>
      <c r="J118" s="1526"/>
      <c r="K118" s="1526"/>
      <c r="L118" s="1526"/>
      <c r="M118" s="1526"/>
      <c r="N118" s="1526"/>
      <c r="O118" s="1529"/>
    </row>
    <row r="119" spans="1:15" s="1523" customFormat="1" ht="8.4" x14ac:dyDescent="0.15">
      <c r="A119" s="1534"/>
      <c r="B119" s="1525" t="s">
        <v>1693</v>
      </c>
      <c r="C119" s="1526"/>
      <c r="D119" s="1527"/>
      <c r="E119" s="1527"/>
      <c r="F119" s="1526"/>
      <c r="G119" s="1526">
        <v>115000</v>
      </c>
      <c r="H119" s="1528"/>
      <c r="I119" s="1528"/>
      <c r="J119" s="1526"/>
      <c r="K119" s="1526"/>
      <c r="L119" s="1526"/>
      <c r="M119" s="1526"/>
      <c r="N119" s="1526"/>
      <c r="O119" s="1529"/>
    </row>
    <row r="120" spans="1:15" s="1523" customFormat="1" ht="8.4" x14ac:dyDescent="0.15">
      <c r="A120" s="1534"/>
      <c r="B120" s="1525" t="s">
        <v>1694</v>
      </c>
      <c r="C120" s="1526"/>
      <c r="D120" s="1527"/>
      <c r="E120" s="1527"/>
      <c r="F120" s="1526"/>
      <c r="G120" s="1526">
        <v>380000</v>
      </c>
      <c r="H120" s="1528"/>
      <c r="I120" s="1528"/>
      <c r="J120" s="1526"/>
      <c r="K120" s="1526"/>
      <c r="L120" s="1526"/>
      <c r="M120" s="1526"/>
      <c r="N120" s="1526"/>
      <c r="O120" s="1529"/>
    </row>
    <row r="121" spans="1:15" s="1523" customFormat="1" ht="16.8" x14ac:dyDescent="0.15">
      <c r="A121" s="1534"/>
      <c r="B121" s="1525" t="s">
        <v>1695</v>
      </c>
      <c r="C121" s="1526"/>
      <c r="D121" s="1527"/>
      <c r="E121" s="1527"/>
      <c r="F121" s="1526"/>
      <c r="G121" s="1526">
        <v>150000</v>
      </c>
      <c r="H121" s="1528"/>
      <c r="I121" s="1528"/>
      <c r="J121" s="1526"/>
      <c r="K121" s="1526"/>
      <c r="L121" s="1526"/>
      <c r="M121" s="1526"/>
      <c r="N121" s="1526"/>
      <c r="O121" s="1529"/>
    </row>
    <row r="122" spans="1:15" s="1523" customFormat="1" ht="8.4" x14ac:dyDescent="0.15">
      <c r="A122" s="1534"/>
      <c r="B122" s="1525" t="s">
        <v>1686</v>
      </c>
      <c r="C122" s="1526"/>
      <c r="D122" s="1527"/>
      <c r="E122" s="1527"/>
      <c r="F122" s="1526"/>
      <c r="G122" s="1526">
        <v>850000</v>
      </c>
      <c r="H122" s="1528"/>
      <c r="I122" s="1528"/>
      <c r="J122" s="1526"/>
      <c r="K122" s="1526"/>
      <c r="L122" s="1526"/>
      <c r="M122" s="1526"/>
      <c r="N122" s="1526"/>
      <c r="O122" s="1529"/>
    </row>
    <row r="123" spans="1:15" s="1523" customFormat="1" ht="8.4" x14ac:dyDescent="0.15">
      <c r="A123" s="1534"/>
      <c r="B123" s="1525" t="s">
        <v>1696</v>
      </c>
      <c r="C123" s="1526"/>
      <c r="D123" s="1527"/>
      <c r="E123" s="1527"/>
      <c r="F123" s="1526"/>
      <c r="G123" s="1526">
        <v>230000</v>
      </c>
      <c r="H123" s="1528"/>
      <c r="I123" s="1528"/>
      <c r="J123" s="1526"/>
      <c r="K123" s="1526"/>
      <c r="L123" s="1526"/>
      <c r="M123" s="1526"/>
      <c r="N123" s="1526"/>
      <c r="O123" s="1529"/>
    </row>
    <row r="124" spans="1:15" s="1523" customFormat="1" ht="8.4" x14ac:dyDescent="0.15">
      <c r="A124" s="1534"/>
      <c r="B124" s="1525" t="s">
        <v>1697</v>
      </c>
      <c r="C124" s="1526"/>
      <c r="D124" s="1527"/>
      <c r="E124" s="1527"/>
      <c r="F124" s="1526"/>
      <c r="G124" s="1526">
        <v>40000</v>
      </c>
      <c r="H124" s="1528"/>
      <c r="I124" s="1528"/>
      <c r="J124" s="1526"/>
      <c r="K124" s="1526"/>
      <c r="L124" s="1526"/>
      <c r="M124" s="1526"/>
      <c r="N124" s="1526"/>
      <c r="O124" s="1529"/>
    </row>
    <row r="125" spans="1:15" s="1523" customFormat="1" ht="8.4" x14ac:dyDescent="0.15">
      <c r="A125" s="1534"/>
      <c r="B125" s="1525" t="s">
        <v>1698</v>
      </c>
      <c r="C125" s="1526"/>
      <c r="D125" s="1527"/>
      <c r="E125" s="1527"/>
      <c r="F125" s="1526"/>
      <c r="G125" s="1526">
        <v>240000</v>
      </c>
      <c r="H125" s="1528"/>
      <c r="I125" s="1528"/>
      <c r="J125" s="1526"/>
      <c r="K125" s="1526"/>
      <c r="L125" s="1526"/>
      <c r="M125" s="1526"/>
      <c r="N125" s="1526"/>
      <c r="O125" s="1529"/>
    </row>
    <row r="126" spans="1:15" s="1523" customFormat="1" ht="8.4" x14ac:dyDescent="0.15">
      <c r="A126" s="1534"/>
      <c r="B126" s="1525" t="s">
        <v>1699</v>
      </c>
      <c r="C126" s="1526"/>
      <c r="D126" s="1527"/>
      <c r="E126" s="1527"/>
      <c r="F126" s="1526"/>
      <c r="G126" s="1526">
        <v>240000</v>
      </c>
      <c r="H126" s="1528"/>
      <c r="I126" s="1528"/>
      <c r="J126" s="1526"/>
      <c r="K126" s="1526"/>
      <c r="L126" s="1526"/>
      <c r="M126" s="1526"/>
      <c r="N126" s="1526"/>
      <c r="O126" s="1529"/>
    </row>
    <row r="127" spans="1:15" s="1523" customFormat="1" ht="8.4" x14ac:dyDescent="0.15">
      <c r="A127" s="1534"/>
      <c r="B127" s="1525" t="s">
        <v>1700</v>
      </c>
      <c r="C127" s="1526"/>
      <c r="D127" s="1527"/>
      <c r="E127" s="1527"/>
      <c r="F127" s="1526"/>
      <c r="G127" s="1526">
        <v>500000</v>
      </c>
      <c r="H127" s="1528"/>
      <c r="I127" s="1528"/>
      <c r="J127" s="1526"/>
      <c r="K127" s="1526"/>
      <c r="L127" s="1526"/>
      <c r="M127" s="1526"/>
      <c r="N127" s="1526"/>
      <c r="O127" s="1529"/>
    </row>
    <row r="128" spans="1:15" s="1523" customFormat="1" ht="8.4" x14ac:dyDescent="0.15">
      <c r="A128" s="1534"/>
      <c r="B128" s="1525" t="s">
        <v>1701</v>
      </c>
      <c r="C128" s="1526"/>
      <c r="D128" s="1527"/>
      <c r="E128" s="1527"/>
      <c r="F128" s="1526"/>
      <c r="G128" s="1526">
        <v>150000</v>
      </c>
      <c r="H128" s="1528"/>
      <c r="I128" s="1528"/>
      <c r="J128" s="1526"/>
      <c r="K128" s="1526"/>
      <c r="L128" s="1526"/>
      <c r="M128" s="1526"/>
      <c r="N128" s="1526"/>
      <c r="O128" s="1529"/>
    </row>
    <row r="129" spans="1:15" s="1523" customFormat="1" ht="8.4" x14ac:dyDescent="0.15">
      <c r="A129" s="1534"/>
      <c r="B129" s="1525" t="s">
        <v>1702</v>
      </c>
      <c r="C129" s="1526"/>
      <c r="D129" s="1527"/>
      <c r="E129" s="1527"/>
      <c r="F129" s="1526"/>
      <c r="G129" s="1526">
        <v>270000</v>
      </c>
      <c r="H129" s="1528"/>
      <c r="I129" s="1528"/>
      <c r="J129" s="1526"/>
      <c r="K129" s="1526"/>
      <c r="L129" s="1526"/>
      <c r="M129" s="1526"/>
      <c r="N129" s="1526"/>
      <c r="O129" s="1529"/>
    </row>
    <row r="130" spans="1:15" s="1523" customFormat="1" ht="8.4" x14ac:dyDescent="0.15">
      <c r="A130" s="1534"/>
      <c r="B130" s="1525" t="s">
        <v>1703</v>
      </c>
      <c r="C130" s="1526"/>
      <c r="D130" s="1527"/>
      <c r="E130" s="1527"/>
      <c r="F130" s="1526"/>
      <c r="G130" s="1526">
        <v>60000</v>
      </c>
      <c r="H130" s="1528"/>
      <c r="I130" s="1528"/>
      <c r="J130" s="1526"/>
      <c r="K130" s="1526"/>
      <c r="L130" s="1526"/>
      <c r="M130" s="1526"/>
      <c r="N130" s="1526"/>
      <c r="O130" s="1529"/>
    </row>
    <row r="131" spans="1:15" s="1523" customFormat="1" ht="8.4" x14ac:dyDescent="0.15">
      <c r="A131" s="1534"/>
      <c r="B131" s="1525" t="s">
        <v>1704</v>
      </c>
      <c r="C131" s="1526"/>
      <c r="D131" s="1527"/>
      <c r="E131" s="1527"/>
      <c r="F131" s="1526"/>
      <c r="G131" s="1526">
        <v>45000</v>
      </c>
      <c r="H131" s="1528"/>
      <c r="I131" s="1528"/>
      <c r="J131" s="1526"/>
      <c r="K131" s="1526"/>
      <c r="L131" s="1526"/>
      <c r="M131" s="1526"/>
      <c r="N131" s="1526"/>
      <c r="O131" s="1529"/>
    </row>
    <row r="132" spans="1:15" s="1523" customFormat="1" ht="8.4" x14ac:dyDescent="0.15">
      <c r="A132" s="1534"/>
      <c r="B132" s="1525" t="s">
        <v>1705</v>
      </c>
      <c r="C132" s="1526"/>
      <c r="D132" s="1527"/>
      <c r="E132" s="1527"/>
      <c r="F132" s="1526"/>
      <c r="G132" s="1526">
        <v>500000</v>
      </c>
      <c r="H132" s="1528"/>
      <c r="I132" s="1528"/>
      <c r="J132" s="1526"/>
      <c r="K132" s="1526"/>
      <c r="L132" s="1526"/>
      <c r="M132" s="1526"/>
      <c r="N132" s="1526"/>
      <c r="O132" s="1529"/>
    </row>
    <row r="133" spans="1:15" s="1523" customFormat="1" ht="8.4" x14ac:dyDescent="0.15">
      <c r="A133" s="1534"/>
      <c r="B133" s="1525" t="s">
        <v>1706</v>
      </c>
      <c r="C133" s="1526"/>
      <c r="D133" s="1527"/>
      <c r="E133" s="1527"/>
      <c r="F133" s="1526"/>
      <c r="G133" s="1526">
        <v>205000</v>
      </c>
      <c r="H133" s="1528"/>
      <c r="I133" s="1528"/>
      <c r="J133" s="1526"/>
      <c r="K133" s="1526"/>
      <c r="L133" s="1526"/>
      <c r="M133" s="1526"/>
      <c r="N133" s="1526"/>
      <c r="O133" s="1529"/>
    </row>
    <row r="134" spans="1:15" s="1523" customFormat="1" ht="8.4" x14ac:dyDescent="0.15">
      <c r="A134" s="1534"/>
      <c r="B134" s="1525" t="s">
        <v>1707</v>
      </c>
      <c r="C134" s="1526"/>
      <c r="D134" s="1527"/>
      <c r="E134" s="1527"/>
      <c r="F134" s="1526"/>
      <c r="G134" s="1526">
        <v>500000</v>
      </c>
      <c r="H134" s="1528"/>
      <c r="I134" s="1528"/>
      <c r="J134" s="1526"/>
      <c r="K134" s="1526"/>
      <c r="L134" s="1526"/>
      <c r="M134" s="1526"/>
      <c r="N134" s="1526"/>
      <c r="O134" s="1529"/>
    </row>
    <row r="135" spans="1:15" s="1523" customFormat="1" ht="8.4" x14ac:dyDescent="0.15">
      <c r="A135" s="1534"/>
      <c r="B135" s="1525" t="s">
        <v>1708</v>
      </c>
      <c r="C135" s="1526"/>
      <c r="D135" s="1527"/>
      <c r="E135" s="1527"/>
      <c r="F135" s="1526"/>
      <c r="G135" s="1526">
        <v>70000</v>
      </c>
      <c r="H135" s="1528"/>
      <c r="I135" s="1528"/>
      <c r="J135" s="1526"/>
      <c r="K135" s="1526"/>
      <c r="L135" s="1526"/>
      <c r="M135" s="1526"/>
      <c r="N135" s="1526"/>
      <c r="O135" s="1529"/>
    </row>
    <row r="136" spans="1:15" s="1523" customFormat="1" ht="16.8" x14ac:dyDescent="0.15">
      <c r="A136" s="1534"/>
      <c r="B136" s="1525" t="s">
        <v>1709</v>
      </c>
      <c r="C136" s="1526"/>
      <c r="D136" s="1527"/>
      <c r="E136" s="1527"/>
      <c r="F136" s="1526"/>
      <c r="G136" s="1539">
        <v>180000</v>
      </c>
      <c r="H136" s="1528"/>
      <c r="I136" s="1528"/>
      <c r="J136" s="1526"/>
      <c r="K136" s="1526"/>
      <c r="L136" s="1526"/>
      <c r="M136" s="1526"/>
      <c r="N136" s="1526"/>
      <c r="O136" s="1529"/>
    </row>
    <row r="137" spans="1:15" s="1523" customFormat="1" ht="8.4" x14ac:dyDescent="0.15">
      <c r="A137" s="1534"/>
      <c r="B137" s="1540" t="s">
        <v>1710</v>
      </c>
      <c r="C137" s="1526"/>
      <c r="D137" s="1527"/>
      <c r="E137" s="1527"/>
      <c r="F137" s="1526"/>
      <c r="G137" s="1526">
        <v>115000</v>
      </c>
      <c r="H137" s="1528"/>
      <c r="I137" s="1528"/>
      <c r="J137" s="1526"/>
      <c r="K137" s="1526"/>
      <c r="L137" s="1526"/>
      <c r="M137" s="1526"/>
      <c r="N137" s="1526"/>
      <c r="O137" s="1529"/>
    </row>
    <row r="138" spans="1:15" s="1523" customFormat="1" ht="16.8" x14ac:dyDescent="0.15">
      <c r="A138" s="1534"/>
      <c r="B138" s="1525" t="s">
        <v>1711</v>
      </c>
      <c r="C138" s="1526"/>
      <c r="D138" s="1527"/>
      <c r="E138" s="1527"/>
      <c r="F138" s="1526"/>
      <c r="G138" s="1526">
        <v>300000</v>
      </c>
      <c r="H138" s="1528"/>
      <c r="I138" s="1528"/>
      <c r="J138" s="1526"/>
      <c r="K138" s="1526"/>
      <c r="L138" s="1526"/>
      <c r="M138" s="1526"/>
      <c r="N138" s="1526"/>
      <c r="O138" s="1529"/>
    </row>
    <row r="139" spans="1:15" s="1523" customFormat="1" ht="16.8" x14ac:dyDescent="0.15">
      <c r="A139" s="1534"/>
      <c r="B139" s="1525" t="s">
        <v>1712</v>
      </c>
      <c r="C139" s="1526"/>
      <c r="D139" s="1527"/>
      <c r="E139" s="1527"/>
      <c r="F139" s="1526"/>
      <c r="G139" s="1539">
        <v>195000</v>
      </c>
      <c r="H139" s="1528"/>
      <c r="I139" s="1528"/>
      <c r="J139" s="1526"/>
      <c r="K139" s="1526"/>
      <c r="L139" s="1526"/>
      <c r="M139" s="1526"/>
      <c r="N139" s="1526"/>
      <c r="O139" s="1529"/>
    </row>
    <row r="140" spans="1:15" s="1523" customFormat="1" ht="8.4" x14ac:dyDescent="0.15">
      <c r="A140" s="1534"/>
      <c r="B140" s="1525" t="s">
        <v>1713</v>
      </c>
      <c r="C140" s="1526"/>
      <c r="D140" s="1527"/>
      <c r="E140" s="1527"/>
      <c r="F140" s="1526"/>
      <c r="G140" s="1526">
        <v>240000</v>
      </c>
      <c r="H140" s="1528"/>
      <c r="I140" s="1528"/>
      <c r="J140" s="1526"/>
      <c r="K140" s="1526"/>
      <c r="L140" s="1526"/>
      <c r="M140" s="1526"/>
      <c r="N140" s="1526"/>
      <c r="O140" s="1529"/>
    </row>
    <row r="141" spans="1:15" s="1523" customFormat="1" ht="8.4" x14ac:dyDescent="0.15">
      <c r="A141" s="1534" t="s">
        <v>1679</v>
      </c>
      <c r="B141" s="1525" t="s">
        <v>1714</v>
      </c>
      <c r="C141" s="1526"/>
      <c r="D141" s="1527"/>
      <c r="E141" s="1527"/>
      <c r="F141" s="1526"/>
      <c r="G141" s="1136"/>
      <c r="H141" s="1528"/>
      <c r="I141" s="1528"/>
      <c r="J141" s="1539">
        <v>4075000</v>
      </c>
      <c r="K141" s="1526"/>
      <c r="L141" s="1526"/>
      <c r="M141" s="1526"/>
      <c r="N141" s="1526"/>
      <c r="O141" s="1529"/>
    </row>
    <row r="142" spans="1:15" s="1523" customFormat="1" ht="8.4" x14ac:dyDescent="0.15">
      <c r="A142" s="1534"/>
      <c r="B142" s="1525" t="s">
        <v>1715</v>
      </c>
      <c r="C142" s="1526"/>
      <c r="D142" s="1527"/>
      <c r="E142" s="1527"/>
      <c r="F142" s="1526"/>
      <c r="G142" s="1136"/>
      <c r="H142" s="1528"/>
      <c r="I142" s="1528"/>
      <c r="J142" s="1539">
        <v>407500</v>
      </c>
      <c r="K142" s="1526"/>
      <c r="L142" s="1526"/>
      <c r="M142" s="1526"/>
      <c r="N142" s="1526"/>
      <c r="O142" s="1529"/>
    </row>
    <row r="143" spans="1:15" s="1523" customFormat="1" ht="16.8" x14ac:dyDescent="0.15">
      <c r="A143" s="1534" t="s">
        <v>1716</v>
      </c>
      <c r="B143" s="1525" t="s">
        <v>1717</v>
      </c>
      <c r="C143" s="1526"/>
      <c r="D143" s="1527"/>
      <c r="E143" s="1527"/>
      <c r="F143" s="1526"/>
      <c r="G143" s="1136"/>
      <c r="H143" s="1528"/>
      <c r="I143" s="1528"/>
      <c r="J143" s="1539">
        <v>313000</v>
      </c>
      <c r="K143" s="1526"/>
      <c r="L143" s="1526"/>
      <c r="M143" s="1526"/>
      <c r="N143" s="1526"/>
      <c r="O143" s="1529"/>
    </row>
    <row r="144" spans="1:15" s="1523" customFormat="1" ht="8.4" x14ac:dyDescent="0.15">
      <c r="A144" s="1534"/>
      <c r="B144" s="1525" t="s">
        <v>1718</v>
      </c>
      <c r="C144" s="1526"/>
      <c r="D144" s="1527"/>
      <c r="E144" s="1527"/>
      <c r="F144" s="1526"/>
      <c r="G144" s="1136"/>
      <c r="H144" s="1528"/>
      <c r="I144" s="1528"/>
      <c r="J144" s="1526">
        <v>200000</v>
      </c>
      <c r="K144" s="1526"/>
      <c r="L144" s="1526"/>
      <c r="M144" s="1526"/>
      <c r="N144" s="1526"/>
      <c r="O144" s="1529"/>
    </row>
    <row r="145" spans="1:15" s="1523" customFormat="1" ht="8.4" x14ac:dyDescent="0.15">
      <c r="A145" s="1534" t="s">
        <v>1719</v>
      </c>
      <c r="B145" s="1525" t="s">
        <v>1720</v>
      </c>
      <c r="C145" s="1526"/>
      <c r="D145" s="1527"/>
      <c r="E145" s="1527"/>
      <c r="F145" s="1526"/>
      <c r="G145" s="1136"/>
      <c r="H145" s="1528"/>
      <c r="I145" s="1528"/>
      <c r="J145" s="1539">
        <v>1180000</v>
      </c>
      <c r="K145" s="1526"/>
      <c r="L145" s="1526"/>
      <c r="M145" s="1526"/>
      <c r="N145" s="1526"/>
      <c r="O145" s="1529"/>
    </row>
    <row r="146" spans="1:15" s="1523" customFormat="1" ht="8.4" x14ac:dyDescent="0.15">
      <c r="A146" s="1534" t="s">
        <v>1721</v>
      </c>
      <c r="B146" s="1525" t="s">
        <v>1722</v>
      </c>
      <c r="C146" s="1526"/>
      <c r="D146" s="1527"/>
      <c r="E146" s="1527"/>
      <c r="F146" s="1526"/>
      <c r="G146" s="1136"/>
      <c r="H146" s="1528"/>
      <c r="I146" s="1528"/>
      <c r="J146" s="1539">
        <v>120000</v>
      </c>
      <c r="K146" s="1526"/>
      <c r="L146" s="1526"/>
      <c r="M146" s="1526"/>
      <c r="N146" s="1526"/>
      <c r="O146" s="1529"/>
    </row>
    <row r="147" spans="1:15" s="1523" customFormat="1" ht="8.4" x14ac:dyDescent="0.15">
      <c r="A147" s="1534"/>
      <c r="B147" s="1525" t="s">
        <v>1723</v>
      </c>
      <c r="C147" s="1526"/>
      <c r="D147" s="1527"/>
      <c r="E147" s="1527"/>
      <c r="F147" s="1526"/>
      <c r="G147" s="1136"/>
      <c r="H147" s="1528"/>
      <c r="I147" s="1528"/>
      <c r="J147" s="1526">
        <v>130000</v>
      </c>
      <c r="K147" s="1526"/>
      <c r="L147" s="1526"/>
      <c r="M147" s="1526"/>
      <c r="N147" s="1526"/>
      <c r="O147" s="1529"/>
    </row>
    <row r="148" spans="1:15" s="1523" customFormat="1" ht="8.4" x14ac:dyDescent="0.15">
      <c r="A148" s="1534" t="s">
        <v>1724</v>
      </c>
      <c r="B148" s="1525" t="s">
        <v>1725</v>
      </c>
      <c r="C148" s="1526"/>
      <c r="D148" s="1527"/>
      <c r="E148" s="1527"/>
      <c r="F148" s="1526"/>
      <c r="G148" s="1136"/>
      <c r="H148" s="1528"/>
      <c r="I148" s="1528"/>
      <c r="J148" s="1526">
        <v>1300000</v>
      </c>
      <c r="K148" s="1526"/>
      <c r="L148" s="1526"/>
      <c r="M148" s="1526"/>
      <c r="N148" s="1526"/>
      <c r="O148" s="1529"/>
    </row>
    <row r="149" spans="1:15" s="1523" customFormat="1" ht="25.2" x14ac:dyDescent="0.15">
      <c r="A149" s="1534"/>
      <c r="B149" s="1541" t="s">
        <v>1726</v>
      </c>
      <c r="C149" s="1526"/>
      <c r="D149" s="1527"/>
      <c r="E149" s="1527"/>
      <c r="F149" s="1526"/>
      <c r="G149" s="1526"/>
      <c r="H149" s="1528"/>
      <c r="I149" s="1528"/>
      <c r="J149" s="1526">
        <v>1500000</v>
      </c>
      <c r="K149" s="1526"/>
      <c r="L149" s="1526"/>
      <c r="M149" s="1526"/>
      <c r="N149" s="1526"/>
      <c r="O149" s="1529"/>
    </row>
    <row r="150" spans="1:15" s="1523" customFormat="1" ht="16.8" x14ac:dyDescent="0.15">
      <c r="A150" s="1534"/>
      <c r="B150" s="1541" t="s">
        <v>1727</v>
      </c>
      <c r="C150" s="1526"/>
      <c r="D150" s="1527"/>
      <c r="E150" s="1527"/>
      <c r="F150" s="1526"/>
      <c r="G150" s="1526"/>
      <c r="H150" s="1528"/>
      <c r="I150" s="1528"/>
      <c r="J150" s="1526">
        <v>2000000</v>
      </c>
      <c r="K150" s="1526"/>
      <c r="L150" s="1526"/>
      <c r="M150" s="1526"/>
      <c r="N150" s="1526"/>
      <c r="O150" s="1529"/>
    </row>
    <row r="151" spans="1:15" s="1523" customFormat="1" ht="16.8" x14ac:dyDescent="0.15">
      <c r="A151" s="1534" t="s">
        <v>1728</v>
      </c>
      <c r="B151" s="1525" t="s">
        <v>1729</v>
      </c>
      <c r="C151" s="1526"/>
      <c r="D151" s="1527"/>
      <c r="E151" s="1527"/>
      <c r="F151" s="1526"/>
      <c r="G151" s="1136"/>
      <c r="H151" s="1528"/>
      <c r="I151" s="1528"/>
      <c r="J151" s="1526"/>
      <c r="K151" s="1539">
        <v>466473</v>
      </c>
      <c r="L151" s="1526"/>
      <c r="M151" s="1526"/>
      <c r="N151" s="1526"/>
      <c r="O151" s="1529"/>
    </row>
    <row r="152" spans="1:15" s="1523" customFormat="1" ht="8.4" x14ac:dyDescent="0.15">
      <c r="A152" s="1534"/>
      <c r="B152" s="1535" t="s">
        <v>1730</v>
      </c>
      <c r="C152" s="1526"/>
      <c r="D152" s="1527"/>
      <c r="E152" s="1527"/>
      <c r="F152" s="1526"/>
      <c r="G152" s="1136"/>
      <c r="H152" s="1528"/>
      <c r="I152" s="1528"/>
      <c r="J152" s="1526"/>
      <c r="K152" s="1539">
        <v>46647</v>
      </c>
      <c r="L152" s="1526"/>
      <c r="M152" s="1526"/>
      <c r="N152" s="1526"/>
      <c r="O152" s="1529"/>
    </row>
    <row r="153" spans="1:15" s="1523" customFormat="1" ht="8.4" x14ac:dyDescent="0.15">
      <c r="A153" s="1534"/>
      <c r="B153" s="1525" t="s">
        <v>1731</v>
      </c>
      <c r="C153" s="1526"/>
      <c r="D153" s="1527"/>
      <c r="E153" s="1527"/>
      <c r="F153" s="1526"/>
      <c r="G153" s="1136"/>
      <c r="H153" s="1528"/>
      <c r="I153" s="1528"/>
      <c r="J153" s="1526"/>
      <c r="K153" s="1526">
        <v>290000</v>
      </c>
      <c r="L153" s="1526"/>
      <c r="M153" s="1526"/>
      <c r="N153" s="1526"/>
      <c r="O153" s="1529"/>
    </row>
    <row r="154" spans="1:15" s="1523" customFormat="1" ht="8.4" x14ac:dyDescent="0.15">
      <c r="A154" s="1534" t="s">
        <v>1732</v>
      </c>
      <c r="B154" s="1525" t="s">
        <v>1733</v>
      </c>
      <c r="C154" s="1526"/>
      <c r="D154" s="1527"/>
      <c r="E154" s="1527"/>
      <c r="F154" s="1526"/>
      <c r="G154" s="1136"/>
      <c r="H154" s="1528"/>
      <c r="I154" s="1528"/>
      <c r="J154" s="1526"/>
      <c r="K154" s="1526">
        <v>100000</v>
      </c>
      <c r="L154" s="1526"/>
      <c r="M154" s="1526"/>
      <c r="N154" s="1526"/>
      <c r="O154" s="1529"/>
    </row>
    <row r="155" spans="1:15" s="1523" customFormat="1" ht="8.4" x14ac:dyDescent="0.15">
      <c r="A155" s="1534"/>
      <c r="B155" s="1525" t="s">
        <v>1734</v>
      </c>
      <c r="C155" s="1526"/>
      <c r="D155" s="1527"/>
      <c r="E155" s="1527"/>
      <c r="F155" s="1526"/>
      <c r="G155" s="1136"/>
      <c r="H155" s="1528"/>
      <c r="I155" s="1528"/>
      <c r="J155" s="1526"/>
      <c r="K155" s="1526">
        <v>120000</v>
      </c>
      <c r="L155" s="1526"/>
      <c r="M155" s="1526"/>
      <c r="N155" s="1526"/>
      <c r="O155" s="1529"/>
    </row>
    <row r="156" spans="1:15" s="1523" customFormat="1" ht="8.4" x14ac:dyDescent="0.15">
      <c r="A156" s="1534"/>
      <c r="B156" s="1525" t="s">
        <v>1735</v>
      </c>
      <c r="C156" s="1526"/>
      <c r="D156" s="1527"/>
      <c r="E156" s="1527"/>
      <c r="F156" s="1526"/>
      <c r="G156" s="1136"/>
      <c r="H156" s="1528"/>
      <c r="I156" s="1528"/>
      <c r="J156" s="1526"/>
      <c r="K156" s="1526">
        <v>250000</v>
      </c>
      <c r="L156" s="1526"/>
      <c r="M156" s="1526"/>
      <c r="N156" s="1526"/>
      <c r="O156" s="1529"/>
    </row>
    <row r="157" spans="1:15" s="1523" customFormat="1" ht="8.4" x14ac:dyDescent="0.15">
      <c r="A157" s="1543" t="s">
        <v>1736</v>
      </c>
      <c r="B157" s="1535" t="s">
        <v>1737</v>
      </c>
      <c r="C157" s="1526"/>
      <c r="D157" s="1527"/>
      <c r="E157" s="1527"/>
      <c r="F157" s="1526"/>
      <c r="G157" s="1539">
        <v>840000</v>
      </c>
      <c r="H157" s="1528"/>
      <c r="I157" s="1528"/>
      <c r="J157" s="1526"/>
      <c r="K157" s="1526"/>
      <c r="L157" s="1526"/>
      <c r="M157" s="1526"/>
      <c r="N157" s="1526"/>
      <c r="O157" s="1529"/>
    </row>
    <row r="158" spans="1:15" s="1523" customFormat="1" ht="8.4" x14ac:dyDescent="0.15">
      <c r="A158" s="1543"/>
      <c r="B158" s="1535" t="s">
        <v>1715</v>
      </c>
      <c r="C158" s="1526"/>
      <c r="D158" s="1527"/>
      <c r="E158" s="1527"/>
      <c r="F158" s="1526"/>
      <c r="G158" s="1539">
        <v>84000</v>
      </c>
      <c r="H158" s="1528"/>
      <c r="I158" s="1528"/>
      <c r="J158" s="1526"/>
      <c r="K158" s="1526"/>
      <c r="L158" s="1526"/>
      <c r="M158" s="1526"/>
      <c r="N158" s="1526"/>
      <c r="O158" s="1529"/>
    </row>
    <row r="159" spans="1:15" s="1523" customFormat="1" ht="8.4" x14ac:dyDescent="0.15">
      <c r="A159" s="1543" t="s">
        <v>1614</v>
      </c>
      <c r="B159" s="1535" t="s">
        <v>1738</v>
      </c>
      <c r="C159" s="1526"/>
      <c r="D159" s="1527"/>
      <c r="E159" s="1527"/>
      <c r="F159" s="1526"/>
      <c r="G159" s="1539">
        <v>70000</v>
      </c>
      <c r="H159" s="1528"/>
      <c r="I159" s="1528"/>
      <c r="J159" s="1526"/>
      <c r="K159" s="1526"/>
      <c r="L159" s="1526"/>
      <c r="M159" s="1526"/>
      <c r="N159" s="1526"/>
      <c r="O159" s="1529"/>
    </row>
    <row r="160" spans="1:15" s="1523" customFormat="1" ht="8.4" x14ac:dyDescent="0.15">
      <c r="A160" s="1548" t="s">
        <v>1739</v>
      </c>
      <c r="B160" s="1535" t="s">
        <v>1740</v>
      </c>
      <c r="C160" s="1526"/>
      <c r="D160" s="1527"/>
      <c r="E160" s="1527"/>
      <c r="F160" s="1526"/>
      <c r="G160" s="1539">
        <v>240000</v>
      </c>
      <c r="H160" s="1528"/>
      <c r="I160" s="1528"/>
      <c r="J160" s="1526"/>
      <c r="K160" s="1526"/>
      <c r="L160" s="1526"/>
      <c r="M160" s="1526"/>
      <c r="N160" s="1526"/>
      <c r="O160" s="1529"/>
    </row>
    <row r="161" spans="1:15" s="1523" customFormat="1" ht="8.4" x14ac:dyDescent="0.15">
      <c r="A161" s="1543"/>
      <c r="B161" s="1535" t="s">
        <v>1730</v>
      </c>
      <c r="C161" s="1526"/>
      <c r="D161" s="1527"/>
      <c r="E161" s="1527"/>
      <c r="F161" s="1526"/>
      <c r="G161" s="1539">
        <v>24000</v>
      </c>
      <c r="H161" s="1528"/>
      <c r="I161" s="1528"/>
      <c r="J161" s="1526"/>
      <c r="K161" s="1526"/>
      <c r="L161" s="1526"/>
      <c r="M161" s="1526"/>
      <c r="N161" s="1526"/>
      <c r="O161" s="1529"/>
    </row>
    <row r="162" spans="1:15" s="1523" customFormat="1" ht="8.4" x14ac:dyDescent="0.15">
      <c r="A162" s="1543"/>
      <c r="B162" s="1535" t="s">
        <v>1738</v>
      </c>
      <c r="C162" s="1526"/>
      <c r="D162" s="1527"/>
      <c r="E162" s="1527"/>
      <c r="F162" s="1526"/>
      <c r="G162" s="1539">
        <v>40000</v>
      </c>
      <c r="H162" s="1528"/>
      <c r="I162" s="1528"/>
      <c r="J162" s="1526"/>
      <c r="K162" s="1526"/>
      <c r="L162" s="1526"/>
      <c r="M162" s="1526"/>
      <c r="N162" s="1526"/>
      <c r="O162" s="1529"/>
    </row>
    <row r="163" spans="1:15" s="1523" customFormat="1" ht="8.4" x14ac:dyDescent="0.15">
      <c r="A163" s="1549"/>
      <c r="B163" s="1550" t="s">
        <v>1738</v>
      </c>
      <c r="C163" s="1526"/>
      <c r="D163" s="1527"/>
      <c r="E163" s="1527"/>
      <c r="F163" s="1526"/>
      <c r="G163" s="1136"/>
      <c r="H163" s="1528"/>
      <c r="I163" s="1528"/>
      <c r="J163" s="1539">
        <v>65000</v>
      </c>
      <c r="K163" s="1526"/>
      <c r="L163" s="1526"/>
      <c r="M163" s="1526"/>
      <c r="N163" s="1526"/>
      <c r="O163" s="1529"/>
    </row>
    <row r="164" spans="1:15" s="1523" customFormat="1" ht="16.8" x14ac:dyDescent="0.15">
      <c r="A164" s="1543" t="s">
        <v>1741</v>
      </c>
      <c r="B164" s="1535" t="s">
        <v>1742</v>
      </c>
      <c r="C164" s="1526"/>
      <c r="D164" s="1527"/>
      <c r="E164" s="1527"/>
      <c r="F164" s="1526"/>
      <c r="G164" s="1539">
        <v>153000</v>
      </c>
      <c r="H164" s="1528"/>
      <c r="I164" s="1528"/>
      <c r="J164" s="1526"/>
      <c r="K164" s="1526"/>
      <c r="L164" s="1526"/>
      <c r="M164" s="1526"/>
      <c r="N164" s="1526"/>
      <c r="O164" s="1529"/>
    </row>
    <row r="165" spans="1:15" s="1523" customFormat="1" ht="8.4" x14ac:dyDescent="0.15">
      <c r="A165" s="1543" t="s">
        <v>1743</v>
      </c>
      <c r="B165" s="1535" t="s">
        <v>1744</v>
      </c>
      <c r="C165" s="1526"/>
      <c r="D165" s="1527"/>
      <c r="E165" s="1527"/>
      <c r="F165" s="1526"/>
      <c r="G165" s="1539">
        <v>75000</v>
      </c>
      <c r="H165" s="1528"/>
      <c r="I165" s="1528"/>
      <c r="J165" s="1526"/>
      <c r="K165" s="1526"/>
      <c r="L165" s="1526"/>
      <c r="M165" s="1526"/>
      <c r="N165" s="1526"/>
      <c r="O165" s="1529"/>
    </row>
    <row r="166" spans="1:15" s="1523" customFormat="1" ht="16.8" x14ac:dyDescent="0.15">
      <c r="A166" s="1543" t="s">
        <v>1745</v>
      </c>
      <c r="B166" s="1525" t="s">
        <v>1746</v>
      </c>
      <c r="C166" s="1526"/>
      <c r="D166" s="1527"/>
      <c r="E166" s="1527"/>
      <c r="F166" s="1526"/>
      <c r="G166" s="1136"/>
      <c r="H166" s="1528"/>
      <c r="I166" s="1528"/>
      <c r="J166" s="1539">
        <v>18210000</v>
      </c>
      <c r="K166" s="1526"/>
      <c r="L166" s="1526"/>
      <c r="M166" s="1526"/>
      <c r="N166" s="1526"/>
      <c r="O166" s="1529"/>
    </row>
    <row r="167" spans="1:15" s="1523" customFormat="1" ht="8.4" x14ac:dyDescent="0.15">
      <c r="A167" s="1543" t="s">
        <v>1747</v>
      </c>
      <c r="B167" s="1550" t="s">
        <v>1748</v>
      </c>
      <c r="C167" s="1526"/>
      <c r="D167" s="1527"/>
      <c r="E167" s="1527"/>
      <c r="F167" s="1526"/>
      <c r="G167" s="1539">
        <v>27800</v>
      </c>
      <c r="H167" s="1528"/>
      <c r="I167" s="1528"/>
      <c r="J167" s="1526"/>
      <c r="K167" s="1526"/>
      <c r="L167" s="1526"/>
      <c r="M167" s="1526"/>
      <c r="N167" s="1526"/>
      <c r="O167" s="1529"/>
    </row>
    <row r="168" spans="1:15" s="1523" customFormat="1" ht="8.4" x14ac:dyDescent="0.15">
      <c r="A168" s="1543" t="s">
        <v>1749</v>
      </c>
      <c r="B168" s="1535" t="s">
        <v>1750</v>
      </c>
      <c r="C168" s="1526"/>
      <c r="D168" s="1527"/>
      <c r="E168" s="1527"/>
      <c r="F168" s="1526"/>
      <c r="G168" s="1539">
        <v>190000</v>
      </c>
      <c r="H168" s="1528"/>
      <c r="I168" s="1528"/>
      <c r="J168" s="1526"/>
      <c r="K168" s="1526"/>
      <c r="L168" s="1526"/>
      <c r="M168" s="1526"/>
      <c r="N168" s="1526"/>
      <c r="O168" s="1529"/>
    </row>
    <row r="169" spans="1:15" s="1523" customFormat="1" ht="8.4" x14ac:dyDescent="0.15">
      <c r="A169" s="1543" t="s">
        <v>1614</v>
      </c>
      <c r="B169" s="1535" t="s">
        <v>1751</v>
      </c>
      <c r="C169" s="1526"/>
      <c r="D169" s="1527"/>
      <c r="E169" s="1527"/>
      <c r="F169" s="1526"/>
      <c r="G169" s="1539">
        <v>442000</v>
      </c>
      <c r="H169" s="1528"/>
      <c r="I169" s="1528"/>
      <c r="J169" s="1526"/>
      <c r="K169" s="1526"/>
      <c r="L169" s="1526"/>
      <c r="M169" s="1526"/>
      <c r="N169" s="1526"/>
      <c r="O169" s="1529"/>
    </row>
    <row r="170" spans="1:15" s="1523" customFormat="1" ht="8.4" x14ac:dyDescent="0.15">
      <c r="A170" s="1543" t="s">
        <v>1741</v>
      </c>
      <c r="B170" s="1535" t="s">
        <v>1752</v>
      </c>
      <c r="C170" s="1526"/>
      <c r="D170" s="1527"/>
      <c r="E170" s="1527"/>
      <c r="F170" s="1526"/>
      <c r="G170" s="1539">
        <v>600000</v>
      </c>
      <c r="H170" s="1528"/>
      <c r="I170" s="1528"/>
      <c r="J170" s="1526"/>
      <c r="K170" s="1526"/>
      <c r="L170" s="1526"/>
      <c r="M170" s="1526"/>
      <c r="N170" s="1526"/>
      <c r="O170" s="1529"/>
    </row>
    <row r="171" spans="1:15" s="1523" customFormat="1" ht="16.8" x14ac:dyDescent="0.15">
      <c r="A171" s="1543" t="s">
        <v>1614</v>
      </c>
      <c r="B171" s="1535" t="s">
        <v>1753</v>
      </c>
      <c r="C171" s="1526"/>
      <c r="D171" s="1527"/>
      <c r="E171" s="1527"/>
      <c r="F171" s="1526"/>
      <c r="G171" s="1539">
        <v>300000</v>
      </c>
      <c r="H171" s="1528"/>
      <c r="I171" s="1528"/>
      <c r="J171" s="1526"/>
      <c r="K171" s="1526"/>
      <c r="L171" s="1526"/>
      <c r="M171" s="1526"/>
      <c r="N171" s="1526"/>
      <c r="O171" s="1529"/>
    </row>
    <row r="172" spans="1:15" s="1523" customFormat="1" ht="8.4" x14ac:dyDescent="0.15">
      <c r="A172" s="1543" t="s">
        <v>1754</v>
      </c>
      <c r="B172" s="1535" t="s">
        <v>1755</v>
      </c>
      <c r="C172" s="1526"/>
      <c r="D172" s="1527"/>
      <c r="E172" s="1527"/>
      <c r="F172" s="1526"/>
      <c r="G172" s="1136"/>
      <c r="H172" s="1528"/>
      <c r="I172" s="1528"/>
      <c r="J172" s="1526"/>
      <c r="K172" s="1539">
        <v>454545</v>
      </c>
      <c r="L172" s="1551"/>
      <c r="M172" s="1551"/>
      <c r="N172" s="1551"/>
      <c r="O172" s="1529"/>
    </row>
    <row r="173" spans="1:15" s="1523" customFormat="1" ht="8.4" x14ac:dyDescent="0.15">
      <c r="A173" s="1543" t="s">
        <v>1754</v>
      </c>
      <c r="B173" s="1535" t="s">
        <v>1715</v>
      </c>
      <c r="C173" s="1526"/>
      <c r="D173" s="1527"/>
      <c r="E173" s="1527"/>
      <c r="F173" s="1526"/>
      <c r="G173" s="1136"/>
      <c r="H173" s="1528"/>
      <c r="I173" s="1528"/>
      <c r="J173" s="1526"/>
      <c r="K173" s="1539">
        <v>45455</v>
      </c>
      <c r="L173" s="1551"/>
      <c r="M173" s="1551"/>
      <c r="N173" s="1551"/>
      <c r="O173" s="1529"/>
    </row>
    <row r="174" spans="1:15" s="1523" customFormat="1" ht="8.4" x14ac:dyDescent="0.15">
      <c r="A174" s="1543" t="s">
        <v>93</v>
      </c>
      <c r="B174" s="1535" t="s">
        <v>1756</v>
      </c>
      <c r="C174" s="1526"/>
      <c r="D174" s="1527"/>
      <c r="E174" s="1527"/>
      <c r="F174" s="1526"/>
      <c r="G174" s="1136"/>
      <c r="H174" s="1528"/>
      <c r="I174" s="1528"/>
      <c r="J174" s="1526"/>
      <c r="K174" s="1539">
        <v>466473</v>
      </c>
      <c r="L174" s="1551"/>
      <c r="M174" s="1551"/>
      <c r="N174" s="1551"/>
      <c r="O174" s="1529"/>
    </row>
    <row r="175" spans="1:15" s="1523" customFormat="1" ht="8.4" x14ac:dyDescent="0.15">
      <c r="A175" s="1543" t="s">
        <v>93</v>
      </c>
      <c r="B175" s="1535" t="s">
        <v>1715</v>
      </c>
      <c r="C175" s="1526"/>
      <c r="D175" s="1527"/>
      <c r="E175" s="1527"/>
      <c r="F175" s="1526"/>
      <c r="G175" s="1136"/>
      <c r="H175" s="1528"/>
      <c r="I175" s="1528"/>
      <c r="J175" s="1526"/>
      <c r="K175" s="1539">
        <v>46647</v>
      </c>
      <c r="L175" s="1551"/>
      <c r="M175" s="1551"/>
      <c r="N175" s="1551"/>
      <c r="O175" s="1529"/>
    </row>
    <row r="176" spans="1:15" s="1523" customFormat="1" ht="8.4" x14ac:dyDescent="0.15">
      <c r="A176" s="1543" t="s">
        <v>1724</v>
      </c>
      <c r="B176" s="1535" t="s">
        <v>1755</v>
      </c>
      <c r="C176" s="1526"/>
      <c r="D176" s="1527"/>
      <c r="E176" s="1527"/>
      <c r="F176" s="1526"/>
      <c r="G176" s="1136"/>
      <c r="H176" s="1528"/>
      <c r="I176" s="1528"/>
      <c r="J176" s="1526"/>
      <c r="K176" s="1539">
        <v>460682</v>
      </c>
      <c r="L176" s="1551"/>
      <c r="M176" s="1551"/>
      <c r="N176" s="1551"/>
      <c r="O176" s="1529"/>
    </row>
    <row r="177" spans="1:15" s="1523" customFormat="1" ht="8.4" x14ac:dyDescent="0.15">
      <c r="A177" s="1543" t="s">
        <v>1724</v>
      </c>
      <c r="B177" s="1535" t="s">
        <v>1715</v>
      </c>
      <c r="C177" s="1526"/>
      <c r="D177" s="1527"/>
      <c r="E177" s="1527"/>
      <c r="F177" s="1526"/>
      <c r="G177" s="1136"/>
      <c r="H177" s="1528"/>
      <c r="I177" s="1528"/>
      <c r="J177" s="1526"/>
      <c r="K177" s="1539">
        <v>46068</v>
      </c>
      <c r="L177" s="1551"/>
      <c r="M177" s="1551"/>
      <c r="N177" s="1551"/>
      <c r="O177" s="1529"/>
    </row>
    <row r="178" spans="1:15" s="1523" customFormat="1" ht="16.8" x14ac:dyDescent="0.15">
      <c r="A178" s="1543"/>
      <c r="B178" s="1535" t="s">
        <v>1757</v>
      </c>
      <c r="C178" s="1526"/>
      <c r="D178" s="1527"/>
      <c r="E178" s="1527"/>
      <c r="F178" s="1526"/>
      <c r="G178" s="1136"/>
      <c r="H178" s="1528"/>
      <c r="I178" s="1528"/>
      <c r="J178" s="1551">
        <v>240000</v>
      </c>
      <c r="K178" s="1526"/>
      <c r="L178" s="1526"/>
      <c r="M178" s="1526"/>
      <c r="N178" s="1526"/>
      <c r="O178" s="1529"/>
    </row>
    <row r="179" spans="1:15" s="1523" customFormat="1" ht="16.8" x14ac:dyDescent="0.15">
      <c r="A179" s="1543"/>
      <c r="B179" s="1535" t="s">
        <v>1758</v>
      </c>
      <c r="C179" s="1526"/>
      <c r="D179" s="1527"/>
      <c r="E179" s="1527"/>
      <c r="F179" s="1526"/>
      <c r="G179" s="1552">
        <v>400000</v>
      </c>
      <c r="H179" s="1528"/>
      <c r="I179" s="1528"/>
      <c r="J179" s="1551"/>
      <c r="K179" s="1526"/>
      <c r="L179" s="1526"/>
      <c r="M179" s="1526"/>
      <c r="N179" s="1526"/>
      <c r="O179" s="1529"/>
    </row>
    <row r="180" spans="1:15" s="1523" customFormat="1" ht="16.8" x14ac:dyDescent="0.15">
      <c r="A180" s="1548" t="s">
        <v>1759</v>
      </c>
      <c r="B180" s="1535" t="s">
        <v>1760</v>
      </c>
      <c r="C180" s="1526"/>
      <c r="D180" s="1527"/>
      <c r="E180" s="1527"/>
      <c r="F180" s="1526"/>
      <c r="G180" s="1136"/>
      <c r="H180" s="1528"/>
      <c r="I180" s="1528"/>
      <c r="J180" s="1539">
        <v>1900000</v>
      </c>
      <c r="K180" s="1526"/>
      <c r="L180" s="1526"/>
      <c r="M180" s="1526"/>
      <c r="N180" s="1526"/>
      <c r="O180" s="1529"/>
    </row>
    <row r="181" spans="1:15" s="1523" customFormat="1" ht="8.4" x14ac:dyDescent="0.15">
      <c r="A181" s="1548" t="s">
        <v>1759</v>
      </c>
      <c r="B181" s="1535" t="s">
        <v>1761</v>
      </c>
      <c r="C181" s="1526"/>
      <c r="D181" s="1527"/>
      <c r="E181" s="1527"/>
      <c r="F181" s="1526"/>
      <c r="G181" s="1136"/>
      <c r="H181" s="1528"/>
      <c r="I181" s="1528"/>
      <c r="J181" s="1539">
        <v>100000</v>
      </c>
      <c r="K181" s="1526"/>
      <c r="L181" s="1526"/>
      <c r="M181" s="1526"/>
      <c r="N181" s="1526"/>
      <c r="O181" s="1529"/>
    </row>
    <row r="182" spans="1:15" s="1523" customFormat="1" ht="8.4" x14ac:dyDescent="0.15">
      <c r="A182" s="1543" t="s">
        <v>1759</v>
      </c>
      <c r="B182" s="1535" t="s">
        <v>1762</v>
      </c>
      <c r="C182" s="1526"/>
      <c r="D182" s="1527"/>
      <c r="E182" s="1527"/>
      <c r="F182" s="1526"/>
      <c r="G182" s="1136"/>
      <c r="H182" s="1528"/>
      <c r="I182" s="1528"/>
      <c r="J182" s="1539">
        <v>130000</v>
      </c>
      <c r="K182" s="1526"/>
      <c r="L182" s="1526"/>
      <c r="M182" s="1526"/>
      <c r="N182" s="1526"/>
      <c r="O182" s="1529"/>
    </row>
    <row r="183" spans="1:15" s="1523" customFormat="1" ht="16.8" x14ac:dyDescent="0.15">
      <c r="A183" s="1543" t="s">
        <v>1759</v>
      </c>
      <c r="B183" s="1535" t="s">
        <v>1763</v>
      </c>
      <c r="C183" s="1526"/>
      <c r="D183" s="1527"/>
      <c r="E183" s="1527"/>
      <c r="F183" s="1526"/>
      <c r="G183" s="1136"/>
      <c r="H183" s="1528"/>
      <c r="I183" s="1528"/>
      <c r="J183" s="1539">
        <v>515000</v>
      </c>
      <c r="K183" s="1526"/>
      <c r="L183" s="1526"/>
      <c r="M183" s="1526"/>
      <c r="N183" s="1526"/>
      <c r="O183" s="1529"/>
    </row>
    <row r="184" spans="1:15" s="1523" customFormat="1" ht="25.2" x14ac:dyDescent="0.15">
      <c r="A184" s="1543" t="s">
        <v>1759</v>
      </c>
      <c r="B184" s="1553" t="s">
        <v>1764</v>
      </c>
      <c r="C184" s="1533"/>
      <c r="D184" s="1554"/>
      <c r="E184" s="1527"/>
      <c r="F184" s="1532">
        <v>35944200</v>
      </c>
      <c r="G184" s="1555"/>
      <c r="H184" s="1528"/>
      <c r="I184" s="1528"/>
      <c r="J184" s="1556"/>
      <c r="K184" s="1533"/>
      <c r="L184" s="1533"/>
      <c r="M184" s="1533"/>
      <c r="N184" s="1533"/>
      <c r="O184" s="1557" t="s">
        <v>1865</v>
      </c>
    </row>
    <row r="185" spans="1:15" s="1523" customFormat="1" ht="8.4" x14ac:dyDescent="0.15">
      <c r="A185" s="1543" t="s">
        <v>1745</v>
      </c>
      <c r="B185" s="1535" t="s">
        <v>1765</v>
      </c>
      <c r="C185" s="1526"/>
      <c r="D185" s="1527"/>
      <c r="E185" s="1527"/>
      <c r="F185" s="1526"/>
      <c r="G185" s="1136"/>
      <c r="H185" s="1528"/>
      <c r="I185" s="1528"/>
      <c r="J185" s="1539">
        <v>30000</v>
      </c>
      <c r="K185" s="1526"/>
      <c r="L185" s="1526"/>
      <c r="M185" s="1526"/>
      <c r="N185" s="1526"/>
      <c r="O185" s="1529"/>
    </row>
    <row r="186" spans="1:15" s="1523" customFormat="1" ht="8.4" x14ac:dyDescent="0.15">
      <c r="A186" s="1543" t="s">
        <v>1766</v>
      </c>
      <c r="B186" s="1535" t="s">
        <v>94</v>
      </c>
      <c r="C186" s="1526"/>
      <c r="D186" s="1527"/>
      <c r="E186" s="1527"/>
      <c r="F186" s="1526"/>
      <c r="G186" s="1136"/>
      <c r="H186" s="1528"/>
      <c r="I186" s="1528"/>
      <c r="J186" s="1526"/>
      <c r="K186" s="1526"/>
      <c r="L186" s="1526"/>
      <c r="M186" s="1539">
        <v>80000</v>
      </c>
      <c r="N186" s="1526"/>
      <c r="O186" s="1529"/>
    </row>
    <row r="187" spans="1:15" s="1523" customFormat="1" ht="8.4" x14ac:dyDescent="0.15">
      <c r="A187" s="1543" t="s">
        <v>1766</v>
      </c>
      <c r="B187" s="1535" t="s">
        <v>94</v>
      </c>
      <c r="C187" s="1526"/>
      <c r="D187" s="1527"/>
      <c r="E187" s="1527"/>
      <c r="F187" s="1526"/>
      <c r="G187" s="1136"/>
      <c r="H187" s="1528"/>
      <c r="I187" s="1528"/>
      <c r="J187" s="1526"/>
      <c r="K187" s="1526"/>
      <c r="L187" s="1526"/>
      <c r="M187" s="1539">
        <v>43000</v>
      </c>
      <c r="N187" s="1526"/>
      <c r="O187" s="1529"/>
    </row>
    <row r="188" spans="1:15" s="1523" customFormat="1" ht="16.8" x14ac:dyDescent="0.15">
      <c r="A188" s="1543"/>
      <c r="B188" s="1535" t="s">
        <v>1767</v>
      </c>
      <c r="C188" s="1526"/>
      <c r="D188" s="1527"/>
      <c r="E188" s="1527"/>
      <c r="F188" s="1526"/>
      <c r="G188" s="1136"/>
      <c r="H188" s="1528"/>
      <c r="I188" s="1528"/>
      <c r="J188" s="1551"/>
      <c r="K188" s="1526">
        <v>334000</v>
      </c>
      <c r="L188" s="1526"/>
      <c r="M188" s="1526"/>
      <c r="N188" s="1526"/>
      <c r="O188" s="1529"/>
    </row>
    <row r="189" spans="1:15" s="1523" customFormat="1" ht="16.8" x14ac:dyDescent="0.15">
      <c r="A189" s="1548" t="s">
        <v>1728</v>
      </c>
      <c r="B189" s="1535" t="s">
        <v>1768</v>
      </c>
      <c r="C189" s="1526"/>
      <c r="D189" s="1527"/>
      <c r="E189" s="1527"/>
      <c r="F189" s="1526"/>
      <c r="G189" s="1136"/>
      <c r="H189" s="1528"/>
      <c r="I189" s="1528"/>
      <c r="J189" s="1539"/>
      <c r="K189" s="1526">
        <v>480000</v>
      </c>
      <c r="L189" s="1526"/>
      <c r="M189" s="1526"/>
      <c r="N189" s="1526"/>
      <c r="O189" s="1529"/>
    </row>
    <row r="190" spans="1:15" s="1523" customFormat="1" ht="8.4" x14ac:dyDescent="0.15">
      <c r="A190" s="1548" t="s">
        <v>1766</v>
      </c>
      <c r="B190" s="1535" t="s">
        <v>1769</v>
      </c>
      <c r="C190" s="1526"/>
      <c r="D190" s="1527"/>
      <c r="E190" s="1527"/>
      <c r="F190" s="1526"/>
      <c r="G190" s="1136"/>
      <c r="H190" s="1528"/>
      <c r="I190" s="1528"/>
      <c r="J190" s="1539">
        <v>926400</v>
      </c>
      <c r="K190" s="1526"/>
      <c r="L190" s="1526"/>
      <c r="M190" s="1526"/>
      <c r="N190" s="1526"/>
      <c r="O190" s="1529"/>
    </row>
    <row r="191" spans="1:15" s="1523" customFormat="1" ht="8.4" x14ac:dyDescent="0.15">
      <c r="A191" s="1548" t="s">
        <v>1766</v>
      </c>
      <c r="B191" s="1535" t="s">
        <v>1770</v>
      </c>
      <c r="C191" s="1526"/>
      <c r="D191" s="1527"/>
      <c r="E191" s="1527"/>
      <c r="F191" s="1526"/>
      <c r="G191" s="1136"/>
      <c r="H191" s="1528"/>
      <c r="I191" s="1528"/>
      <c r="J191" s="1539">
        <v>92640</v>
      </c>
      <c r="K191" s="1526"/>
      <c r="L191" s="1526"/>
      <c r="M191" s="1526"/>
      <c r="N191" s="1526"/>
      <c r="O191" s="1529"/>
    </row>
    <row r="192" spans="1:15" s="1523" customFormat="1" ht="16.8" x14ac:dyDescent="0.15">
      <c r="A192" s="1543"/>
      <c r="B192" s="1535" t="s">
        <v>1771</v>
      </c>
      <c r="C192" s="1526"/>
      <c r="D192" s="1527"/>
      <c r="E192" s="1527"/>
      <c r="F192" s="1526"/>
      <c r="G192" s="1136"/>
      <c r="H192" s="1528"/>
      <c r="I192" s="1528"/>
      <c r="J192" s="1526"/>
      <c r="K192" s="1539">
        <v>150000</v>
      </c>
      <c r="L192" s="1526"/>
      <c r="M192" s="1526"/>
      <c r="N192" s="1526"/>
      <c r="O192" s="1529"/>
    </row>
    <row r="193" spans="1:15" s="1523" customFormat="1" ht="16.8" x14ac:dyDescent="0.15">
      <c r="A193" s="1543"/>
      <c r="B193" s="1535" t="s">
        <v>1772</v>
      </c>
      <c r="C193" s="1526"/>
      <c r="D193" s="1527"/>
      <c r="E193" s="1527"/>
      <c r="F193" s="1526"/>
      <c r="G193" s="1136"/>
      <c r="H193" s="1528"/>
      <c r="I193" s="1528"/>
      <c r="J193" s="1526"/>
      <c r="K193" s="1539">
        <f>13*15000</f>
        <v>195000</v>
      </c>
      <c r="L193" s="1526"/>
      <c r="M193" s="1526"/>
      <c r="N193" s="1526"/>
      <c r="O193" s="1529"/>
    </row>
    <row r="194" spans="1:15" s="1523" customFormat="1" ht="16.8" x14ac:dyDescent="0.15">
      <c r="A194" s="1543"/>
      <c r="B194" s="1535" t="s">
        <v>1773</v>
      </c>
      <c r="C194" s="1526"/>
      <c r="D194" s="1527"/>
      <c r="E194" s="1527"/>
      <c r="F194" s="1526"/>
      <c r="G194" s="1136"/>
      <c r="H194" s="1528"/>
      <c r="I194" s="1528"/>
      <c r="J194" s="1526"/>
      <c r="K194" s="1539">
        <v>60000</v>
      </c>
      <c r="L194" s="1526"/>
      <c r="M194" s="1526"/>
      <c r="N194" s="1526"/>
      <c r="O194" s="1529"/>
    </row>
    <row r="195" spans="1:15" s="1523" customFormat="1" ht="8.4" x14ac:dyDescent="0.15">
      <c r="A195" s="1543"/>
      <c r="B195" s="1535" t="s">
        <v>1774</v>
      </c>
      <c r="C195" s="1526"/>
      <c r="D195" s="1527"/>
      <c r="E195" s="1527"/>
      <c r="F195" s="1526"/>
      <c r="G195" s="1136"/>
      <c r="H195" s="1528"/>
      <c r="I195" s="1528"/>
      <c r="J195" s="1526"/>
      <c r="K195" s="1539">
        <v>15000</v>
      </c>
      <c r="L195" s="1526"/>
      <c r="M195" s="1526"/>
      <c r="N195" s="1526"/>
      <c r="O195" s="1529"/>
    </row>
    <row r="196" spans="1:15" s="1523" customFormat="1" ht="16.8" x14ac:dyDescent="0.15">
      <c r="A196" s="1543"/>
      <c r="B196" s="1535" t="s">
        <v>1775</v>
      </c>
      <c r="C196" s="1526"/>
      <c r="D196" s="1527"/>
      <c r="E196" s="1527"/>
      <c r="F196" s="1526"/>
      <c r="G196" s="1136"/>
      <c r="H196" s="1528"/>
      <c r="I196" s="1528"/>
      <c r="J196" s="1526"/>
      <c r="K196" s="1539">
        <f>40000*3+60000*15</f>
        <v>1020000</v>
      </c>
      <c r="L196" s="1526"/>
      <c r="M196" s="1526"/>
      <c r="N196" s="1526"/>
      <c r="O196" s="1529"/>
    </row>
    <row r="197" spans="1:15" s="1523" customFormat="1" ht="16.8" x14ac:dyDescent="0.15">
      <c r="A197" s="1543"/>
      <c r="B197" s="1535" t="s">
        <v>1776</v>
      </c>
      <c r="C197" s="1526"/>
      <c r="D197" s="1527"/>
      <c r="E197" s="1527"/>
      <c r="F197" s="1526"/>
      <c r="G197" s="1136"/>
      <c r="H197" s="1528"/>
      <c r="I197" s="1528"/>
      <c r="J197" s="1526"/>
      <c r="K197" s="1539">
        <v>210000</v>
      </c>
      <c r="L197" s="1526"/>
      <c r="M197" s="1526"/>
      <c r="N197" s="1526"/>
      <c r="O197" s="1529"/>
    </row>
    <row r="198" spans="1:15" s="1523" customFormat="1" ht="16.8" x14ac:dyDescent="0.15">
      <c r="A198" s="1543"/>
      <c r="B198" s="1535" t="s">
        <v>1777</v>
      </c>
      <c r="C198" s="1526"/>
      <c r="D198" s="1527"/>
      <c r="E198" s="1527"/>
      <c r="F198" s="1526"/>
      <c r="G198" s="1136"/>
      <c r="H198" s="1528"/>
      <c r="I198" s="1528"/>
      <c r="J198" s="1526"/>
      <c r="K198" s="1539">
        <v>10000</v>
      </c>
      <c r="L198" s="1526"/>
      <c r="M198" s="1526"/>
      <c r="N198" s="1526"/>
      <c r="O198" s="1529"/>
    </row>
    <row r="199" spans="1:15" s="1523" customFormat="1" ht="16.8" x14ac:dyDescent="0.15">
      <c r="A199" s="1543"/>
      <c r="B199" s="1535" t="s">
        <v>1778</v>
      </c>
      <c r="C199" s="1526"/>
      <c r="D199" s="1527"/>
      <c r="E199" s="1527"/>
      <c r="F199" s="1526"/>
      <c r="G199" s="1136"/>
      <c r="H199" s="1528"/>
      <c r="I199" s="1528"/>
      <c r="J199" s="1526"/>
      <c r="K199" s="1539">
        <v>35000</v>
      </c>
      <c r="L199" s="1526"/>
      <c r="M199" s="1526"/>
      <c r="N199" s="1526"/>
      <c r="O199" s="1529"/>
    </row>
    <row r="200" spans="1:15" s="1523" customFormat="1" ht="16.8" x14ac:dyDescent="0.15">
      <c r="A200" s="1543"/>
      <c r="B200" s="1535" t="s">
        <v>1779</v>
      </c>
      <c r="C200" s="1526"/>
      <c r="D200" s="1527"/>
      <c r="E200" s="1527"/>
      <c r="F200" s="1526"/>
      <c r="G200" s="1136"/>
      <c r="H200" s="1528"/>
      <c r="I200" s="1528"/>
      <c r="J200" s="1526"/>
      <c r="K200" s="1539">
        <v>210000</v>
      </c>
      <c r="L200" s="1526"/>
      <c r="M200" s="1526"/>
      <c r="N200" s="1526"/>
      <c r="O200" s="1529"/>
    </row>
    <row r="201" spans="1:15" s="1523" customFormat="1" ht="8.4" x14ac:dyDescent="0.15">
      <c r="A201" s="1543"/>
      <c r="B201" s="1535" t="s">
        <v>1780</v>
      </c>
      <c r="C201" s="1526"/>
      <c r="D201" s="1527"/>
      <c r="E201" s="1527"/>
      <c r="F201" s="1526"/>
      <c r="G201" s="1136"/>
      <c r="H201" s="1528"/>
      <c r="I201" s="1528"/>
      <c r="J201" s="1526"/>
      <c r="K201" s="1539">
        <v>75000</v>
      </c>
      <c r="L201" s="1526"/>
      <c r="M201" s="1526"/>
      <c r="N201" s="1526"/>
      <c r="O201" s="1529"/>
    </row>
    <row r="202" spans="1:15" s="1523" customFormat="1" ht="16.8" x14ac:dyDescent="0.15">
      <c r="A202" s="1543"/>
      <c r="B202" s="1535" t="s">
        <v>1776</v>
      </c>
      <c r="C202" s="1526"/>
      <c r="D202" s="1527"/>
      <c r="E202" s="1527"/>
      <c r="F202" s="1526"/>
      <c r="G202" s="1136"/>
      <c r="H202" s="1528"/>
      <c r="I202" s="1528"/>
      <c r="J202" s="1526"/>
      <c r="K202" s="1539">
        <v>65000</v>
      </c>
      <c r="L202" s="1526"/>
      <c r="M202" s="1526"/>
      <c r="N202" s="1526"/>
      <c r="O202" s="1529"/>
    </row>
    <row r="203" spans="1:15" s="1523" customFormat="1" ht="16.8" x14ac:dyDescent="0.15">
      <c r="A203" s="1543"/>
      <c r="B203" s="1535" t="s">
        <v>1776</v>
      </c>
      <c r="C203" s="1526"/>
      <c r="D203" s="1527"/>
      <c r="E203" s="1527"/>
      <c r="F203" s="1526"/>
      <c r="G203" s="1136"/>
      <c r="H203" s="1528"/>
      <c r="I203" s="1528"/>
      <c r="J203" s="1526"/>
      <c r="K203" s="1539">
        <v>210000</v>
      </c>
      <c r="L203" s="1526"/>
      <c r="M203" s="1526"/>
      <c r="N203" s="1526"/>
      <c r="O203" s="1529"/>
    </row>
    <row r="204" spans="1:15" s="1523" customFormat="1" ht="16.8" x14ac:dyDescent="0.15">
      <c r="A204" s="1543"/>
      <c r="B204" s="1535" t="s">
        <v>1781</v>
      </c>
      <c r="C204" s="1526"/>
      <c r="D204" s="1527"/>
      <c r="E204" s="1527"/>
      <c r="F204" s="1526"/>
      <c r="G204" s="1136"/>
      <c r="H204" s="1528"/>
      <c r="I204" s="1528"/>
      <c r="J204" s="1539">
        <v>399000</v>
      </c>
      <c r="K204" s="1526"/>
      <c r="L204" s="1526"/>
      <c r="M204" s="1526"/>
      <c r="N204" s="1526"/>
      <c r="O204" s="1529"/>
    </row>
    <row r="205" spans="1:15" s="1523" customFormat="1" ht="8.4" x14ac:dyDescent="0.15">
      <c r="A205" s="1543" t="s">
        <v>1759</v>
      </c>
      <c r="B205" s="1541" t="s">
        <v>1782</v>
      </c>
      <c r="C205" s="1526"/>
      <c r="D205" s="1527"/>
      <c r="E205" s="1527"/>
      <c r="F205" s="1526"/>
      <c r="G205" s="1136"/>
      <c r="H205" s="1528"/>
      <c r="I205" s="1528"/>
      <c r="J205" s="1539">
        <v>3136364</v>
      </c>
      <c r="K205" s="1526"/>
      <c r="L205" s="1526"/>
      <c r="M205" s="1526"/>
      <c r="N205" s="1526"/>
      <c r="O205" s="1529"/>
    </row>
    <row r="206" spans="1:15" s="1523" customFormat="1" ht="8.4" x14ac:dyDescent="0.15">
      <c r="A206" s="1543"/>
      <c r="B206" s="1541" t="s">
        <v>1770</v>
      </c>
      <c r="C206" s="1526"/>
      <c r="D206" s="1527"/>
      <c r="E206" s="1527"/>
      <c r="F206" s="1526"/>
      <c r="G206" s="1136"/>
      <c r="H206" s="1528"/>
      <c r="I206" s="1528"/>
      <c r="J206" s="1539">
        <v>313636</v>
      </c>
      <c r="K206" s="1526"/>
      <c r="L206" s="1526"/>
      <c r="M206" s="1526"/>
      <c r="N206" s="1526"/>
      <c r="O206" s="1529"/>
    </row>
    <row r="207" spans="1:15" s="1523" customFormat="1" ht="8.4" x14ac:dyDescent="0.15">
      <c r="A207" s="1558" t="s">
        <v>1783</v>
      </c>
      <c r="B207" s="1525" t="s">
        <v>1784</v>
      </c>
      <c r="C207" s="1526"/>
      <c r="D207" s="1527"/>
      <c r="E207" s="1527"/>
      <c r="F207" s="1526"/>
      <c r="G207" s="1559">
        <v>100000</v>
      </c>
      <c r="H207" s="1528"/>
      <c r="I207" s="1528"/>
      <c r="J207" s="1526"/>
      <c r="K207" s="1526"/>
      <c r="L207" s="1526"/>
      <c r="M207" s="1526"/>
      <c r="N207" s="1526"/>
      <c r="O207" s="1529"/>
    </row>
    <row r="208" spans="1:15" s="1523" customFormat="1" ht="16.8" x14ac:dyDescent="0.15">
      <c r="A208" s="1558" t="s">
        <v>1783</v>
      </c>
      <c r="B208" s="1525" t="s">
        <v>1785</v>
      </c>
      <c r="C208" s="1526"/>
      <c r="D208" s="1527"/>
      <c r="E208" s="1527"/>
      <c r="F208" s="1526"/>
      <c r="G208" s="1559">
        <v>94000</v>
      </c>
      <c r="H208" s="1528"/>
      <c r="I208" s="1528"/>
      <c r="J208" s="1526"/>
      <c r="K208" s="1526"/>
      <c r="L208" s="1526"/>
      <c r="M208" s="1526"/>
      <c r="N208" s="1526"/>
      <c r="O208" s="1529"/>
    </row>
    <row r="209" spans="1:15" s="1523" customFormat="1" ht="8.4" x14ac:dyDescent="0.15">
      <c r="A209" s="1560" t="s">
        <v>1786</v>
      </c>
      <c r="B209" s="1525" t="s">
        <v>1784</v>
      </c>
      <c r="C209" s="1526"/>
      <c r="D209" s="1527"/>
      <c r="E209" s="1527"/>
      <c r="F209" s="1526"/>
      <c r="G209" s="1136"/>
      <c r="H209" s="1528"/>
      <c r="I209" s="1528"/>
      <c r="J209" s="1526"/>
      <c r="K209" s="1559">
        <v>45000</v>
      </c>
      <c r="L209" s="1526"/>
      <c r="M209" s="1526"/>
      <c r="N209" s="1526"/>
      <c r="O209" s="1529"/>
    </row>
    <row r="210" spans="1:15" s="1523" customFormat="1" ht="8.4" x14ac:dyDescent="0.15">
      <c r="A210" s="1560" t="s">
        <v>1787</v>
      </c>
      <c r="B210" s="1525" t="s">
        <v>1788</v>
      </c>
      <c r="C210" s="1526"/>
      <c r="D210" s="1527"/>
      <c r="E210" s="1527"/>
      <c r="F210" s="1526"/>
      <c r="G210" s="1136"/>
      <c r="H210" s="1528"/>
      <c r="I210" s="1528"/>
      <c r="J210" s="1559">
        <v>1000000</v>
      </c>
      <c r="K210" s="1526"/>
      <c r="L210" s="1526"/>
      <c r="M210" s="1526"/>
      <c r="N210" s="1526"/>
      <c r="O210" s="1529"/>
    </row>
    <row r="211" spans="1:15" s="1523" customFormat="1" ht="8.4" x14ac:dyDescent="0.15">
      <c r="A211" s="1560" t="s">
        <v>1787</v>
      </c>
      <c r="B211" s="1525" t="s">
        <v>1789</v>
      </c>
      <c r="C211" s="1526"/>
      <c r="D211" s="1527"/>
      <c r="E211" s="1527"/>
      <c r="F211" s="1526"/>
      <c r="G211" s="1136"/>
      <c r="H211" s="1528"/>
      <c r="I211" s="1528"/>
      <c r="J211" s="1559">
        <v>75000</v>
      </c>
      <c r="K211" s="1526"/>
      <c r="L211" s="1526"/>
      <c r="M211" s="1526"/>
      <c r="N211" s="1526"/>
      <c r="O211" s="1529"/>
    </row>
    <row r="212" spans="1:15" s="1523" customFormat="1" ht="8.4" x14ac:dyDescent="0.15">
      <c r="A212" s="1560" t="s">
        <v>1790</v>
      </c>
      <c r="B212" s="1525" t="s">
        <v>1791</v>
      </c>
      <c r="C212" s="1526"/>
      <c r="D212" s="1527"/>
      <c r="E212" s="1527"/>
      <c r="F212" s="1526"/>
      <c r="G212" s="1136"/>
      <c r="H212" s="1528"/>
      <c r="I212" s="1528"/>
      <c r="J212" s="1559">
        <v>713000</v>
      </c>
      <c r="K212" s="1526"/>
      <c r="L212" s="1526"/>
      <c r="M212" s="1526"/>
      <c r="N212" s="1526"/>
      <c r="O212" s="1529"/>
    </row>
    <row r="213" spans="1:15" s="1523" customFormat="1" ht="16.8" x14ac:dyDescent="0.15">
      <c r="A213" s="1560" t="s">
        <v>1792</v>
      </c>
      <c r="B213" s="1525" t="s">
        <v>1793</v>
      </c>
      <c r="C213" s="1526"/>
      <c r="D213" s="1527"/>
      <c r="E213" s="1527"/>
      <c r="F213" s="1526"/>
      <c r="G213" s="1136"/>
      <c r="H213" s="1528"/>
      <c r="I213" s="1528"/>
      <c r="J213" s="1526"/>
      <c r="K213" s="1526"/>
      <c r="L213" s="1559">
        <v>330000</v>
      </c>
      <c r="M213" s="1526"/>
      <c r="N213" s="1526"/>
      <c r="O213" s="1529"/>
    </row>
    <row r="214" spans="1:15" s="1523" customFormat="1" ht="8.4" x14ac:dyDescent="0.15">
      <c r="A214" s="1560" t="s">
        <v>1792</v>
      </c>
      <c r="B214" s="1525" t="s">
        <v>1794</v>
      </c>
      <c r="C214" s="1526"/>
      <c r="D214" s="1527"/>
      <c r="E214" s="1527"/>
      <c r="F214" s="1526"/>
      <c r="G214" s="1136"/>
      <c r="H214" s="1528"/>
      <c r="I214" s="1528"/>
      <c r="J214" s="1526"/>
      <c r="K214" s="1526"/>
      <c r="L214" s="1559">
        <v>30000</v>
      </c>
      <c r="M214" s="1526"/>
      <c r="N214" s="1526"/>
      <c r="O214" s="1529"/>
    </row>
    <row r="215" spans="1:15" s="1523" customFormat="1" ht="8.4" x14ac:dyDescent="0.15">
      <c r="A215" s="1560" t="s">
        <v>1792</v>
      </c>
      <c r="B215" s="1525" t="s">
        <v>1795</v>
      </c>
      <c r="C215" s="1526"/>
      <c r="D215" s="1527"/>
      <c r="E215" s="1527"/>
      <c r="F215" s="1526"/>
      <c r="G215" s="1136"/>
      <c r="H215" s="1528"/>
      <c r="I215" s="1528"/>
      <c r="J215" s="1526"/>
      <c r="K215" s="1526"/>
      <c r="L215" s="1559">
        <v>236000</v>
      </c>
      <c r="M215" s="1526"/>
      <c r="N215" s="1526"/>
      <c r="O215" s="1529"/>
    </row>
    <row r="216" spans="1:15" s="1523" customFormat="1" ht="8.4" x14ac:dyDescent="0.15">
      <c r="A216" s="1560" t="s">
        <v>1792</v>
      </c>
      <c r="B216" s="1525" t="s">
        <v>1796</v>
      </c>
      <c r="C216" s="1526"/>
      <c r="D216" s="1527"/>
      <c r="E216" s="1527"/>
      <c r="F216" s="1526"/>
      <c r="G216" s="1136"/>
      <c r="H216" s="1528"/>
      <c r="I216" s="1528"/>
      <c r="J216" s="1526"/>
      <c r="K216" s="1526"/>
      <c r="L216" s="1559">
        <v>320000</v>
      </c>
      <c r="M216" s="1526"/>
      <c r="N216" s="1526"/>
      <c r="O216" s="1529"/>
    </row>
    <row r="217" spans="1:15" s="1523" customFormat="1" ht="8.4" x14ac:dyDescent="0.15">
      <c r="A217" s="1560" t="s">
        <v>1797</v>
      </c>
      <c r="B217" s="1525" t="s">
        <v>1798</v>
      </c>
      <c r="C217" s="1526"/>
      <c r="D217" s="1527"/>
      <c r="E217" s="1527"/>
      <c r="F217" s="1526"/>
      <c r="G217" s="1136"/>
      <c r="H217" s="1528"/>
      <c r="I217" s="1528"/>
      <c r="J217" s="1559">
        <v>400000</v>
      </c>
      <c r="K217" s="1526"/>
      <c r="L217" s="1526"/>
      <c r="M217" s="1526"/>
      <c r="N217" s="1526"/>
      <c r="O217" s="1529"/>
    </row>
    <row r="218" spans="1:15" s="1523" customFormat="1" ht="16.8" x14ac:dyDescent="0.15">
      <c r="A218" s="1560" t="s">
        <v>1797</v>
      </c>
      <c r="B218" s="1525" t="s">
        <v>1799</v>
      </c>
      <c r="C218" s="1526"/>
      <c r="D218" s="1527"/>
      <c r="E218" s="1527"/>
      <c r="F218" s="1526"/>
      <c r="G218" s="1136"/>
      <c r="H218" s="1528"/>
      <c r="I218" s="1528"/>
      <c r="J218" s="1559">
        <v>200000</v>
      </c>
      <c r="K218" s="1526"/>
      <c r="L218" s="1526"/>
      <c r="M218" s="1526"/>
      <c r="N218" s="1526"/>
      <c r="O218" s="1529"/>
    </row>
    <row r="219" spans="1:15" s="1523" customFormat="1" ht="8.4" x14ac:dyDescent="0.15">
      <c r="A219" s="1560" t="s">
        <v>1800</v>
      </c>
      <c r="B219" s="1525" t="s">
        <v>1801</v>
      </c>
      <c r="C219" s="1526"/>
      <c r="D219" s="1527"/>
      <c r="E219" s="1527"/>
      <c r="F219" s="1526"/>
      <c r="G219" s="1136"/>
      <c r="H219" s="1528"/>
      <c r="I219" s="1528"/>
      <c r="J219" s="1526"/>
      <c r="K219" s="1559">
        <v>75000</v>
      </c>
      <c r="L219" s="1526"/>
      <c r="M219" s="1526"/>
      <c r="N219" s="1526"/>
      <c r="O219" s="1529"/>
    </row>
    <row r="220" spans="1:15" s="1523" customFormat="1" ht="16.8" x14ac:dyDescent="0.15">
      <c r="A220" s="1560" t="s">
        <v>1802</v>
      </c>
      <c r="B220" s="1525" t="s">
        <v>1803</v>
      </c>
      <c r="C220" s="1526"/>
      <c r="D220" s="1527"/>
      <c r="E220" s="1527"/>
      <c r="F220" s="1526"/>
      <c r="G220" s="1136"/>
      <c r="H220" s="1528"/>
      <c r="I220" s="1528"/>
      <c r="J220" s="1559">
        <v>2000000</v>
      </c>
      <c r="K220" s="1526"/>
      <c r="L220" s="1526"/>
      <c r="M220" s="1526"/>
      <c r="N220" s="1526"/>
      <c r="O220" s="1529"/>
    </row>
    <row r="221" spans="1:15" s="1523" customFormat="1" ht="8.4" x14ac:dyDescent="0.15">
      <c r="A221" s="1560" t="s">
        <v>1802</v>
      </c>
      <c r="B221" s="1525" t="s">
        <v>129</v>
      </c>
      <c r="C221" s="1526"/>
      <c r="D221" s="1527"/>
      <c r="E221" s="1527"/>
      <c r="F221" s="1526"/>
      <c r="G221" s="1136"/>
      <c r="H221" s="1528"/>
      <c r="I221" s="1528"/>
      <c r="J221" s="1559">
        <v>7700</v>
      </c>
      <c r="K221" s="1526"/>
      <c r="L221" s="1526"/>
      <c r="M221" s="1526"/>
      <c r="N221" s="1526"/>
      <c r="O221" s="1529"/>
    </row>
    <row r="222" spans="1:15" s="1523" customFormat="1" ht="16.8" x14ac:dyDescent="0.15">
      <c r="A222" s="1560" t="s">
        <v>1802</v>
      </c>
      <c r="B222" s="1541" t="s">
        <v>1804</v>
      </c>
      <c r="C222" s="1526"/>
      <c r="D222" s="1527"/>
      <c r="E222" s="1527"/>
      <c r="F222" s="1526"/>
      <c r="G222" s="1559"/>
      <c r="H222" s="1528"/>
      <c r="I222" s="1528"/>
      <c r="J222" s="1526">
        <v>35400000</v>
      </c>
      <c r="K222" s="1526"/>
      <c r="L222" s="1526"/>
      <c r="M222" s="1526"/>
      <c r="N222" s="1526"/>
      <c r="O222" s="1529"/>
    </row>
    <row r="223" spans="1:15" s="1523" customFormat="1" ht="16.8" x14ac:dyDescent="0.15">
      <c r="A223" s="1560" t="s">
        <v>1805</v>
      </c>
      <c r="B223" s="1525" t="s">
        <v>1806</v>
      </c>
      <c r="C223" s="1526"/>
      <c r="D223" s="1527"/>
      <c r="E223" s="1527"/>
      <c r="F223" s="1526"/>
      <c r="G223" s="1559"/>
      <c r="H223" s="1528"/>
      <c r="I223" s="1528"/>
      <c r="J223" s="1526">
        <v>7000000</v>
      </c>
      <c r="K223" s="1526"/>
      <c r="L223" s="1526"/>
      <c r="M223" s="1526"/>
      <c r="N223" s="1526"/>
      <c r="O223" s="1529"/>
    </row>
    <row r="224" spans="1:15" s="1523" customFormat="1" ht="8.4" x14ac:dyDescent="0.15">
      <c r="A224" s="1560" t="s">
        <v>1807</v>
      </c>
      <c r="B224" s="1525" t="s">
        <v>1808</v>
      </c>
      <c r="C224" s="1526"/>
      <c r="D224" s="1527"/>
      <c r="E224" s="1527"/>
      <c r="F224" s="1526"/>
      <c r="G224" s="1136"/>
      <c r="H224" s="1528"/>
      <c r="I224" s="1528"/>
      <c r="J224" s="1559">
        <v>2200000</v>
      </c>
      <c r="K224" s="1526"/>
      <c r="L224" s="1526"/>
      <c r="M224" s="1526"/>
      <c r="N224" s="1526"/>
      <c r="O224" s="1529"/>
    </row>
    <row r="225" spans="1:15" s="1523" customFormat="1" ht="8.4" x14ac:dyDescent="0.15">
      <c r="A225" s="1560"/>
      <c r="B225" s="1525" t="s">
        <v>129</v>
      </c>
      <c r="C225" s="1526"/>
      <c r="D225" s="1527"/>
      <c r="E225" s="1527"/>
      <c r="F225" s="1526"/>
      <c r="G225" s="1136"/>
      <c r="H225" s="1528"/>
      <c r="I225" s="1528"/>
      <c r="J225" s="1559">
        <v>7700</v>
      </c>
      <c r="K225" s="1526"/>
      <c r="L225" s="1526"/>
      <c r="M225" s="1526"/>
      <c r="N225" s="1526"/>
      <c r="O225" s="1529"/>
    </row>
    <row r="226" spans="1:15" s="1523" customFormat="1" ht="16.8" x14ac:dyDescent="0.15">
      <c r="A226" s="1549" t="s">
        <v>150</v>
      </c>
      <c r="B226" s="1550" t="s">
        <v>1809</v>
      </c>
      <c r="C226" s="1526"/>
      <c r="D226" s="1527"/>
      <c r="E226" s="1527"/>
      <c r="F226" s="1526"/>
      <c r="G226" s="1136"/>
      <c r="H226" s="1528"/>
      <c r="I226" s="1528"/>
      <c r="J226" s="1539">
        <v>150000</v>
      </c>
      <c r="K226" s="1526"/>
      <c r="L226" s="1526"/>
      <c r="M226" s="1526"/>
      <c r="N226" s="1526"/>
      <c r="O226" s="1529"/>
    </row>
    <row r="227" spans="1:15" s="1523" customFormat="1" ht="8.4" x14ac:dyDescent="0.15">
      <c r="A227" s="1549" t="s">
        <v>150</v>
      </c>
      <c r="B227" s="1525" t="s">
        <v>1810</v>
      </c>
      <c r="C227" s="1526"/>
      <c r="D227" s="1527"/>
      <c r="E227" s="1527"/>
      <c r="F227" s="1526"/>
      <c r="G227" s="1136"/>
      <c r="H227" s="1528"/>
      <c r="I227" s="1528"/>
      <c r="J227" s="1539">
        <v>15000</v>
      </c>
      <c r="K227" s="1526"/>
      <c r="L227" s="1526"/>
      <c r="M227" s="1526"/>
      <c r="N227" s="1526"/>
      <c r="O227" s="1529"/>
    </row>
    <row r="228" spans="1:15" s="1523" customFormat="1" ht="8.4" x14ac:dyDescent="0.15">
      <c r="A228" s="1549"/>
      <c r="B228" s="1535" t="s">
        <v>1811</v>
      </c>
      <c r="C228" s="1526"/>
      <c r="D228" s="1527"/>
      <c r="E228" s="1527"/>
      <c r="F228" s="1526"/>
      <c r="G228" s="1539">
        <v>2000000</v>
      </c>
      <c r="H228" s="1528"/>
      <c r="I228" s="1528"/>
      <c r="J228" s="1551"/>
      <c r="K228" s="1526"/>
      <c r="L228" s="1526"/>
      <c r="M228" s="1526"/>
      <c r="N228" s="1526"/>
      <c r="O228" s="1529"/>
    </row>
    <row r="229" spans="1:15" s="1523" customFormat="1" ht="16.8" x14ac:dyDescent="0.15">
      <c r="A229" s="1534" t="s">
        <v>1797</v>
      </c>
      <c r="B229" s="1561" t="s">
        <v>1843</v>
      </c>
      <c r="C229" s="1533"/>
      <c r="D229" s="1562">
        <v>56911900</v>
      </c>
      <c r="E229" s="1527"/>
      <c r="F229" s="1563">
        <v>25316750</v>
      </c>
      <c r="G229" s="1555"/>
      <c r="H229" s="1528"/>
      <c r="I229" s="1528"/>
      <c r="J229" s="1533"/>
      <c r="K229" s="1533"/>
      <c r="L229" s="1533"/>
      <c r="M229" s="1533"/>
      <c r="N229" s="1533"/>
      <c r="O229" s="1529"/>
    </row>
    <row r="230" spans="1:15" s="1523" customFormat="1" ht="8.4" x14ac:dyDescent="0.15">
      <c r="A230" s="1560" t="s">
        <v>1812</v>
      </c>
      <c r="B230" s="1542" t="s">
        <v>1813</v>
      </c>
      <c r="C230" s="1526"/>
      <c r="D230" s="1527"/>
      <c r="E230" s="1527"/>
      <c r="F230" s="1526"/>
      <c r="G230" s="1136"/>
      <c r="H230" s="1528"/>
      <c r="I230" s="1528"/>
      <c r="J230" s="1526">
        <v>500000</v>
      </c>
      <c r="K230" s="1526"/>
      <c r="L230" s="1526"/>
      <c r="M230" s="1526"/>
      <c r="N230" s="1526"/>
      <c r="O230" s="1529"/>
    </row>
    <row r="231" spans="1:15" s="1523" customFormat="1" ht="16.8" x14ac:dyDescent="0.15">
      <c r="A231" s="1560" t="s">
        <v>1802</v>
      </c>
      <c r="B231" s="1525" t="s">
        <v>1814</v>
      </c>
      <c r="C231" s="1526"/>
      <c r="D231" s="1527"/>
      <c r="E231" s="1527"/>
      <c r="F231" s="1526"/>
      <c r="G231" s="1136"/>
      <c r="H231" s="1528"/>
      <c r="I231" s="1528"/>
      <c r="J231" s="1539">
        <v>2400000</v>
      </c>
      <c r="K231" s="1526"/>
      <c r="L231" s="1526"/>
      <c r="M231" s="1526"/>
      <c r="N231" s="1526"/>
      <c r="O231" s="1529"/>
    </row>
    <row r="232" spans="1:15" s="1523" customFormat="1" ht="25.2" x14ac:dyDescent="0.15">
      <c r="A232" s="1547" t="s">
        <v>1792</v>
      </c>
      <c r="B232" s="1541" t="s">
        <v>1815</v>
      </c>
      <c r="C232" s="1526">
        <v>820000</v>
      </c>
      <c r="D232" s="1527"/>
      <c r="E232" s="1527"/>
      <c r="F232" s="1526"/>
      <c r="G232" s="1136"/>
      <c r="H232" s="1528"/>
      <c r="I232" s="1528"/>
      <c r="J232" s="1526"/>
      <c r="K232" s="1526"/>
      <c r="L232" s="1526"/>
      <c r="M232" s="1526"/>
      <c r="N232" s="1526"/>
      <c r="O232" s="1529"/>
    </row>
    <row r="233" spans="1:15" s="1523" customFormat="1" ht="16.8" x14ac:dyDescent="0.15">
      <c r="A233" s="1534"/>
      <c r="B233" s="1541" t="s">
        <v>1816</v>
      </c>
      <c r="C233" s="1526"/>
      <c r="D233" s="1527"/>
      <c r="E233" s="1527"/>
      <c r="F233" s="1526"/>
      <c r="G233" s="1136"/>
      <c r="H233" s="1528"/>
      <c r="I233" s="1528"/>
      <c r="J233" s="1526">
        <v>35550000</v>
      </c>
      <c r="K233" s="1526"/>
      <c r="L233" s="1526"/>
      <c r="M233" s="1526"/>
      <c r="N233" s="1526"/>
      <c r="O233" s="1529"/>
    </row>
    <row r="234" spans="1:15" s="1523" customFormat="1" ht="16.8" x14ac:dyDescent="0.15">
      <c r="A234" s="1564"/>
      <c r="B234" s="1565" t="s">
        <v>1817</v>
      </c>
      <c r="C234" s="1539"/>
      <c r="D234" s="1527"/>
      <c r="E234" s="1527"/>
      <c r="F234" s="1539"/>
      <c r="G234" s="1552"/>
      <c r="H234" s="1528"/>
      <c r="I234" s="1528"/>
      <c r="J234" s="1539"/>
      <c r="K234" s="1539"/>
      <c r="L234" s="1539"/>
      <c r="M234" s="1539"/>
      <c r="N234" s="1539">
        <v>5000000</v>
      </c>
      <c r="O234" s="1529"/>
    </row>
    <row r="235" spans="1:15" s="1523" customFormat="1" ht="8.4" x14ac:dyDescent="0.15">
      <c r="A235" s="1534" t="s">
        <v>160</v>
      </c>
      <c r="B235" s="1525" t="s">
        <v>1818</v>
      </c>
      <c r="C235" s="1526"/>
      <c r="D235" s="1527"/>
      <c r="E235" s="1527"/>
      <c r="F235" s="1526"/>
      <c r="G235" s="1136"/>
      <c r="H235" s="1528"/>
      <c r="I235" s="1528"/>
      <c r="J235" s="1526">
        <v>68000</v>
      </c>
      <c r="K235" s="1526"/>
      <c r="L235" s="1526"/>
      <c r="M235" s="1526"/>
      <c r="N235" s="1526"/>
      <c r="O235" s="1529"/>
    </row>
    <row r="236" spans="1:15" s="1523" customFormat="1" ht="25.2" x14ac:dyDescent="0.15">
      <c r="A236" s="1534" t="s">
        <v>160</v>
      </c>
      <c r="B236" s="1525" t="s">
        <v>1819</v>
      </c>
      <c r="C236" s="1526"/>
      <c r="D236" s="1527"/>
      <c r="E236" s="1527"/>
      <c r="F236" s="1526"/>
      <c r="G236" s="1136"/>
      <c r="H236" s="1528"/>
      <c r="I236" s="1528"/>
      <c r="J236" s="1526"/>
      <c r="K236" s="1526"/>
      <c r="L236" s="1526"/>
      <c r="M236" s="1566">
        <v>3166850</v>
      </c>
      <c r="N236" s="1526"/>
      <c r="O236" s="1529"/>
    </row>
    <row r="237" spans="1:15" s="1523" customFormat="1" ht="8.4" x14ac:dyDescent="0.15">
      <c r="A237" s="1534" t="s">
        <v>1812</v>
      </c>
      <c r="B237" s="1525" t="s">
        <v>1820</v>
      </c>
      <c r="C237" s="1526"/>
      <c r="D237" s="1527"/>
      <c r="E237" s="1527"/>
      <c r="F237" s="1526"/>
      <c r="G237" s="1136"/>
      <c r="H237" s="1528"/>
      <c r="I237" s="1528"/>
      <c r="J237" s="1526">
        <v>650000</v>
      </c>
      <c r="K237" s="1526"/>
      <c r="L237" s="1526"/>
      <c r="M237" s="1526"/>
      <c r="N237" s="1526"/>
      <c r="O237" s="1529"/>
    </row>
    <row r="238" spans="1:15" s="1523" customFormat="1" ht="8.4" x14ac:dyDescent="0.15">
      <c r="A238" s="1534" t="s">
        <v>174</v>
      </c>
      <c r="B238" s="1525" t="s">
        <v>1821</v>
      </c>
      <c r="C238" s="1526"/>
      <c r="D238" s="1527"/>
      <c r="E238" s="1527"/>
      <c r="F238" s="1526"/>
      <c r="G238" s="1136"/>
      <c r="H238" s="1528"/>
      <c r="I238" s="1528"/>
      <c r="J238" s="1526">
        <v>900000</v>
      </c>
      <c r="K238" s="1526"/>
      <c r="L238" s="1526"/>
      <c r="M238" s="1526"/>
      <c r="N238" s="1526"/>
      <c r="O238" s="1529"/>
    </row>
    <row r="239" spans="1:15" s="1523" customFormat="1" ht="8.4" x14ac:dyDescent="0.15">
      <c r="A239" s="1534" t="s">
        <v>160</v>
      </c>
      <c r="B239" s="1525" t="s">
        <v>1822</v>
      </c>
      <c r="C239" s="1526"/>
      <c r="D239" s="1527"/>
      <c r="E239" s="1527"/>
      <c r="F239" s="1526"/>
      <c r="G239" s="1136"/>
      <c r="H239" s="1528"/>
      <c r="I239" s="1528"/>
      <c r="J239" s="1526">
        <v>300000</v>
      </c>
      <c r="K239" s="1526"/>
      <c r="L239" s="1526"/>
      <c r="M239" s="1526"/>
      <c r="N239" s="1526"/>
      <c r="O239" s="1529"/>
    </row>
    <row r="240" spans="1:15" s="1523" customFormat="1" ht="16.8" x14ac:dyDescent="0.15">
      <c r="A240" s="1534" t="s">
        <v>176</v>
      </c>
      <c r="B240" s="1525" t="s">
        <v>1823</v>
      </c>
      <c r="C240" s="1526"/>
      <c r="D240" s="1527"/>
      <c r="E240" s="1527"/>
      <c r="F240" s="1526"/>
      <c r="G240" s="1136"/>
      <c r="H240" s="1528"/>
      <c r="I240" s="1528"/>
      <c r="J240" s="1526"/>
      <c r="K240" s="1526"/>
      <c r="L240" s="1526">
        <v>210000</v>
      </c>
      <c r="M240" s="1526"/>
      <c r="N240" s="1526"/>
      <c r="O240" s="1529"/>
    </row>
    <row r="241" spans="1:15" s="1523" customFormat="1" ht="16.8" x14ac:dyDescent="0.15">
      <c r="A241" s="1534" t="s">
        <v>160</v>
      </c>
      <c r="B241" s="1525" t="s">
        <v>1824</v>
      </c>
      <c r="C241" s="1526"/>
      <c r="D241" s="1527"/>
      <c r="E241" s="1527"/>
      <c r="F241" s="1526"/>
      <c r="G241" s="1136"/>
      <c r="H241" s="1528"/>
      <c r="I241" s="1528"/>
      <c r="J241" s="1526"/>
      <c r="K241" s="1526"/>
      <c r="L241" s="1526">
        <f>180000+70000+50000</f>
        <v>300000</v>
      </c>
      <c r="M241" s="1526"/>
      <c r="N241" s="1526"/>
      <c r="O241" s="1529"/>
    </row>
    <row r="242" spans="1:15" s="1523" customFormat="1" ht="8.4" x14ac:dyDescent="0.15">
      <c r="A242" s="1534" t="s">
        <v>160</v>
      </c>
      <c r="B242" s="1525" t="s">
        <v>1825</v>
      </c>
      <c r="C242" s="1526"/>
      <c r="D242" s="1527"/>
      <c r="E242" s="1527"/>
      <c r="F242" s="1526"/>
      <c r="G242" s="1136"/>
      <c r="H242" s="1528"/>
      <c r="I242" s="1528"/>
      <c r="J242" s="1526">
        <v>745000</v>
      </c>
      <c r="K242" s="1526"/>
      <c r="L242" s="1526"/>
      <c r="M242" s="1526"/>
      <c r="N242" s="1526"/>
      <c r="O242" s="1529"/>
    </row>
    <row r="243" spans="1:15" s="1523" customFormat="1" ht="16.8" x14ac:dyDescent="0.15">
      <c r="A243" s="1534" t="s">
        <v>1800</v>
      </c>
      <c r="B243" s="1525" t="s">
        <v>1826</v>
      </c>
      <c r="C243" s="1526"/>
      <c r="D243" s="1527"/>
      <c r="E243" s="1527"/>
      <c r="F243" s="1526"/>
      <c r="G243" s="1136"/>
      <c r="H243" s="1528"/>
      <c r="I243" s="1528"/>
      <c r="J243" s="1526">
        <v>284000</v>
      </c>
      <c r="K243" s="1526"/>
      <c r="L243" s="1526"/>
      <c r="M243" s="1526"/>
      <c r="N243" s="1526"/>
      <c r="O243" s="1529"/>
    </row>
    <row r="244" spans="1:15" s="1523" customFormat="1" ht="8.4" x14ac:dyDescent="0.15">
      <c r="A244" s="1534" t="s">
        <v>1800</v>
      </c>
      <c r="B244" s="1525" t="s">
        <v>1827</v>
      </c>
      <c r="C244" s="1526"/>
      <c r="D244" s="1527"/>
      <c r="E244" s="1527"/>
      <c r="F244" s="1526"/>
      <c r="G244" s="1136"/>
      <c r="H244" s="1528"/>
      <c r="I244" s="1528"/>
      <c r="J244" s="1526"/>
      <c r="K244" s="1526">
        <v>72000</v>
      </c>
      <c r="L244" s="1526"/>
      <c r="M244" s="1526"/>
      <c r="N244" s="1526"/>
      <c r="O244" s="1529"/>
    </row>
    <row r="245" spans="1:15" s="1523" customFormat="1" ht="8.4" x14ac:dyDescent="0.15">
      <c r="A245" s="1534" t="s">
        <v>1828</v>
      </c>
      <c r="B245" s="1525" t="s">
        <v>1829</v>
      </c>
      <c r="C245" s="1526"/>
      <c r="D245" s="1527"/>
      <c r="E245" s="1527"/>
      <c r="F245" s="1526"/>
      <c r="G245" s="1136"/>
      <c r="H245" s="1528"/>
      <c r="I245" s="1528"/>
      <c r="J245" s="1526"/>
      <c r="K245" s="1526">
        <v>454545</v>
      </c>
      <c r="L245" s="1526"/>
      <c r="M245" s="1526"/>
      <c r="N245" s="1526"/>
      <c r="O245" s="1529"/>
    </row>
    <row r="246" spans="1:15" s="1523" customFormat="1" ht="8.4" x14ac:dyDescent="0.15">
      <c r="A246" s="1534" t="s">
        <v>1828</v>
      </c>
      <c r="B246" s="1525" t="s">
        <v>1770</v>
      </c>
      <c r="C246" s="1526"/>
      <c r="D246" s="1527"/>
      <c r="E246" s="1527"/>
      <c r="F246" s="1526"/>
      <c r="G246" s="1136"/>
      <c r="H246" s="1528"/>
      <c r="I246" s="1528"/>
      <c r="J246" s="1526"/>
      <c r="K246" s="1526">
        <v>45455</v>
      </c>
      <c r="L246" s="1526"/>
      <c r="M246" s="1526"/>
      <c r="N246" s="1526"/>
      <c r="O246" s="1529"/>
    </row>
    <row r="247" spans="1:15" s="1523" customFormat="1" ht="16.8" x14ac:dyDescent="0.15">
      <c r="A247" s="1534" t="s">
        <v>188</v>
      </c>
      <c r="B247" s="1525" t="s">
        <v>1830</v>
      </c>
      <c r="C247" s="1526"/>
      <c r="D247" s="1527"/>
      <c r="E247" s="1527"/>
      <c r="F247" s="1526"/>
      <c r="G247" s="1136"/>
      <c r="H247" s="1528"/>
      <c r="I247" s="1528"/>
      <c r="J247" s="1526"/>
      <c r="K247" s="1526"/>
      <c r="L247" s="1526">
        <v>600000</v>
      </c>
      <c r="M247" s="1526"/>
      <c r="N247" s="1526"/>
      <c r="O247" s="1529"/>
    </row>
    <row r="248" spans="1:15" s="1523" customFormat="1" ht="8.4" x14ac:dyDescent="0.15">
      <c r="A248" s="1534"/>
      <c r="B248" s="1525" t="s">
        <v>1794</v>
      </c>
      <c r="C248" s="1526"/>
      <c r="D248" s="1527"/>
      <c r="E248" s="1527"/>
      <c r="F248" s="1526"/>
      <c r="G248" s="1136"/>
      <c r="H248" s="1528"/>
      <c r="I248" s="1528"/>
      <c r="J248" s="1526"/>
      <c r="K248" s="1526"/>
      <c r="L248" s="1526">
        <v>140000</v>
      </c>
      <c r="M248" s="1526"/>
      <c r="N248" s="1526"/>
      <c r="O248" s="1529"/>
    </row>
    <row r="249" spans="1:15" s="1523" customFormat="1" ht="16.8" x14ac:dyDescent="0.15">
      <c r="A249" s="1534"/>
      <c r="B249" s="1525" t="s">
        <v>1831</v>
      </c>
      <c r="C249" s="1526"/>
      <c r="D249" s="1527"/>
      <c r="E249" s="1527"/>
      <c r="F249" s="1526"/>
      <c r="G249" s="1136"/>
      <c r="H249" s="1528"/>
      <c r="I249" s="1528"/>
      <c r="J249" s="1526"/>
      <c r="K249" s="1526"/>
      <c r="L249" s="1526">
        <v>720000</v>
      </c>
      <c r="M249" s="1526"/>
      <c r="N249" s="1526"/>
      <c r="O249" s="1529"/>
    </row>
    <row r="250" spans="1:15" s="1523" customFormat="1" ht="8.4" x14ac:dyDescent="0.15">
      <c r="A250" s="1534"/>
      <c r="B250" s="1525" t="s">
        <v>1832</v>
      </c>
      <c r="C250" s="1526"/>
      <c r="D250" s="1527"/>
      <c r="E250" s="1527"/>
      <c r="F250" s="1526"/>
      <c r="G250" s="1136"/>
      <c r="H250" s="1528"/>
      <c r="I250" s="1528"/>
      <c r="J250" s="1526"/>
      <c r="K250" s="1526"/>
      <c r="L250" s="1526">
        <v>1430000</v>
      </c>
      <c r="M250" s="1526"/>
      <c r="N250" s="1526"/>
      <c r="O250" s="1529"/>
    </row>
    <row r="251" spans="1:15" s="1523" customFormat="1" ht="8.4" x14ac:dyDescent="0.15">
      <c r="A251" s="1534" t="s">
        <v>188</v>
      </c>
      <c r="B251" s="1525" t="s">
        <v>1833</v>
      </c>
      <c r="C251" s="1526"/>
      <c r="D251" s="1527"/>
      <c r="E251" s="1527"/>
      <c r="F251" s="1526"/>
      <c r="G251" s="1136"/>
      <c r="H251" s="1528"/>
      <c r="I251" s="1528"/>
      <c r="J251" s="1526">
        <v>250000</v>
      </c>
      <c r="K251" s="1526"/>
      <c r="L251" s="1526"/>
      <c r="M251" s="1526"/>
      <c r="N251" s="1526"/>
      <c r="O251" s="1529"/>
    </row>
    <row r="252" spans="1:15" s="1523" customFormat="1" ht="8.4" x14ac:dyDescent="0.15">
      <c r="A252" s="1534"/>
      <c r="B252" s="1525" t="s">
        <v>1794</v>
      </c>
      <c r="C252" s="1526"/>
      <c r="D252" s="1527"/>
      <c r="E252" s="1527"/>
      <c r="F252" s="1526"/>
      <c r="G252" s="1136"/>
      <c r="H252" s="1528"/>
      <c r="I252" s="1528"/>
      <c r="J252" s="1526">
        <v>120000</v>
      </c>
      <c r="K252" s="1526"/>
      <c r="L252" s="1526"/>
      <c r="M252" s="1526"/>
      <c r="N252" s="1526"/>
      <c r="O252" s="1529"/>
    </row>
    <row r="253" spans="1:15" s="1523" customFormat="1" ht="16.8" x14ac:dyDescent="0.15">
      <c r="A253" s="1534"/>
      <c r="B253" s="1525" t="s">
        <v>1834</v>
      </c>
      <c r="C253" s="1526"/>
      <c r="D253" s="1527"/>
      <c r="E253" s="1527"/>
      <c r="F253" s="1526"/>
      <c r="G253" s="1136"/>
      <c r="H253" s="1528"/>
      <c r="I253" s="1528"/>
      <c r="J253" s="1526">
        <v>240000</v>
      </c>
      <c r="K253" s="1526"/>
      <c r="L253" s="1526"/>
      <c r="M253" s="1526"/>
      <c r="N253" s="1526"/>
      <c r="O253" s="1529"/>
    </row>
    <row r="254" spans="1:15" s="1523" customFormat="1" ht="8.4" x14ac:dyDescent="0.15">
      <c r="A254" s="1534" t="s">
        <v>188</v>
      </c>
      <c r="B254" s="1525" t="s">
        <v>1829</v>
      </c>
      <c r="C254" s="1526"/>
      <c r="D254" s="1527"/>
      <c r="E254" s="1527"/>
      <c r="F254" s="1526"/>
      <c r="G254" s="1136"/>
      <c r="H254" s="1528"/>
      <c r="I254" s="1528"/>
      <c r="J254" s="1526">
        <v>1000000</v>
      </c>
      <c r="K254" s="1526"/>
      <c r="L254" s="1526"/>
      <c r="M254" s="1526"/>
      <c r="N254" s="1526"/>
      <c r="O254" s="1529"/>
    </row>
    <row r="255" spans="1:15" s="1523" customFormat="1" ht="16.8" x14ac:dyDescent="0.15">
      <c r="A255" s="1534" t="s">
        <v>160</v>
      </c>
      <c r="B255" s="1525" t="s">
        <v>1835</v>
      </c>
      <c r="C255" s="1526"/>
      <c r="D255" s="1527"/>
      <c r="E255" s="1527"/>
      <c r="F255" s="1526">
        <v>20000000</v>
      </c>
      <c r="G255" s="1136"/>
      <c r="H255" s="1528"/>
      <c r="I255" s="1528"/>
      <c r="J255" s="1526"/>
      <c r="K255" s="1526"/>
      <c r="L255" s="1526"/>
      <c r="M255" s="1526"/>
      <c r="N255" s="1526"/>
      <c r="O255" s="1529"/>
    </row>
    <row r="256" spans="1:15" s="1523" customFormat="1" ht="16.8" x14ac:dyDescent="0.15">
      <c r="A256" s="1567" t="s">
        <v>160</v>
      </c>
      <c r="B256" s="1568" t="s">
        <v>1836</v>
      </c>
      <c r="C256" s="1569"/>
      <c r="D256" s="1570"/>
      <c r="E256" s="1527"/>
      <c r="F256" s="1569">
        <v>10000000</v>
      </c>
      <c r="G256" s="1571"/>
      <c r="H256" s="1528"/>
      <c r="I256" s="1528"/>
      <c r="J256" s="1569"/>
      <c r="K256" s="1569"/>
      <c r="L256" s="1569"/>
      <c r="M256" s="1569"/>
      <c r="N256" s="1569"/>
      <c r="O256" s="1529"/>
    </row>
    <row r="257" spans="1:16" s="146" customFormat="1" ht="31.5" customHeight="1" x14ac:dyDescent="0.15">
      <c r="A257" s="2342" t="s">
        <v>1841</v>
      </c>
      <c r="B257" s="2343"/>
      <c r="C257" s="1572">
        <f t="shared" ref="C257:N257" si="0">SUM(C6:C256)</f>
        <v>292906750</v>
      </c>
      <c r="D257" s="1572">
        <f t="shared" si="0"/>
        <v>56911900</v>
      </c>
      <c r="E257" s="1572">
        <f t="shared" si="0"/>
        <v>0</v>
      </c>
      <c r="F257" s="1572">
        <f t="shared" si="0"/>
        <v>91260950</v>
      </c>
      <c r="G257" s="1572">
        <f t="shared" si="0"/>
        <v>304095800</v>
      </c>
      <c r="H257" s="1572">
        <f t="shared" si="0"/>
        <v>0</v>
      </c>
      <c r="I257" s="1572">
        <f t="shared" si="0"/>
        <v>0</v>
      </c>
      <c r="J257" s="1572">
        <f t="shared" si="0"/>
        <v>328105590</v>
      </c>
      <c r="K257" s="1572">
        <f t="shared" si="0"/>
        <v>39184990</v>
      </c>
      <c r="L257" s="1572">
        <f t="shared" si="0"/>
        <v>4316000</v>
      </c>
      <c r="M257" s="1572">
        <f t="shared" si="0"/>
        <v>3289850</v>
      </c>
      <c r="N257" s="1572">
        <f t="shared" si="0"/>
        <v>5000000</v>
      </c>
      <c r="O257" s="1573"/>
    </row>
    <row r="258" spans="1:16" s="146" customFormat="1" ht="31.5" customHeight="1" x14ac:dyDescent="0.15">
      <c r="A258" s="2342" t="s">
        <v>1847</v>
      </c>
      <c r="B258" s="2343"/>
      <c r="C258" s="2360">
        <f>SUM(C257:F257)</f>
        <v>441079600</v>
      </c>
      <c r="D258" s="2361"/>
      <c r="E258" s="2361"/>
      <c r="F258" s="2362"/>
      <c r="G258" s="2360"/>
      <c r="H258" s="2361"/>
      <c r="I258" s="2361"/>
      <c r="J258" s="2361"/>
      <c r="K258" s="2361"/>
      <c r="L258" s="2361"/>
      <c r="M258" s="2361"/>
      <c r="N258" s="2362"/>
      <c r="O258" s="1573"/>
      <c r="P258" s="1630"/>
    </row>
    <row r="259" spans="1:16" s="146" customFormat="1" ht="31.5" customHeight="1" x14ac:dyDescent="0.15">
      <c r="A259" s="2342" t="s">
        <v>1848</v>
      </c>
      <c r="B259" s="2343"/>
      <c r="C259" s="2360">
        <f>SUM(G257:N257)</f>
        <v>683992230</v>
      </c>
      <c r="D259" s="2361"/>
      <c r="E259" s="2361"/>
      <c r="F259" s="2362"/>
      <c r="G259" s="2360"/>
      <c r="H259" s="2361"/>
      <c r="I259" s="2361"/>
      <c r="J259" s="2361"/>
      <c r="K259" s="2361"/>
      <c r="L259" s="2361"/>
      <c r="M259" s="2361"/>
      <c r="N259" s="2362"/>
      <c r="O259" s="1573"/>
    </row>
    <row r="260" spans="1:16" s="146" customFormat="1" ht="31.5" customHeight="1" x14ac:dyDescent="0.15">
      <c r="A260" s="2344" t="s">
        <v>1868</v>
      </c>
      <c r="B260" s="2343"/>
      <c r="C260" s="2360">
        <f>C258-C259</f>
        <v>-242912630</v>
      </c>
      <c r="D260" s="2361"/>
      <c r="E260" s="2361"/>
      <c r="F260" s="2362"/>
      <c r="G260" s="1653"/>
      <c r="H260" s="1654"/>
      <c r="I260" s="1654"/>
      <c r="J260" s="1654"/>
      <c r="K260" s="1654"/>
      <c r="L260" s="1654"/>
      <c r="M260" s="1654"/>
      <c r="N260" s="1654"/>
      <c r="O260" s="1655"/>
    </row>
    <row r="261" spans="1:16" s="146" customFormat="1" ht="8.4" x14ac:dyDescent="0.15">
      <c r="A261" s="1652"/>
      <c r="B261" s="1574" t="s">
        <v>1551</v>
      </c>
      <c r="C261" s="1518"/>
      <c r="D261" s="1518"/>
      <c r="E261" s="1518"/>
      <c r="F261" s="1518"/>
      <c r="G261" s="1575"/>
      <c r="H261" s="1575"/>
      <c r="I261" s="1575"/>
      <c r="J261" s="1575"/>
      <c r="K261" s="1576"/>
      <c r="L261" s="1577"/>
      <c r="M261" s="1578"/>
      <c r="N261" s="1578"/>
      <c r="O261" s="1579"/>
    </row>
    <row r="262" spans="1:16" s="146" customFormat="1" ht="8.4" x14ac:dyDescent="0.15">
      <c r="A262" s="1580" t="s">
        <v>260</v>
      </c>
      <c r="B262" s="1535" t="s">
        <v>414</v>
      </c>
      <c r="C262" s="1581"/>
      <c r="D262" s="1581">
        <v>18000000</v>
      </c>
      <c r="E262" s="1582"/>
      <c r="F262" s="1551"/>
      <c r="G262" s="1526"/>
      <c r="H262" s="1526"/>
      <c r="I262" s="1526"/>
      <c r="J262" s="1526"/>
      <c r="K262" s="1526"/>
      <c r="L262" s="1526"/>
      <c r="M262" s="1583"/>
      <c r="N262" s="1583"/>
      <c r="O262" s="1584"/>
    </row>
    <row r="263" spans="1:16" s="146" customFormat="1" ht="8.4" x14ac:dyDescent="0.15">
      <c r="A263" s="1580" t="s">
        <v>403</v>
      </c>
      <c r="B263" s="1535" t="s">
        <v>415</v>
      </c>
      <c r="C263" s="1582"/>
      <c r="D263" s="1582"/>
      <c r="E263" s="1581">
        <v>45000000</v>
      </c>
      <c r="F263" s="1551"/>
      <c r="G263" s="1526"/>
      <c r="H263" s="1526"/>
      <c r="I263" s="1526"/>
      <c r="J263" s="1526"/>
      <c r="K263" s="1526"/>
      <c r="L263" s="1526"/>
      <c r="M263" s="1526"/>
      <c r="N263" s="1526"/>
      <c r="O263" s="1585"/>
    </row>
    <row r="264" spans="1:16" s="146" customFormat="1" ht="8.4" x14ac:dyDescent="0.15">
      <c r="A264" s="1580" t="s">
        <v>432</v>
      </c>
      <c r="B264" s="1541" t="s">
        <v>415</v>
      </c>
      <c r="C264" s="1581"/>
      <c r="D264" s="1581">
        <v>45000000</v>
      </c>
      <c r="E264" s="1582"/>
      <c r="F264" s="1539"/>
      <c r="G264" s="1526"/>
      <c r="H264" s="1526"/>
      <c r="I264" s="1526"/>
      <c r="J264" s="1526"/>
      <c r="K264" s="1526"/>
      <c r="L264" s="1526"/>
      <c r="M264" s="1526"/>
      <c r="N264" s="1526"/>
      <c r="O264" s="1585"/>
    </row>
    <row r="265" spans="1:16" s="146" customFormat="1" ht="8.4" x14ac:dyDescent="0.15">
      <c r="A265" s="1580" t="s">
        <v>500</v>
      </c>
      <c r="B265" s="1541" t="s">
        <v>414</v>
      </c>
      <c r="C265" s="1582"/>
      <c r="D265" s="1582"/>
      <c r="E265" s="1582"/>
      <c r="F265" s="1539">
        <v>5000000</v>
      </c>
      <c r="G265" s="1526"/>
      <c r="H265" s="1526"/>
      <c r="I265" s="1526"/>
      <c r="J265" s="1526"/>
      <c r="K265" s="1526"/>
      <c r="L265" s="1526"/>
      <c r="M265" s="1526"/>
      <c r="N265" s="1526"/>
      <c r="O265" s="1585"/>
    </row>
    <row r="266" spans="1:16" s="146" customFormat="1" ht="8.4" x14ac:dyDescent="0.15">
      <c r="A266" s="1580" t="s">
        <v>634</v>
      </c>
      <c r="B266" s="1541" t="s">
        <v>414</v>
      </c>
      <c r="C266" s="1581"/>
      <c r="D266" s="1581">
        <v>30000000</v>
      </c>
      <c r="E266" s="1582"/>
      <c r="F266" s="1551"/>
      <c r="G266" s="1526"/>
      <c r="H266" s="1526"/>
      <c r="I266" s="1526"/>
      <c r="J266" s="1526"/>
      <c r="K266" s="1526"/>
      <c r="L266" s="1526"/>
      <c r="M266" s="1526"/>
      <c r="N266" s="1526"/>
      <c r="O266" s="1585"/>
    </row>
    <row r="267" spans="1:16" s="146" customFormat="1" ht="8.4" x14ac:dyDescent="0.15">
      <c r="A267" s="1580" t="s">
        <v>964</v>
      </c>
      <c r="B267" s="1541" t="s">
        <v>414</v>
      </c>
      <c r="C267" s="1581"/>
      <c r="D267" s="1581">
        <v>25000000</v>
      </c>
      <c r="E267" s="1582"/>
      <c r="F267" s="1551"/>
      <c r="G267" s="1526"/>
      <c r="H267" s="1526"/>
      <c r="I267" s="1526"/>
      <c r="J267" s="1526"/>
      <c r="K267" s="1526"/>
      <c r="L267" s="1526"/>
      <c r="M267" s="1526"/>
      <c r="N267" s="1526"/>
      <c r="O267" s="1585"/>
    </row>
    <row r="268" spans="1:16" s="146" customFormat="1" ht="8.4" x14ac:dyDescent="0.15">
      <c r="A268" s="1580" t="s">
        <v>1001</v>
      </c>
      <c r="B268" s="1541" t="s">
        <v>415</v>
      </c>
      <c r="C268" s="1581"/>
      <c r="D268" s="1581">
        <v>90000000</v>
      </c>
      <c r="E268" s="1582"/>
      <c r="F268" s="1551"/>
      <c r="G268" s="1526"/>
      <c r="H268" s="1526"/>
      <c r="I268" s="1526"/>
      <c r="J268" s="1526"/>
      <c r="K268" s="1526"/>
      <c r="L268" s="1526"/>
      <c r="M268" s="1526"/>
      <c r="N268" s="1526"/>
      <c r="O268" s="1585"/>
    </row>
    <row r="269" spans="1:16" s="146" customFormat="1" ht="8.4" x14ac:dyDescent="0.15">
      <c r="A269" s="1586" t="s">
        <v>1243</v>
      </c>
      <c r="B269" s="1587" t="s">
        <v>415</v>
      </c>
      <c r="C269" s="1588"/>
      <c r="D269" s="1588">
        <v>90000000</v>
      </c>
      <c r="E269" s="1589"/>
      <c r="F269" s="1590"/>
      <c r="G269" s="1591"/>
      <c r="H269" s="1591"/>
      <c r="I269" s="1591"/>
      <c r="J269" s="1591"/>
      <c r="K269" s="1591"/>
      <c r="L269" s="1591"/>
      <c r="M269" s="1591"/>
      <c r="N269" s="1591"/>
      <c r="O269" s="1592"/>
    </row>
    <row r="270" spans="1:16" s="146" customFormat="1" ht="8.4" x14ac:dyDescent="0.15">
      <c r="A270" s="1593"/>
      <c r="B270" s="1594" t="s">
        <v>1559</v>
      </c>
      <c r="C270" s="1595"/>
      <c r="D270" s="1595"/>
      <c r="E270" s="1595"/>
      <c r="F270" s="1520"/>
      <c r="G270" s="1520"/>
      <c r="H270" s="1520"/>
      <c r="I270" s="1520"/>
      <c r="J270" s="1520"/>
      <c r="K270" s="1520"/>
      <c r="L270" s="1520"/>
      <c r="M270" s="1520"/>
      <c r="N270" s="1520"/>
      <c r="O270" s="1596"/>
    </row>
    <row r="271" spans="1:16" s="146" customFormat="1" ht="8.4" x14ac:dyDescent="0.15">
      <c r="A271" s="1597"/>
      <c r="B271" s="1598" t="s">
        <v>1023</v>
      </c>
      <c r="C271" s="1599"/>
      <c r="D271" s="1599">
        <v>24742200</v>
      </c>
      <c r="E271" s="1551"/>
      <c r="F271" s="1600">
        <v>13070600</v>
      </c>
      <c r="G271" s="1526"/>
      <c r="H271" s="1526"/>
      <c r="I271" s="1526"/>
      <c r="J271" s="1526"/>
      <c r="K271" s="1526"/>
      <c r="L271" s="1526"/>
      <c r="M271" s="1526"/>
      <c r="N271" s="1526"/>
      <c r="O271" s="2345" t="s">
        <v>1859</v>
      </c>
    </row>
    <row r="272" spans="1:16" s="146" customFormat="1" ht="8.4" x14ac:dyDescent="0.15">
      <c r="A272" s="1597"/>
      <c r="B272" s="1598" t="s">
        <v>1560</v>
      </c>
      <c r="C272" s="1599"/>
      <c r="D272" s="1599">
        <v>26192050</v>
      </c>
      <c r="E272" s="1582"/>
      <c r="F272" s="1600">
        <v>6974300</v>
      </c>
      <c r="G272" s="1526"/>
      <c r="H272" s="1526"/>
      <c r="I272" s="1526"/>
      <c r="J272" s="1526"/>
      <c r="K272" s="1526"/>
      <c r="L272" s="1526"/>
      <c r="M272" s="1526"/>
      <c r="N272" s="1526"/>
      <c r="O272" s="2346"/>
    </row>
    <row r="273" spans="1:15" s="146" customFormat="1" ht="8.4" x14ac:dyDescent="0.15">
      <c r="A273" s="1601"/>
      <c r="B273" s="1602" t="s">
        <v>1297</v>
      </c>
      <c r="C273" s="1589"/>
      <c r="D273" s="1589">
        <v>1357500</v>
      </c>
      <c r="E273" s="1590"/>
      <c r="F273" s="1590">
        <v>2587150</v>
      </c>
      <c r="G273" s="1591"/>
      <c r="H273" s="1591"/>
      <c r="I273" s="1591"/>
      <c r="J273" s="1591"/>
      <c r="K273" s="1591"/>
      <c r="L273" s="1591"/>
      <c r="M273" s="1591"/>
      <c r="N273" s="1591"/>
      <c r="O273" s="2347"/>
    </row>
    <row r="274" spans="1:15" s="146" customFormat="1" ht="8.4" x14ac:dyDescent="0.15">
      <c r="A274" s="1593"/>
      <c r="B274" s="1594" t="s">
        <v>1871</v>
      </c>
      <c r="C274" s="1595"/>
      <c r="D274" s="1595"/>
      <c r="E274" s="1595"/>
      <c r="F274" s="1520"/>
      <c r="G274" s="1520"/>
      <c r="H274" s="1520"/>
      <c r="I274" s="1520"/>
      <c r="J274" s="1520"/>
      <c r="K274" s="1520"/>
      <c r="L274" s="1520"/>
      <c r="M274" s="1520"/>
      <c r="N274" s="1520"/>
      <c r="O274" s="1596"/>
    </row>
    <row r="275" spans="1:15" s="146" customFormat="1" ht="10.199999999999999" x14ac:dyDescent="0.2">
      <c r="A275" s="1597"/>
      <c r="B275" s="1232" t="s">
        <v>1857</v>
      </c>
      <c r="C275" s="1599"/>
      <c r="D275" s="1599"/>
      <c r="E275" s="1536"/>
      <c r="F275" s="1462">
        <f>'Tổng hợp DTBH'!F8</f>
        <v>5061200</v>
      </c>
      <c r="G275" s="1526"/>
      <c r="H275" s="1526"/>
      <c r="I275" s="1526"/>
      <c r="J275" s="1526"/>
      <c r="K275" s="1526"/>
      <c r="L275" s="1526"/>
      <c r="M275" s="1526"/>
      <c r="N275" s="1526"/>
      <c r="O275" s="1585"/>
    </row>
    <row r="276" spans="1:15" s="146" customFormat="1" ht="10.199999999999999" x14ac:dyDescent="0.2">
      <c r="A276" s="1597"/>
      <c r="B276" s="1232" t="s">
        <v>1022</v>
      </c>
      <c r="C276" s="1599"/>
      <c r="D276" s="1599"/>
      <c r="E276" s="1536"/>
      <c r="F276" s="1462">
        <f>'Tổng hợp DTBH'!F9</f>
        <v>87508050</v>
      </c>
      <c r="G276" s="1526"/>
      <c r="H276" s="1526"/>
      <c r="I276" s="1526"/>
      <c r="J276" s="1526"/>
      <c r="K276" s="1526"/>
      <c r="L276" s="1526"/>
      <c r="M276" s="1526"/>
      <c r="N276" s="1526"/>
      <c r="O276" s="1585"/>
    </row>
    <row r="277" spans="1:15" s="146" customFormat="1" ht="10.199999999999999" x14ac:dyDescent="0.2">
      <c r="A277" s="1597"/>
      <c r="B277" s="1232" t="s">
        <v>1023</v>
      </c>
      <c r="C277" s="1599"/>
      <c r="D277" s="1599"/>
      <c r="E277" s="1536"/>
      <c r="F277" s="1462">
        <f>'Tổng hợp DTBH'!F10</f>
        <v>238316100</v>
      </c>
      <c r="G277" s="1526"/>
      <c r="H277" s="1526"/>
      <c r="I277" s="1526"/>
      <c r="J277" s="1526"/>
      <c r="K277" s="1526"/>
      <c r="L277" s="1526"/>
      <c r="M277" s="1526"/>
      <c r="N277" s="1526"/>
      <c r="O277" s="1585"/>
    </row>
    <row r="278" spans="1:15" s="146" customFormat="1" ht="10.199999999999999" x14ac:dyDescent="0.2">
      <c r="A278" s="1597"/>
      <c r="B278" s="1230" t="s">
        <v>1560</v>
      </c>
      <c r="C278" s="1599"/>
      <c r="D278" s="1599"/>
      <c r="E278" s="1536"/>
      <c r="F278" s="1462">
        <f>'Tổng hợp DTBH'!F11</f>
        <v>312176600</v>
      </c>
      <c r="G278" s="1526"/>
      <c r="H278" s="1526"/>
      <c r="I278" s="1526"/>
      <c r="J278" s="1526"/>
      <c r="K278" s="1526"/>
      <c r="L278" s="1526"/>
      <c r="M278" s="1526"/>
      <c r="N278" s="1526"/>
      <c r="O278" s="1585"/>
    </row>
    <row r="279" spans="1:15" s="146" customFormat="1" ht="10.199999999999999" x14ac:dyDescent="0.2">
      <c r="A279" s="1597"/>
      <c r="B279" s="1235" t="s">
        <v>1297</v>
      </c>
      <c r="C279" s="1599"/>
      <c r="D279" s="1599"/>
      <c r="E279" s="1536"/>
      <c r="F279" s="1452">
        <f>'Tổng hợp DTBH'!F12</f>
        <v>349931000</v>
      </c>
      <c r="G279" s="1526"/>
      <c r="H279" s="1526"/>
      <c r="I279" s="1526"/>
      <c r="J279" s="1526"/>
      <c r="K279" s="1526"/>
      <c r="L279" s="1526"/>
      <c r="M279" s="1526"/>
      <c r="N279" s="1526"/>
      <c r="O279" s="1585"/>
    </row>
    <row r="280" spans="1:15" s="146" customFormat="1" ht="8.4" x14ac:dyDescent="0.15">
      <c r="A280" s="1597"/>
      <c r="B280" s="1535"/>
      <c r="C280" s="1599"/>
      <c r="D280" s="1599"/>
      <c r="E280" s="1536"/>
      <c r="F280" s="1539"/>
      <c r="G280" s="1526"/>
      <c r="H280" s="1526"/>
      <c r="I280" s="1526"/>
      <c r="J280" s="1526"/>
      <c r="K280" s="1526"/>
      <c r="L280" s="1526"/>
      <c r="M280" s="1526"/>
      <c r="N280" s="1526"/>
      <c r="O280" s="1585"/>
    </row>
    <row r="281" spans="1:15" s="146" customFormat="1" ht="8.4" x14ac:dyDescent="0.15">
      <c r="A281" s="1597"/>
      <c r="B281" s="1535"/>
      <c r="C281" s="1599"/>
      <c r="D281" s="1599"/>
      <c r="E281" s="1536"/>
      <c r="F281" s="1539"/>
      <c r="G281" s="1526"/>
      <c r="H281" s="1526"/>
      <c r="I281" s="1526"/>
      <c r="J281" s="1526"/>
      <c r="K281" s="1526"/>
      <c r="L281" s="1526"/>
      <c r="M281" s="1526"/>
      <c r="N281" s="1526"/>
      <c r="O281" s="1585"/>
    </row>
    <row r="282" spans="1:15" s="146" customFormat="1" ht="8.4" x14ac:dyDescent="0.15">
      <c r="A282" s="1601"/>
      <c r="B282" s="1602"/>
      <c r="C282" s="1589"/>
      <c r="D282" s="1589"/>
      <c r="E282" s="1604"/>
      <c r="F282" s="1605"/>
      <c r="G282" s="1591"/>
      <c r="H282" s="1591"/>
      <c r="I282" s="1591"/>
      <c r="J282" s="1591"/>
      <c r="K282" s="1591"/>
      <c r="L282" s="1591"/>
      <c r="M282" s="1591"/>
      <c r="N282" s="1591"/>
      <c r="O282" s="1606"/>
    </row>
    <row r="283" spans="1:15" s="146" customFormat="1" ht="8.4" x14ac:dyDescent="0.15">
      <c r="A283" s="1593"/>
      <c r="B283" s="1594" t="s">
        <v>1552</v>
      </c>
      <c r="C283" s="1595"/>
      <c r="D283" s="1595"/>
      <c r="E283" s="1595"/>
      <c r="F283" s="1520"/>
      <c r="G283" s="1520"/>
      <c r="H283" s="1520"/>
      <c r="I283" s="1520"/>
      <c r="J283" s="1520"/>
      <c r="K283" s="1520"/>
      <c r="L283" s="1520"/>
      <c r="M283" s="1520"/>
      <c r="N283" s="1520"/>
      <c r="O283" s="1596"/>
    </row>
    <row r="284" spans="1:15" s="146" customFormat="1" ht="16.8" x14ac:dyDescent="0.15">
      <c r="A284" s="1597" t="s">
        <v>409</v>
      </c>
      <c r="B284" s="1598" t="s">
        <v>781</v>
      </c>
      <c r="C284" s="1599"/>
      <c r="D284" s="1599"/>
      <c r="E284" s="1536"/>
      <c r="F284" s="1603">
        <v>819000</v>
      </c>
      <c r="G284" s="1526"/>
      <c r="H284" s="1526"/>
      <c r="I284" s="1526"/>
      <c r="J284" s="1526"/>
      <c r="K284" s="1526"/>
      <c r="L284" s="1526"/>
      <c r="M284" s="1526"/>
      <c r="N284" s="1526"/>
      <c r="O284" s="1585"/>
    </row>
    <row r="285" spans="1:15" s="146" customFormat="1" ht="16.8" x14ac:dyDescent="0.15">
      <c r="A285" s="1597" t="s">
        <v>565</v>
      </c>
      <c r="B285" s="1598" t="s">
        <v>777</v>
      </c>
      <c r="C285" s="1607"/>
      <c r="D285" s="1607">
        <v>2570000</v>
      </c>
      <c r="E285" s="1526"/>
      <c r="F285" s="1600"/>
      <c r="G285" s="1526"/>
      <c r="H285" s="1526"/>
      <c r="I285" s="1526"/>
      <c r="J285" s="1526"/>
      <c r="K285" s="1526"/>
      <c r="L285" s="1526"/>
      <c r="M285" s="1526"/>
      <c r="N285" s="1526"/>
      <c r="O285" s="1585"/>
    </row>
    <row r="286" spans="1:15" s="146" customFormat="1" ht="16.8" x14ac:dyDescent="0.15">
      <c r="A286" s="1597" t="s">
        <v>576</v>
      </c>
      <c r="B286" s="1598" t="s">
        <v>577</v>
      </c>
      <c r="C286" s="1599"/>
      <c r="D286" s="1599"/>
      <c r="E286" s="1526"/>
      <c r="F286" s="1603">
        <v>7250000</v>
      </c>
      <c r="G286" s="1526"/>
      <c r="H286" s="1526"/>
      <c r="I286" s="1526"/>
      <c r="J286" s="1526"/>
      <c r="K286" s="1526"/>
      <c r="L286" s="1526"/>
      <c r="M286" s="1526"/>
      <c r="N286" s="1526"/>
      <c r="O286" s="1585"/>
    </row>
    <row r="287" spans="1:15" s="146" customFormat="1" ht="16.8" x14ac:dyDescent="0.15">
      <c r="A287" s="1597" t="s">
        <v>1205</v>
      </c>
      <c r="B287" s="1598" t="s">
        <v>1348</v>
      </c>
      <c r="C287" s="1599"/>
      <c r="D287" s="1599"/>
      <c r="E287" s="1536"/>
      <c r="F287" s="1603">
        <v>15100000</v>
      </c>
      <c r="G287" s="1526"/>
      <c r="H287" s="1526"/>
      <c r="I287" s="1526"/>
      <c r="J287" s="1526"/>
      <c r="K287" s="1526"/>
      <c r="L287" s="1526"/>
      <c r="M287" s="1526"/>
      <c r="N287" s="1526"/>
      <c r="O287" s="1585"/>
    </row>
    <row r="288" spans="1:15" s="146" customFormat="1" ht="25.2" x14ac:dyDescent="0.15">
      <c r="A288" s="1597" t="s">
        <v>1370</v>
      </c>
      <c r="B288" s="1598" t="s">
        <v>1404</v>
      </c>
      <c r="C288" s="1599"/>
      <c r="D288" s="1599"/>
      <c r="E288" s="1569"/>
      <c r="F288" s="1603">
        <v>1500000</v>
      </c>
      <c r="G288" s="1569"/>
      <c r="H288" s="1569"/>
      <c r="I288" s="1569"/>
      <c r="J288" s="1569"/>
      <c r="K288" s="1569"/>
      <c r="L288" s="1569"/>
      <c r="M288" s="1569"/>
      <c r="N288" s="1569"/>
      <c r="O288" s="1608"/>
    </row>
    <row r="289" spans="1:15" s="146" customFormat="1" ht="8.4" x14ac:dyDescent="0.15">
      <c r="A289" s="1609"/>
      <c r="B289" s="1610" t="s">
        <v>1553</v>
      </c>
      <c r="C289" s="1520"/>
      <c r="D289" s="1520"/>
      <c r="E289" s="1520"/>
      <c r="F289" s="1520"/>
      <c r="G289" s="1611"/>
      <c r="H289" s="1611"/>
      <c r="I289" s="1520"/>
      <c r="J289" s="1520"/>
      <c r="K289" s="1520"/>
      <c r="L289" s="1520"/>
      <c r="M289" s="1520"/>
      <c r="N289" s="1520"/>
      <c r="O289" s="1596"/>
    </row>
    <row r="290" spans="1:15" s="146" customFormat="1" ht="8.4" x14ac:dyDescent="0.15">
      <c r="A290" s="1612" t="s">
        <v>434</v>
      </c>
      <c r="B290" s="1535" t="s">
        <v>1318</v>
      </c>
      <c r="C290" s="1526"/>
      <c r="D290" s="1526"/>
      <c r="E290" s="1526"/>
      <c r="F290" s="1526"/>
      <c r="G290" s="1539"/>
      <c r="H290" s="1539">
        <v>20000000</v>
      </c>
      <c r="I290" s="1526"/>
      <c r="J290" s="1551"/>
      <c r="K290" s="1526"/>
      <c r="L290" s="1526"/>
      <c r="M290" s="1526"/>
      <c r="N290" s="1526"/>
      <c r="O290" s="1585"/>
    </row>
    <row r="291" spans="1:15" s="146" customFormat="1" ht="8.4" x14ac:dyDescent="0.15">
      <c r="A291" s="1612"/>
      <c r="B291" s="1535" t="s">
        <v>1320</v>
      </c>
      <c r="C291" s="1526"/>
      <c r="D291" s="1526"/>
      <c r="E291" s="1526"/>
      <c r="F291" s="1526"/>
      <c r="G291" s="1613"/>
      <c r="H291" s="1613">
        <v>40000000</v>
      </c>
      <c r="I291" s="1526"/>
      <c r="J291" s="1551"/>
      <c r="K291" s="1526"/>
      <c r="L291" s="1526"/>
      <c r="M291" s="1526"/>
      <c r="N291" s="1526"/>
      <c r="O291" s="1585"/>
    </row>
    <row r="292" spans="1:15" s="146" customFormat="1" ht="8.4" x14ac:dyDescent="0.15">
      <c r="A292" s="1597"/>
      <c r="B292" s="1598" t="s">
        <v>1320</v>
      </c>
      <c r="C292" s="1526"/>
      <c r="D292" s="1526"/>
      <c r="E292" s="1526"/>
      <c r="F292" s="1526"/>
      <c r="G292" s="1614"/>
      <c r="H292" s="1614"/>
      <c r="I292" s="1526"/>
      <c r="J292" s="1615">
        <v>49050000</v>
      </c>
      <c r="K292" s="1526"/>
      <c r="L292" s="1526"/>
      <c r="M292" s="1526"/>
      <c r="N292" s="1526"/>
      <c r="O292" s="1585"/>
    </row>
    <row r="293" spans="1:15" s="146" customFormat="1" ht="8.4" x14ac:dyDescent="0.15">
      <c r="A293" s="1612" t="s">
        <v>634</v>
      </c>
      <c r="B293" s="1616" t="s">
        <v>1321</v>
      </c>
      <c r="C293" s="1526"/>
      <c r="D293" s="1526"/>
      <c r="E293" s="1526"/>
      <c r="F293" s="1526"/>
      <c r="G293" s="1539"/>
      <c r="H293" s="1539">
        <v>10000000</v>
      </c>
      <c r="I293" s="1526"/>
      <c r="J293" s="1539"/>
      <c r="K293" s="1526"/>
      <c r="L293" s="1526"/>
      <c r="M293" s="1526"/>
      <c r="N293" s="1526"/>
      <c r="O293" s="1585"/>
    </row>
    <row r="294" spans="1:15" s="146" customFormat="1" ht="8.4" x14ac:dyDescent="0.15">
      <c r="A294" s="1612"/>
      <c r="B294" s="1616" t="s">
        <v>518</v>
      </c>
      <c r="C294" s="1526"/>
      <c r="D294" s="1526"/>
      <c r="E294" s="1526"/>
      <c r="F294" s="1526"/>
      <c r="G294" s="1539"/>
      <c r="H294" s="1539">
        <v>14000000</v>
      </c>
      <c r="I294" s="1526"/>
      <c r="J294" s="1539"/>
      <c r="K294" s="1526"/>
      <c r="L294" s="1526"/>
      <c r="M294" s="1526"/>
      <c r="N294" s="1526"/>
      <c r="O294" s="1585"/>
    </row>
    <row r="295" spans="1:15" s="146" customFormat="1" ht="8.4" x14ac:dyDescent="0.15">
      <c r="A295" s="1612"/>
      <c r="B295" s="1616" t="s">
        <v>519</v>
      </c>
      <c r="C295" s="1526"/>
      <c r="D295" s="1526"/>
      <c r="E295" s="1526"/>
      <c r="F295" s="1526"/>
      <c r="G295" s="1539"/>
      <c r="H295" s="1539"/>
      <c r="I295" s="1526"/>
      <c r="J295" s="1617">
        <v>9000000</v>
      </c>
      <c r="K295" s="1526"/>
      <c r="L295" s="1526"/>
      <c r="M295" s="1526"/>
      <c r="N295" s="1526"/>
      <c r="O295" s="1585"/>
    </row>
    <row r="296" spans="1:15" s="146" customFormat="1" ht="8.4" x14ac:dyDescent="0.15">
      <c r="A296" s="1612" t="s">
        <v>792</v>
      </c>
      <c r="B296" s="1614" t="s">
        <v>1322</v>
      </c>
      <c r="C296" s="1526"/>
      <c r="D296" s="1526"/>
      <c r="E296" s="1526"/>
      <c r="F296" s="1526"/>
      <c r="G296" s="1551"/>
      <c r="H296" s="1551"/>
      <c r="I296" s="1526"/>
      <c r="J296" s="1618">
        <v>41600000</v>
      </c>
      <c r="K296" s="1526"/>
      <c r="L296" s="1526"/>
      <c r="M296" s="1526"/>
      <c r="N296" s="1526"/>
      <c r="O296" s="1585"/>
    </row>
    <row r="297" spans="1:15" s="146" customFormat="1" ht="8.4" x14ac:dyDescent="0.15">
      <c r="A297" s="1612"/>
      <c r="B297" s="1614" t="s">
        <v>519</v>
      </c>
      <c r="C297" s="1526"/>
      <c r="D297" s="1526"/>
      <c r="E297" s="1526"/>
      <c r="F297" s="1526"/>
      <c r="G297" s="1551"/>
      <c r="H297" s="1551"/>
      <c r="I297" s="1526"/>
      <c r="J297" s="1618">
        <f>141700000-J296</f>
        <v>100100000</v>
      </c>
      <c r="K297" s="1526"/>
      <c r="L297" s="1526"/>
      <c r="M297" s="1526"/>
      <c r="N297" s="1526"/>
      <c r="O297" s="1585"/>
    </row>
    <row r="298" spans="1:15" s="146" customFormat="1" ht="16.8" x14ac:dyDescent="0.15">
      <c r="A298" s="1612" t="s">
        <v>952</v>
      </c>
      <c r="B298" s="1535" t="s">
        <v>1323</v>
      </c>
      <c r="C298" s="1526"/>
      <c r="D298" s="1526"/>
      <c r="E298" s="1526"/>
      <c r="F298" s="1526"/>
      <c r="G298" s="1551"/>
      <c r="H298" s="1551"/>
      <c r="I298" s="1526"/>
      <c r="J298" s="1618">
        <v>6615000</v>
      </c>
      <c r="K298" s="1526"/>
      <c r="L298" s="1526"/>
      <c r="M298" s="1526"/>
      <c r="N298" s="1526"/>
      <c r="O298" s="1585"/>
    </row>
    <row r="299" spans="1:15" s="146" customFormat="1" ht="8.4" x14ac:dyDescent="0.15">
      <c r="A299" s="1612" t="s">
        <v>1252</v>
      </c>
      <c r="B299" s="1614" t="s">
        <v>1324</v>
      </c>
      <c r="C299" s="1526"/>
      <c r="D299" s="1526"/>
      <c r="E299" s="1526"/>
      <c r="F299" s="1526"/>
      <c r="G299" s="1618"/>
      <c r="H299" s="1618">
        <v>50000000</v>
      </c>
      <c r="I299" s="1526"/>
      <c r="J299" s="1614"/>
      <c r="K299" s="1526"/>
      <c r="L299" s="1526"/>
      <c r="M299" s="1526"/>
      <c r="N299" s="1526"/>
      <c r="O299" s="1585"/>
    </row>
    <row r="300" spans="1:15" s="146" customFormat="1" ht="8.4" x14ac:dyDescent="0.15">
      <c r="A300" s="1612"/>
      <c r="B300" s="1614" t="s">
        <v>518</v>
      </c>
      <c r="C300" s="1526"/>
      <c r="D300" s="1526"/>
      <c r="E300" s="1526"/>
      <c r="F300" s="1526"/>
      <c r="G300" s="1618"/>
      <c r="H300" s="1618">
        <v>84000000</v>
      </c>
      <c r="I300" s="1526"/>
      <c r="J300" s="1614"/>
      <c r="K300" s="1526"/>
      <c r="L300" s="1526"/>
      <c r="M300" s="1526"/>
      <c r="N300" s="1526"/>
      <c r="O300" s="1585"/>
    </row>
    <row r="301" spans="1:15" s="146" customFormat="1" ht="8.4" x14ac:dyDescent="0.15">
      <c r="A301" s="1601"/>
      <c r="B301" s="1619" t="s">
        <v>519</v>
      </c>
      <c r="C301" s="1591"/>
      <c r="D301" s="1591"/>
      <c r="E301" s="1591"/>
      <c r="F301" s="1591"/>
      <c r="G301" s="1590"/>
      <c r="H301" s="1590"/>
      <c r="I301" s="1591"/>
      <c r="J301" s="1620">
        <v>102450000</v>
      </c>
      <c r="K301" s="1591"/>
      <c r="L301" s="1591"/>
      <c r="M301" s="1591"/>
      <c r="N301" s="1591"/>
      <c r="O301" s="1606"/>
    </row>
    <row r="302" spans="1:15" s="146" customFormat="1" ht="16.8" x14ac:dyDescent="0.15">
      <c r="A302" s="1593"/>
      <c r="B302" s="1594" t="s">
        <v>1861</v>
      </c>
      <c r="C302" s="1520"/>
      <c r="D302" s="1520"/>
      <c r="E302" s="1520"/>
      <c r="F302" s="1520"/>
      <c r="G302" s="1520"/>
      <c r="H302" s="1520"/>
      <c r="I302" s="1520"/>
      <c r="J302" s="1520"/>
      <c r="K302" s="1520"/>
      <c r="L302" s="1520"/>
      <c r="M302" s="1520"/>
      <c r="N302" s="1520"/>
      <c r="O302" s="1596"/>
    </row>
    <row r="303" spans="1:15" s="146" customFormat="1" ht="16.8" x14ac:dyDescent="0.15">
      <c r="A303" s="1612" t="s">
        <v>388</v>
      </c>
      <c r="B303" s="1535" t="s">
        <v>440</v>
      </c>
      <c r="C303" s="1526"/>
      <c r="D303" s="1526"/>
      <c r="E303" s="1526"/>
      <c r="F303" s="1539"/>
      <c r="G303" s="1551"/>
      <c r="H303" s="1551"/>
      <c r="I303" s="1551"/>
      <c r="J303" s="1539">
        <v>2500000</v>
      </c>
      <c r="K303" s="1526"/>
      <c r="L303" s="1526"/>
      <c r="M303" s="1526"/>
      <c r="N303" s="1526"/>
      <c r="O303" s="1585"/>
    </row>
    <row r="304" spans="1:15" s="146" customFormat="1" ht="16.8" x14ac:dyDescent="0.15">
      <c r="A304" s="1612" t="s">
        <v>388</v>
      </c>
      <c r="B304" s="1535" t="s">
        <v>442</v>
      </c>
      <c r="C304" s="1526"/>
      <c r="D304" s="1526"/>
      <c r="E304" s="1526"/>
      <c r="F304" s="1539"/>
      <c r="G304" s="1551"/>
      <c r="H304" s="1551"/>
      <c r="I304" s="1551"/>
      <c r="J304" s="1539">
        <v>2500000</v>
      </c>
      <c r="K304" s="1526"/>
      <c r="L304" s="1526"/>
      <c r="M304" s="1526"/>
      <c r="N304" s="1526"/>
      <c r="O304" s="1585"/>
    </row>
    <row r="305" spans="1:15" s="146" customFormat="1" ht="8.4" x14ac:dyDescent="0.15">
      <c r="A305" s="1612" t="s">
        <v>388</v>
      </c>
      <c r="B305" s="1535" t="s">
        <v>443</v>
      </c>
      <c r="C305" s="1526"/>
      <c r="D305" s="1526"/>
      <c r="E305" s="1526"/>
      <c r="F305" s="1539"/>
      <c r="G305" s="1551"/>
      <c r="H305" s="1551"/>
      <c r="I305" s="1551"/>
      <c r="J305" s="1539">
        <v>4000000</v>
      </c>
      <c r="K305" s="1526"/>
      <c r="L305" s="1526"/>
      <c r="M305" s="1526"/>
      <c r="N305" s="1526"/>
      <c r="O305" s="1585"/>
    </row>
    <row r="306" spans="1:15" s="146" customFormat="1" ht="16.8" x14ac:dyDescent="0.15">
      <c r="A306" s="1612" t="s">
        <v>432</v>
      </c>
      <c r="B306" s="1535" t="s">
        <v>1862</v>
      </c>
      <c r="C306" s="1526"/>
      <c r="D306" s="1526"/>
      <c r="E306" s="1526"/>
      <c r="F306" s="1551"/>
      <c r="G306" s="1539"/>
      <c r="H306" s="1539"/>
      <c r="I306" s="1551"/>
      <c r="J306" s="1539">
        <f>'Lương t.lĩnh T8'!H10</f>
        <v>2130000</v>
      </c>
      <c r="K306" s="1526"/>
      <c r="L306" s="1526"/>
      <c r="M306" s="1526"/>
      <c r="N306" s="1526"/>
      <c r="O306" s="1585"/>
    </row>
    <row r="307" spans="1:15" s="146" customFormat="1" ht="16.8" x14ac:dyDescent="0.15">
      <c r="A307" s="1612" t="s">
        <v>432</v>
      </c>
      <c r="B307" s="1535" t="s">
        <v>1260</v>
      </c>
      <c r="C307" s="1526"/>
      <c r="D307" s="1526"/>
      <c r="E307" s="1526"/>
      <c r="F307" s="1551"/>
      <c r="G307" s="1539"/>
      <c r="H307" s="1539">
        <v>5460000</v>
      </c>
      <c r="I307" s="1551"/>
      <c r="J307" s="1551"/>
      <c r="K307" s="1526"/>
      <c r="L307" s="1526"/>
      <c r="M307" s="1526"/>
      <c r="N307" s="1526"/>
      <c r="O307" s="1585"/>
    </row>
    <row r="308" spans="1:15" s="146" customFormat="1" ht="8.4" x14ac:dyDescent="0.15">
      <c r="A308" s="1612" t="s">
        <v>432</v>
      </c>
      <c r="B308" s="1535" t="s">
        <v>1311</v>
      </c>
      <c r="C308" s="1526"/>
      <c r="D308" s="1526"/>
      <c r="E308" s="1526"/>
      <c r="F308" s="1551"/>
      <c r="G308" s="1539"/>
      <c r="H308" s="1539"/>
      <c r="I308" s="1539">
        <v>14937500</v>
      </c>
      <c r="J308" s="1551"/>
      <c r="K308" s="1526"/>
      <c r="L308" s="1526"/>
      <c r="M308" s="1526"/>
      <c r="N308" s="1526"/>
      <c r="O308" s="1585"/>
    </row>
    <row r="309" spans="1:15" s="146" customFormat="1" ht="8.4" x14ac:dyDescent="0.15">
      <c r="A309" s="1612" t="s">
        <v>432</v>
      </c>
      <c r="B309" s="1535" t="s">
        <v>129</v>
      </c>
      <c r="C309" s="1526"/>
      <c r="D309" s="1526"/>
      <c r="E309" s="1526"/>
      <c r="F309" s="1551"/>
      <c r="G309" s="1539"/>
      <c r="H309" s="1539"/>
      <c r="I309" s="1539">
        <v>15000</v>
      </c>
      <c r="J309" s="1551"/>
      <c r="K309" s="1526"/>
      <c r="L309" s="1526"/>
      <c r="M309" s="1526"/>
      <c r="N309" s="1526"/>
      <c r="O309" s="1585"/>
    </row>
    <row r="310" spans="1:15" s="146" customFormat="1" ht="16.8" x14ac:dyDescent="0.15">
      <c r="A310" s="1612" t="s">
        <v>432</v>
      </c>
      <c r="B310" s="1535" t="s">
        <v>1312</v>
      </c>
      <c r="C310" s="1526"/>
      <c r="D310" s="1526"/>
      <c r="E310" s="1526"/>
      <c r="F310" s="1551"/>
      <c r="G310" s="1539"/>
      <c r="H310" s="1539"/>
      <c r="I310" s="1539">
        <v>15100000</v>
      </c>
      <c r="J310" s="1551"/>
      <c r="K310" s="1526"/>
      <c r="L310" s="1526"/>
      <c r="M310" s="1526"/>
      <c r="N310" s="1526"/>
      <c r="O310" s="1585"/>
    </row>
    <row r="311" spans="1:15" s="146" customFormat="1" ht="8.4" x14ac:dyDescent="0.15">
      <c r="A311" s="1612" t="s">
        <v>432</v>
      </c>
      <c r="B311" s="1535" t="s">
        <v>129</v>
      </c>
      <c r="C311" s="1526"/>
      <c r="D311" s="1526"/>
      <c r="E311" s="1526"/>
      <c r="F311" s="1551"/>
      <c r="G311" s="1539"/>
      <c r="H311" s="1539"/>
      <c r="I311" s="1539">
        <v>15000</v>
      </c>
      <c r="J311" s="1551"/>
      <c r="K311" s="1526"/>
      <c r="L311" s="1526"/>
      <c r="M311" s="1526"/>
      <c r="N311" s="1526"/>
      <c r="O311" s="1585"/>
    </row>
    <row r="312" spans="1:15" s="146" customFormat="1" ht="8.4" x14ac:dyDescent="0.15">
      <c r="A312" s="1612" t="s">
        <v>432</v>
      </c>
      <c r="B312" s="1535" t="s">
        <v>1313</v>
      </c>
      <c r="C312" s="1526"/>
      <c r="D312" s="1526"/>
      <c r="E312" s="1526"/>
      <c r="F312" s="1551"/>
      <c r="G312" s="1539"/>
      <c r="H312" s="1539"/>
      <c r="I312" s="1539">
        <v>15187500</v>
      </c>
      <c r="J312" s="1551"/>
      <c r="K312" s="1526"/>
      <c r="L312" s="1526"/>
      <c r="M312" s="1526"/>
      <c r="N312" s="1526"/>
      <c r="O312" s="1585"/>
    </row>
    <row r="313" spans="1:15" s="146" customFormat="1" ht="8.4" x14ac:dyDescent="0.15">
      <c r="A313" s="1612" t="s">
        <v>432</v>
      </c>
      <c r="B313" s="1535" t="s">
        <v>129</v>
      </c>
      <c r="C313" s="1526"/>
      <c r="D313" s="1526"/>
      <c r="E313" s="1526"/>
      <c r="F313" s="1551"/>
      <c r="G313" s="1539"/>
      <c r="H313" s="1539"/>
      <c r="I313" s="1539">
        <v>15000</v>
      </c>
      <c r="J313" s="1551"/>
      <c r="K313" s="1526"/>
      <c r="L313" s="1526"/>
      <c r="M313" s="1526"/>
      <c r="N313" s="1526"/>
      <c r="O313" s="1585"/>
    </row>
    <row r="314" spans="1:15" s="146" customFormat="1" ht="8.4" x14ac:dyDescent="0.15">
      <c r="A314" s="1612" t="s">
        <v>765</v>
      </c>
      <c r="B314" s="1535" t="s">
        <v>1210</v>
      </c>
      <c r="C314" s="1526"/>
      <c r="D314" s="1526"/>
      <c r="E314" s="1526"/>
      <c r="F314" s="1539"/>
      <c r="G314" s="1551"/>
      <c r="H314" s="1551"/>
      <c r="I314" s="1551"/>
      <c r="J314" s="1539">
        <v>4000000</v>
      </c>
      <c r="K314" s="1526"/>
      <c r="L314" s="1526"/>
      <c r="M314" s="1526"/>
      <c r="N314" s="1526"/>
      <c r="O314" s="1585"/>
    </row>
    <row r="315" spans="1:15" s="146" customFormat="1" ht="8.4" x14ac:dyDescent="0.15">
      <c r="A315" s="1612" t="s">
        <v>823</v>
      </c>
      <c r="B315" s="1535" t="s">
        <v>1194</v>
      </c>
      <c r="C315" s="1526"/>
      <c r="D315" s="1526"/>
      <c r="E315" s="1526"/>
      <c r="F315" s="1539"/>
      <c r="G315" s="1551"/>
      <c r="H315" s="1551"/>
      <c r="I315" s="1551"/>
      <c r="J315" s="1539">
        <v>1000000</v>
      </c>
      <c r="K315" s="1526"/>
      <c r="L315" s="1526"/>
      <c r="M315" s="1526"/>
      <c r="N315" s="1526"/>
      <c r="O315" s="1585"/>
    </row>
    <row r="316" spans="1:15" s="146" customFormat="1" ht="8.4" x14ac:dyDescent="0.15">
      <c r="A316" s="1612" t="s">
        <v>964</v>
      </c>
      <c r="B316" s="1535" t="s">
        <v>1208</v>
      </c>
      <c r="C316" s="1526"/>
      <c r="D316" s="1526"/>
      <c r="E316" s="1526"/>
      <c r="F316" s="1539"/>
      <c r="G316" s="1551"/>
      <c r="H316" s="1551"/>
      <c r="I316" s="1551"/>
      <c r="J316" s="1539">
        <v>2000000</v>
      </c>
      <c r="K316" s="1526"/>
      <c r="L316" s="1526"/>
      <c r="M316" s="1526"/>
      <c r="N316" s="1526"/>
      <c r="O316" s="1585"/>
    </row>
    <row r="317" spans="1:15" s="146" customFormat="1" ht="8.4" x14ac:dyDescent="0.15">
      <c r="A317" s="1612" t="s">
        <v>952</v>
      </c>
      <c r="B317" s="1535" t="s">
        <v>1208</v>
      </c>
      <c r="C317" s="1526"/>
      <c r="D317" s="1526"/>
      <c r="E317" s="1526"/>
      <c r="F317" s="1539"/>
      <c r="G317" s="1551"/>
      <c r="H317" s="1551"/>
      <c r="I317" s="1551"/>
      <c r="J317" s="1539">
        <v>2500000</v>
      </c>
      <c r="K317" s="1526"/>
      <c r="L317" s="1526"/>
      <c r="M317" s="1526"/>
      <c r="N317" s="1526"/>
      <c r="O317" s="1585"/>
    </row>
    <row r="318" spans="1:15" s="146" customFormat="1" ht="8.4" x14ac:dyDescent="0.15">
      <c r="A318" s="1612" t="s">
        <v>983</v>
      </c>
      <c r="B318" s="1535" t="s">
        <v>1000</v>
      </c>
      <c r="C318" s="1526"/>
      <c r="D318" s="1526"/>
      <c r="E318" s="1526"/>
      <c r="F318" s="1539"/>
      <c r="G318" s="1551"/>
      <c r="H318" s="1551"/>
      <c r="I318" s="1551"/>
      <c r="J318" s="1539">
        <v>5000000</v>
      </c>
      <c r="K318" s="1526"/>
      <c r="L318" s="1526"/>
      <c r="M318" s="1526"/>
      <c r="N318" s="1526"/>
      <c r="O318" s="1585"/>
    </row>
    <row r="319" spans="1:15" s="146" customFormat="1" ht="8.4" x14ac:dyDescent="0.15">
      <c r="A319" s="1612" t="s">
        <v>1001</v>
      </c>
      <c r="B319" s="1535" t="s">
        <v>1193</v>
      </c>
      <c r="C319" s="1526"/>
      <c r="D319" s="1526"/>
      <c r="E319" s="1526"/>
      <c r="F319" s="1539"/>
      <c r="G319" s="1551"/>
      <c r="H319" s="1551"/>
      <c r="I319" s="1551"/>
      <c r="J319" s="1539">
        <v>3000000</v>
      </c>
      <c r="K319" s="1526"/>
      <c r="L319" s="1526"/>
      <c r="M319" s="1526"/>
      <c r="N319" s="1526"/>
      <c r="O319" s="1585"/>
    </row>
    <row r="320" spans="1:15" s="146" customFormat="1" ht="8.4" x14ac:dyDescent="0.15">
      <c r="A320" s="1612" t="s">
        <v>1001</v>
      </c>
      <c r="B320" s="1535" t="s">
        <v>129</v>
      </c>
      <c r="C320" s="1526"/>
      <c r="D320" s="1526"/>
      <c r="E320" s="1526"/>
      <c r="F320" s="1539"/>
      <c r="G320" s="1551"/>
      <c r="H320" s="1551"/>
      <c r="I320" s="1551"/>
      <c r="J320" s="1539">
        <v>7700</v>
      </c>
      <c r="K320" s="1526"/>
      <c r="L320" s="1526"/>
      <c r="M320" s="1526"/>
      <c r="N320" s="1526"/>
      <c r="O320" s="1585"/>
    </row>
    <row r="321" spans="1:15" s="146" customFormat="1" ht="8.4" x14ac:dyDescent="0.15">
      <c r="A321" s="1612" t="s">
        <v>1001</v>
      </c>
      <c r="B321" s="1535" t="s">
        <v>1194</v>
      </c>
      <c r="C321" s="1526"/>
      <c r="D321" s="1526"/>
      <c r="E321" s="1526"/>
      <c r="F321" s="1539"/>
      <c r="G321" s="1551"/>
      <c r="H321" s="1551"/>
      <c r="I321" s="1551"/>
      <c r="J321" s="1539">
        <v>2000000</v>
      </c>
      <c r="K321" s="1526"/>
      <c r="L321" s="1526"/>
      <c r="M321" s="1526"/>
      <c r="N321" s="1526"/>
      <c r="O321" s="1585"/>
    </row>
    <row r="322" spans="1:15" s="146" customFormat="1" ht="16.8" x14ac:dyDescent="0.15">
      <c r="A322" s="1612" t="s">
        <v>1018</v>
      </c>
      <c r="B322" s="1535" t="s">
        <v>1351</v>
      </c>
      <c r="C322" s="1526"/>
      <c r="D322" s="1526"/>
      <c r="E322" s="1526"/>
      <c r="F322" s="1539"/>
      <c r="G322" s="1551"/>
      <c r="H322" s="1551"/>
      <c r="I322" s="1551"/>
      <c r="J322" s="1539">
        <v>4000000</v>
      </c>
      <c r="K322" s="1526"/>
      <c r="L322" s="1526"/>
      <c r="M322" s="1526"/>
      <c r="N322" s="1526"/>
      <c r="O322" s="1585"/>
    </row>
    <row r="323" spans="1:15" s="146" customFormat="1" ht="8.4" x14ac:dyDescent="0.15">
      <c r="A323" s="1612" t="s">
        <v>1107</v>
      </c>
      <c r="B323" s="1535" t="s">
        <v>1193</v>
      </c>
      <c r="C323" s="1526"/>
      <c r="D323" s="1526"/>
      <c r="E323" s="1526"/>
      <c r="F323" s="1539"/>
      <c r="G323" s="1551"/>
      <c r="H323" s="1551"/>
      <c r="I323" s="1551"/>
      <c r="J323" s="1539">
        <v>5000000</v>
      </c>
      <c r="K323" s="1526"/>
      <c r="L323" s="1526"/>
      <c r="M323" s="1526"/>
      <c r="N323" s="1526"/>
      <c r="O323" s="1585"/>
    </row>
    <row r="324" spans="1:15" s="146" customFormat="1" ht="8.4" x14ac:dyDescent="0.15">
      <c r="A324" s="1612" t="s">
        <v>1107</v>
      </c>
      <c r="B324" s="1535" t="s">
        <v>129</v>
      </c>
      <c r="C324" s="1526"/>
      <c r="D324" s="1526"/>
      <c r="E324" s="1526"/>
      <c r="F324" s="1539"/>
      <c r="G324" s="1551"/>
      <c r="H324" s="1551"/>
      <c r="I324" s="1551"/>
      <c r="J324" s="1539">
        <v>10000</v>
      </c>
      <c r="K324" s="1526"/>
      <c r="L324" s="1526"/>
      <c r="M324" s="1526"/>
      <c r="N324" s="1526"/>
      <c r="O324" s="1585"/>
    </row>
    <row r="325" spans="1:15" s="146" customFormat="1" ht="8.4" x14ac:dyDescent="0.15">
      <c r="A325" s="1612" t="s">
        <v>1188</v>
      </c>
      <c r="B325" s="1535" t="s">
        <v>1189</v>
      </c>
      <c r="C325" s="1526"/>
      <c r="D325" s="1526"/>
      <c r="E325" s="1526"/>
      <c r="F325" s="1539"/>
      <c r="G325" s="1551"/>
      <c r="H325" s="1551"/>
      <c r="I325" s="1551"/>
      <c r="J325" s="1539">
        <v>500000</v>
      </c>
      <c r="K325" s="1526"/>
      <c r="L325" s="1526"/>
      <c r="M325" s="1526"/>
      <c r="N325" s="1526"/>
      <c r="O325" s="1585"/>
    </row>
    <row r="326" spans="1:15" s="146" customFormat="1" ht="8.4" x14ac:dyDescent="0.15">
      <c r="A326" s="1612" t="s">
        <v>1188</v>
      </c>
      <c r="B326" s="1535" t="s">
        <v>1225</v>
      </c>
      <c r="C326" s="1526"/>
      <c r="D326" s="1526"/>
      <c r="E326" s="1526"/>
      <c r="F326" s="1539"/>
      <c r="G326" s="1551"/>
      <c r="H326" s="1551"/>
      <c r="I326" s="1551"/>
      <c r="J326" s="1539">
        <v>500000</v>
      </c>
      <c r="K326" s="1526"/>
      <c r="L326" s="1526"/>
      <c r="M326" s="1526"/>
      <c r="N326" s="1526"/>
      <c r="O326" s="1585"/>
    </row>
    <row r="327" spans="1:15" s="146" customFormat="1" ht="8.4" x14ac:dyDescent="0.15">
      <c r="A327" s="1612" t="s">
        <v>1188</v>
      </c>
      <c r="B327" s="1535" t="s">
        <v>1193</v>
      </c>
      <c r="C327" s="1526"/>
      <c r="D327" s="1526"/>
      <c r="E327" s="1526"/>
      <c r="F327" s="1539"/>
      <c r="G327" s="1551"/>
      <c r="H327" s="1551"/>
      <c r="I327" s="1551"/>
      <c r="J327" s="1539">
        <v>4600000</v>
      </c>
      <c r="K327" s="1526"/>
      <c r="L327" s="1526"/>
      <c r="M327" s="1526"/>
      <c r="N327" s="1526"/>
      <c r="O327" s="1585"/>
    </row>
    <row r="328" spans="1:15" s="146" customFormat="1" ht="8.4" x14ac:dyDescent="0.15">
      <c r="A328" s="1612" t="s">
        <v>1188</v>
      </c>
      <c r="B328" s="1535" t="s">
        <v>129</v>
      </c>
      <c r="C328" s="1526"/>
      <c r="D328" s="1526"/>
      <c r="E328" s="1526"/>
      <c r="F328" s="1539"/>
      <c r="G328" s="1551"/>
      <c r="H328" s="1551"/>
      <c r="I328" s="1551"/>
      <c r="J328" s="1539">
        <v>10000</v>
      </c>
      <c r="K328" s="1526"/>
      <c r="L328" s="1526"/>
      <c r="M328" s="1526"/>
      <c r="N328" s="1526"/>
      <c r="O328" s="1585"/>
    </row>
    <row r="329" spans="1:15" s="146" customFormat="1" ht="8.4" x14ac:dyDescent="0.15">
      <c r="A329" s="1612" t="s">
        <v>1164</v>
      </c>
      <c r="B329" s="1535" t="s">
        <v>1190</v>
      </c>
      <c r="C329" s="1526"/>
      <c r="D329" s="1526"/>
      <c r="E329" s="1526"/>
      <c r="F329" s="1539"/>
      <c r="G329" s="1551"/>
      <c r="H329" s="1551"/>
      <c r="I329" s="1551"/>
      <c r="J329" s="1539">
        <v>2500000</v>
      </c>
      <c r="K329" s="1526"/>
      <c r="L329" s="1526"/>
      <c r="M329" s="1526"/>
      <c r="N329" s="1526"/>
      <c r="O329" s="1585"/>
    </row>
    <row r="330" spans="1:15" s="146" customFormat="1" ht="8.4" x14ac:dyDescent="0.15">
      <c r="A330" s="1612" t="s">
        <v>1164</v>
      </c>
      <c r="B330" s="1535" t="s">
        <v>129</v>
      </c>
      <c r="C330" s="1526"/>
      <c r="D330" s="1526"/>
      <c r="E330" s="1526"/>
      <c r="F330" s="1539"/>
      <c r="G330" s="1551"/>
      <c r="H330" s="1551"/>
      <c r="I330" s="1551"/>
      <c r="J330" s="1539">
        <v>10000</v>
      </c>
      <c r="K330" s="1526"/>
      <c r="L330" s="1526"/>
      <c r="M330" s="1526"/>
      <c r="N330" s="1526"/>
      <c r="O330" s="1585"/>
    </row>
    <row r="331" spans="1:15" s="146" customFormat="1" ht="8.4" x14ac:dyDescent="0.15">
      <c r="A331" s="1612" t="s">
        <v>1202</v>
      </c>
      <c r="B331" s="1535" t="s">
        <v>1223</v>
      </c>
      <c r="C331" s="1526"/>
      <c r="D331" s="1526"/>
      <c r="E331" s="1526"/>
      <c r="F331" s="1539"/>
      <c r="G331" s="1551"/>
      <c r="H331" s="1551"/>
      <c r="I331" s="1551"/>
      <c r="J331" s="1539">
        <v>1800000</v>
      </c>
      <c r="K331" s="1526"/>
      <c r="L331" s="1526"/>
      <c r="M331" s="1526"/>
      <c r="N331" s="1526"/>
      <c r="O331" s="1585"/>
    </row>
    <row r="332" spans="1:15" s="146" customFormat="1" ht="16.8" x14ac:dyDescent="0.15">
      <c r="A332" s="1597" t="s">
        <v>1205</v>
      </c>
      <c r="B332" s="1598" t="s">
        <v>1222</v>
      </c>
      <c r="C332" s="1526"/>
      <c r="D332" s="1526"/>
      <c r="E332" s="1526"/>
      <c r="F332" s="1603"/>
      <c r="G332" s="1600"/>
      <c r="H332" s="1600"/>
      <c r="I332" s="1600"/>
      <c r="J332" s="1603">
        <v>5000000</v>
      </c>
      <c r="K332" s="1526"/>
      <c r="L332" s="1526"/>
      <c r="M332" s="1526"/>
      <c r="N332" s="1526"/>
      <c r="O332" s="1585"/>
    </row>
    <row r="333" spans="1:15" s="146" customFormat="1" ht="8.4" x14ac:dyDescent="0.15">
      <c r="A333" s="1548" t="s">
        <v>1252</v>
      </c>
      <c r="B333" s="1535" t="s">
        <v>1223</v>
      </c>
      <c r="C333" s="1526"/>
      <c r="D333" s="1526"/>
      <c r="E333" s="1526"/>
      <c r="F333" s="1539"/>
      <c r="G333" s="1551"/>
      <c r="H333" s="1551"/>
      <c r="I333" s="1551"/>
      <c r="J333" s="1539">
        <v>1000000</v>
      </c>
      <c r="K333" s="1526"/>
      <c r="L333" s="1526"/>
      <c r="M333" s="1526"/>
      <c r="N333" s="1526"/>
      <c r="O333" s="1585"/>
    </row>
    <row r="334" spans="1:15" s="146" customFormat="1" ht="42" x14ac:dyDescent="0.15">
      <c r="A334" s="1601" t="s">
        <v>1370</v>
      </c>
      <c r="B334" s="1602" t="s">
        <v>1524</v>
      </c>
      <c r="C334" s="1591"/>
      <c r="D334" s="1591"/>
      <c r="E334" s="1591"/>
      <c r="F334" s="1605"/>
      <c r="G334" s="1590"/>
      <c r="H334" s="1590"/>
      <c r="I334" s="1590"/>
      <c r="J334" s="1605">
        <v>5087000</v>
      </c>
      <c r="K334" s="1591"/>
      <c r="L334" s="1591"/>
      <c r="M334" s="1591"/>
      <c r="N334" s="1591"/>
      <c r="O334" s="1621"/>
    </row>
    <row r="335" spans="1:15" s="146" customFormat="1" ht="42" x14ac:dyDescent="0.15">
      <c r="A335" s="1601" t="s">
        <v>1370</v>
      </c>
      <c r="B335" s="1602" t="s">
        <v>1524</v>
      </c>
      <c r="C335" s="1591"/>
      <c r="D335" s="1591"/>
      <c r="E335" s="1591"/>
      <c r="F335" s="1605"/>
      <c r="G335" s="1590"/>
      <c r="H335" s="1590"/>
      <c r="I335" s="1590"/>
      <c r="J335" s="1605">
        <v>5087000</v>
      </c>
      <c r="K335" s="1591"/>
      <c r="L335" s="1591"/>
      <c r="M335" s="1591"/>
      <c r="N335" s="1591"/>
      <c r="O335" s="1621"/>
    </row>
    <row r="336" spans="1:15" s="146" customFormat="1" ht="16.8" x14ac:dyDescent="0.15">
      <c r="A336" s="1622" t="s">
        <v>1531</v>
      </c>
      <c r="B336" s="1623" t="s">
        <v>1567</v>
      </c>
      <c r="C336" s="1591"/>
      <c r="D336" s="1591"/>
      <c r="E336" s="1591"/>
      <c r="F336" s="1605"/>
      <c r="G336" s="1590"/>
      <c r="H336" s="1590"/>
      <c r="I336" s="1590"/>
      <c r="J336" s="1605">
        <v>3044000</v>
      </c>
      <c r="K336" s="1591"/>
      <c r="L336" s="1591"/>
      <c r="M336" s="1591"/>
      <c r="N336" s="1591"/>
      <c r="O336" s="1621"/>
    </row>
    <row r="337" spans="1:15" s="146" customFormat="1" ht="8.4" x14ac:dyDescent="0.15">
      <c r="A337" s="1622" t="s">
        <v>1531</v>
      </c>
      <c r="B337" s="1623" t="s">
        <v>1568</v>
      </c>
      <c r="C337" s="1591"/>
      <c r="D337" s="1591"/>
      <c r="E337" s="1591"/>
      <c r="F337" s="1605"/>
      <c r="G337" s="1590"/>
      <c r="H337" s="1590"/>
      <c r="I337" s="1590"/>
      <c r="J337" s="1605">
        <f>10000000-J336</f>
        <v>6956000</v>
      </c>
      <c r="K337" s="1591"/>
      <c r="L337" s="1591"/>
      <c r="M337" s="1591"/>
      <c r="N337" s="1591"/>
      <c r="O337" s="1621"/>
    </row>
    <row r="338" spans="1:15" s="146" customFormat="1" ht="8.4" x14ac:dyDescent="0.15">
      <c r="A338" s="1593"/>
      <c r="B338" s="1594" t="s">
        <v>1561</v>
      </c>
      <c r="C338" s="1520"/>
      <c r="D338" s="1520"/>
      <c r="E338" s="1520"/>
      <c r="F338" s="1520"/>
      <c r="G338" s="1520"/>
      <c r="H338" s="1520"/>
      <c r="I338" s="1520"/>
      <c r="J338" s="1539"/>
      <c r="K338" s="1520"/>
      <c r="L338" s="1520"/>
      <c r="M338" s="1520"/>
      <c r="N338" s="1520"/>
      <c r="O338" s="1624"/>
    </row>
    <row r="339" spans="1:15" s="1628" customFormat="1" ht="16.8" x14ac:dyDescent="0.15">
      <c r="A339" s="1625" t="s">
        <v>527</v>
      </c>
      <c r="B339" s="1535" t="s">
        <v>1319</v>
      </c>
      <c r="C339" s="1526"/>
      <c r="D339" s="1526"/>
      <c r="E339" s="1526"/>
      <c r="F339" s="1526"/>
      <c r="G339" s="1542"/>
      <c r="H339" s="1542"/>
      <c r="I339" s="1526"/>
      <c r="J339" s="1539">
        <v>291700</v>
      </c>
      <c r="K339" s="1551"/>
      <c r="L339" s="1551"/>
      <c r="M339" s="1626"/>
      <c r="N339" s="1626"/>
      <c r="O339" s="1627"/>
    </row>
    <row r="340" spans="1:15" s="1628" customFormat="1" ht="8.4" x14ac:dyDescent="0.15">
      <c r="A340" s="1625" t="s">
        <v>527</v>
      </c>
      <c r="B340" s="1535" t="s">
        <v>1339</v>
      </c>
      <c r="C340" s="1526"/>
      <c r="D340" s="1526"/>
      <c r="E340" s="1526"/>
      <c r="F340" s="1526"/>
      <c r="G340" s="1542"/>
      <c r="H340" s="1542"/>
      <c r="I340" s="1526"/>
      <c r="J340" s="1539">
        <v>745000</v>
      </c>
      <c r="K340" s="1551"/>
      <c r="L340" s="1551"/>
      <c r="M340" s="1626"/>
      <c r="N340" s="1626"/>
      <c r="O340" s="1627"/>
    </row>
    <row r="341" spans="1:15" s="1628" customFormat="1" ht="16.8" x14ac:dyDescent="0.15">
      <c r="A341" s="1625" t="s">
        <v>237</v>
      </c>
      <c r="B341" s="1535" t="s">
        <v>1261</v>
      </c>
      <c r="C341" s="1526"/>
      <c r="D341" s="1526"/>
      <c r="E341" s="1526"/>
      <c r="F341" s="1526"/>
      <c r="G341" s="1542"/>
      <c r="H341" s="1542"/>
      <c r="I341" s="1526"/>
      <c r="J341" s="1539">
        <v>1300000</v>
      </c>
      <c r="K341" s="1551"/>
      <c r="L341" s="1551"/>
      <c r="M341" s="1626"/>
      <c r="N341" s="1626"/>
      <c r="O341" s="1627"/>
    </row>
    <row r="342" spans="1:15" s="1628" customFormat="1" ht="8.4" x14ac:dyDescent="0.15">
      <c r="A342" s="1625" t="s">
        <v>237</v>
      </c>
      <c r="B342" s="1535" t="s">
        <v>129</v>
      </c>
      <c r="C342" s="1526"/>
      <c r="D342" s="1526"/>
      <c r="E342" s="1526"/>
      <c r="F342" s="1526"/>
      <c r="G342" s="1542"/>
      <c r="H342" s="1542"/>
      <c r="I342" s="1539"/>
      <c r="J342" s="1539">
        <v>7700</v>
      </c>
      <c r="K342" s="1551"/>
      <c r="L342" s="1551"/>
      <c r="M342" s="1626"/>
      <c r="N342" s="1626"/>
      <c r="O342" s="1627"/>
    </row>
    <row r="343" spans="1:15" s="1628" customFormat="1" ht="25.2" x14ac:dyDescent="0.15">
      <c r="A343" s="1625" t="s">
        <v>239</v>
      </c>
      <c r="B343" s="1535" t="s">
        <v>421</v>
      </c>
      <c r="C343" s="1526"/>
      <c r="D343" s="1526"/>
      <c r="E343" s="1526"/>
      <c r="F343" s="1526"/>
      <c r="G343" s="1542"/>
      <c r="H343" s="1542"/>
      <c r="I343" s="1539"/>
      <c r="J343" s="1551"/>
      <c r="K343" s="1551"/>
      <c r="L343" s="1539">
        <f>15000+40000+60000+10000+15000</f>
        <v>140000</v>
      </c>
      <c r="M343" s="1629"/>
      <c r="N343" s="1629"/>
      <c r="O343" s="1627" t="s">
        <v>252</v>
      </c>
    </row>
    <row r="344" spans="1:15" s="1628" customFormat="1" ht="33.6" x14ac:dyDescent="0.15">
      <c r="A344" s="1625" t="s">
        <v>239</v>
      </c>
      <c r="B344" s="1535" t="s">
        <v>422</v>
      </c>
      <c r="C344" s="1526"/>
      <c r="D344" s="1526"/>
      <c r="E344" s="1526"/>
      <c r="F344" s="1526"/>
      <c r="G344" s="1542"/>
      <c r="H344" s="1542"/>
      <c r="I344" s="1539"/>
      <c r="J344" s="1551"/>
      <c r="K344" s="1551"/>
      <c r="L344" s="1539">
        <v>550000</v>
      </c>
      <c r="M344" s="1629"/>
      <c r="N344" s="1629"/>
      <c r="O344" s="1627"/>
    </row>
    <row r="345" spans="1:15" s="1628" customFormat="1" ht="25.2" x14ac:dyDescent="0.15">
      <c r="A345" s="1625" t="s">
        <v>239</v>
      </c>
      <c r="B345" s="1535" t="s">
        <v>423</v>
      </c>
      <c r="C345" s="1526"/>
      <c r="D345" s="1526"/>
      <c r="E345" s="1526"/>
      <c r="F345" s="1526"/>
      <c r="G345" s="1542"/>
      <c r="H345" s="1542"/>
      <c r="I345" s="1539"/>
      <c r="J345" s="1551"/>
      <c r="K345" s="1551"/>
      <c r="L345" s="1539">
        <v>790000</v>
      </c>
      <c r="M345" s="1629"/>
      <c r="N345" s="1629"/>
      <c r="O345" s="1627" t="s">
        <v>253</v>
      </c>
    </row>
    <row r="346" spans="1:15" s="1628" customFormat="1" ht="16.8" x14ac:dyDescent="0.15">
      <c r="A346" s="1625" t="s">
        <v>241</v>
      </c>
      <c r="B346" s="1535" t="s">
        <v>1314</v>
      </c>
      <c r="C346" s="1526"/>
      <c r="D346" s="1526"/>
      <c r="E346" s="1526"/>
      <c r="F346" s="1526"/>
      <c r="G346" s="1539"/>
      <c r="H346" s="1539">
        <v>110000</v>
      </c>
      <c r="I346" s="1539"/>
      <c r="J346" s="1551"/>
      <c r="K346" s="1551"/>
      <c r="L346" s="1551"/>
      <c r="M346" s="1626"/>
      <c r="N346" s="1626"/>
      <c r="O346" s="1627"/>
    </row>
    <row r="347" spans="1:15" s="146" customFormat="1" ht="8.4" x14ac:dyDescent="0.15">
      <c r="A347" s="1625" t="s">
        <v>263</v>
      </c>
      <c r="B347" s="1535" t="s">
        <v>1347</v>
      </c>
      <c r="C347" s="1526"/>
      <c r="D347" s="1526"/>
      <c r="E347" s="1526"/>
      <c r="F347" s="1526"/>
      <c r="G347" s="1526"/>
      <c r="H347" s="1526"/>
      <c r="I347" s="1539"/>
      <c r="J347" s="1539">
        <v>499000</v>
      </c>
      <c r="K347" s="1551"/>
      <c r="L347" s="1551"/>
      <c r="M347" s="1626"/>
      <c r="N347" s="1626"/>
      <c r="O347" s="1627"/>
    </row>
    <row r="348" spans="1:15" s="146" customFormat="1" ht="16.8" x14ac:dyDescent="0.15">
      <c r="A348" s="1625" t="s">
        <v>263</v>
      </c>
      <c r="B348" s="1535" t="s">
        <v>1525</v>
      </c>
      <c r="C348" s="1526"/>
      <c r="D348" s="1526"/>
      <c r="E348" s="1526"/>
      <c r="F348" s="1526"/>
      <c r="G348" s="1526"/>
      <c r="H348" s="1526"/>
      <c r="I348" s="1526"/>
      <c r="J348" s="1539">
        <v>500000</v>
      </c>
      <c r="K348" s="1551"/>
      <c r="L348" s="1551"/>
      <c r="M348" s="1626"/>
      <c r="N348" s="1626"/>
      <c r="O348" s="1627"/>
    </row>
    <row r="349" spans="1:15" s="146" customFormat="1" ht="16.8" x14ac:dyDescent="0.15">
      <c r="A349" s="1625" t="s">
        <v>266</v>
      </c>
      <c r="B349" s="1535" t="s">
        <v>1330</v>
      </c>
      <c r="C349" s="1526"/>
      <c r="D349" s="1526"/>
      <c r="E349" s="1526"/>
      <c r="F349" s="1526"/>
      <c r="G349" s="1526"/>
      <c r="H349" s="1526"/>
      <c r="I349" s="1526"/>
      <c r="J349" s="1539">
        <v>5850000</v>
      </c>
      <c r="K349" s="1551"/>
      <c r="L349" s="1551"/>
      <c r="M349" s="1626"/>
      <c r="N349" s="1626"/>
      <c r="O349" s="1627" t="s">
        <v>640</v>
      </c>
    </row>
    <row r="350" spans="1:15" s="146" customFormat="1" ht="33.6" x14ac:dyDescent="0.15">
      <c r="A350" s="1612" t="s">
        <v>260</v>
      </c>
      <c r="B350" s="1535" t="s">
        <v>1544</v>
      </c>
      <c r="C350" s="1526"/>
      <c r="D350" s="1526"/>
      <c r="E350" s="1526"/>
      <c r="F350" s="1526"/>
      <c r="G350" s="1526"/>
      <c r="H350" s="1526"/>
      <c r="I350" s="1526"/>
      <c r="J350" s="1551"/>
      <c r="K350" s="1551"/>
      <c r="L350" s="1539">
        <v>15000</v>
      </c>
      <c r="M350" s="1629"/>
      <c r="N350" s="1629"/>
      <c r="O350" s="1627" t="s">
        <v>252</v>
      </c>
    </row>
    <row r="351" spans="1:15" s="146" customFormat="1" ht="33.6" x14ac:dyDescent="0.15">
      <c r="A351" s="1612" t="s">
        <v>260</v>
      </c>
      <c r="B351" s="1535" t="s">
        <v>1542</v>
      </c>
      <c r="C351" s="1526"/>
      <c r="D351" s="1526"/>
      <c r="E351" s="1526"/>
      <c r="F351" s="1526"/>
      <c r="G351" s="1526"/>
      <c r="H351" s="1526"/>
      <c r="I351" s="1526"/>
      <c r="J351" s="1551"/>
      <c r="K351" s="1551"/>
      <c r="L351" s="1539">
        <f>120000*3*2</f>
        <v>720000</v>
      </c>
      <c r="M351" s="1629"/>
      <c r="N351" s="1629"/>
      <c r="O351" s="1627"/>
    </row>
    <row r="352" spans="1:15" s="146" customFormat="1" ht="33.6" x14ac:dyDescent="0.15">
      <c r="A352" s="1612" t="s">
        <v>260</v>
      </c>
      <c r="B352" s="1535" t="s">
        <v>1543</v>
      </c>
      <c r="C352" s="1526"/>
      <c r="D352" s="1526"/>
      <c r="E352" s="1526"/>
      <c r="F352" s="1526"/>
      <c r="G352" s="1526"/>
      <c r="H352" s="1526"/>
      <c r="I352" s="1526"/>
      <c r="J352" s="1551"/>
      <c r="K352" s="1551"/>
      <c r="L352" s="1539">
        <f>420*2000</f>
        <v>840000</v>
      </c>
      <c r="M352" s="1629"/>
      <c r="N352" s="1629"/>
      <c r="O352" s="1627"/>
    </row>
    <row r="353" spans="1:16" s="146" customFormat="1" ht="25.2" x14ac:dyDescent="0.15">
      <c r="A353" s="1612" t="s">
        <v>257</v>
      </c>
      <c r="B353" s="1535" t="s">
        <v>427</v>
      </c>
      <c r="C353" s="1526"/>
      <c r="D353" s="1526"/>
      <c r="E353" s="1526"/>
      <c r="F353" s="1526"/>
      <c r="G353" s="1526"/>
      <c r="H353" s="1526"/>
      <c r="I353" s="1526"/>
      <c r="J353" s="1551"/>
      <c r="K353" s="1551"/>
      <c r="L353" s="1539">
        <f>10000+10000+60000+60000</f>
        <v>140000</v>
      </c>
      <c r="M353" s="1629"/>
      <c r="N353" s="1629"/>
      <c r="O353" s="1627" t="s">
        <v>252</v>
      </c>
    </row>
    <row r="354" spans="1:16" s="146" customFormat="1" ht="25.2" x14ac:dyDescent="0.15">
      <c r="A354" s="1612" t="s">
        <v>257</v>
      </c>
      <c r="B354" s="1535" t="s">
        <v>420</v>
      </c>
      <c r="C354" s="1526"/>
      <c r="D354" s="1526"/>
      <c r="E354" s="1526"/>
      <c r="F354" s="1526"/>
      <c r="G354" s="1526"/>
      <c r="H354" s="1526"/>
      <c r="I354" s="1526"/>
      <c r="J354" s="1551"/>
      <c r="K354" s="1551"/>
      <c r="L354" s="1539">
        <f>320*2000</f>
        <v>640000</v>
      </c>
      <c r="M354" s="1629"/>
      <c r="N354" s="1629"/>
      <c r="O354" s="1627"/>
    </row>
    <row r="355" spans="1:16" s="146" customFormat="1" ht="16.8" x14ac:dyDescent="0.15">
      <c r="A355" s="1612" t="s">
        <v>257</v>
      </c>
      <c r="B355" s="1535" t="s">
        <v>557</v>
      </c>
      <c r="C355" s="1526"/>
      <c r="D355" s="1526"/>
      <c r="E355" s="1526"/>
      <c r="F355" s="1526"/>
      <c r="G355" s="1526"/>
      <c r="H355" s="1526"/>
      <c r="I355" s="1526"/>
      <c r="J355" s="1539">
        <v>520000</v>
      </c>
      <c r="K355" s="1551"/>
      <c r="L355" s="1551"/>
      <c r="M355" s="1626"/>
      <c r="N355" s="1626"/>
      <c r="O355" s="1627"/>
    </row>
    <row r="356" spans="1:16" s="146" customFormat="1" ht="8.4" x14ac:dyDescent="0.15">
      <c r="A356" s="1612" t="s">
        <v>266</v>
      </c>
      <c r="B356" s="1535" t="s">
        <v>408</v>
      </c>
      <c r="C356" s="1526"/>
      <c r="D356" s="1526"/>
      <c r="E356" s="1526"/>
      <c r="F356" s="1526"/>
      <c r="G356" s="1526"/>
      <c r="H356" s="1526"/>
      <c r="I356" s="1526"/>
      <c r="J356" s="1539">
        <v>600000</v>
      </c>
      <c r="K356" s="1551"/>
      <c r="L356" s="1551"/>
      <c r="M356" s="1626"/>
      <c r="N356" s="1626"/>
      <c r="O356" s="1627"/>
    </row>
    <row r="357" spans="1:16" s="146" customFormat="1" ht="8.4" x14ac:dyDescent="0.15">
      <c r="A357" s="1612" t="s">
        <v>409</v>
      </c>
      <c r="B357" s="1535" t="s">
        <v>410</v>
      </c>
      <c r="C357" s="1526"/>
      <c r="D357" s="1526"/>
      <c r="E357" s="1526"/>
      <c r="F357" s="1526"/>
      <c r="G357" s="1526"/>
      <c r="H357" s="1526"/>
      <c r="I357" s="1526"/>
      <c r="J357" s="1539">
        <v>870000</v>
      </c>
      <c r="K357" s="1551"/>
      <c r="L357" s="1551"/>
      <c r="M357" s="1626"/>
      <c r="N357" s="1626"/>
      <c r="O357" s="1627"/>
    </row>
    <row r="358" spans="1:16" s="146" customFormat="1" ht="16.8" x14ac:dyDescent="0.15">
      <c r="A358" s="1612" t="s">
        <v>266</v>
      </c>
      <c r="B358" s="1535" t="s">
        <v>1526</v>
      </c>
      <c r="C358" s="1526"/>
      <c r="D358" s="1526"/>
      <c r="E358" s="1526"/>
      <c r="F358" s="1526"/>
      <c r="G358" s="1526"/>
      <c r="H358" s="1526"/>
      <c r="I358" s="1526"/>
      <c r="J358" s="1539">
        <v>200000</v>
      </c>
      <c r="K358" s="1551"/>
      <c r="L358" s="1551"/>
      <c r="M358" s="1626"/>
      <c r="N358" s="1626"/>
      <c r="O358" s="1627"/>
    </row>
    <row r="359" spans="1:16" s="146" customFormat="1" ht="16.8" x14ac:dyDescent="0.15">
      <c r="A359" s="1612" t="s">
        <v>387</v>
      </c>
      <c r="B359" s="1535" t="s">
        <v>1539</v>
      </c>
      <c r="C359" s="1526"/>
      <c r="D359" s="1526"/>
      <c r="E359" s="1526"/>
      <c r="F359" s="1526"/>
      <c r="G359" s="1526"/>
      <c r="H359" s="1526"/>
      <c r="I359" s="1526"/>
      <c r="J359" s="1539">
        <v>1000000</v>
      </c>
      <c r="K359" s="1551"/>
      <c r="L359" s="1551"/>
      <c r="M359" s="1626"/>
      <c r="N359" s="1626"/>
      <c r="O359" s="1627" t="s">
        <v>1540</v>
      </c>
    </row>
    <row r="360" spans="1:16" s="146" customFormat="1" ht="16.8" x14ac:dyDescent="0.15">
      <c r="A360" s="1612" t="s">
        <v>387</v>
      </c>
      <c r="B360" s="1535" t="s">
        <v>410</v>
      </c>
      <c r="C360" s="1526"/>
      <c r="D360" s="1526"/>
      <c r="E360" s="1526"/>
      <c r="F360" s="1526"/>
      <c r="G360" s="1526"/>
      <c r="H360" s="1526"/>
      <c r="I360" s="1526"/>
      <c r="J360" s="1539">
        <v>1885400</v>
      </c>
      <c r="K360" s="1551"/>
      <c r="L360" s="1551"/>
      <c r="M360" s="1626"/>
      <c r="N360" s="1626"/>
      <c r="O360" s="1627" t="s">
        <v>413</v>
      </c>
    </row>
    <row r="361" spans="1:16" s="146" customFormat="1" ht="8.4" x14ac:dyDescent="0.15">
      <c r="A361" s="1612" t="s">
        <v>387</v>
      </c>
      <c r="B361" s="1535" t="s">
        <v>1533</v>
      </c>
      <c r="C361" s="1526"/>
      <c r="D361" s="1526"/>
      <c r="E361" s="1526"/>
      <c r="F361" s="1526"/>
      <c r="G361" s="1526"/>
      <c r="H361" s="1526"/>
      <c r="I361" s="1526"/>
      <c r="J361" s="1539">
        <v>60000</v>
      </c>
      <c r="K361" s="1551"/>
      <c r="L361" s="1551"/>
      <c r="M361" s="1626"/>
      <c r="N361" s="1626"/>
      <c r="O361" s="1627"/>
    </row>
    <row r="362" spans="1:16" s="146" customFormat="1" ht="16.8" x14ac:dyDescent="0.15">
      <c r="A362" s="1612" t="s">
        <v>387</v>
      </c>
      <c r="B362" s="1535" t="s">
        <v>1539</v>
      </c>
      <c r="C362" s="1526"/>
      <c r="D362" s="1526"/>
      <c r="E362" s="1526"/>
      <c r="F362" s="1526"/>
      <c r="G362" s="1526"/>
      <c r="H362" s="1526"/>
      <c r="I362" s="1526"/>
      <c r="J362" s="1539">
        <v>809000</v>
      </c>
      <c r="K362" s="1551"/>
      <c r="L362" s="1551"/>
      <c r="M362" s="1626"/>
      <c r="N362" s="1626"/>
      <c r="O362" s="1627" t="s">
        <v>1541</v>
      </c>
    </row>
    <row r="363" spans="1:16" s="146" customFormat="1" ht="25.2" x14ac:dyDescent="0.15">
      <c r="A363" s="1625" t="s">
        <v>388</v>
      </c>
      <c r="B363" s="1535" t="s">
        <v>851</v>
      </c>
      <c r="C363" s="1526"/>
      <c r="D363" s="1526"/>
      <c r="E363" s="1526"/>
      <c r="F363" s="1526"/>
      <c r="G363" s="1526"/>
      <c r="H363" s="1526"/>
      <c r="I363" s="1526"/>
      <c r="J363" s="1539">
        <v>800000</v>
      </c>
      <c r="K363" s="1614"/>
      <c r="L363" s="1551"/>
      <c r="M363" s="1626"/>
      <c r="N363" s="1626"/>
      <c r="O363" s="1627" t="s">
        <v>389</v>
      </c>
    </row>
    <row r="364" spans="1:16" s="146" customFormat="1" ht="16.8" x14ac:dyDescent="0.15">
      <c r="A364" s="1625" t="s">
        <v>942</v>
      </c>
      <c r="B364" s="1535" t="s">
        <v>1538</v>
      </c>
      <c r="C364" s="1526"/>
      <c r="D364" s="1526"/>
      <c r="E364" s="1526"/>
      <c r="F364" s="1526"/>
      <c r="G364" s="1526"/>
      <c r="H364" s="1526"/>
      <c r="I364" s="1526"/>
      <c r="J364" s="1539">
        <v>1220000</v>
      </c>
      <c r="K364" s="1614"/>
      <c r="L364" s="1551"/>
      <c r="M364" s="1626"/>
      <c r="N364" s="1626"/>
      <c r="O364" s="1627"/>
    </row>
    <row r="365" spans="1:16" s="146" customFormat="1" ht="16.8" x14ac:dyDescent="0.15">
      <c r="A365" s="1612" t="s">
        <v>434</v>
      </c>
      <c r="B365" s="1535" t="s">
        <v>568</v>
      </c>
      <c r="C365" s="1526"/>
      <c r="D365" s="1526"/>
      <c r="E365" s="1526"/>
      <c r="F365" s="1526"/>
      <c r="G365" s="1526"/>
      <c r="H365" s="1526"/>
      <c r="I365" s="1526"/>
      <c r="J365" s="1551"/>
      <c r="K365" s="1551"/>
      <c r="L365" s="1539">
        <v>130000</v>
      </c>
      <c r="M365" s="1629"/>
      <c r="N365" s="1629"/>
      <c r="O365" s="1627"/>
      <c r="P365" s="1630"/>
    </row>
    <row r="366" spans="1:16" s="146" customFormat="1" ht="16.8" x14ac:dyDescent="0.15">
      <c r="A366" s="1612" t="s">
        <v>434</v>
      </c>
      <c r="B366" s="1535" t="s">
        <v>569</v>
      </c>
      <c r="C366" s="1526"/>
      <c r="D366" s="1526"/>
      <c r="E366" s="1526"/>
      <c r="F366" s="1526"/>
      <c r="G366" s="1526"/>
      <c r="H366" s="1526"/>
      <c r="I366" s="1526"/>
      <c r="J366" s="1551"/>
      <c r="K366" s="1551"/>
      <c r="L366" s="1539">
        <v>840000</v>
      </c>
      <c r="M366" s="1629"/>
      <c r="N366" s="1629"/>
      <c r="O366" s="1627"/>
    </row>
    <row r="367" spans="1:16" s="146" customFormat="1" ht="8.4" x14ac:dyDescent="0.15">
      <c r="A367" s="1612" t="s">
        <v>434</v>
      </c>
      <c r="B367" s="1535" t="s">
        <v>558</v>
      </c>
      <c r="C367" s="1526"/>
      <c r="D367" s="1526"/>
      <c r="E367" s="1526"/>
      <c r="F367" s="1526"/>
      <c r="G367" s="1526"/>
      <c r="H367" s="1526"/>
      <c r="I367" s="1526"/>
      <c r="J367" s="1539">
        <v>73000</v>
      </c>
      <c r="K367" s="1551"/>
      <c r="L367" s="1551"/>
      <c r="M367" s="1626"/>
      <c r="N367" s="1626"/>
      <c r="O367" s="1627"/>
    </row>
    <row r="368" spans="1:16" s="146" customFormat="1" ht="16.8" x14ac:dyDescent="0.15">
      <c r="A368" s="1612" t="s">
        <v>434</v>
      </c>
      <c r="B368" s="1535" t="s">
        <v>435</v>
      </c>
      <c r="C368" s="1526"/>
      <c r="D368" s="1526"/>
      <c r="E368" s="1526"/>
      <c r="F368" s="1526"/>
      <c r="G368" s="1526"/>
      <c r="H368" s="1526"/>
      <c r="I368" s="1526"/>
      <c r="J368" s="1539">
        <f>510000+185000</f>
        <v>695000</v>
      </c>
      <c r="K368" s="1551"/>
      <c r="L368" s="1551"/>
      <c r="M368" s="1626"/>
      <c r="N368" s="1626"/>
      <c r="O368" s="1627"/>
    </row>
    <row r="369" spans="1:15" s="146" customFormat="1" ht="8.4" x14ac:dyDescent="0.15">
      <c r="A369" s="1612" t="s">
        <v>434</v>
      </c>
      <c r="B369" s="1535" t="s">
        <v>779</v>
      </c>
      <c r="C369" s="1526"/>
      <c r="D369" s="1526"/>
      <c r="E369" s="1526"/>
      <c r="F369" s="1526"/>
      <c r="G369" s="1539"/>
      <c r="H369" s="1539">
        <v>55000</v>
      </c>
      <c r="I369" s="1526"/>
      <c r="J369" s="1551"/>
      <c r="K369" s="1551"/>
      <c r="L369" s="1551"/>
      <c r="M369" s="1626"/>
      <c r="N369" s="1626"/>
      <c r="O369" s="1627"/>
    </row>
    <row r="370" spans="1:15" s="146" customFormat="1" ht="8.4" x14ac:dyDescent="0.15">
      <c r="A370" s="1612" t="s">
        <v>434</v>
      </c>
      <c r="B370" s="1535" t="s">
        <v>780</v>
      </c>
      <c r="C370" s="1526"/>
      <c r="D370" s="1526"/>
      <c r="E370" s="1526"/>
      <c r="F370" s="1526"/>
      <c r="G370" s="1539"/>
      <c r="H370" s="1539">
        <v>55000</v>
      </c>
      <c r="I370" s="1526"/>
      <c r="J370" s="1551"/>
      <c r="K370" s="1551"/>
      <c r="L370" s="1551"/>
      <c r="M370" s="1626"/>
      <c r="N370" s="1626"/>
      <c r="O370" s="1627"/>
    </row>
    <row r="371" spans="1:15" s="146" customFormat="1" ht="16.8" x14ac:dyDescent="0.15">
      <c r="A371" s="1612" t="s">
        <v>434</v>
      </c>
      <c r="B371" s="1535" t="s">
        <v>1557</v>
      </c>
      <c r="C371" s="1526"/>
      <c r="D371" s="1526"/>
      <c r="E371" s="1526"/>
      <c r="F371" s="1526"/>
      <c r="G371" s="1539"/>
      <c r="H371" s="1539">
        <v>22000</v>
      </c>
      <c r="I371" s="1526"/>
      <c r="J371" s="1551"/>
      <c r="K371" s="1551"/>
      <c r="L371" s="1551"/>
      <c r="M371" s="1626"/>
      <c r="N371" s="1626"/>
      <c r="O371" s="1627"/>
    </row>
    <row r="372" spans="1:15" s="146" customFormat="1" ht="16.8" x14ac:dyDescent="0.15">
      <c r="A372" s="1612" t="s">
        <v>419</v>
      </c>
      <c r="B372" s="1535" t="s">
        <v>850</v>
      </c>
      <c r="C372" s="1526"/>
      <c r="D372" s="1526"/>
      <c r="E372" s="1526"/>
      <c r="F372" s="1526"/>
      <c r="G372" s="1539"/>
      <c r="H372" s="1539"/>
      <c r="I372" s="1526"/>
      <c r="J372" s="1539">
        <v>2750000</v>
      </c>
      <c r="K372" s="1551"/>
      <c r="L372" s="1551"/>
      <c r="M372" s="1626"/>
      <c r="N372" s="1626"/>
      <c r="O372" s="1627"/>
    </row>
    <row r="373" spans="1:15" s="146" customFormat="1" ht="16.8" x14ac:dyDescent="0.15">
      <c r="A373" s="1612" t="s">
        <v>432</v>
      </c>
      <c r="B373" s="1535" t="s">
        <v>436</v>
      </c>
      <c r="C373" s="1526"/>
      <c r="D373" s="1526"/>
      <c r="E373" s="1526"/>
      <c r="F373" s="1526"/>
      <c r="G373" s="1526"/>
      <c r="H373" s="1526"/>
      <c r="I373" s="1526"/>
      <c r="J373" s="1539">
        <v>2400000</v>
      </c>
      <c r="K373" s="1551"/>
      <c r="L373" s="1551"/>
      <c r="M373" s="1626"/>
      <c r="N373" s="1626"/>
      <c r="O373" s="1627"/>
    </row>
    <row r="374" spans="1:15" s="146" customFormat="1" ht="16.8" x14ac:dyDescent="0.15">
      <c r="A374" s="1612" t="s">
        <v>432</v>
      </c>
      <c r="B374" s="1535" t="s">
        <v>437</v>
      </c>
      <c r="C374" s="1526"/>
      <c r="D374" s="1526"/>
      <c r="E374" s="1526"/>
      <c r="F374" s="1526"/>
      <c r="G374" s="1539"/>
      <c r="H374" s="1539"/>
      <c r="I374" s="1526"/>
      <c r="J374" s="1539">
        <v>1200000</v>
      </c>
      <c r="K374" s="1551"/>
      <c r="L374" s="1551"/>
      <c r="M374" s="1626"/>
      <c r="N374" s="1626"/>
      <c r="O374" s="1627"/>
    </row>
    <row r="375" spans="1:15" s="146" customFormat="1" ht="16.8" x14ac:dyDescent="0.15">
      <c r="A375" s="1612" t="s">
        <v>432</v>
      </c>
      <c r="B375" s="1535" t="s">
        <v>438</v>
      </c>
      <c r="C375" s="1526"/>
      <c r="D375" s="1526"/>
      <c r="E375" s="1526"/>
      <c r="F375" s="1526"/>
      <c r="G375" s="1539"/>
      <c r="H375" s="1539"/>
      <c r="I375" s="1526"/>
      <c r="J375" s="1539">
        <v>1000000</v>
      </c>
      <c r="K375" s="1551"/>
      <c r="L375" s="1551"/>
      <c r="M375" s="1626"/>
      <c r="N375" s="1626"/>
      <c r="O375" s="1627"/>
    </row>
    <row r="376" spans="1:15" s="146" customFormat="1" ht="42" x14ac:dyDescent="0.15">
      <c r="A376" s="1612" t="s">
        <v>432</v>
      </c>
      <c r="B376" s="1535" t="s">
        <v>439</v>
      </c>
      <c r="C376" s="1526"/>
      <c r="D376" s="1526"/>
      <c r="E376" s="1526"/>
      <c r="F376" s="1526"/>
      <c r="G376" s="1526"/>
      <c r="H376" s="1526"/>
      <c r="I376" s="1526"/>
      <c r="J376" s="1539">
        <v>200000</v>
      </c>
      <c r="K376" s="1551"/>
      <c r="L376" s="1551"/>
      <c r="M376" s="1626"/>
      <c r="N376" s="1626"/>
      <c r="O376" s="1627" t="s">
        <v>1471</v>
      </c>
    </row>
    <row r="377" spans="1:15" s="146" customFormat="1" ht="16.8" x14ac:dyDescent="0.15">
      <c r="A377" s="1612" t="s">
        <v>432</v>
      </c>
      <c r="B377" s="1535" t="s">
        <v>433</v>
      </c>
      <c r="C377" s="1526"/>
      <c r="D377" s="1526"/>
      <c r="E377" s="1526"/>
      <c r="F377" s="1526"/>
      <c r="G377" s="1526"/>
      <c r="H377" s="1526"/>
      <c r="I377" s="1526"/>
      <c r="J377" s="1539">
        <v>1300000</v>
      </c>
      <c r="K377" s="1551"/>
      <c r="L377" s="1551"/>
      <c r="M377" s="1626"/>
      <c r="N377" s="1626"/>
      <c r="O377" s="1627"/>
    </row>
    <row r="378" spans="1:15" s="146" customFormat="1" ht="16.8" x14ac:dyDescent="0.15">
      <c r="A378" s="1612" t="s">
        <v>432</v>
      </c>
      <c r="B378" s="1535" t="s">
        <v>1235</v>
      </c>
      <c r="C378" s="1526"/>
      <c r="D378" s="1526"/>
      <c r="E378" s="1526"/>
      <c r="F378" s="1526"/>
      <c r="G378" s="1539"/>
      <c r="H378" s="1539"/>
      <c r="I378" s="1526"/>
      <c r="J378" s="1539">
        <v>1000000</v>
      </c>
      <c r="K378" s="1551"/>
      <c r="L378" s="1551"/>
      <c r="M378" s="1626"/>
      <c r="N378" s="1626"/>
      <c r="O378" s="1627"/>
    </row>
    <row r="379" spans="1:15" s="146" customFormat="1" ht="16.8" x14ac:dyDescent="0.15">
      <c r="A379" s="1612" t="s">
        <v>432</v>
      </c>
      <c r="B379" s="1535" t="s">
        <v>1236</v>
      </c>
      <c r="C379" s="1526"/>
      <c r="D379" s="1526"/>
      <c r="E379" s="1526"/>
      <c r="F379" s="1526"/>
      <c r="G379" s="1539"/>
      <c r="H379" s="1539"/>
      <c r="I379" s="1526"/>
      <c r="J379" s="1539">
        <v>110000</v>
      </c>
      <c r="K379" s="1551"/>
      <c r="L379" s="1551"/>
      <c r="M379" s="1626"/>
      <c r="N379" s="1626"/>
      <c r="O379" s="1627"/>
    </row>
    <row r="380" spans="1:15" s="146" customFormat="1" ht="8.4" x14ac:dyDescent="0.15">
      <c r="A380" s="1612" t="s">
        <v>432</v>
      </c>
      <c r="B380" s="1535" t="s">
        <v>458</v>
      </c>
      <c r="C380" s="1526"/>
      <c r="D380" s="1526"/>
      <c r="E380" s="1526"/>
      <c r="F380" s="1526"/>
      <c r="G380" s="1526"/>
      <c r="H380" s="1526"/>
      <c r="I380" s="1526"/>
      <c r="J380" s="1539">
        <v>1070000</v>
      </c>
      <c r="K380" s="1551"/>
      <c r="L380" s="1551"/>
      <c r="M380" s="1626"/>
      <c r="N380" s="1626"/>
      <c r="O380" s="1627"/>
    </row>
    <row r="381" spans="1:15" s="146" customFormat="1" ht="16.8" x14ac:dyDescent="0.15">
      <c r="A381" s="1612" t="s">
        <v>432</v>
      </c>
      <c r="B381" s="1535" t="s">
        <v>1863</v>
      </c>
      <c r="C381" s="1526"/>
      <c r="D381" s="1526"/>
      <c r="E381" s="1526"/>
      <c r="F381" s="1526"/>
      <c r="G381" s="1526"/>
      <c r="H381" s="1526"/>
      <c r="I381" s="1526"/>
      <c r="J381" s="1539">
        <v>10000000</v>
      </c>
      <c r="K381" s="1551"/>
      <c r="L381" s="1551"/>
      <c r="M381" s="1626"/>
      <c r="N381" s="1626"/>
      <c r="O381" s="1627"/>
    </row>
    <row r="382" spans="1:15" s="146" customFormat="1" ht="8.4" x14ac:dyDescent="0.15">
      <c r="A382" s="1612" t="s">
        <v>495</v>
      </c>
      <c r="B382" s="1535" t="s">
        <v>1864</v>
      </c>
      <c r="C382" s="1526"/>
      <c r="D382" s="1526"/>
      <c r="E382" s="1526"/>
      <c r="F382" s="1526"/>
      <c r="G382" s="1539">
        <v>300000</v>
      </c>
      <c r="H382" s="1526"/>
      <c r="I382" s="1526"/>
      <c r="J382" s="1539"/>
      <c r="K382" s="1551"/>
      <c r="L382" s="1551"/>
      <c r="M382" s="1626"/>
      <c r="N382" s="1626"/>
      <c r="O382" s="1627"/>
    </row>
    <row r="383" spans="1:15" s="146" customFormat="1" ht="16.8" x14ac:dyDescent="0.15">
      <c r="A383" s="1612" t="s">
        <v>500</v>
      </c>
      <c r="B383" s="1535" t="s">
        <v>1535</v>
      </c>
      <c r="C383" s="1526"/>
      <c r="D383" s="1526"/>
      <c r="E383" s="1526"/>
      <c r="F383" s="1526"/>
      <c r="G383" s="1526"/>
      <c r="H383" s="1526"/>
      <c r="I383" s="1526"/>
      <c r="J383" s="1539">
        <v>700000</v>
      </c>
      <c r="K383" s="1551"/>
      <c r="L383" s="1551"/>
      <c r="M383" s="1626"/>
      <c r="N383" s="1626"/>
      <c r="O383" s="1627"/>
    </row>
    <row r="384" spans="1:15" s="146" customFormat="1" ht="16.8" x14ac:dyDescent="0.15">
      <c r="A384" s="1612" t="s">
        <v>500</v>
      </c>
      <c r="B384" s="1535" t="s">
        <v>1534</v>
      </c>
      <c r="C384" s="1526"/>
      <c r="D384" s="1526"/>
      <c r="E384" s="1526"/>
      <c r="F384" s="1526"/>
      <c r="G384" s="1526"/>
      <c r="H384" s="1526"/>
      <c r="I384" s="1526"/>
      <c r="J384" s="1539">
        <v>2800000</v>
      </c>
      <c r="K384" s="1551"/>
      <c r="L384" s="1551"/>
      <c r="M384" s="1626"/>
      <c r="N384" s="1626"/>
      <c r="O384" s="1627"/>
    </row>
    <row r="385" spans="1:15" s="146" customFormat="1" ht="16.8" x14ac:dyDescent="0.15">
      <c r="A385" s="1612" t="s">
        <v>500</v>
      </c>
      <c r="B385" s="1535" t="s">
        <v>1536</v>
      </c>
      <c r="C385" s="1526"/>
      <c r="D385" s="1526"/>
      <c r="E385" s="1526"/>
      <c r="F385" s="1526"/>
      <c r="G385" s="1526"/>
      <c r="H385" s="1526"/>
      <c r="I385" s="1526"/>
      <c r="J385" s="1539">
        <v>2000000</v>
      </c>
      <c r="K385" s="1551"/>
      <c r="L385" s="1551"/>
      <c r="M385" s="1626"/>
      <c r="N385" s="1626"/>
      <c r="O385" s="1627"/>
    </row>
    <row r="386" spans="1:15" s="146" customFormat="1" ht="16.8" x14ac:dyDescent="0.15">
      <c r="A386" s="1612" t="s">
        <v>500</v>
      </c>
      <c r="B386" s="1535" t="s">
        <v>513</v>
      </c>
      <c r="C386" s="1526"/>
      <c r="D386" s="1526"/>
      <c r="E386" s="1526"/>
      <c r="F386" s="1526"/>
      <c r="G386" s="1526"/>
      <c r="H386" s="1526"/>
      <c r="I386" s="1526"/>
      <c r="J386" s="1539">
        <v>1000000</v>
      </c>
      <c r="K386" s="1551"/>
      <c r="L386" s="1551"/>
      <c r="M386" s="1626"/>
      <c r="N386" s="1626"/>
      <c r="O386" s="1627"/>
    </row>
    <row r="387" spans="1:15" s="146" customFormat="1" ht="16.8" x14ac:dyDescent="0.15">
      <c r="A387" s="1612" t="s">
        <v>500</v>
      </c>
      <c r="B387" s="1535" t="s">
        <v>514</v>
      </c>
      <c r="C387" s="1526"/>
      <c r="D387" s="1526"/>
      <c r="E387" s="1526"/>
      <c r="F387" s="1526"/>
      <c r="G387" s="1526"/>
      <c r="H387" s="1526"/>
      <c r="I387" s="1526"/>
      <c r="J387" s="1539">
        <v>1000000</v>
      </c>
      <c r="K387" s="1551"/>
      <c r="L387" s="1551"/>
      <c r="M387" s="1626"/>
      <c r="N387" s="1626"/>
      <c r="O387" s="1627"/>
    </row>
    <row r="388" spans="1:15" s="146" customFormat="1" ht="16.8" x14ac:dyDescent="0.15">
      <c r="A388" s="1612" t="s">
        <v>500</v>
      </c>
      <c r="B388" s="1535" t="s">
        <v>1234</v>
      </c>
      <c r="C388" s="1526"/>
      <c r="D388" s="1526"/>
      <c r="E388" s="1526"/>
      <c r="F388" s="1526"/>
      <c r="G388" s="1526"/>
      <c r="H388" s="1526"/>
      <c r="I388" s="1526"/>
      <c r="J388" s="1539">
        <v>120000</v>
      </c>
      <c r="K388" s="1551"/>
      <c r="L388" s="1551"/>
      <c r="M388" s="1626"/>
      <c r="N388" s="1626"/>
      <c r="O388" s="1627"/>
    </row>
    <row r="389" spans="1:15" s="146" customFormat="1" ht="16.8" x14ac:dyDescent="0.15">
      <c r="A389" s="1612" t="s">
        <v>500</v>
      </c>
      <c r="B389" s="1535" t="s">
        <v>1233</v>
      </c>
      <c r="C389" s="1526"/>
      <c r="D389" s="1526"/>
      <c r="E389" s="1526"/>
      <c r="F389" s="1526"/>
      <c r="G389" s="1526"/>
      <c r="H389" s="1526"/>
      <c r="I389" s="1526"/>
      <c r="J389" s="1539">
        <v>70000</v>
      </c>
      <c r="K389" s="1551"/>
      <c r="L389" s="1551"/>
      <c r="M389" s="1626"/>
      <c r="N389" s="1626"/>
      <c r="O389" s="1627"/>
    </row>
    <row r="390" spans="1:15" s="146" customFormat="1" ht="16.8" x14ac:dyDescent="0.15">
      <c r="A390" s="1612" t="s">
        <v>500</v>
      </c>
      <c r="B390" s="1535" t="s">
        <v>560</v>
      </c>
      <c r="C390" s="1526"/>
      <c r="D390" s="1526"/>
      <c r="E390" s="1526"/>
      <c r="F390" s="1526"/>
      <c r="G390" s="1526"/>
      <c r="H390" s="1526"/>
      <c r="I390" s="1526"/>
      <c r="J390" s="1551"/>
      <c r="K390" s="1551"/>
      <c r="L390" s="1539">
        <v>190000</v>
      </c>
      <c r="M390" s="1629"/>
      <c r="N390" s="1629"/>
      <c r="O390" s="1627"/>
    </row>
    <row r="391" spans="1:15" s="146" customFormat="1" ht="16.8" x14ac:dyDescent="0.15">
      <c r="A391" s="1612" t="s">
        <v>500</v>
      </c>
      <c r="B391" s="1535" t="s">
        <v>561</v>
      </c>
      <c r="C391" s="1526"/>
      <c r="D391" s="1526"/>
      <c r="E391" s="1526"/>
      <c r="F391" s="1526"/>
      <c r="G391" s="1526"/>
      <c r="H391" s="1526"/>
      <c r="I391" s="1526"/>
      <c r="J391" s="1551"/>
      <c r="K391" s="1551"/>
      <c r="L391" s="1539">
        <v>50000</v>
      </c>
      <c r="M391" s="1629"/>
      <c r="N391" s="1629"/>
      <c r="O391" s="1627"/>
    </row>
    <row r="392" spans="1:15" s="146" customFormat="1" ht="16.8" x14ac:dyDescent="0.15">
      <c r="A392" s="1612" t="s">
        <v>500</v>
      </c>
      <c r="B392" s="1535" t="s">
        <v>562</v>
      </c>
      <c r="C392" s="1526"/>
      <c r="D392" s="1526"/>
      <c r="E392" s="1526"/>
      <c r="F392" s="1526"/>
      <c r="G392" s="1526"/>
      <c r="H392" s="1526"/>
      <c r="I392" s="1526"/>
      <c r="J392" s="1551"/>
      <c r="K392" s="1551"/>
      <c r="L392" s="1539">
        <v>140000</v>
      </c>
      <c r="M392" s="1629"/>
      <c r="N392" s="1629"/>
      <c r="O392" s="1627"/>
    </row>
    <row r="393" spans="1:15" s="146" customFormat="1" ht="16.8" x14ac:dyDescent="0.15">
      <c r="A393" s="1612" t="s">
        <v>500</v>
      </c>
      <c r="B393" s="1535" t="s">
        <v>563</v>
      </c>
      <c r="C393" s="1526"/>
      <c r="D393" s="1526"/>
      <c r="E393" s="1526"/>
      <c r="F393" s="1526"/>
      <c r="G393" s="1526"/>
      <c r="H393" s="1526"/>
      <c r="I393" s="1526"/>
      <c r="J393" s="1551"/>
      <c r="K393" s="1551"/>
      <c r="L393" s="1539">
        <v>860000</v>
      </c>
      <c r="M393" s="1629"/>
      <c r="N393" s="1629"/>
      <c r="O393" s="1627" t="s">
        <v>1545</v>
      </c>
    </row>
    <row r="394" spans="1:15" s="146" customFormat="1" ht="25.2" x14ac:dyDescent="0.15">
      <c r="A394" s="1612" t="s">
        <v>500</v>
      </c>
      <c r="B394" s="1535" t="s">
        <v>564</v>
      </c>
      <c r="C394" s="1526"/>
      <c r="D394" s="1526"/>
      <c r="E394" s="1526"/>
      <c r="F394" s="1526"/>
      <c r="G394" s="1526"/>
      <c r="H394" s="1526"/>
      <c r="I394" s="1526"/>
      <c r="J394" s="1539">
        <v>60000</v>
      </c>
      <c r="K394" s="1551"/>
      <c r="L394" s="1551"/>
      <c r="M394" s="1626"/>
      <c r="N394" s="1626"/>
      <c r="O394" s="1627"/>
    </row>
    <row r="395" spans="1:15" s="146" customFormat="1" ht="16.8" x14ac:dyDescent="0.15">
      <c r="A395" s="1612" t="s">
        <v>500</v>
      </c>
      <c r="B395" s="1535" t="s">
        <v>1238</v>
      </c>
      <c r="C395" s="1526"/>
      <c r="D395" s="1526"/>
      <c r="E395" s="1526"/>
      <c r="F395" s="1526"/>
      <c r="G395" s="1526"/>
      <c r="H395" s="1526"/>
      <c r="I395" s="1526"/>
      <c r="J395" s="1539">
        <v>200000</v>
      </c>
      <c r="K395" s="1551"/>
      <c r="L395" s="1551"/>
      <c r="M395" s="1626"/>
      <c r="N395" s="1626"/>
      <c r="O395" s="1627"/>
    </row>
    <row r="396" spans="1:15" s="146" customFormat="1" ht="25.2" x14ac:dyDescent="0.15">
      <c r="A396" s="1612" t="s">
        <v>500</v>
      </c>
      <c r="B396" s="1535" t="s">
        <v>574</v>
      </c>
      <c r="C396" s="1526"/>
      <c r="D396" s="1526"/>
      <c r="E396" s="1526"/>
      <c r="F396" s="1526"/>
      <c r="G396" s="1526"/>
      <c r="H396" s="1526"/>
      <c r="I396" s="1526"/>
      <c r="J396" s="1539">
        <v>905000</v>
      </c>
      <c r="K396" s="1551"/>
      <c r="L396" s="1551"/>
      <c r="M396" s="1626"/>
      <c r="N396" s="1626"/>
      <c r="O396" s="1627"/>
    </row>
    <row r="397" spans="1:15" s="146" customFormat="1" ht="16.8" x14ac:dyDescent="0.15">
      <c r="A397" s="1612" t="s">
        <v>500</v>
      </c>
      <c r="B397" s="1535" t="s">
        <v>575</v>
      </c>
      <c r="C397" s="1526"/>
      <c r="D397" s="1526"/>
      <c r="E397" s="1526"/>
      <c r="F397" s="1526"/>
      <c r="G397" s="1526"/>
      <c r="H397" s="1526"/>
      <c r="I397" s="1526"/>
      <c r="J397" s="1539">
        <v>1000000</v>
      </c>
      <c r="K397" s="1551"/>
      <c r="L397" s="1551"/>
      <c r="M397" s="1626"/>
      <c r="N397" s="1626"/>
      <c r="O397" s="1627"/>
    </row>
    <row r="398" spans="1:15" s="146" customFormat="1" ht="25.2" x14ac:dyDescent="0.15">
      <c r="A398" s="1612" t="s">
        <v>500</v>
      </c>
      <c r="B398" s="1535" t="s">
        <v>1239</v>
      </c>
      <c r="C398" s="1526"/>
      <c r="D398" s="1526"/>
      <c r="E398" s="1526"/>
      <c r="F398" s="1526"/>
      <c r="G398" s="1526"/>
      <c r="H398" s="1526"/>
      <c r="I398" s="1526"/>
      <c r="J398" s="1539">
        <v>1818000</v>
      </c>
      <c r="K398" s="1551"/>
      <c r="L398" s="1551"/>
      <c r="M398" s="1626"/>
      <c r="N398" s="1626"/>
      <c r="O398" s="1627"/>
    </row>
    <row r="399" spans="1:15" s="146" customFormat="1" ht="25.2" x14ac:dyDescent="0.15">
      <c r="A399" s="1612" t="s">
        <v>500</v>
      </c>
      <c r="B399" s="1535" t="s">
        <v>1240</v>
      </c>
      <c r="C399" s="1526"/>
      <c r="D399" s="1526"/>
      <c r="E399" s="1526"/>
      <c r="F399" s="1526"/>
      <c r="G399" s="1526"/>
      <c r="H399" s="1526"/>
      <c r="I399" s="1526"/>
      <c r="J399" s="1539">
        <v>11400000</v>
      </c>
      <c r="K399" s="1551"/>
      <c r="L399" s="1551"/>
      <c r="M399" s="1626"/>
      <c r="N399" s="1626"/>
      <c r="O399" s="1627"/>
    </row>
    <row r="400" spans="1:15" s="146" customFormat="1" ht="16.8" x14ac:dyDescent="0.15">
      <c r="A400" s="1612" t="s">
        <v>570</v>
      </c>
      <c r="B400" s="1535" t="s">
        <v>571</v>
      </c>
      <c r="C400" s="1526"/>
      <c r="D400" s="1526"/>
      <c r="E400" s="1526"/>
      <c r="F400" s="1526"/>
      <c r="G400" s="1526"/>
      <c r="H400" s="1526"/>
      <c r="I400" s="1526"/>
      <c r="J400" s="1539">
        <v>380000</v>
      </c>
      <c r="K400" s="1551"/>
      <c r="L400" s="1551"/>
      <c r="M400" s="1626"/>
      <c r="N400" s="1626"/>
      <c r="O400" s="1627"/>
    </row>
    <row r="401" spans="1:15" s="146" customFormat="1" ht="16.8" x14ac:dyDescent="0.15">
      <c r="A401" s="1612" t="s">
        <v>570</v>
      </c>
      <c r="B401" s="1535" t="s">
        <v>572</v>
      </c>
      <c r="C401" s="1526"/>
      <c r="D401" s="1526"/>
      <c r="E401" s="1526"/>
      <c r="F401" s="1526"/>
      <c r="G401" s="1526"/>
      <c r="H401" s="1526"/>
      <c r="I401" s="1526"/>
      <c r="J401" s="1539">
        <v>500000</v>
      </c>
      <c r="K401" s="1551"/>
      <c r="L401" s="1551"/>
      <c r="M401" s="1626"/>
      <c r="N401" s="1626"/>
      <c r="O401" s="1627"/>
    </row>
    <row r="402" spans="1:15" s="146" customFormat="1" ht="16.8" x14ac:dyDescent="0.15">
      <c r="A402" s="1612" t="s">
        <v>570</v>
      </c>
      <c r="B402" s="1535" t="s">
        <v>573</v>
      </c>
      <c r="C402" s="1526"/>
      <c r="D402" s="1526"/>
      <c r="E402" s="1526"/>
      <c r="F402" s="1526"/>
      <c r="G402" s="1526"/>
      <c r="H402" s="1526"/>
      <c r="I402" s="1526"/>
      <c r="J402" s="1539">
        <v>1000000</v>
      </c>
      <c r="K402" s="1551"/>
      <c r="L402" s="1551"/>
      <c r="M402" s="1626"/>
      <c r="N402" s="1626"/>
      <c r="O402" s="1627"/>
    </row>
    <row r="403" spans="1:15" s="146" customFormat="1" ht="25.2" x14ac:dyDescent="0.15">
      <c r="A403" s="1612" t="s">
        <v>565</v>
      </c>
      <c r="B403" s="1535" t="s">
        <v>566</v>
      </c>
      <c r="C403" s="1526"/>
      <c r="D403" s="1526"/>
      <c r="E403" s="1526"/>
      <c r="F403" s="1526"/>
      <c r="G403" s="1526"/>
      <c r="H403" s="1526"/>
      <c r="I403" s="1526"/>
      <c r="J403" s="1539">
        <v>1000000</v>
      </c>
      <c r="K403" s="1551"/>
      <c r="L403" s="1551"/>
      <c r="M403" s="1626"/>
      <c r="N403" s="1626"/>
      <c r="O403" s="1627"/>
    </row>
    <row r="404" spans="1:15" s="146" customFormat="1" ht="16.8" x14ac:dyDescent="0.15">
      <c r="A404" s="1612" t="s">
        <v>565</v>
      </c>
      <c r="B404" s="1535" t="s">
        <v>567</v>
      </c>
      <c r="C404" s="1526"/>
      <c r="D404" s="1526"/>
      <c r="E404" s="1526"/>
      <c r="F404" s="1526"/>
      <c r="G404" s="1526"/>
      <c r="H404" s="1526"/>
      <c r="I404" s="1526"/>
      <c r="J404" s="1539">
        <v>500000</v>
      </c>
      <c r="K404" s="1551"/>
      <c r="L404" s="1551"/>
      <c r="M404" s="1626"/>
      <c r="N404" s="1626"/>
      <c r="O404" s="1627"/>
    </row>
    <row r="405" spans="1:15" s="146" customFormat="1" ht="33.6" x14ac:dyDescent="0.15">
      <c r="A405" s="1612" t="s">
        <v>565</v>
      </c>
      <c r="B405" s="1535" t="s">
        <v>1214</v>
      </c>
      <c r="C405" s="1526"/>
      <c r="D405" s="1526"/>
      <c r="E405" s="1526"/>
      <c r="F405" s="1526"/>
      <c r="G405" s="1526"/>
      <c r="H405" s="1526"/>
      <c r="I405" s="1526"/>
      <c r="J405" s="1539">
        <v>3200000</v>
      </c>
      <c r="K405" s="1551"/>
      <c r="L405" s="1551"/>
      <c r="M405" s="1626"/>
      <c r="N405" s="1626"/>
      <c r="O405" s="1627" t="s">
        <v>1215</v>
      </c>
    </row>
    <row r="406" spans="1:15" s="146" customFormat="1" ht="25.2" x14ac:dyDescent="0.15">
      <c r="A406" s="1612" t="s">
        <v>576</v>
      </c>
      <c r="B406" s="1535" t="s">
        <v>606</v>
      </c>
      <c r="C406" s="1526"/>
      <c r="D406" s="1526"/>
      <c r="E406" s="1526"/>
      <c r="F406" s="1526"/>
      <c r="G406" s="1526"/>
      <c r="H406" s="1526"/>
      <c r="I406" s="1526"/>
      <c r="J406" s="1551"/>
      <c r="K406" s="1551"/>
      <c r="L406" s="1539">
        <v>135000</v>
      </c>
      <c r="M406" s="1629"/>
      <c r="N406" s="1629"/>
      <c r="O406" s="1627"/>
    </row>
    <row r="407" spans="1:15" s="146" customFormat="1" ht="25.2" x14ac:dyDescent="0.15">
      <c r="A407" s="1612" t="s">
        <v>576</v>
      </c>
      <c r="B407" s="1535" t="s">
        <v>607</v>
      </c>
      <c r="C407" s="1526"/>
      <c r="D407" s="1526"/>
      <c r="E407" s="1526"/>
      <c r="F407" s="1526"/>
      <c r="G407" s="1526"/>
      <c r="H407" s="1526"/>
      <c r="I407" s="1526"/>
      <c r="J407" s="1551"/>
      <c r="K407" s="1551"/>
      <c r="L407" s="1539">
        <v>145000</v>
      </c>
      <c r="M407" s="1629"/>
      <c r="N407" s="1629"/>
      <c r="O407" s="1627"/>
    </row>
    <row r="408" spans="1:15" s="146" customFormat="1" ht="16.8" x14ac:dyDescent="0.15">
      <c r="A408" s="1612" t="s">
        <v>576</v>
      </c>
      <c r="B408" s="1535" t="s">
        <v>608</v>
      </c>
      <c r="C408" s="1526"/>
      <c r="D408" s="1526"/>
      <c r="E408" s="1526"/>
      <c r="F408" s="1526"/>
      <c r="G408" s="1526"/>
      <c r="H408" s="1526"/>
      <c r="I408" s="1526"/>
      <c r="J408" s="1551"/>
      <c r="K408" s="1551"/>
      <c r="L408" s="1539">
        <v>580000</v>
      </c>
      <c r="M408" s="1629"/>
      <c r="N408" s="1629"/>
      <c r="O408" s="1627"/>
    </row>
    <row r="409" spans="1:15" s="146" customFormat="1" ht="16.8" x14ac:dyDescent="0.15">
      <c r="A409" s="1612" t="s">
        <v>576</v>
      </c>
      <c r="B409" s="1535" t="s">
        <v>1338</v>
      </c>
      <c r="C409" s="1526"/>
      <c r="D409" s="1526"/>
      <c r="E409" s="1526"/>
      <c r="F409" s="1526"/>
      <c r="G409" s="1526"/>
      <c r="H409" s="1526"/>
      <c r="I409" s="1526"/>
      <c r="J409" s="1539">
        <v>900000</v>
      </c>
      <c r="K409" s="1551"/>
      <c r="L409" s="1551"/>
      <c r="M409" s="1626"/>
      <c r="N409" s="1626"/>
      <c r="O409" s="1627"/>
    </row>
    <row r="410" spans="1:15" s="146" customFormat="1" ht="8.4" x14ac:dyDescent="0.15">
      <c r="A410" s="1612" t="s">
        <v>576</v>
      </c>
      <c r="B410" s="1535" t="s">
        <v>129</v>
      </c>
      <c r="C410" s="1526"/>
      <c r="D410" s="1526"/>
      <c r="E410" s="1526"/>
      <c r="F410" s="1526"/>
      <c r="G410" s="1539"/>
      <c r="H410" s="1539"/>
      <c r="I410" s="1526"/>
      <c r="J410" s="1539">
        <v>2200</v>
      </c>
      <c r="K410" s="1551"/>
      <c r="L410" s="1551"/>
      <c r="M410" s="1626"/>
      <c r="N410" s="1626"/>
      <c r="O410" s="1627"/>
    </row>
    <row r="411" spans="1:15" s="146" customFormat="1" ht="25.2" x14ac:dyDescent="0.15">
      <c r="A411" s="1612" t="s">
        <v>553</v>
      </c>
      <c r="B411" s="1535" t="s">
        <v>604</v>
      </c>
      <c r="C411" s="1526"/>
      <c r="D411" s="1526"/>
      <c r="E411" s="1526"/>
      <c r="F411" s="1526"/>
      <c r="G411" s="1526"/>
      <c r="H411" s="1526"/>
      <c r="I411" s="1526"/>
      <c r="J411" s="1551"/>
      <c r="K411" s="1551"/>
      <c r="L411" s="1539">
        <v>100000</v>
      </c>
      <c r="M411" s="1629"/>
      <c r="N411" s="1629"/>
      <c r="O411" s="1631"/>
    </row>
    <row r="412" spans="1:15" s="146" customFormat="1" ht="16.8" x14ac:dyDescent="0.15">
      <c r="A412" s="1612" t="s">
        <v>553</v>
      </c>
      <c r="B412" s="1535" t="s">
        <v>605</v>
      </c>
      <c r="C412" s="1526"/>
      <c r="D412" s="1526"/>
      <c r="E412" s="1526"/>
      <c r="F412" s="1526"/>
      <c r="G412" s="1526"/>
      <c r="H412" s="1526"/>
      <c r="I412" s="1526"/>
      <c r="J412" s="1551"/>
      <c r="K412" s="1551"/>
      <c r="L412" s="1539">
        <v>640000</v>
      </c>
      <c r="M412" s="1629"/>
      <c r="N412" s="1629"/>
      <c r="O412" s="1631"/>
    </row>
    <row r="413" spans="1:15" s="146" customFormat="1" ht="42" x14ac:dyDescent="0.15">
      <c r="A413" s="1612" t="s">
        <v>553</v>
      </c>
      <c r="B413" s="1535" t="s">
        <v>1523</v>
      </c>
      <c r="C413" s="1526"/>
      <c r="D413" s="1526"/>
      <c r="E413" s="1526"/>
      <c r="F413" s="1526"/>
      <c r="G413" s="1539"/>
      <c r="H413" s="1539"/>
      <c r="I413" s="1526"/>
      <c r="J413" s="1539">
        <f>241000+647000+392000</f>
        <v>1280000</v>
      </c>
      <c r="K413" s="1551"/>
      <c r="L413" s="1551"/>
      <c r="M413" s="1626"/>
      <c r="N413" s="1626"/>
      <c r="O413" s="1627" t="s">
        <v>1237</v>
      </c>
    </row>
    <row r="414" spans="1:15" s="146" customFormat="1" ht="16.8" x14ac:dyDescent="0.15">
      <c r="A414" s="1612" t="s">
        <v>554</v>
      </c>
      <c r="B414" s="1535" t="s">
        <v>555</v>
      </c>
      <c r="C414" s="1526"/>
      <c r="D414" s="1526"/>
      <c r="E414" s="1526"/>
      <c r="F414" s="1526"/>
      <c r="G414" s="1526"/>
      <c r="H414" s="1526"/>
      <c r="I414" s="1526"/>
      <c r="J414" s="1539">
        <v>1114000</v>
      </c>
      <c r="K414" s="1551"/>
      <c r="L414" s="1551"/>
      <c r="M414" s="1626"/>
      <c r="N414" s="1626"/>
      <c r="O414" s="1627"/>
    </row>
    <row r="415" spans="1:15" s="146" customFormat="1" ht="8.4" x14ac:dyDescent="0.15">
      <c r="A415" s="1612" t="s">
        <v>554</v>
      </c>
      <c r="B415" s="1535" t="s">
        <v>1241</v>
      </c>
      <c r="C415" s="1526"/>
      <c r="D415" s="1526"/>
      <c r="E415" s="1526"/>
      <c r="F415" s="1526"/>
      <c r="G415" s="1526"/>
      <c r="H415" s="1526"/>
      <c r="I415" s="1539"/>
      <c r="J415" s="1539">
        <v>100000</v>
      </c>
      <c r="K415" s="1551"/>
      <c r="L415" s="1551"/>
      <c r="M415" s="1626"/>
      <c r="N415" s="1626"/>
      <c r="O415" s="1627"/>
    </row>
    <row r="416" spans="1:15" s="146" customFormat="1" ht="16.8" x14ac:dyDescent="0.15">
      <c r="A416" s="1612" t="s">
        <v>554</v>
      </c>
      <c r="B416" s="1535" t="s">
        <v>556</v>
      </c>
      <c r="C416" s="1526"/>
      <c r="D416" s="1526"/>
      <c r="E416" s="1526"/>
      <c r="F416" s="1526"/>
      <c r="G416" s="1526"/>
      <c r="H416" s="1526"/>
      <c r="I416" s="1539"/>
      <c r="J416" s="1539">
        <v>50000</v>
      </c>
      <c r="K416" s="1551"/>
      <c r="L416" s="1551"/>
      <c r="M416" s="1626"/>
      <c r="N416" s="1626"/>
      <c r="O416" s="1627"/>
    </row>
    <row r="417" spans="1:15" s="146" customFormat="1" ht="8.4" x14ac:dyDescent="0.15">
      <c r="A417" s="1612" t="s">
        <v>579</v>
      </c>
      <c r="B417" s="1535" t="s">
        <v>558</v>
      </c>
      <c r="C417" s="1526"/>
      <c r="D417" s="1526"/>
      <c r="E417" s="1526"/>
      <c r="F417" s="1526"/>
      <c r="G417" s="1526"/>
      <c r="H417" s="1526"/>
      <c r="I417" s="1539"/>
      <c r="J417" s="1539">
        <v>108000</v>
      </c>
      <c r="K417" s="1551"/>
      <c r="L417" s="1551"/>
      <c r="M417" s="1626"/>
      <c r="N417" s="1626"/>
      <c r="O417" s="1627"/>
    </row>
    <row r="418" spans="1:15" s="146" customFormat="1" ht="25.2" x14ac:dyDescent="0.15">
      <c r="A418" s="1612" t="s">
        <v>579</v>
      </c>
      <c r="B418" s="1535" t="s">
        <v>1470</v>
      </c>
      <c r="C418" s="1526"/>
      <c r="D418" s="1526"/>
      <c r="E418" s="1526"/>
      <c r="F418" s="1526"/>
      <c r="G418" s="1526"/>
      <c r="H418" s="1526"/>
      <c r="I418" s="1526"/>
      <c r="J418" s="1539">
        <v>4555000</v>
      </c>
      <c r="K418" s="1551"/>
      <c r="L418" s="1551"/>
      <c r="M418" s="1626"/>
      <c r="N418" s="1626"/>
      <c r="O418" s="1627" t="s">
        <v>1537</v>
      </c>
    </row>
    <row r="419" spans="1:15" s="146" customFormat="1" ht="8.4" x14ac:dyDescent="0.15">
      <c r="A419" s="1612" t="s">
        <v>579</v>
      </c>
      <c r="B419" s="1535" t="s">
        <v>129</v>
      </c>
      <c r="C419" s="1526"/>
      <c r="D419" s="1526"/>
      <c r="E419" s="1526"/>
      <c r="F419" s="1526"/>
      <c r="G419" s="1526"/>
      <c r="H419" s="1526"/>
      <c r="I419" s="1539"/>
      <c r="J419" s="1539">
        <v>2200</v>
      </c>
      <c r="K419" s="1551"/>
      <c r="L419" s="1551"/>
      <c r="M419" s="1626"/>
      <c r="N419" s="1626"/>
      <c r="O419" s="1627"/>
    </row>
    <row r="420" spans="1:15" s="146" customFormat="1" ht="16.8" x14ac:dyDescent="0.15">
      <c r="A420" s="1612" t="s">
        <v>579</v>
      </c>
      <c r="B420" s="1535" t="s">
        <v>559</v>
      </c>
      <c r="C420" s="1526"/>
      <c r="D420" s="1526"/>
      <c r="E420" s="1526"/>
      <c r="F420" s="1526"/>
      <c r="G420" s="1526"/>
      <c r="H420" s="1526"/>
      <c r="I420" s="1539"/>
      <c r="J420" s="1539">
        <v>13180000</v>
      </c>
      <c r="K420" s="1551"/>
      <c r="L420" s="1551"/>
      <c r="M420" s="1626"/>
      <c r="N420" s="1626"/>
      <c r="O420" s="1627"/>
    </row>
    <row r="421" spans="1:15" s="146" customFormat="1" ht="16.8" x14ac:dyDescent="0.15">
      <c r="A421" s="1612" t="s">
        <v>579</v>
      </c>
      <c r="B421" s="1535" t="s">
        <v>611</v>
      </c>
      <c r="C421" s="1526"/>
      <c r="D421" s="1526"/>
      <c r="E421" s="1526"/>
      <c r="F421" s="1526"/>
      <c r="G421" s="1526"/>
      <c r="H421" s="1526"/>
      <c r="I421" s="1526"/>
      <c r="J421" s="1539">
        <v>6171000</v>
      </c>
      <c r="K421" s="1551"/>
      <c r="L421" s="1551"/>
      <c r="M421" s="1626"/>
      <c r="N421" s="1626"/>
      <c r="O421" s="1627"/>
    </row>
    <row r="422" spans="1:15" s="146" customFormat="1" ht="8.4" x14ac:dyDescent="0.15">
      <c r="A422" s="1612" t="s">
        <v>579</v>
      </c>
      <c r="B422" s="1535" t="s">
        <v>129</v>
      </c>
      <c r="C422" s="1526"/>
      <c r="D422" s="1526"/>
      <c r="E422" s="1526"/>
      <c r="F422" s="1526"/>
      <c r="G422" s="1526"/>
      <c r="H422" s="1526"/>
      <c r="I422" s="1526"/>
      <c r="J422" s="1539">
        <v>7700</v>
      </c>
      <c r="K422" s="1551"/>
      <c r="L422" s="1551"/>
      <c r="M422" s="1626"/>
      <c r="N422" s="1626"/>
      <c r="O422" s="1627"/>
    </row>
    <row r="423" spans="1:15" s="146" customFormat="1" ht="16.8" x14ac:dyDescent="0.15">
      <c r="A423" s="1612" t="s">
        <v>602</v>
      </c>
      <c r="B423" s="1535" t="s">
        <v>612</v>
      </c>
      <c r="C423" s="1526"/>
      <c r="D423" s="1526"/>
      <c r="E423" s="1526"/>
      <c r="F423" s="1526"/>
      <c r="G423" s="1526"/>
      <c r="H423" s="1526"/>
      <c r="I423" s="1526"/>
      <c r="J423" s="1539">
        <v>3200000</v>
      </c>
      <c r="K423" s="1551"/>
      <c r="L423" s="1551"/>
      <c r="M423" s="1626"/>
      <c r="N423" s="1626"/>
      <c r="O423" s="1627"/>
    </row>
    <row r="424" spans="1:15" s="146" customFormat="1" ht="16.8" x14ac:dyDescent="0.15">
      <c r="A424" s="1612" t="s">
        <v>602</v>
      </c>
      <c r="B424" s="1535" t="s">
        <v>624</v>
      </c>
      <c r="C424" s="1526"/>
      <c r="D424" s="1526"/>
      <c r="E424" s="1526"/>
      <c r="F424" s="1526"/>
      <c r="G424" s="1526"/>
      <c r="H424" s="1526"/>
      <c r="I424" s="1526"/>
      <c r="J424" s="1539">
        <v>1200000</v>
      </c>
      <c r="K424" s="1551"/>
      <c r="L424" s="1551"/>
      <c r="M424" s="1626"/>
      <c r="N424" s="1626"/>
      <c r="O424" s="1627" t="s">
        <v>641</v>
      </c>
    </row>
    <row r="425" spans="1:15" s="146" customFormat="1" ht="16.8" x14ac:dyDescent="0.15">
      <c r="A425" s="1612" t="s">
        <v>623</v>
      </c>
      <c r="B425" s="1535" t="s">
        <v>625</v>
      </c>
      <c r="C425" s="1526"/>
      <c r="D425" s="1526"/>
      <c r="E425" s="1526"/>
      <c r="F425" s="1526"/>
      <c r="G425" s="1526"/>
      <c r="H425" s="1526"/>
      <c r="I425" s="1526"/>
      <c r="J425" s="1539">
        <v>2340000</v>
      </c>
      <c r="K425" s="1551"/>
      <c r="L425" s="1551"/>
      <c r="M425" s="1626"/>
      <c r="N425" s="1626"/>
      <c r="O425" s="1627"/>
    </row>
    <row r="426" spans="1:15" s="146" customFormat="1" ht="16.8" x14ac:dyDescent="0.15">
      <c r="A426" s="1612" t="s">
        <v>623</v>
      </c>
      <c r="B426" s="1535" t="s">
        <v>1211</v>
      </c>
      <c r="C426" s="1526"/>
      <c r="D426" s="1526"/>
      <c r="E426" s="1526"/>
      <c r="F426" s="1526"/>
      <c r="G426" s="1526"/>
      <c r="H426" s="1526"/>
      <c r="I426" s="1526"/>
      <c r="J426" s="1539">
        <v>800000</v>
      </c>
      <c r="K426" s="1551"/>
      <c r="L426" s="1551"/>
      <c r="M426" s="1626"/>
      <c r="N426" s="1626"/>
      <c r="O426" s="1627" t="s">
        <v>1213</v>
      </c>
    </row>
    <row r="427" spans="1:15" s="146" customFormat="1" ht="16.8" x14ac:dyDescent="0.15">
      <c r="A427" s="1612" t="s">
        <v>623</v>
      </c>
      <c r="B427" s="1535" t="s">
        <v>632</v>
      </c>
      <c r="C427" s="1526"/>
      <c r="D427" s="1526"/>
      <c r="E427" s="1526"/>
      <c r="F427" s="1526"/>
      <c r="G427" s="1526"/>
      <c r="H427" s="1526"/>
      <c r="I427" s="1526"/>
      <c r="J427" s="1539">
        <v>10200000</v>
      </c>
      <c r="K427" s="1551"/>
      <c r="L427" s="1551"/>
      <c r="M427" s="1626"/>
      <c r="N427" s="1626"/>
      <c r="O427" s="1627" t="s">
        <v>1212</v>
      </c>
    </row>
    <row r="428" spans="1:15" s="146" customFormat="1" ht="16.8" x14ac:dyDescent="0.15">
      <c r="A428" s="1612" t="s">
        <v>623</v>
      </c>
      <c r="B428" s="1535" t="s">
        <v>1242</v>
      </c>
      <c r="C428" s="1526"/>
      <c r="D428" s="1526"/>
      <c r="E428" s="1526"/>
      <c r="F428" s="1526"/>
      <c r="G428" s="1526"/>
      <c r="H428" s="1526"/>
      <c r="I428" s="1526"/>
      <c r="J428" s="1539">
        <v>500000</v>
      </c>
      <c r="K428" s="1551"/>
      <c r="L428" s="1551"/>
      <c r="M428" s="1626"/>
      <c r="N428" s="1626"/>
      <c r="O428" s="1627"/>
    </row>
    <row r="429" spans="1:15" s="146" customFormat="1" ht="16.8" x14ac:dyDescent="0.15">
      <c r="A429" s="1612" t="s">
        <v>623</v>
      </c>
      <c r="B429" s="1535" t="s">
        <v>1518</v>
      </c>
      <c r="C429" s="1526"/>
      <c r="D429" s="1526"/>
      <c r="E429" s="1526"/>
      <c r="F429" s="1526"/>
      <c r="G429" s="1526"/>
      <c r="H429" s="1526"/>
      <c r="I429" s="1526"/>
      <c r="J429" s="1539">
        <v>75000</v>
      </c>
      <c r="K429" s="1551"/>
      <c r="L429" s="1551"/>
      <c r="M429" s="1626"/>
      <c r="N429" s="1626"/>
      <c r="O429" s="1627"/>
    </row>
    <row r="430" spans="1:15" s="146" customFormat="1" ht="16.8" x14ac:dyDescent="0.15">
      <c r="A430" s="1612" t="s">
        <v>623</v>
      </c>
      <c r="B430" s="1535" t="s">
        <v>1519</v>
      </c>
      <c r="C430" s="1526"/>
      <c r="D430" s="1526"/>
      <c r="E430" s="1526"/>
      <c r="F430" s="1526"/>
      <c r="G430" s="1526"/>
      <c r="H430" s="1526"/>
      <c r="I430" s="1526"/>
      <c r="J430" s="1539">
        <v>1200000</v>
      </c>
      <c r="K430" s="1551"/>
      <c r="L430" s="1551"/>
      <c r="M430" s="1626"/>
      <c r="N430" s="1626"/>
      <c r="O430" s="1627"/>
    </row>
    <row r="431" spans="1:15" s="146" customFormat="1" ht="16.8" x14ac:dyDescent="0.15">
      <c r="A431" s="1612" t="s">
        <v>623</v>
      </c>
      <c r="B431" s="1535" t="s">
        <v>1520</v>
      </c>
      <c r="C431" s="1526"/>
      <c r="D431" s="1526"/>
      <c r="E431" s="1526"/>
      <c r="F431" s="1526"/>
      <c r="G431" s="1539"/>
      <c r="H431" s="1539"/>
      <c r="I431" s="1526"/>
      <c r="J431" s="1539">
        <v>60000</v>
      </c>
      <c r="K431" s="1551"/>
      <c r="L431" s="1551"/>
      <c r="M431" s="1626"/>
      <c r="N431" s="1626"/>
      <c r="O431" s="1627"/>
    </row>
    <row r="432" spans="1:15" s="146" customFormat="1" ht="16.8" x14ac:dyDescent="0.15">
      <c r="A432" s="1612" t="s">
        <v>623</v>
      </c>
      <c r="B432" s="1535" t="s">
        <v>1521</v>
      </c>
      <c r="C432" s="1526"/>
      <c r="D432" s="1526"/>
      <c r="E432" s="1526"/>
      <c r="F432" s="1526"/>
      <c r="G432" s="1539"/>
      <c r="H432" s="1539"/>
      <c r="I432" s="1526"/>
      <c r="J432" s="1539">
        <v>500000</v>
      </c>
      <c r="K432" s="1551"/>
      <c r="L432" s="1551"/>
      <c r="M432" s="1626"/>
      <c r="N432" s="1626"/>
      <c r="O432" s="1627" t="s">
        <v>1522</v>
      </c>
    </row>
    <row r="433" spans="1:15" s="146" customFormat="1" ht="8.4" x14ac:dyDescent="0.15">
      <c r="A433" s="1612" t="s">
        <v>633</v>
      </c>
      <c r="B433" s="1535" t="s">
        <v>849</v>
      </c>
      <c r="C433" s="1526"/>
      <c r="D433" s="1526"/>
      <c r="E433" s="1526"/>
      <c r="F433" s="1526"/>
      <c r="G433" s="1539"/>
      <c r="H433" s="1539"/>
      <c r="I433" s="1526"/>
      <c r="J433" s="1539">
        <v>1023000</v>
      </c>
      <c r="K433" s="1551"/>
      <c r="L433" s="1551"/>
      <c r="M433" s="1626"/>
      <c r="N433" s="1626"/>
      <c r="O433" s="1627"/>
    </row>
    <row r="434" spans="1:15" s="146" customFormat="1" ht="16.8" x14ac:dyDescent="0.15">
      <c r="A434" s="1612" t="s">
        <v>633</v>
      </c>
      <c r="B434" s="1535" t="s">
        <v>1517</v>
      </c>
      <c r="C434" s="1526"/>
      <c r="D434" s="1526"/>
      <c r="E434" s="1526"/>
      <c r="F434" s="1526"/>
      <c r="G434" s="1539"/>
      <c r="H434" s="1539"/>
      <c r="I434" s="1526"/>
      <c r="J434" s="1539">
        <v>1380000</v>
      </c>
      <c r="K434" s="1551"/>
      <c r="L434" s="1551"/>
      <c r="M434" s="1626"/>
      <c r="N434" s="1626"/>
      <c r="O434" s="1627"/>
    </row>
    <row r="435" spans="1:15" s="146" customFormat="1" ht="16.8" x14ac:dyDescent="0.15">
      <c r="A435" s="1612" t="s">
        <v>655</v>
      </c>
      <c r="B435" s="1535" t="s">
        <v>782</v>
      </c>
      <c r="C435" s="1526"/>
      <c r="D435" s="1526"/>
      <c r="E435" s="1526"/>
      <c r="F435" s="1526"/>
      <c r="G435" s="1539"/>
      <c r="H435" s="1539"/>
      <c r="I435" s="1526"/>
      <c r="J435" s="1539">
        <v>7000000</v>
      </c>
      <c r="K435" s="1614"/>
      <c r="L435" s="1551"/>
      <c r="M435" s="1626"/>
      <c r="N435" s="1626"/>
      <c r="O435" s="1627"/>
    </row>
    <row r="436" spans="1:15" s="146" customFormat="1" ht="8.4" x14ac:dyDescent="0.15">
      <c r="A436" s="1612" t="s">
        <v>655</v>
      </c>
      <c r="B436" s="1535" t="s">
        <v>129</v>
      </c>
      <c r="C436" s="1526"/>
      <c r="D436" s="1526"/>
      <c r="E436" s="1526"/>
      <c r="F436" s="1526"/>
      <c r="G436" s="1539"/>
      <c r="H436" s="1539"/>
      <c r="I436" s="1526"/>
      <c r="J436" s="1539">
        <v>10000</v>
      </c>
      <c r="K436" s="1614"/>
      <c r="L436" s="1551"/>
      <c r="M436" s="1626"/>
      <c r="N436" s="1626"/>
      <c r="O436" s="1627"/>
    </row>
    <row r="437" spans="1:15" s="146" customFormat="1" ht="25.2" x14ac:dyDescent="0.15">
      <c r="A437" s="1612" t="s">
        <v>655</v>
      </c>
      <c r="B437" s="1535" t="s">
        <v>1333</v>
      </c>
      <c r="C437" s="1526"/>
      <c r="D437" s="1526"/>
      <c r="E437" s="1526"/>
      <c r="F437" s="1526"/>
      <c r="G437" s="1526"/>
      <c r="H437" s="1526"/>
      <c r="I437" s="1539"/>
      <c r="J437" s="1539">
        <v>11000</v>
      </c>
      <c r="K437" s="1614"/>
      <c r="L437" s="1551"/>
      <c r="M437" s="1626"/>
      <c r="N437" s="1626"/>
      <c r="O437" s="1627"/>
    </row>
    <row r="438" spans="1:15" s="146" customFormat="1" ht="25.2" x14ac:dyDescent="0.15">
      <c r="A438" s="1612" t="s">
        <v>655</v>
      </c>
      <c r="B438" s="1535" t="s">
        <v>1334</v>
      </c>
      <c r="C438" s="1526"/>
      <c r="D438" s="1526"/>
      <c r="E438" s="1526"/>
      <c r="F438" s="1526"/>
      <c r="G438" s="1539"/>
      <c r="H438" s="1539"/>
      <c r="I438" s="1526"/>
      <c r="J438" s="1539">
        <v>10000</v>
      </c>
      <c r="K438" s="1614"/>
      <c r="L438" s="1551"/>
      <c r="M438" s="1626"/>
      <c r="N438" s="1626"/>
      <c r="O438" s="1627"/>
    </row>
    <row r="439" spans="1:15" s="146" customFormat="1" ht="25.2" x14ac:dyDescent="0.15">
      <c r="A439" s="1612" t="s">
        <v>655</v>
      </c>
      <c r="B439" s="1535" t="s">
        <v>1335</v>
      </c>
      <c r="C439" s="1526"/>
      <c r="D439" s="1526"/>
      <c r="E439" s="1526"/>
      <c r="F439" s="1526"/>
      <c r="G439" s="1539"/>
      <c r="H439" s="1539"/>
      <c r="I439" s="1526"/>
      <c r="J439" s="1539">
        <v>11000</v>
      </c>
      <c r="K439" s="1614"/>
      <c r="L439" s="1551"/>
      <c r="M439" s="1626"/>
      <c r="N439" s="1626"/>
      <c r="O439" s="1627"/>
    </row>
    <row r="440" spans="1:15" s="146" customFormat="1" ht="16.8" x14ac:dyDescent="0.15">
      <c r="A440" s="1612" t="s">
        <v>634</v>
      </c>
      <c r="B440" s="1535" t="s">
        <v>643</v>
      </c>
      <c r="C440" s="1526"/>
      <c r="D440" s="1526"/>
      <c r="E440" s="1526"/>
      <c r="F440" s="1526"/>
      <c r="G440" s="1526"/>
      <c r="H440" s="1526"/>
      <c r="I440" s="1539"/>
      <c r="J440" s="1539">
        <v>250000</v>
      </c>
      <c r="K440" s="1551"/>
      <c r="L440" s="1551"/>
      <c r="M440" s="1626"/>
      <c r="N440" s="1626"/>
      <c r="O440" s="1627"/>
    </row>
    <row r="441" spans="1:15" s="146" customFormat="1" ht="16.8" x14ac:dyDescent="0.15">
      <c r="A441" s="1612" t="s">
        <v>634</v>
      </c>
      <c r="B441" s="1535" t="s">
        <v>644</v>
      </c>
      <c r="C441" s="1526"/>
      <c r="D441" s="1526"/>
      <c r="E441" s="1526"/>
      <c r="F441" s="1526"/>
      <c r="G441" s="1539"/>
      <c r="H441" s="1539"/>
      <c r="I441" s="1526"/>
      <c r="J441" s="1539">
        <v>70000</v>
      </c>
      <c r="K441" s="1551"/>
      <c r="L441" s="1551"/>
      <c r="M441" s="1626"/>
      <c r="N441" s="1626"/>
      <c r="O441" s="1627"/>
    </row>
    <row r="442" spans="1:15" s="146" customFormat="1" ht="16.8" x14ac:dyDescent="0.15">
      <c r="A442" s="1612" t="s">
        <v>634</v>
      </c>
      <c r="B442" s="1535" t="s">
        <v>645</v>
      </c>
      <c r="C442" s="1526"/>
      <c r="D442" s="1526"/>
      <c r="E442" s="1526"/>
      <c r="F442" s="1526"/>
      <c r="G442" s="1539"/>
      <c r="H442" s="1539"/>
      <c r="I442" s="1526"/>
      <c r="J442" s="1539">
        <v>1200000</v>
      </c>
      <c r="K442" s="1551"/>
      <c r="L442" s="1551"/>
      <c r="M442" s="1626"/>
      <c r="N442" s="1626"/>
      <c r="O442" s="1627"/>
    </row>
    <row r="443" spans="1:15" s="146" customFormat="1" ht="16.8" x14ac:dyDescent="0.15">
      <c r="A443" s="1612" t="s">
        <v>634</v>
      </c>
      <c r="B443" s="1535" t="s">
        <v>646</v>
      </c>
      <c r="C443" s="1526"/>
      <c r="D443" s="1526"/>
      <c r="E443" s="1526"/>
      <c r="F443" s="1526"/>
      <c r="G443" s="1539"/>
      <c r="H443" s="1539"/>
      <c r="I443" s="1526"/>
      <c r="J443" s="1539">
        <v>1000000</v>
      </c>
      <c r="K443" s="1551"/>
      <c r="L443" s="1551"/>
      <c r="M443" s="1626"/>
      <c r="N443" s="1626"/>
      <c r="O443" s="1627"/>
    </row>
    <row r="444" spans="1:15" s="146" customFormat="1" ht="8.4" x14ac:dyDescent="0.15">
      <c r="A444" s="1612" t="s">
        <v>634</v>
      </c>
      <c r="B444" s="1535" t="s">
        <v>648</v>
      </c>
      <c r="C444" s="1526"/>
      <c r="D444" s="1526"/>
      <c r="E444" s="1526"/>
      <c r="F444" s="1526"/>
      <c r="G444" s="1539"/>
      <c r="H444" s="1539"/>
      <c r="I444" s="1526"/>
      <c r="J444" s="1539">
        <v>10000000</v>
      </c>
      <c r="K444" s="1551"/>
      <c r="L444" s="1551"/>
      <c r="M444" s="1626"/>
      <c r="N444" s="1626"/>
      <c r="O444" s="1627"/>
    </row>
    <row r="445" spans="1:15" s="146" customFormat="1" ht="16.8" x14ac:dyDescent="0.15">
      <c r="A445" s="1612" t="s">
        <v>651</v>
      </c>
      <c r="B445" s="1535" t="s">
        <v>775</v>
      </c>
      <c r="C445" s="1526"/>
      <c r="D445" s="1526"/>
      <c r="E445" s="1526"/>
      <c r="F445" s="1526"/>
      <c r="G445" s="1539"/>
      <c r="H445" s="1539">
        <v>10000000</v>
      </c>
      <c r="I445" s="1526"/>
      <c r="J445" s="1551"/>
      <c r="K445" s="1551"/>
      <c r="L445" s="1551"/>
      <c r="M445" s="1626"/>
      <c r="N445" s="1626"/>
      <c r="O445" s="1627"/>
    </row>
    <row r="446" spans="1:15" s="146" customFormat="1" ht="16.8" x14ac:dyDescent="0.15">
      <c r="A446" s="1612" t="s">
        <v>651</v>
      </c>
      <c r="B446" s="1535" t="s">
        <v>776</v>
      </c>
      <c r="C446" s="1526"/>
      <c r="D446" s="1526"/>
      <c r="E446" s="1526"/>
      <c r="F446" s="1526"/>
      <c r="G446" s="1526"/>
      <c r="H446" s="1526"/>
      <c r="I446" s="1526"/>
      <c r="J446" s="1551"/>
      <c r="K446" s="1551"/>
      <c r="L446" s="1539">
        <v>3140000</v>
      </c>
      <c r="M446" s="1629"/>
      <c r="N446" s="1629"/>
      <c r="O446" s="1627"/>
    </row>
    <row r="447" spans="1:15" s="146" customFormat="1" ht="25.2" x14ac:dyDescent="0.15">
      <c r="A447" s="1612" t="s">
        <v>651</v>
      </c>
      <c r="B447" s="1535" t="s">
        <v>1176</v>
      </c>
      <c r="C447" s="1526"/>
      <c r="D447" s="1526"/>
      <c r="E447" s="1526"/>
      <c r="F447" s="1526"/>
      <c r="G447" s="1526"/>
      <c r="H447" s="1526"/>
      <c r="I447" s="1526"/>
      <c r="J447" s="1614"/>
      <c r="K447" s="1551"/>
      <c r="L447" s="1539">
        <v>120000</v>
      </c>
      <c r="M447" s="1629"/>
      <c r="N447" s="1629"/>
      <c r="O447" s="1627"/>
    </row>
    <row r="448" spans="1:15" s="146" customFormat="1" ht="25.2" x14ac:dyDescent="0.15">
      <c r="A448" s="1612" t="s">
        <v>651</v>
      </c>
      <c r="B448" s="1535" t="s">
        <v>1177</v>
      </c>
      <c r="C448" s="1526"/>
      <c r="D448" s="1526"/>
      <c r="E448" s="1526"/>
      <c r="F448" s="1526"/>
      <c r="G448" s="1526"/>
      <c r="H448" s="1526"/>
      <c r="I448" s="1526"/>
      <c r="J448" s="1614"/>
      <c r="K448" s="1551"/>
      <c r="L448" s="1539">
        <v>490000</v>
      </c>
      <c r="M448" s="1629"/>
      <c r="N448" s="1629"/>
      <c r="O448" s="1627"/>
    </row>
    <row r="449" spans="1:15" s="146" customFormat="1" ht="25.2" x14ac:dyDescent="0.15">
      <c r="A449" s="1612" t="s">
        <v>651</v>
      </c>
      <c r="B449" s="1535" t="s">
        <v>1178</v>
      </c>
      <c r="C449" s="1526"/>
      <c r="D449" s="1526"/>
      <c r="E449" s="1526"/>
      <c r="F449" s="1526"/>
      <c r="G449" s="1526"/>
      <c r="H449" s="1526"/>
      <c r="I449" s="1526"/>
      <c r="J449" s="1614"/>
      <c r="K449" s="1551"/>
      <c r="L449" s="1539">
        <v>780000</v>
      </c>
      <c r="M449" s="1629"/>
      <c r="N449" s="1629"/>
      <c r="O449" s="1627"/>
    </row>
    <row r="450" spans="1:15" s="146" customFormat="1" ht="16.8" x14ac:dyDescent="0.15">
      <c r="A450" s="1612" t="s">
        <v>642</v>
      </c>
      <c r="B450" s="1535" t="s">
        <v>1346</v>
      </c>
      <c r="C450" s="1526"/>
      <c r="D450" s="1526"/>
      <c r="E450" s="1526"/>
      <c r="F450" s="1526"/>
      <c r="G450" s="1526"/>
      <c r="H450" s="1526"/>
      <c r="I450" s="1526"/>
      <c r="J450" s="1539">
        <v>300000</v>
      </c>
      <c r="K450" s="1551"/>
      <c r="L450" s="1551"/>
      <c r="M450" s="1626"/>
      <c r="N450" s="1626"/>
      <c r="O450" s="1627"/>
    </row>
    <row r="451" spans="1:15" s="146" customFormat="1" ht="8.4" x14ac:dyDescent="0.15">
      <c r="A451" s="1612" t="s">
        <v>642</v>
      </c>
      <c r="B451" s="1535" t="s">
        <v>682</v>
      </c>
      <c r="C451" s="1526"/>
      <c r="D451" s="1526"/>
      <c r="E451" s="1526"/>
      <c r="F451" s="1526"/>
      <c r="G451" s="1526"/>
      <c r="H451" s="1526"/>
      <c r="I451" s="1526"/>
      <c r="J451" s="1539">
        <v>625000</v>
      </c>
      <c r="K451" s="1551"/>
      <c r="L451" s="1551"/>
      <c r="M451" s="1626"/>
      <c r="N451" s="1626"/>
      <c r="O451" s="1627"/>
    </row>
    <row r="452" spans="1:15" s="146" customFormat="1" ht="8.4" x14ac:dyDescent="0.15">
      <c r="A452" s="1612" t="s">
        <v>642</v>
      </c>
      <c r="B452" s="1535" t="s">
        <v>652</v>
      </c>
      <c r="C452" s="1526"/>
      <c r="D452" s="1526"/>
      <c r="E452" s="1526"/>
      <c r="F452" s="1526"/>
      <c r="G452" s="1526"/>
      <c r="H452" s="1526"/>
      <c r="I452" s="1551"/>
      <c r="J452" s="1539">
        <v>382000</v>
      </c>
      <c r="K452" s="1551"/>
      <c r="L452" s="1551"/>
      <c r="M452" s="1626"/>
      <c r="N452" s="1626"/>
      <c r="O452" s="1627"/>
    </row>
    <row r="453" spans="1:15" s="146" customFormat="1" ht="8.4" x14ac:dyDescent="0.15">
      <c r="A453" s="1612" t="s">
        <v>649</v>
      </c>
      <c r="B453" s="1535" t="s">
        <v>940</v>
      </c>
      <c r="C453" s="1526"/>
      <c r="D453" s="1526"/>
      <c r="E453" s="1526"/>
      <c r="F453" s="1526"/>
      <c r="G453" s="1539"/>
      <c r="H453" s="1539">
        <v>114012000</v>
      </c>
      <c r="I453" s="1551"/>
      <c r="J453" s="1551"/>
      <c r="K453" s="1551"/>
      <c r="L453" s="1551"/>
      <c r="M453" s="1626"/>
      <c r="N453" s="1626"/>
      <c r="O453" s="1627"/>
    </row>
    <row r="454" spans="1:15" s="146" customFormat="1" ht="8.4" x14ac:dyDescent="0.15">
      <c r="A454" s="1612" t="s">
        <v>649</v>
      </c>
      <c r="B454" s="1535" t="s">
        <v>650</v>
      </c>
      <c r="C454" s="1526"/>
      <c r="D454" s="1526"/>
      <c r="E454" s="1526"/>
      <c r="F454" s="1526"/>
      <c r="G454" s="1526"/>
      <c r="H454" s="1526"/>
      <c r="I454" s="1539"/>
      <c r="J454" s="1539">
        <v>499000</v>
      </c>
      <c r="K454" s="1551"/>
      <c r="L454" s="1551"/>
      <c r="M454" s="1626"/>
      <c r="N454" s="1626"/>
      <c r="O454" s="1627"/>
    </row>
    <row r="455" spans="1:15" s="146" customFormat="1" ht="16.8" x14ac:dyDescent="0.15">
      <c r="A455" s="1612" t="s">
        <v>649</v>
      </c>
      <c r="B455" s="1535" t="s">
        <v>1527</v>
      </c>
      <c r="C455" s="1526"/>
      <c r="D455" s="1526"/>
      <c r="E455" s="1526"/>
      <c r="F455" s="1526"/>
      <c r="G455" s="1526"/>
      <c r="H455" s="1526"/>
      <c r="I455" s="1539"/>
      <c r="J455" s="1539">
        <v>500000</v>
      </c>
      <c r="K455" s="1551"/>
      <c r="L455" s="1551"/>
      <c r="M455" s="1626"/>
      <c r="N455" s="1626"/>
      <c r="O455" s="1627"/>
    </row>
    <row r="456" spans="1:15" s="146" customFormat="1" ht="25.2" x14ac:dyDescent="0.15">
      <c r="A456" s="1612" t="s">
        <v>718</v>
      </c>
      <c r="B456" s="1535" t="s">
        <v>1170</v>
      </c>
      <c r="C456" s="1526"/>
      <c r="D456" s="1526"/>
      <c r="E456" s="1526"/>
      <c r="F456" s="1526"/>
      <c r="G456" s="1526"/>
      <c r="H456" s="1526"/>
      <c r="I456" s="1539"/>
      <c r="J456" s="1614"/>
      <c r="K456" s="1551"/>
      <c r="L456" s="1539">
        <v>145000</v>
      </c>
      <c r="M456" s="1629"/>
      <c r="N456" s="1629"/>
      <c r="O456" s="1627"/>
    </row>
    <row r="457" spans="1:15" s="146" customFormat="1" ht="25.2" x14ac:dyDescent="0.15">
      <c r="A457" s="1612" t="s">
        <v>718</v>
      </c>
      <c r="B457" s="1535" t="s">
        <v>1171</v>
      </c>
      <c r="C457" s="1526"/>
      <c r="D457" s="1526"/>
      <c r="E457" s="1526"/>
      <c r="F457" s="1526"/>
      <c r="G457" s="1526"/>
      <c r="H457" s="1526"/>
      <c r="I457" s="1539"/>
      <c r="J457" s="1614"/>
      <c r="K457" s="1551"/>
      <c r="L457" s="1539">
        <v>250000</v>
      </c>
      <c r="M457" s="1629"/>
      <c r="N457" s="1629"/>
      <c r="O457" s="1627"/>
    </row>
    <row r="458" spans="1:15" s="146" customFormat="1" ht="25.2" x14ac:dyDescent="0.15">
      <c r="A458" s="1612" t="s">
        <v>718</v>
      </c>
      <c r="B458" s="1535" t="s">
        <v>1172</v>
      </c>
      <c r="C458" s="1526"/>
      <c r="D458" s="1526"/>
      <c r="E458" s="1526"/>
      <c r="F458" s="1526"/>
      <c r="G458" s="1526"/>
      <c r="H458" s="1526"/>
      <c r="I458" s="1539"/>
      <c r="J458" s="1614"/>
      <c r="K458" s="1551"/>
      <c r="L458" s="1539">
        <v>980000</v>
      </c>
      <c r="M458" s="1629"/>
      <c r="N458" s="1629"/>
      <c r="O458" s="1627"/>
    </row>
    <row r="459" spans="1:15" s="146" customFormat="1" ht="8.4" x14ac:dyDescent="0.15">
      <c r="A459" s="1612" t="s">
        <v>680</v>
      </c>
      <c r="B459" s="1535" t="s">
        <v>681</v>
      </c>
      <c r="C459" s="1526"/>
      <c r="D459" s="1526"/>
      <c r="E459" s="1526"/>
      <c r="F459" s="1526"/>
      <c r="G459" s="1526"/>
      <c r="H459" s="1526"/>
      <c r="I459" s="1539"/>
      <c r="J459" s="1539">
        <v>1500000</v>
      </c>
      <c r="K459" s="1551"/>
      <c r="L459" s="1551"/>
      <c r="M459" s="1626"/>
      <c r="N459" s="1626"/>
      <c r="O459" s="1627"/>
    </row>
    <row r="460" spans="1:15" s="146" customFormat="1" ht="8.4" x14ac:dyDescent="0.15">
      <c r="A460" s="1612" t="s">
        <v>680</v>
      </c>
      <c r="B460" s="1535" t="s">
        <v>129</v>
      </c>
      <c r="C460" s="1526"/>
      <c r="D460" s="1526"/>
      <c r="E460" s="1526"/>
      <c r="F460" s="1526"/>
      <c r="G460" s="1526"/>
      <c r="H460" s="1526"/>
      <c r="I460" s="1526"/>
      <c r="J460" s="1632">
        <v>10000</v>
      </c>
      <c r="K460" s="1551"/>
      <c r="L460" s="1551"/>
      <c r="M460" s="1626"/>
      <c r="N460" s="1626"/>
      <c r="O460" s="1627"/>
    </row>
    <row r="461" spans="1:15" s="146" customFormat="1" ht="25.2" x14ac:dyDescent="0.15">
      <c r="A461" s="1612" t="s">
        <v>1035</v>
      </c>
      <c r="B461" s="1535" t="s">
        <v>1173</v>
      </c>
      <c r="C461" s="1526"/>
      <c r="D461" s="1526"/>
      <c r="E461" s="1526"/>
      <c r="F461" s="1526"/>
      <c r="G461" s="1526"/>
      <c r="H461" s="1526"/>
      <c r="I461" s="1526"/>
      <c r="J461" s="1614"/>
      <c r="K461" s="1551"/>
      <c r="L461" s="1539">
        <v>30000</v>
      </c>
      <c r="M461" s="1629"/>
      <c r="N461" s="1629"/>
      <c r="O461" s="1627"/>
    </row>
    <row r="462" spans="1:15" s="146" customFormat="1" ht="16.8" x14ac:dyDescent="0.15">
      <c r="A462" s="1612" t="s">
        <v>1035</v>
      </c>
      <c r="B462" s="1535" t="s">
        <v>1174</v>
      </c>
      <c r="C462" s="1526"/>
      <c r="D462" s="1526"/>
      <c r="E462" s="1526"/>
      <c r="F462" s="1526"/>
      <c r="G462" s="1526"/>
      <c r="H462" s="1526"/>
      <c r="I462" s="1551"/>
      <c r="J462" s="1614"/>
      <c r="K462" s="1551"/>
      <c r="L462" s="1539">
        <v>80000</v>
      </c>
      <c r="M462" s="1629"/>
      <c r="N462" s="1629"/>
      <c r="O462" s="1627"/>
    </row>
    <row r="463" spans="1:15" s="146" customFormat="1" ht="16.8" x14ac:dyDescent="0.15">
      <c r="A463" s="1612" t="s">
        <v>1035</v>
      </c>
      <c r="B463" s="1535" t="s">
        <v>1175</v>
      </c>
      <c r="C463" s="1526"/>
      <c r="D463" s="1526"/>
      <c r="E463" s="1526"/>
      <c r="F463" s="1526"/>
      <c r="G463" s="1526"/>
      <c r="H463" s="1526"/>
      <c r="I463" s="1539"/>
      <c r="J463" s="924"/>
      <c r="K463" s="1551"/>
      <c r="L463" s="1539">
        <v>380000</v>
      </c>
      <c r="M463" s="1629"/>
      <c r="N463" s="1629"/>
      <c r="O463" s="1627"/>
    </row>
    <row r="464" spans="1:15" s="146" customFormat="1" ht="16.8" x14ac:dyDescent="0.15">
      <c r="A464" s="1612" t="s">
        <v>700</v>
      </c>
      <c r="B464" s="1535" t="s">
        <v>701</v>
      </c>
      <c r="C464" s="1526"/>
      <c r="D464" s="1526"/>
      <c r="E464" s="1526"/>
      <c r="F464" s="1526"/>
      <c r="G464" s="1526"/>
      <c r="H464" s="1526"/>
      <c r="I464" s="1539"/>
      <c r="J464" s="1539">
        <v>47000</v>
      </c>
      <c r="K464" s="1551"/>
      <c r="L464" s="1551"/>
      <c r="M464" s="1626"/>
      <c r="N464" s="1626"/>
      <c r="O464" s="1627"/>
    </row>
    <row r="465" spans="1:15" s="146" customFormat="1" ht="33.6" x14ac:dyDescent="0.15">
      <c r="A465" s="1612" t="s">
        <v>700</v>
      </c>
      <c r="B465" s="1535" t="s">
        <v>703</v>
      </c>
      <c r="C465" s="1526"/>
      <c r="D465" s="1526"/>
      <c r="E465" s="1526"/>
      <c r="F465" s="1526"/>
      <c r="G465" s="1526"/>
      <c r="H465" s="1526"/>
      <c r="I465" s="1539"/>
      <c r="J465" s="1539">
        <v>1160000</v>
      </c>
      <c r="K465" s="1551"/>
      <c r="L465" s="1551"/>
      <c r="M465" s="1626"/>
      <c r="N465" s="1626"/>
      <c r="O465" s="1627" t="s">
        <v>758</v>
      </c>
    </row>
    <row r="466" spans="1:15" s="146" customFormat="1" ht="33.6" x14ac:dyDescent="0.15">
      <c r="A466" s="1612" t="s">
        <v>700</v>
      </c>
      <c r="B466" s="1535" t="s">
        <v>704</v>
      </c>
      <c r="C466" s="1526"/>
      <c r="D466" s="1526"/>
      <c r="E466" s="1526"/>
      <c r="F466" s="1526"/>
      <c r="G466" s="1526"/>
      <c r="H466" s="1526"/>
      <c r="I466" s="1526"/>
      <c r="J466" s="1539">
        <v>75000</v>
      </c>
      <c r="K466" s="1614"/>
      <c r="L466" s="1551"/>
      <c r="M466" s="1626"/>
      <c r="N466" s="1626"/>
      <c r="O466" s="1627" t="s">
        <v>759</v>
      </c>
    </row>
    <row r="467" spans="1:15" s="146" customFormat="1" ht="33.6" x14ac:dyDescent="0.15">
      <c r="A467" s="1612" t="s">
        <v>700</v>
      </c>
      <c r="B467" s="1535" t="s">
        <v>705</v>
      </c>
      <c r="C467" s="1526"/>
      <c r="D467" s="1526"/>
      <c r="E467" s="1526"/>
      <c r="F467" s="1526"/>
      <c r="G467" s="1526"/>
      <c r="H467" s="1526"/>
      <c r="I467" s="1526"/>
      <c r="J467" s="1539">
        <v>1600000</v>
      </c>
      <c r="K467" s="1551"/>
      <c r="L467" s="1551"/>
      <c r="M467" s="1626"/>
      <c r="N467" s="1626"/>
      <c r="O467" s="1627"/>
    </row>
    <row r="468" spans="1:15" s="146" customFormat="1" ht="33.6" x14ac:dyDescent="0.15">
      <c r="A468" s="1612" t="s">
        <v>700</v>
      </c>
      <c r="B468" s="1535" t="s">
        <v>706</v>
      </c>
      <c r="C468" s="1526"/>
      <c r="D468" s="1526"/>
      <c r="E468" s="1526"/>
      <c r="F468" s="1526"/>
      <c r="G468" s="1526"/>
      <c r="H468" s="1526"/>
      <c r="I468" s="1526"/>
      <c r="J468" s="1539">
        <v>190000</v>
      </c>
      <c r="K468" s="1551"/>
      <c r="L468" s="1551"/>
      <c r="M468" s="1626"/>
      <c r="N468" s="1626"/>
      <c r="O468" s="1627"/>
    </row>
    <row r="469" spans="1:15" s="146" customFormat="1" ht="33.6" x14ac:dyDescent="0.15">
      <c r="A469" s="1612" t="s">
        <v>700</v>
      </c>
      <c r="B469" s="1535" t="s">
        <v>707</v>
      </c>
      <c r="C469" s="1526"/>
      <c r="D469" s="1526"/>
      <c r="E469" s="1526"/>
      <c r="F469" s="1526"/>
      <c r="G469" s="1526"/>
      <c r="H469" s="1526"/>
      <c r="I469" s="1526"/>
      <c r="J469" s="1539">
        <v>1000000</v>
      </c>
      <c r="K469" s="1614"/>
      <c r="L469" s="1551"/>
      <c r="M469" s="1626"/>
      <c r="N469" s="1626"/>
      <c r="O469" s="1627" t="s">
        <v>759</v>
      </c>
    </row>
    <row r="470" spans="1:15" s="146" customFormat="1" ht="42" x14ac:dyDescent="0.15">
      <c r="A470" s="1612" t="s">
        <v>700</v>
      </c>
      <c r="B470" s="1535" t="s">
        <v>708</v>
      </c>
      <c r="C470" s="1526"/>
      <c r="D470" s="1526"/>
      <c r="E470" s="1526"/>
      <c r="F470" s="1526"/>
      <c r="G470" s="1526"/>
      <c r="H470" s="1526"/>
      <c r="I470" s="1526"/>
      <c r="J470" s="1539">
        <v>1000000</v>
      </c>
      <c r="K470" s="1614"/>
      <c r="L470" s="1551"/>
      <c r="M470" s="1626"/>
      <c r="N470" s="1626"/>
      <c r="O470" s="1627" t="s">
        <v>759</v>
      </c>
    </row>
    <row r="471" spans="1:15" s="146" customFormat="1" ht="33.6" x14ac:dyDescent="0.15">
      <c r="A471" s="1612" t="s">
        <v>700</v>
      </c>
      <c r="B471" s="1535" t="s">
        <v>1516</v>
      </c>
      <c r="C471" s="1526"/>
      <c r="D471" s="1526"/>
      <c r="E471" s="1526"/>
      <c r="F471" s="1526"/>
      <c r="G471" s="1526"/>
      <c r="H471" s="1526"/>
      <c r="I471" s="1526"/>
      <c r="J471" s="1539">
        <v>230000</v>
      </c>
      <c r="K471" s="1614"/>
      <c r="L471" s="1551"/>
      <c r="M471" s="1626"/>
      <c r="N471" s="1626"/>
      <c r="O471" s="1627" t="s">
        <v>759</v>
      </c>
    </row>
    <row r="472" spans="1:15" s="146" customFormat="1" ht="16.8" x14ac:dyDescent="0.15">
      <c r="A472" s="1612" t="s">
        <v>700</v>
      </c>
      <c r="B472" s="1535" t="s">
        <v>1179</v>
      </c>
      <c r="C472" s="1526"/>
      <c r="D472" s="1526"/>
      <c r="E472" s="1526"/>
      <c r="F472" s="1526"/>
      <c r="G472" s="1526"/>
      <c r="H472" s="1526"/>
      <c r="I472" s="1526"/>
      <c r="J472" s="924"/>
      <c r="K472" s="1551"/>
      <c r="L472" s="1539">
        <v>460000</v>
      </c>
      <c r="M472" s="1629"/>
      <c r="N472" s="1629"/>
      <c r="O472" s="1627"/>
    </row>
    <row r="473" spans="1:15" s="146" customFormat="1" ht="16.8" x14ac:dyDescent="0.15">
      <c r="A473" s="1612" t="s">
        <v>764</v>
      </c>
      <c r="B473" s="1535" t="s">
        <v>763</v>
      </c>
      <c r="C473" s="1526"/>
      <c r="D473" s="1526"/>
      <c r="E473" s="1526"/>
      <c r="F473" s="1526"/>
      <c r="G473" s="1526"/>
      <c r="H473" s="1526"/>
      <c r="I473" s="1526"/>
      <c r="J473" s="1539">
        <v>3000000</v>
      </c>
      <c r="K473" s="1551"/>
      <c r="L473" s="1551"/>
      <c r="M473" s="1626"/>
      <c r="N473" s="1626"/>
      <c r="O473" s="1627"/>
    </row>
    <row r="474" spans="1:15" s="146" customFormat="1" ht="16.8" x14ac:dyDescent="0.15">
      <c r="A474" s="1612" t="s">
        <v>764</v>
      </c>
      <c r="B474" s="1535" t="s">
        <v>1547</v>
      </c>
      <c r="C474" s="1526"/>
      <c r="D474" s="1526"/>
      <c r="E474" s="1526"/>
      <c r="F474" s="1526"/>
      <c r="G474" s="1526"/>
      <c r="H474" s="1526"/>
      <c r="I474" s="1526"/>
      <c r="J474" s="1539">
        <v>9000000</v>
      </c>
      <c r="K474" s="1551"/>
      <c r="L474" s="1551"/>
      <c r="M474" s="1626"/>
      <c r="N474" s="1626"/>
      <c r="O474" s="1627"/>
    </row>
    <row r="475" spans="1:15" s="146" customFormat="1" ht="8.4" x14ac:dyDescent="0.15">
      <c r="A475" s="1612" t="s">
        <v>764</v>
      </c>
      <c r="B475" s="1535" t="s">
        <v>129</v>
      </c>
      <c r="C475" s="1526"/>
      <c r="D475" s="1526"/>
      <c r="E475" s="1526"/>
      <c r="F475" s="1526"/>
      <c r="G475" s="1526"/>
      <c r="H475" s="1526"/>
      <c r="I475" s="1526"/>
      <c r="J475" s="1539">
        <v>10000</v>
      </c>
      <c r="K475" s="1551"/>
      <c r="L475" s="1551"/>
      <c r="M475" s="1626"/>
      <c r="N475" s="1626"/>
      <c r="O475" s="1627"/>
    </row>
    <row r="476" spans="1:15" s="146" customFormat="1" ht="25.2" x14ac:dyDescent="0.15">
      <c r="A476" s="1612" t="s">
        <v>852</v>
      </c>
      <c r="B476" s="1535" t="s">
        <v>855</v>
      </c>
      <c r="C476" s="1526"/>
      <c r="D476" s="1526"/>
      <c r="E476" s="1526"/>
      <c r="F476" s="1526"/>
      <c r="G476" s="1526"/>
      <c r="H476" s="1526"/>
      <c r="I476" s="1526"/>
      <c r="J476" s="1551"/>
      <c r="K476" s="1539">
        <v>85000</v>
      </c>
      <c r="L476" s="1551"/>
      <c r="M476" s="1626"/>
      <c r="N476" s="1626"/>
      <c r="O476" s="1627"/>
    </row>
    <row r="477" spans="1:15" s="146" customFormat="1" ht="25.2" x14ac:dyDescent="0.15">
      <c r="A477" s="1612" t="s">
        <v>852</v>
      </c>
      <c r="B477" s="1535" t="s">
        <v>856</v>
      </c>
      <c r="C477" s="1526"/>
      <c r="D477" s="1526"/>
      <c r="E477" s="1526"/>
      <c r="F477" s="1526"/>
      <c r="G477" s="1526"/>
      <c r="H477" s="1526"/>
      <c r="I477" s="1526"/>
      <c r="J477" s="1539">
        <v>3200000</v>
      </c>
      <c r="K477" s="1551"/>
      <c r="L477" s="1551"/>
      <c r="M477" s="1626"/>
      <c r="N477" s="1626"/>
      <c r="O477" s="1627"/>
    </row>
    <row r="478" spans="1:15" s="146" customFormat="1" ht="25.2" x14ac:dyDescent="0.15">
      <c r="A478" s="1612" t="s">
        <v>852</v>
      </c>
      <c r="B478" s="1535" t="s">
        <v>857</v>
      </c>
      <c r="C478" s="1526"/>
      <c r="D478" s="1526"/>
      <c r="E478" s="1526"/>
      <c r="F478" s="1526"/>
      <c r="G478" s="1526"/>
      <c r="H478" s="1526"/>
      <c r="I478" s="1539"/>
      <c r="J478" s="1551"/>
      <c r="K478" s="1539">
        <v>180000</v>
      </c>
      <c r="L478" s="1551"/>
      <c r="M478" s="1626"/>
      <c r="N478" s="1626"/>
      <c r="O478" s="1627"/>
    </row>
    <row r="479" spans="1:15" s="146" customFormat="1" ht="16.8" x14ac:dyDescent="0.15">
      <c r="A479" s="1612" t="s">
        <v>852</v>
      </c>
      <c r="B479" s="1535" t="s">
        <v>858</v>
      </c>
      <c r="C479" s="1526"/>
      <c r="D479" s="1526"/>
      <c r="E479" s="1526"/>
      <c r="F479" s="1526"/>
      <c r="G479" s="1526"/>
      <c r="H479" s="1526"/>
      <c r="I479" s="1539"/>
      <c r="J479" s="1551">
        <v>700000</v>
      </c>
      <c r="K479" s="1551"/>
      <c r="L479" s="1551"/>
      <c r="M479" s="1626"/>
      <c r="N479" s="1626"/>
      <c r="O479" s="1627" t="s">
        <v>1496</v>
      </c>
    </row>
    <row r="480" spans="1:15" s="146" customFormat="1" ht="16.8" x14ac:dyDescent="0.15">
      <c r="A480" s="1612" t="s">
        <v>852</v>
      </c>
      <c r="B480" s="1535" t="s">
        <v>859</v>
      </c>
      <c r="C480" s="1526"/>
      <c r="D480" s="1526"/>
      <c r="E480" s="1526"/>
      <c r="F480" s="1526"/>
      <c r="G480" s="1526"/>
      <c r="H480" s="1526"/>
      <c r="I480" s="1539"/>
      <c r="J480" s="1551"/>
      <c r="K480" s="1539">
        <v>1500000</v>
      </c>
      <c r="L480" s="1551"/>
      <c r="M480" s="1626"/>
      <c r="N480" s="1626"/>
      <c r="O480" s="1627"/>
    </row>
    <row r="481" spans="1:15" s="146" customFormat="1" ht="16.8" x14ac:dyDescent="0.15">
      <c r="A481" s="1612" t="s">
        <v>742</v>
      </c>
      <c r="B481" s="1535" t="s">
        <v>1181</v>
      </c>
      <c r="C481" s="1526"/>
      <c r="D481" s="1526"/>
      <c r="E481" s="1526"/>
      <c r="F481" s="1526"/>
      <c r="G481" s="1633"/>
      <c r="H481" s="1633"/>
      <c r="I481" s="1526"/>
      <c r="J481" s="1551"/>
      <c r="K481" s="1551"/>
      <c r="L481" s="1539">
        <v>75000</v>
      </c>
      <c r="M481" s="1629"/>
      <c r="N481" s="1629"/>
      <c r="O481" s="1627"/>
    </row>
    <row r="482" spans="1:15" s="146" customFormat="1" ht="16.8" x14ac:dyDescent="0.15">
      <c r="A482" s="1612" t="s">
        <v>742</v>
      </c>
      <c r="B482" s="1535" t="s">
        <v>1180</v>
      </c>
      <c r="C482" s="1526"/>
      <c r="D482" s="1526"/>
      <c r="E482" s="1526"/>
      <c r="F482" s="1526"/>
      <c r="G482" s="1633"/>
      <c r="H482" s="1633"/>
      <c r="I482" s="1526"/>
      <c r="J482" s="1551"/>
      <c r="K482" s="1551"/>
      <c r="L482" s="1539">
        <v>250000</v>
      </c>
      <c r="M482" s="1629"/>
      <c r="N482" s="1629"/>
      <c r="O482" s="1627"/>
    </row>
    <row r="483" spans="1:15" s="146" customFormat="1" ht="16.8" x14ac:dyDescent="0.15">
      <c r="A483" s="1612" t="s">
        <v>742</v>
      </c>
      <c r="B483" s="1535" t="s">
        <v>1182</v>
      </c>
      <c r="C483" s="1526"/>
      <c r="D483" s="1526"/>
      <c r="E483" s="1526"/>
      <c r="F483" s="1526"/>
      <c r="G483" s="1526"/>
      <c r="H483" s="1526"/>
      <c r="I483" s="1526"/>
      <c r="J483" s="1551"/>
      <c r="K483" s="1551"/>
      <c r="L483" s="1539">
        <v>680000</v>
      </c>
      <c r="M483" s="1629"/>
      <c r="N483" s="1629"/>
      <c r="O483" s="1627"/>
    </row>
    <row r="484" spans="1:15" s="146" customFormat="1" ht="8.4" x14ac:dyDescent="0.15">
      <c r="A484" s="1612" t="s">
        <v>761</v>
      </c>
      <c r="B484" s="1535" t="s">
        <v>762</v>
      </c>
      <c r="C484" s="1526"/>
      <c r="D484" s="1526"/>
      <c r="E484" s="1526"/>
      <c r="F484" s="1526"/>
      <c r="G484" s="1526"/>
      <c r="H484" s="1526"/>
      <c r="I484" s="1633"/>
      <c r="J484" s="1539">
        <v>330000</v>
      </c>
      <c r="K484" s="1551"/>
      <c r="L484" s="1551"/>
      <c r="M484" s="1626"/>
      <c r="N484" s="1626"/>
      <c r="O484" s="1627"/>
    </row>
    <row r="485" spans="1:15" s="146" customFormat="1" ht="16.8" x14ac:dyDescent="0.15">
      <c r="A485" s="1612" t="s">
        <v>792</v>
      </c>
      <c r="B485" s="1535" t="s">
        <v>860</v>
      </c>
      <c r="C485" s="1526"/>
      <c r="D485" s="1526"/>
      <c r="E485" s="1526"/>
      <c r="F485" s="1526"/>
      <c r="G485" s="1526"/>
      <c r="H485" s="1526"/>
      <c r="I485" s="1633"/>
      <c r="J485" s="1551"/>
      <c r="K485" s="1539">
        <v>70000</v>
      </c>
      <c r="L485" s="1551"/>
      <c r="M485" s="1626"/>
      <c r="N485" s="1626"/>
      <c r="O485" s="1627"/>
    </row>
    <row r="486" spans="1:15" s="146" customFormat="1" ht="16.8" x14ac:dyDescent="0.15">
      <c r="A486" s="1612" t="s">
        <v>792</v>
      </c>
      <c r="B486" s="1535" t="s">
        <v>1498</v>
      </c>
      <c r="C486" s="1526"/>
      <c r="D486" s="1526"/>
      <c r="E486" s="1526"/>
      <c r="F486" s="1526"/>
      <c r="G486" s="1526"/>
      <c r="H486" s="1526"/>
      <c r="I486" s="1633"/>
      <c r="J486" s="1539">
        <v>1000000</v>
      </c>
      <c r="K486" s="1551"/>
      <c r="L486" s="1551"/>
      <c r="M486" s="1626"/>
      <c r="N486" s="1626"/>
      <c r="O486" s="1627"/>
    </row>
    <row r="487" spans="1:15" s="146" customFormat="1" ht="16.8" x14ac:dyDescent="0.15">
      <c r="A487" s="1612" t="s">
        <v>792</v>
      </c>
      <c r="B487" s="1535" t="s">
        <v>861</v>
      </c>
      <c r="C487" s="1526"/>
      <c r="D487" s="1526"/>
      <c r="E487" s="1526"/>
      <c r="F487" s="1526"/>
      <c r="G487" s="1526"/>
      <c r="H487" s="1526"/>
      <c r="I487" s="1526"/>
      <c r="J487" s="1551"/>
      <c r="K487" s="1539">
        <v>75000</v>
      </c>
      <c r="L487" s="1551"/>
      <c r="M487" s="1626"/>
      <c r="N487" s="1626"/>
      <c r="O487" s="1627"/>
    </row>
    <row r="488" spans="1:15" s="146" customFormat="1" ht="16.8" x14ac:dyDescent="0.15">
      <c r="A488" s="1612" t="s">
        <v>792</v>
      </c>
      <c r="B488" s="1535" t="s">
        <v>862</v>
      </c>
      <c r="C488" s="1526"/>
      <c r="D488" s="1526"/>
      <c r="E488" s="1526"/>
      <c r="F488" s="1526"/>
      <c r="G488" s="1526"/>
      <c r="H488" s="1526"/>
      <c r="I488" s="1526"/>
      <c r="J488" s="1551"/>
      <c r="K488" s="1539">
        <v>500000</v>
      </c>
      <c r="L488" s="1551"/>
      <c r="M488" s="1626"/>
      <c r="N488" s="1626"/>
      <c r="O488" s="1627" t="s">
        <v>1497</v>
      </c>
    </row>
    <row r="489" spans="1:15" s="146" customFormat="1" ht="16.8" x14ac:dyDescent="0.15">
      <c r="A489" s="1612" t="s">
        <v>765</v>
      </c>
      <c r="B489" s="1535" t="s">
        <v>1259</v>
      </c>
      <c r="C489" s="1526"/>
      <c r="D489" s="1526"/>
      <c r="E489" s="1526"/>
      <c r="F489" s="1526"/>
      <c r="G489" s="1526"/>
      <c r="H489" s="1526"/>
      <c r="I489" s="1526"/>
      <c r="J489" s="1539">
        <v>5000000</v>
      </c>
      <c r="K489" s="1551"/>
      <c r="L489" s="1551"/>
      <c r="M489" s="1626"/>
      <c r="N489" s="1626"/>
      <c r="O489" s="1627"/>
    </row>
    <row r="490" spans="1:15" s="146" customFormat="1" ht="8.4" x14ac:dyDescent="0.15">
      <c r="A490" s="1612" t="s">
        <v>765</v>
      </c>
      <c r="B490" s="1535" t="s">
        <v>129</v>
      </c>
      <c r="C490" s="1526"/>
      <c r="D490" s="1526"/>
      <c r="E490" s="1526"/>
      <c r="F490" s="1526"/>
      <c r="G490" s="1526"/>
      <c r="H490" s="1526"/>
      <c r="I490" s="1526"/>
      <c r="J490" s="1539">
        <v>10000</v>
      </c>
      <c r="K490" s="1551"/>
      <c r="L490" s="1551"/>
      <c r="M490" s="1626"/>
      <c r="N490" s="1626"/>
      <c r="O490" s="1627"/>
    </row>
    <row r="491" spans="1:15" s="146" customFormat="1" ht="25.2" x14ac:dyDescent="0.15">
      <c r="A491" s="1612" t="s">
        <v>765</v>
      </c>
      <c r="B491" s="1535" t="s">
        <v>1344</v>
      </c>
      <c r="C491" s="1526"/>
      <c r="D491" s="1526"/>
      <c r="E491" s="1526"/>
      <c r="F491" s="1526"/>
      <c r="G491" s="1526"/>
      <c r="H491" s="1526"/>
      <c r="I491" s="1633"/>
      <c r="J491" s="1539">
        <v>10000000</v>
      </c>
      <c r="K491" s="1551"/>
      <c r="L491" s="1551"/>
      <c r="M491" s="1626"/>
      <c r="N491" s="1626"/>
      <c r="O491" s="1627"/>
    </row>
    <row r="492" spans="1:15" s="146" customFormat="1" ht="16.8" x14ac:dyDescent="0.15">
      <c r="A492" s="1612" t="s">
        <v>843</v>
      </c>
      <c r="B492" s="1535" t="s">
        <v>1343</v>
      </c>
      <c r="C492" s="1526"/>
      <c r="D492" s="1526"/>
      <c r="E492" s="1526"/>
      <c r="F492" s="1526"/>
      <c r="G492" s="1526"/>
      <c r="H492" s="1526"/>
      <c r="I492" s="1633"/>
      <c r="J492" s="1539">
        <v>10000000</v>
      </c>
      <c r="K492" s="1551"/>
      <c r="L492" s="1551"/>
      <c r="M492" s="1626"/>
      <c r="N492" s="1626"/>
      <c r="O492" s="1627" t="s">
        <v>769</v>
      </c>
    </row>
    <row r="493" spans="1:15" s="146" customFormat="1" ht="25.2" x14ac:dyDescent="0.15">
      <c r="A493" s="1612" t="s">
        <v>844</v>
      </c>
      <c r="B493" s="1535" t="s">
        <v>1499</v>
      </c>
      <c r="C493" s="1526"/>
      <c r="D493" s="1526"/>
      <c r="E493" s="1526"/>
      <c r="F493" s="1526"/>
      <c r="G493" s="1526"/>
      <c r="H493" s="1526"/>
      <c r="I493" s="1526"/>
      <c r="J493" s="1539">
        <v>150000</v>
      </c>
      <c r="K493" s="1551"/>
      <c r="L493" s="1551"/>
      <c r="M493" s="1626"/>
      <c r="N493" s="1626"/>
      <c r="O493" s="1627"/>
    </row>
    <row r="494" spans="1:15" s="146" customFormat="1" ht="25.2" x14ac:dyDescent="0.15">
      <c r="A494" s="1612" t="s">
        <v>844</v>
      </c>
      <c r="B494" s="1535" t="s">
        <v>1501</v>
      </c>
      <c r="C494" s="1526"/>
      <c r="D494" s="1526"/>
      <c r="E494" s="1526"/>
      <c r="F494" s="1526"/>
      <c r="G494" s="1526"/>
      <c r="H494" s="1526"/>
      <c r="I494" s="1633"/>
      <c r="J494" s="1539">
        <v>100000</v>
      </c>
      <c r="K494" s="1551"/>
      <c r="L494" s="1551"/>
      <c r="M494" s="1626"/>
      <c r="N494" s="1626"/>
      <c r="O494" s="1627"/>
    </row>
    <row r="495" spans="1:15" s="146" customFormat="1" ht="25.2" x14ac:dyDescent="0.15">
      <c r="A495" s="1612" t="s">
        <v>844</v>
      </c>
      <c r="B495" s="1535" t="s">
        <v>1502</v>
      </c>
      <c r="C495" s="1526"/>
      <c r="D495" s="1526"/>
      <c r="E495" s="1526"/>
      <c r="F495" s="1526"/>
      <c r="G495" s="1526"/>
      <c r="H495" s="1526"/>
      <c r="I495" s="1633"/>
      <c r="J495" s="1539">
        <v>200000</v>
      </c>
      <c r="K495" s="1551"/>
      <c r="L495" s="1551"/>
      <c r="M495" s="1626"/>
      <c r="N495" s="1626"/>
      <c r="O495" s="1627"/>
    </row>
    <row r="496" spans="1:15" s="146" customFormat="1" ht="25.2" x14ac:dyDescent="0.15">
      <c r="A496" s="1612" t="s">
        <v>844</v>
      </c>
      <c r="B496" s="1535" t="s">
        <v>1503</v>
      </c>
      <c r="C496" s="1526"/>
      <c r="D496" s="1526"/>
      <c r="E496" s="1526"/>
      <c r="F496" s="1526"/>
      <c r="G496" s="1633"/>
      <c r="H496" s="1633"/>
      <c r="I496" s="1526"/>
      <c r="J496" s="1539">
        <v>1000000</v>
      </c>
      <c r="K496" s="1551"/>
      <c r="L496" s="1551"/>
      <c r="M496" s="1626"/>
      <c r="N496" s="1626"/>
      <c r="O496" s="1627" t="s">
        <v>1504</v>
      </c>
    </row>
    <row r="497" spans="1:16" s="146" customFormat="1" ht="25.2" x14ac:dyDescent="0.15">
      <c r="A497" s="1612" t="s">
        <v>844</v>
      </c>
      <c r="B497" s="1535" t="s">
        <v>1505</v>
      </c>
      <c r="C497" s="1526"/>
      <c r="D497" s="1526"/>
      <c r="E497" s="1526"/>
      <c r="F497" s="1526"/>
      <c r="G497" s="1633"/>
      <c r="H497" s="1633"/>
      <c r="I497" s="1526"/>
      <c r="J497" s="1539">
        <v>1500000</v>
      </c>
      <c r="K497" s="1551"/>
      <c r="L497" s="1551"/>
      <c r="M497" s="1626"/>
      <c r="N497" s="1626"/>
      <c r="O497" s="1627" t="s">
        <v>1509</v>
      </c>
    </row>
    <row r="498" spans="1:16" s="146" customFormat="1" ht="25.2" x14ac:dyDescent="0.15">
      <c r="A498" s="1612" t="s">
        <v>844</v>
      </c>
      <c r="B498" s="1535" t="s">
        <v>1506</v>
      </c>
      <c r="C498" s="1526"/>
      <c r="D498" s="1526"/>
      <c r="E498" s="1526"/>
      <c r="F498" s="1526"/>
      <c r="G498" s="1526"/>
      <c r="H498" s="1526"/>
      <c r="I498" s="1633"/>
      <c r="J498" s="1539">
        <v>740000</v>
      </c>
      <c r="K498" s="1551"/>
      <c r="L498" s="1551"/>
      <c r="M498" s="1626"/>
      <c r="N498" s="1626"/>
      <c r="O498" s="1627"/>
    </row>
    <row r="499" spans="1:16" s="146" customFormat="1" ht="25.2" x14ac:dyDescent="0.15">
      <c r="A499" s="1612" t="s">
        <v>844</v>
      </c>
      <c r="B499" s="1535" t="s">
        <v>1507</v>
      </c>
      <c r="C499" s="1526"/>
      <c r="D499" s="1526"/>
      <c r="E499" s="1526"/>
      <c r="F499" s="1526"/>
      <c r="G499" s="1526"/>
      <c r="H499" s="1526"/>
      <c r="I499" s="1633"/>
      <c r="J499" s="1539">
        <v>350000</v>
      </c>
      <c r="K499" s="1551"/>
      <c r="L499" s="1551"/>
      <c r="M499" s="1626"/>
      <c r="N499" s="1626"/>
      <c r="O499" s="1627"/>
    </row>
    <row r="500" spans="1:16" s="146" customFormat="1" ht="25.2" x14ac:dyDescent="0.15">
      <c r="A500" s="1612" t="s">
        <v>844</v>
      </c>
      <c r="B500" s="1535" t="s">
        <v>1500</v>
      </c>
      <c r="C500" s="1526"/>
      <c r="D500" s="1526"/>
      <c r="E500" s="1526"/>
      <c r="F500" s="1526"/>
      <c r="G500" s="1526"/>
      <c r="H500" s="1526"/>
      <c r="I500" s="1539"/>
      <c r="J500" s="1551"/>
      <c r="K500" s="1539">
        <v>1000000</v>
      </c>
      <c r="L500" s="1551"/>
      <c r="M500" s="1626"/>
      <c r="N500" s="1626"/>
      <c r="O500" s="1627"/>
    </row>
    <row r="501" spans="1:16" s="146" customFormat="1" ht="25.2" x14ac:dyDescent="0.15">
      <c r="A501" s="1612" t="s">
        <v>844</v>
      </c>
      <c r="B501" s="1535" t="s">
        <v>1508</v>
      </c>
      <c r="C501" s="1526"/>
      <c r="D501" s="1526"/>
      <c r="E501" s="1526"/>
      <c r="F501" s="1526"/>
      <c r="G501" s="1526"/>
      <c r="H501" s="1526"/>
      <c r="I501" s="1539"/>
      <c r="J501" s="1539">
        <v>500000</v>
      </c>
      <c r="K501" s="1539"/>
      <c r="L501" s="1551"/>
      <c r="M501" s="1626"/>
      <c r="N501" s="1626"/>
      <c r="O501" s="1627"/>
    </row>
    <row r="502" spans="1:16" s="146" customFormat="1" ht="25.2" x14ac:dyDescent="0.15">
      <c r="A502" s="1612" t="s">
        <v>844</v>
      </c>
      <c r="B502" s="1535" t="s">
        <v>1510</v>
      </c>
      <c r="C502" s="1526"/>
      <c r="D502" s="1526"/>
      <c r="E502" s="1526"/>
      <c r="F502" s="1526"/>
      <c r="G502" s="1539"/>
      <c r="H502" s="1539"/>
      <c r="I502" s="1551"/>
      <c r="J502" s="1539">
        <v>270000</v>
      </c>
      <c r="K502" s="1539"/>
      <c r="L502" s="1551"/>
      <c r="M502" s="1626"/>
      <c r="N502" s="1626"/>
      <c r="O502" s="1627"/>
    </row>
    <row r="503" spans="1:16" s="146" customFormat="1" ht="16.8" x14ac:dyDescent="0.15">
      <c r="A503" s="1612" t="s">
        <v>844</v>
      </c>
      <c r="B503" s="1535" t="s">
        <v>863</v>
      </c>
      <c r="C503" s="1526"/>
      <c r="D503" s="1526"/>
      <c r="E503" s="1526"/>
      <c r="F503" s="1539"/>
      <c r="G503" s="1526"/>
      <c r="H503" s="1526"/>
      <c r="I503" s="1526"/>
      <c r="J503" s="1539">
        <v>17500000</v>
      </c>
      <c r="K503" s="1551"/>
      <c r="L503" s="1551"/>
      <c r="M503" s="1626"/>
      <c r="N503" s="1626"/>
      <c r="O503" s="1627"/>
    </row>
    <row r="504" spans="1:16" s="146" customFormat="1" ht="33.6" x14ac:dyDescent="0.15">
      <c r="A504" s="1612" t="s">
        <v>864</v>
      </c>
      <c r="B504" s="1535" t="s">
        <v>889</v>
      </c>
      <c r="C504" s="1526"/>
      <c r="D504" s="1526"/>
      <c r="E504" s="1526"/>
      <c r="F504" s="1526"/>
      <c r="G504" s="1526"/>
      <c r="H504" s="1526"/>
      <c r="I504" s="1526"/>
      <c r="J504" s="1539">
        <v>500000</v>
      </c>
      <c r="K504" s="1551"/>
      <c r="L504" s="1551"/>
      <c r="M504" s="1626"/>
      <c r="N504" s="1626"/>
      <c r="O504" s="1627"/>
    </row>
    <row r="505" spans="1:16" s="146" customFormat="1" ht="33.6" x14ac:dyDescent="0.15">
      <c r="A505" s="1612" t="s">
        <v>864</v>
      </c>
      <c r="B505" s="1535" t="s">
        <v>868</v>
      </c>
      <c r="C505" s="1526"/>
      <c r="D505" s="1526"/>
      <c r="E505" s="1526"/>
      <c r="F505" s="1526"/>
      <c r="G505" s="1526"/>
      <c r="H505" s="1526"/>
      <c r="I505" s="1539"/>
      <c r="J505" s="1539">
        <v>120000</v>
      </c>
      <c r="K505" s="1551"/>
      <c r="L505" s="1551"/>
      <c r="M505" s="1626"/>
      <c r="N505" s="1626"/>
      <c r="O505" s="1627"/>
    </row>
    <row r="506" spans="1:16" s="146" customFormat="1" ht="25.2" x14ac:dyDescent="0.15">
      <c r="A506" s="1612" t="s">
        <v>864</v>
      </c>
      <c r="B506" s="1535" t="s">
        <v>865</v>
      </c>
      <c r="C506" s="1526"/>
      <c r="D506" s="1526"/>
      <c r="E506" s="1526"/>
      <c r="F506" s="1526"/>
      <c r="G506" s="1526"/>
      <c r="H506" s="1526"/>
      <c r="I506" s="1526"/>
      <c r="J506" s="1539">
        <v>200000</v>
      </c>
      <c r="K506" s="1551"/>
      <c r="L506" s="1551"/>
      <c r="M506" s="1626"/>
      <c r="N506" s="1626"/>
      <c r="O506" s="1627"/>
    </row>
    <row r="507" spans="1:16" s="146" customFormat="1" ht="33.6" x14ac:dyDescent="0.15">
      <c r="A507" s="1612" t="s">
        <v>864</v>
      </c>
      <c r="B507" s="1535" t="s">
        <v>866</v>
      </c>
      <c r="C507" s="1526"/>
      <c r="D507" s="1526"/>
      <c r="E507" s="1526"/>
      <c r="F507" s="1526"/>
      <c r="G507" s="1526"/>
      <c r="H507" s="1526"/>
      <c r="I507" s="1526"/>
      <c r="J507" s="1539">
        <v>1200000</v>
      </c>
      <c r="K507" s="1551"/>
      <c r="L507" s="1551"/>
      <c r="M507" s="1626"/>
      <c r="N507" s="1626"/>
      <c r="O507" s="1627"/>
    </row>
    <row r="508" spans="1:16" s="146" customFormat="1" ht="25.2" x14ac:dyDescent="0.15">
      <c r="A508" s="1612" t="s">
        <v>864</v>
      </c>
      <c r="B508" s="1535" t="s">
        <v>867</v>
      </c>
      <c r="C508" s="1526"/>
      <c r="D508" s="1526"/>
      <c r="E508" s="1526"/>
      <c r="F508" s="1526"/>
      <c r="G508" s="1526"/>
      <c r="H508" s="1526"/>
      <c r="I508" s="1526"/>
      <c r="J508" s="1539">
        <v>150000</v>
      </c>
      <c r="K508" s="1551"/>
      <c r="L508" s="1551"/>
      <c r="M508" s="1626"/>
      <c r="N508" s="1626"/>
      <c r="O508" s="1627"/>
    </row>
    <row r="509" spans="1:16" s="146" customFormat="1" ht="25.2" x14ac:dyDescent="0.15">
      <c r="A509" s="1612" t="s">
        <v>864</v>
      </c>
      <c r="B509" s="1535" t="s">
        <v>869</v>
      </c>
      <c r="C509" s="1526"/>
      <c r="D509" s="1526"/>
      <c r="E509" s="1526"/>
      <c r="F509" s="1526"/>
      <c r="G509" s="1526"/>
      <c r="H509" s="1526"/>
      <c r="I509" s="1526"/>
      <c r="J509" s="1539">
        <v>135000</v>
      </c>
      <c r="K509" s="1551"/>
      <c r="L509" s="1551"/>
      <c r="M509" s="1626"/>
      <c r="N509" s="1626"/>
      <c r="O509" s="1627"/>
    </row>
    <row r="510" spans="1:16" s="146" customFormat="1" ht="25.2" x14ac:dyDescent="0.15">
      <c r="A510" s="1612" t="s">
        <v>864</v>
      </c>
      <c r="B510" s="1535" t="s">
        <v>870</v>
      </c>
      <c r="C510" s="1526"/>
      <c r="D510" s="1526"/>
      <c r="E510" s="1526"/>
      <c r="F510" s="1526"/>
      <c r="G510" s="1526"/>
      <c r="H510" s="1526"/>
      <c r="I510" s="1526"/>
      <c r="J510" s="1539">
        <v>500000</v>
      </c>
      <c r="K510" s="1551"/>
      <c r="L510" s="1551"/>
      <c r="M510" s="1626"/>
      <c r="N510" s="1626"/>
      <c r="O510" s="1627"/>
      <c r="P510" s="1630"/>
    </row>
    <row r="511" spans="1:16" s="146" customFormat="1" ht="33.6" x14ac:dyDescent="0.15">
      <c r="A511" s="1612" t="s">
        <v>864</v>
      </c>
      <c r="B511" s="1535" t="s">
        <v>871</v>
      </c>
      <c r="C511" s="1526"/>
      <c r="D511" s="1526"/>
      <c r="E511" s="1526"/>
      <c r="F511" s="1526"/>
      <c r="G511" s="1526"/>
      <c r="H511" s="1526"/>
      <c r="I511" s="1526"/>
      <c r="J511" s="1539">
        <v>1650000</v>
      </c>
      <c r="K511" s="1551"/>
      <c r="L511" s="1551"/>
      <c r="M511" s="1626"/>
      <c r="N511" s="1626"/>
      <c r="O511" s="1627"/>
    </row>
    <row r="512" spans="1:16" s="146" customFormat="1" ht="33.6" x14ac:dyDescent="0.15">
      <c r="A512" s="1612" t="s">
        <v>864</v>
      </c>
      <c r="B512" s="1535" t="s">
        <v>888</v>
      </c>
      <c r="C512" s="1526"/>
      <c r="D512" s="1526"/>
      <c r="E512" s="1526"/>
      <c r="F512" s="1526"/>
      <c r="G512" s="1526"/>
      <c r="H512" s="1526"/>
      <c r="I512" s="1526"/>
      <c r="J512" s="1539">
        <v>1000000</v>
      </c>
      <c r="K512" s="1551"/>
      <c r="L512" s="1551"/>
      <c r="M512" s="1626"/>
      <c r="N512" s="1626"/>
      <c r="O512" s="1627" t="s">
        <v>1512</v>
      </c>
    </row>
    <row r="513" spans="1:15" s="146" customFormat="1" ht="33.6" x14ac:dyDescent="0.15">
      <c r="A513" s="1612" t="s">
        <v>864</v>
      </c>
      <c r="B513" s="1535" t="s">
        <v>1511</v>
      </c>
      <c r="C513" s="1526"/>
      <c r="D513" s="1526"/>
      <c r="E513" s="1526"/>
      <c r="F513" s="1526"/>
      <c r="G513" s="1526"/>
      <c r="H513" s="1526"/>
      <c r="I513" s="1526"/>
      <c r="J513" s="1539">
        <v>60000</v>
      </c>
      <c r="K513" s="1551"/>
      <c r="L513" s="1551"/>
      <c r="M513" s="1626"/>
      <c r="N513" s="1626"/>
      <c r="O513" s="1627"/>
    </row>
    <row r="514" spans="1:15" s="146" customFormat="1" ht="33.6" x14ac:dyDescent="0.15">
      <c r="A514" s="1612" t="s">
        <v>864</v>
      </c>
      <c r="B514" s="1535" t="s">
        <v>872</v>
      </c>
      <c r="C514" s="1526"/>
      <c r="D514" s="1526"/>
      <c r="E514" s="1526"/>
      <c r="F514" s="1526"/>
      <c r="G514" s="1526"/>
      <c r="H514" s="1526"/>
      <c r="I514" s="1526"/>
      <c r="J514" s="1539">
        <v>530000</v>
      </c>
      <c r="K514" s="1551"/>
      <c r="L514" s="1551"/>
      <c r="M514" s="1626"/>
      <c r="N514" s="1626"/>
      <c r="O514" s="1627"/>
    </row>
    <row r="515" spans="1:15" s="146" customFormat="1" ht="33.6" x14ac:dyDescent="0.15">
      <c r="A515" s="1612" t="s">
        <v>864</v>
      </c>
      <c r="B515" s="1535" t="s">
        <v>873</v>
      </c>
      <c r="C515" s="1526"/>
      <c r="D515" s="1526"/>
      <c r="E515" s="1526"/>
      <c r="F515" s="1526"/>
      <c r="G515" s="1526"/>
      <c r="H515" s="1526"/>
      <c r="I515" s="1526"/>
      <c r="J515" s="1539">
        <v>100000</v>
      </c>
      <c r="K515" s="1551"/>
      <c r="L515" s="1551"/>
      <c r="M515" s="1626"/>
      <c r="N515" s="1626"/>
      <c r="O515" s="1627"/>
    </row>
    <row r="516" spans="1:15" s="146" customFormat="1" ht="25.2" x14ac:dyDescent="0.15">
      <c r="A516" s="1612" t="s">
        <v>864</v>
      </c>
      <c r="B516" s="1535" t="s">
        <v>874</v>
      </c>
      <c r="C516" s="1526"/>
      <c r="D516" s="1526"/>
      <c r="E516" s="1526"/>
      <c r="F516" s="1526"/>
      <c r="G516" s="1526"/>
      <c r="H516" s="1526"/>
      <c r="I516" s="1526"/>
      <c r="J516" s="1539">
        <v>200000</v>
      </c>
      <c r="K516" s="1551"/>
      <c r="L516" s="1551"/>
      <c r="M516" s="1626"/>
      <c r="N516" s="1626"/>
      <c r="O516" s="1627"/>
    </row>
    <row r="517" spans="1:15" s="146" customFormat="1" ht="16.8" x14ac:dyDescent="0.15">
      <c r="A517" s="1612" t="s">
        <v>839</v>
      </c>
      <c r="B517" s="1535" t="s">
        <v>1209</v>
      </c>
      <c r="C517" s="1526"/>
      <c r="D517" s="1526"/>
      <c r="E517" s="1526"/>
      <c r="F517" s="1526"/>
      <c r="G517" s="1526"/>
      <c r="H517" s="1526"/>
      <c r="I517" s="1526"/>
      <c r="J517" s="1539">
        <v>4555000</v>
      </c>
      <c r="K517" s="1551"/>
      <c r="L517" s="1551"/>
      <c r="M517" s="1626"/>
      <c r="N517" s="1626"/>
      <c r="O517" s="1627"/>
    </row>
    <row r="518" spans="1:15" s="146" customFormat="1" ht="25.2" x14ac:dyDescent="0.15">
      <c r="A518" s="1612" t="s">
        <v>875</v>
      </c>
      <c r="B518" s="1535" t="s">
        <v>876</v>
      </c>
      <c r="C518" s="1526"/>
      <c r="D518" s="1526"/>
      <c r="E518" s="1526"/>
      <c r="F518" s="1526"/>
      <c r="G518" s="1526"/>
      <c r="H518" s="1526"/>
      <c r="I518" s="1526"/>
      <c r="J518" s="1539">
        <v>120000</v>
      </c>
      <c r="K518" s="1551"/>
      <c r="L518" s="1551"/>
      <c r="M518" s="1626"/>
      <c r="N518" s="1626"/>
      <c r="O518" s="1627"/>
    </row>
    <row r="519" spans="1:15" s="146" customFormat="1" ht="25.2" x14ac:dyDescent="0.15">
      <c r="A519" s="1612" t="s">
        <v>875</v>
      </c>
      <c r="B519" s="1535" t="s">
        <v>877</v>
      </c>
      <c r="C519" s="1526"/>
      <c r="D519" s="1526"/>
      <c r="E519" s="1526"/>
      <c r="F519" s="1526"/>
      <c r="G519" s="1526"/>
      <c r="H519" s="1526"/>
      <c r="I519" s="1526"/>
      <c r="J519" s="1539">
        <v>1000000</v>
      </c>
      <c r="K519" s="1551"/>
      <c r="L519" s="1551"/>
      <c r="M519" s="1626"/>
      <c r="N519" s="1626"/>
      <c r="O519" s="1627"/>
    </row>
    <row r="520" spans="1:15" s="146" customFormat="1" ht="16.8" x14ac:dyDescent="0.15">
      <c r="A520" s="1612" t="s">
        <v>875</v>
      </c>
      <c r="B520" s="1535" t="s">
        <v>878</v>
      </c>
      <c r="C520" s="1526"/>
      <c r="D520" s="1526"/>
      <c r="E520" s="1526"/>
      <c r="F520" s="1526"/>
      <c r="G520" s="1526"/>
      <c r="H520" s="1526"/>
      <c r="I520" s="1526"/>
      <c r="J520" s="1539">
        <v>1000000</v>
      </c>
      <c r="K520" s="1551"/>
      <c r="L520" s="1551"/>
      <c r="M520" s="1626"/>
      <c r="N520" s="1626"/>
      <c r="O520" s="1627" t="s">
        <v>1513</v>
      </c>
    </row>
    <row r="521" spans="1:15" s="146" customFormat="1" ht="16.8" x14ac:dyDescent="0.15">
      <c r="A521" s="1612" t="s">
        <v>875</v>
      </c>
      <c r="B521" s="1535" t="s">
        <v>879</v>
      </c>
      <c r="C521" s="1526"/>
      <c r="D521" s="1526"/>
      <c r="E521" s="1526"/>
      <c r="F521" s="1526"/>
      <c r="G521" s="1526"/>
      <c r="H521" s="1526"/>
      <c r="I521" s="1526"/>
      <c r="J521" s="1539">
        <v>190000</v>
      </c>
      <c r="K521" s="1551"/>
      <c r="L521" s="1551"/>
      <c r="M521" s="1626"/>
      <c r="N521" s="1626"/>
      <c r="O521" s="1627"/>
    </row>
    <row r="522" spans="1:15" s="146" customFormat="1" ht="25.2" x14ac:dyDescent="0.15">
      <c r="A522" s="1612" t="s">
        <v>823</v>
      </c>
      <c r="B522" s="1535" t="s">
        <v>880</v>
      </c>
      <c r="C522" s="1526"/>
      <c r="D522" s="1526"/>
      <c r="E522" s="1526"/>
      <c r="F522" s="1526"/>
      <c r="G522" s="1526"/>
      <c r="H522" s="1526"/>
      <c r="I522" s="1526"/>
      <c r="J522" s="1539">
        <v>120000</v>
      </c>
      <c r="K522" s="1551"/>
      <c r="L522" s="1551"/>
      <c r="M522" s="1626"/>
      <c r="N522" s="1626"/>
      <c r="O522" s="1627"/>
    </row>
    <row r="523" spans="1:15" s="146" customFormat="1" ht="16.8" x14ac:dyDescent="0.15">
      <c r="A523" s="1612" t="s">
        <v>823</v>
      </c>
      <c r="B523" s="1535" t="s">
        <v>881</v>
      </c>
      <c r="C523" s="1526"/>
      <c r="D523" s="1526"/>
      <c r="E523" s="1526"/>
      <c r="F523" s="1526"/>
      <c r="G523" s="1526"/>
      <c r="H523" s="1526"/>
      <c r="I523" s="1526"/>
      <c r="J523" s="1539">
        <v>500000</v>
      </c>
      <c r="K523" s="1551"/>
      <c r="L523" s="1551"/>
      <c r="M523" s="1626"/>
      <c r="N523" s="1626"/>
      <c r="O523" s="1627" t="s">
        <v>1514</v>
      </c>
    </row>
    <row r="524" spans="1:15" s="146" customFormat="1" ht="25.2" x14ac:dyDescent="0.15">
      <c r="A524" s="1612" t="s">
        <v>823</v>
      </c>
      <c r="B524" s="1535" t="s">
        <v>882</v>
      </c>
      <c r="C524" s="1526"/>
      <c r="D524" s="1526"/>
      <c r="E524" s="1526"/>
      <c r="F524" s="1526"/>
      <c r="G524" s="1526"/>
      <c r="H524" s="1526"/>
      <c r="I524" s="1526"/>
      <c r="J524" s="1539">
        <v>250000</v>
      </c>
      <c r="K524" s="1551"/>
      <c r="L524" s="1551"/>
      <c r="M524" s="1626"/>
      <c r="N524" s="1626"/>
      <c r="O524" s="1627"/>
    </row>
    <row r="525" spans="1:15" s="146" customFormat="1" ht="25.2" x14ac:dyDescent="0.15">
      <c r="A525" s="1612" t="s">
        <v>823</v>
      </c>
      <c r="B525" s="1535" t="s">
        <v>1232</v>
      </c>
      <c r="C525" s="1526"/>
      <c r="D525" s="1526"/>
      <c r="E525" s="1526"/>
      <c r="F525" s="1526"/>
      <c r="G525" s="1526"/>
      <c r="H525" s="1526"/>
      <c r="I525" s="1526"/>
      <c r="J525" s="1539">
        <v>1000000</v>
      </c>
      <c r="K525" s="1551"/>
      <c r="L525" s="1551"/>
      <c r="M525" s="1626"/>
      <c r="N525" s="1626"/>
      <c r="O525" s="1627"/>
    </row>
    <row r="526" spans="1:15" s="146" customFormat="1" ht="16.8" x14ac:dyDescent="0.15">
      <c r="A526" s="1612" t="s">
        <v>823</v>
      </c>
      <c r="B526" s="1535" t="s">
        <v>1257</v>
      </c>
      <c r="C526" s="1526"/>
      <c r="D526" s="1526"/>
      <c r="E526" s="1526"/>
      <c r="F526" s="1526"/>
      <c r="G526" s="1526"/>
      <c r="H526" s="1526"/>
      <c r="I526" s="1526"/>
      <c r="J526" s="1539">
        <v>332000</v>
      </c>
      <c r="K526" s="1551"/>
      <c r="L526" s="1551"/>
      <c r="M526" s="1626"/>
      <c r="N526" s="1626"/>
      <c r="O526" s="1627"/>
    </row>
    <row r="527" spans="1:15" s="146" customFormat="1" ht="8.4" x14ac:dyDescent="0.15">
      <c r="A527" s="1612" t="s">
        <v>823</v>
      </c>
      <c r="B527" s="1535" t="s">
        <v>1258</v>
      </c>
      <c r="C527" s="1526"/>
      <c r="D527" s="1526"/>
      <c r="E527" s="1526"/>
      <c r="F527" s="1526"/>
      <c r="G527" s="1526"/>
      <c r="H527" s="1526"/>
      <c r="I527" s="1526"/>
      <c r="J527" s="1539">
        <v>636000</v>
      </c>
      <c r="K527" s="1551"/>
      <c r="L527" s="1551"/>
      <c r="M527" s="1626"/>
      <c r="N527" s="1626"/>
      <c r="O527" s="1627"/>
    </row>
    <row r="528" spans="1:15" s="146" customFormat="1" ht="8.4" x14ac:dyDescent="0.15">
      <c r="A528" s="1612" t="s">
        <v>823</v>
      </c>
      <c r="B528" s="1535" t="s">
        <v>129</v>
      </c>
      <c r="C528" s="1526"/>
      <c r="D528" s="1526"/>
      <c r="E528" s="1526"/>
      <c r="F528" s="1526"/>
      <c r="G528" s="1526"/>
      <c r="H528" s="1526"/>
      <c r="I528" s="1526"/>
      <c r="J528" s="1539">
        <v>10000</v>
      </c>
      <c r="K528" s="1551"/>
      <c r="L528" s="1551"/>
      <c r="M528" s="1626"/>
      <c r="N528" s="1626"/>
      <c r="O528" s="1627"/>
    </row>
    <row r="529" spans="1:15" s="146" customFormat="1" ht="8.4" x14ac:dyDescent="0.15">
      <c r="A529" s="1612" t="s">
        <v>902</v>
      </c>
      <c r="B529" s="1535" t="s">
        <v>903</v>
      </c>
      <c r="C529" s="1526"/>
      <c r="D529" s="1526"/>
      <c r="E529" s="1526"/>
      <c r="F529" s="1526"/>
      <c r="G529" s="1526"/>
      <c r="H529" s="1526"/>
      <c r="I529" s="1526"/>
      <c r="J529" s="1539">
        <v>500000</v>
      </c>
      <c r="K529" s="1551"/>
      <c r="L529" s="1551"/>
      <c r="M529" s="1626"/>
      <c r="N529" s="1626"/>
      <c r="O529" s="1627"/>
    </row>
    <row r="530" spans="1:15" s="146" customFormat="1" ht="16.8" x14ac:dyDescent="0.15">
      <c r="A530" s="1612" t="s">
        <v>981</v>
      </c>
      <c r="B530" s="1535" t="s">
        <v>1527</v>
      </c>
      <c r="C530" s="1569"/>
      <c r="D530" s="1569"/>
      <c r="E530" s="1569"/>
      <c r="F530" s="1569"/>
      <c r="G530" s="1569"/>
      <c r="H530" s="1569"/>
      <c r="I530" s="1569"/>
      <c r="J530" s="1603">
        <v>500000</v>
      </c>
      <c r="K530" s="1551"/>
      <c r="L530" s="1551"/>
      <c r="M530" s="1626"/>
      <c r="N530" s="1626"/>
      <c r="O530" s="1627"/>
    </row>
    <row r="531" spans="1:15" s="1636" customFormat="1" ht="16.8" x14ac:dyDescent="0.15">
      <c r="A531" s="1612" t="s">
        <v>1006</v>
      </c>
      <c r="B531" s="1634" t="s">
        <v>1007</v>
      </c>
      <c r="C531" s="1635"/>
      <c r="D531" s="1635"/>
      <c r="E531" s="1635"/>
      <c r="F531" s="1635"/>
      <c r="G531" s="1635"/>
      <c r="H531" s="1635"/>
      <c r="I531" s="1635"/>
      <c r="J531" s="1551"/>
      <c r="K531" s="1539">
        <v>120000</v>
      </c>
      <c r="L531" s="1551"/>
      <c r="M531" s="1626"/>
      <c r="N531" s="1626"/>
      <c r="O531" s="1627"/>
    </row>
    <row r="532" spans="1:15" s="146" customFormat="1" ht="16.8" x14ac:dyDescent="0.15">
      <c r="A532" s="1612" t="s">
        <v>1006</v>
      </c>
      <c r="B532" s="1634" t="s">
        <v>1008</v>
      </c>
      <c r="C532" s="1637"/>
      <c r="D532" s="1637"/>
      <c r="E532" s="1637"/>
      <c r="F532" s="1637"/>
      <c r="G532" s="1638"/>
      <c r="H532" s="1638"/>
      <c r="I532" s="1637"/>
      <c r="J532" s="1551"/>
      <c r="K532" s="1539">
        <v>500000</v>
      </c>
      <c r="L532" s="1551"/>
      <c r="M532" s="1626"/>
      <c r="N532" s="1626"/>
      <c r="O532" s="1627" t="s">
        <v>1515</v>
      </c>
    </row>
    <row r="533" spans="1:15" s="146" customFormat="1" ht="16.8" x14ac:dyDescent="0.15">
      <c r="A533" s="1612" t="s">
        <v>983</v>
      </c>
      <c r="B533" s="1634" t="s">
        <v>1075</v>
      </c>
      <c r="C533" s="1136"/>
      <c r="D533" s="1136"/>
      <c r="E533" s="1136"/>
      <c r="F533" s="1136"/>
      <c r="G533" s="1136"/>
      <c r="H533" s="1136"/>
      <c r="I533" s="1136"/>
      <c r="J533" s="1539">
        <v>150000</v>
      </c>
      <c r="K533" s="1551"/>
      <c r="L533" s="1551"/>
      <c r="M533" s="1626"/>
      <c r="N533" s="1626"/>
      <c r="O533" s="1627"/>
    </row>
    <row r="534" spans="1:15" s="146" customFormat="1" ht="16.8" x14ac:dyDescent="0.15">
      <c r="A534" s="1612" t="s">
        <v>983</v>
      </c>
      <c r="B534" s="1634" t="s">
        <v>1076</v>
      </c>
      <c r="C534" s="1639"/>
      <c r="D534" s="1639"/>
      <c r="E534" s="1639"/>
      <c r="F534" s="1639"/>
      <c r="G534" s="1639"/>
      <c r="H534" s="1639"/>
      <c r="I534" s="1640"/>
      <c r="J534" s="1539">
        <v>560000</v>
      </c>
      <c r="K534" s="1551"/>
      <c r="L534" s="1551"/>
      <c r="M534" s="1626"/>
      <c r="N534" s="1626"/>
      <c r="O534" s="1627"/>
    </row>
    <row r="535" spans="1:15" s="146" customFormat="1" ht="16.8" x14ac:dyDescent="0.15">
      <c r="A535" s="1612" t="s">
        <v>983</v>
      </c>
      <c r="B535" s="1634" t="s">
        <v>1077</v>
      </c>
      <c r="C535" s="1641"/>
      <c r="D535" s="1641"/>
      <c r="E535" s="1641"/>
      <c r="F535" s="1641"/>
      <c r="G535" s="1641"/>
      <c r="H535" s="1641"/>
      <c r="I535" s="1641"/>
      <c r="J535" s="1551">
        <v>800000</v>
      </c>
      <c r="K535" s="1551"/>
      <c r="L535" s="1551"/>
      <c r="M535" s="1626"/>
      <c r="N535" s="1626"/>
      <c r="O535" s="1627"/>
    </row>
    <row r="536" spans="1:15" s="146" customFormat="1" ht="16.8" x14ac:dyDescent="0.15">
      <c r="A536" s="1612" t="s">
        <v>984</v>
      </c>
      <c r="B536" s="1634" t="s">
        <v>1207</v>
      </c>
      <c r="C536" s="1136"/>
      <c r="D536" s="1136"/>
      <c r="E536" s="1136"/>
      <c r="F536" s="1136"/>
      <c r="G536" s="1136"/>
      <c r="H536" s="1136"/>
      <c r="I536" s="1136"/>
      <c r="J536" s="1539">
        <v>9240000</v>
      </c>
      <c r="K536" s="1551"/>
      <c r="L536" s="1551"/>
      <c r="M536" s="1626"/>
      <c r="N536" s="1626"/>
      <c r="O536" s="1627"/>
    </row>
    <row r="537" spans="1:15" s="146" customFormat="1" ht="16.8" x14ac:dyDescent="0.15">
      <c r="A537" s="1612" t="s">
        <v>1105</v>
      </c>
      <c r="B537" s="1634" t="s">
        <v>1186</v>
      </c>
      <c r="C537" s="1136"/>
      <c r="D537" s="1136"/>
      <c r="E537" s="1136"/>
      <c r="F537" s="1136"/>
      <c r="G537" s="1136"/>
      <c r="H537" s="1136"/>
      <c r="I537" s="1136"/>
      <c r="J537" s="1539">
        <v>250000</v>
      </c>
      <c r="K537" s="1551"/>
      <c r="L537" s="1551"/>
      <c r="M537" s="1626"/>
      <c r="N537" s="1626"/>
      <c r="O537" s="1627"/>
    </row>
    <row r="538" spans="1:15" s="146" customFormat="1" ht="33.6" x14ac:dyDescent="0.15">
      <c r="A538" s="1612" t="s">
        <v>1105</v>
      </c>
      <c r="B538" s="1634" t="s">
        <v>1187</v>
      </c>
      <c r="C538" s="1136"/>
      <c r="D538" s="1136"/>
      <c r="E538" s="1136"/>
      <c r="F538" s="1136"/>
      <c r="G538" s="1136"/>
      <c r="H538" s="1136"/>
      <c r="I538" s="1136"/>
      <c r="J538" s="1539">
        <v>3500000</v>
      </c>
      <c r="K538" s="1551"/>
      <c r="L538" s="1551"/>
      <c r="M538" s="1626"/>
      <c r="N538" s="1626"/>
      <c r="O538" s="1627" t="s">
        <v>1494</v>
      </c>
    </row>
    <row r="539" spans="1:15" s="146" customFormat="1" ht="8.4" x14ac:dyDescent="0.15">
      <c r="A539" s="1612" t="s">
        <v>1001</v>
      </c>
      <c r="B539" s="1634" t="s">
        <v>1002</v>
      </c>
      <c r="C539" s="1136"/>
      <c r="D539" s="1136"/>
      <c r="E539" s="1136"/>
      <c r="F539" s="1136"/>
      <c r="G539" s="1539"/>
      <c r="H539" s="1539">
        <v>110000000</v>
      </c>
      <c r="I539" s="1136"/>
      <c r="J539" s="1551"/>
      <c r="K539" s="1551"/>
      <c r="L539" s="1551"/>
      <c r="M539" s="1626"/>
      <c r="N539" s="1626"/>
      <c r="O539" s="1627"/>
    </row>
    <row r="540" spans="1:15" s="146" customFormat="1" ht="8.4" x14ac:dyDescent="0.15">
      <c r="A540" s="1612" t="s">
        <v>1001</v>
      </c>
      <c r="B540" s="1634" t="s">
        <v>1003</v>
      </c>
      <c r="C540" s="1136"/>
      <c r="D540" s="1136"/>
      <c r="E540" s="1136"/>
      <c r="F540" s="1136"/>
      <c r="G540" s="1136"/>
      <c r="H540" s="1136"/>
      <c r="I540" s="1136"/>
      <c r="J540" s="1539">
        <v>800000</v>
      </c>
      <c r="K540" s="1551"/>
      <c r="L540" s="1551"/>
      <c r="M540" s="1626"/>
      <c r="N540" s="1626"/>
      <c r="O540" s="1627"/>
    </row>
    <row r="541" spans="1:15" s="146" customFormat="1" ht="16.8" x14ac:dyDescent="0.15">
      <c r="A541" s="1612" t="s">
        <v>1018</v>
      </c>
      <c r="B541" s="1634" t="s">
        <v>1019</v>
      </c>
      <c r="C541" s="1136"/>
      <c r="D541" s="1136"/>
      <c r="E541" s="1136"/>
      <c r="F541" s="1136"/>
      <c r="G541" s="1136"/>
      <c r="H541" s="1136"/>
      <c r="I541" s="1136"/>
      <c r="J541" s="1539">
        <v>10000000</v>
      </c>
      <c r="K541" s="1551"/>
      <c r="L541" s="1551"/>
      <c r="M541" s="1626"/>
      <c r="N541" s="1626"/>
      <c r="O541" s="1627"/>
    </row>
    <row r="542" spans="1:15" s="146" customFormat="1" ht="8.4" x14ac:dyDescent="0.15">
      <c r="A542" s="1612" t="s">
        <v>1018</v>
      </c>
      <c r="B542" s="1634" t="s">
        <v>129</v>
      </c>
      <c r="C542" s="1136"/>
      <c r="D542" s="1136"/>
      <c r="E542" s="1136"/>
      <c r="F542" s="1136"/>
      <c r="G542" s="1136"/>
      <c r="H542" s="1136"/>
      <c r="I542" s="1136"/>
      <c r="J542" s="1539">
        <v>11000</v>
      </c>
      <c r="K542" s="1551"/>
      <c r="L542" s="1551"/>
      <c r="M542" s="1626"/>
      <c r="N542" s="1626"/>
      <c r="O542" s="1627"/>
    </row>
    <row r="543" spans="1:15" s="146" customFormat="1" ht="16.8" x14ac:dyDescent="0.15">
      <c r="A543" s="1612" t="s">
        <v>1018</v>
      </c>
      <c r="B543" s="1634" t="s">
        <v>1183</v>
      </c>
      <c r="C543" s="1136"/>
      <c r="D543" s="1136"/>
      <c r="E543" s="1136"/>
      <c r="F543" s="1136"/>
      <c r="G543" s="1418"/>
      <c r="H543" s="1418"/>
      <c r="I543" s="1418"/>
      <c r="J543" s="1539">
        <v>60000</v>
      </c>
      <c r="K543" s="1551"/>
      <c r="L543" s="1551"/>
      <c r="M543" s="1626"/>
      <c r="N543" s="1626"/>
      <c r="O543" s="1627"/>
    </row>
    <row r="544" spans="1:15" s="146" customFormat="1" ht="16.8" x14ac:dyDescent="0.15">
      <c r="A544" s="1612" t="s">
        <v>1018</v>
      </c>
      <c r="B544" s="1634" t="s">
        <v>1184</v>
      </c>
      <c r="C544" s="1136"/>
      <c r="D544" s="1136"/>
      <c r="E544" s="1136"/>
      <c r="F544" s="1136"/>
      <c r="G544" s="1418"/>
      <c r="H544" s="1418"/>
      <c r="I544" s="1418"/>
      <c r="J544" s="1539">
        <v>230000</v>
      </c>
      <c r="K544" s="1551"/>
      <c r="L544" s="1551"/>
      <c r="M544" s="1626"/>
      <c r="N544" s="1626"/>
      <c r="O544" s="1627"/>
    </row>
    <row r="545" spans="1:15" s="146" customFormat="1" ht="16.8" x14ac:dyDescent="0.15">
      <c r="A545" s="1612" t="s">
        <v>1018</v>
      </c>
      <c r="B545" s="1634" t="s">
        <v>1185</v>
      </c>
      <c r="C545" s="1136"/>
      <c r="D545" s="1136"/>
      <c r="E545" s="1136"/>
      <c r="F545" s="1136"/>
      <c r="G545" s="1418"/>
      <c r="H545" s="1418"/>
      <c r="I545" s="1418"/>
      <c r="J545" s="1539">
        <v>1018000</v>
      </c>
      <c r="K545" s="1551"/>
      <c r="L545" s="1551"/>
      <c r="M545" s="1626"/>
      <c r="N545" s="1626"/>
      <c r="O545" s="1627" t="s">
        <v>1493</v>
      </c>
    </row>
    <row r="546" spans="1:15" s="146" customFormat="1" ht="33.6" x14ac:dyDescent="0.15">
      <c r="A546" s="1612" t="s">
        <v>1030</v>
      </c>
      <c r="B546" s="1634" t="s">
        <v>1562</v>
      </c>
      <c r="C546" s="1136"/>
      <c r="D546" s="1136"/>
      <c r="E546" s="1136"/>
      <c r="F546" s="1136"/>
      <c r="G546" s="1418"/>
      <c r="H546" s="1418"/>
      <c r="I546" s="1418"/>
      <c r="J546" s="1539">
        <v>1420000</v>
      </c>
      <c r="K546" s="1551"/>
      <c r="L546" s="1551"/>
      <c r="M546" s="1626"/>
      <c r="N546" s="1626"/>
      <c r="O546" s="1627"/>
    </row>
    <row r="547" spans="1:15" s="146" customFormat="1" ht="8.4" x14ac:dyDescent="0.15">
      <c r="A547" s="1612" t="s">
        <v>1030</v>
      </c>
      <c r="B547" s="1634" t="s">
        <v>129</v>
      </c>
      <c r="C547" s="1136"/>
      <c r="D547" s="1136"/>
      <c r="E547" s="1136"/>
      <c r="F547" s="1136"/>
      <c r="G547" s="1418"/>
      <c r="H547" s="1418"/>
      <c r="I547" s="1418"/>
      <c r="J547" s="1539">
        <v>8000</v>
      </c>
      <c r="K547" s="1551"/>
      <c r="L547" s="1551"/>
      <c r="M547" s="1626"/>
      <c r="N547" s="1626"/>
      <c r="O547" s="1627"/>
    </row>
    <row r="548" spans="1:15" s="146" customFormat="1" ht="16.8" x14ac:dyDescent="0.15">
      <c r="A548" s="1612" t="s">
        <v>1030</v>
      </c>
      <c r="B548" s="1634" t="s">
        <v>903</v>
      </c>
      <c r="C548" s="1136"/>
      <c r="D548" s="1136"/>
      <c r="E548" s="1136"/>
      <c r="F548" s="1136"/>
      <c r="G548" s="1418"/>
      <c r="H548" s="1418"/>
      <c r="I548" s="1418"/>
      <c r="J548" s="1539">
        <v>1000000</v>
      </c>
      <c r="K548" s="1551"/>
      <c r="L548" s="1551"/>
      <c r="M548" s="1626"/>
      <c r="N548" s="1626"/>
      <c r="O548" s="1627" t="s">
        <v>1492</v>
      </c>
    </row>
    <row r="549" spans="1:15" s="146" customFormat="1" ht="16.8" x14ac:dyDescent="0.15">
      <c r="A549" s="1612" t="s">
        <v>1126</v>
      </c>
      <c r="B549" s="1634" t="s">
        <v>1402</v>
      </c>
      <c r="C549" s="1136"/>
      <c r="D549" s="1136"/>
      <c r="E549" s="1136"/>
      <c r="F549" s="1136"/>
      <c r="G549" s="1418"/>
      <c r="H549" s="1418"/>
      <c r="I549" s="1418"/>
      <c r="J549" s="1539">
        <v>2160000</v>
      </c>
      <c r="K549" s="1551"/>
      <c r="L549" s="1551"/>
      <c r="M549" s="1626"/>
      <c r="N549" s="1626"/>
      <c r="O549" s="1627"/>
    </row>
    <row r="550" spans="1:15" s="146" customFormat="1" ht="8.4" x14ac:dyDescent="0.15">
      <c r="A550" s="1612" t="s">
        <v>1126</v>
      </c>
      <c r="B550" s="1634" t="s">
        <v>1401</v>
      </c>
      <c r="C550" s="1136"/>
      <c r="D550" s="1136"/>
      <c r="E550" s="1136"/>
      <c r="F550" s="1136"/>
      <c r="G550" s="1418"/>
      <c r="H550" s="1418"/>
      <c r="I550" s="1418"/>
      <c r="J550" s="1539">
        <v>794000</v>
      </c>
      <c r="K550" s="1551"/>
      <c r="L550" s="1551"/>
      <c r="M550" s="1626"/>
      <c r="N550" s="1626"/>
      <c r="O550" s="1627"/>
    </row>
    <row r="551" spans="1:15" s="146" customFormat="1" ht="16.8" x14ac:dyDescent="0.15">
      <c r="A551" s="1612" t="s">
        <v>1126</v>
      </c>
      <c r="B551" s="1634" t="s">
        <v>1527</v>
      </c>
      <c r="C551" s="1136"/>
      <c r="D551" s="1136"/>
      <c r="E551" s="1136"/>
      <c r="F551" s="1136"/>
      <c r="G551" s="1418"/>
      <c r="H551" s="1418"/>
      <c r="I551" s="1418"/>
      <c r="J551" s="1539">
        <v>500000</v>
      </c>
      <c r="K551" s="1551"/>
      <c r="L551" s="1551"/>
      <c r="M551" s="1626"/>
      <c r="N551" s="1626"/>
      <c r="O551" s="1627"/>
    </row>
    <row r="552" spans="1:15" s="146" customFormat="1" ht="16.8" x14ac:dyDescent="0.15">
      <c r="A552" s="1612" t="s">
        <v>1033</v>
      </c>
      <c r="B552" s="1634" t="s">
        <v>1167</v>
      </c>
      <c r="C552" s="1136"/>
      <c r="D552" s="1136"/>
      <c r="E552" s="1136"/>
      <c r="F552" s="1136"/>
      <c r="G552" s="1418"/>
      <c r="H552" s="1418"/>
      <c r="I552" s="1418"/>
      <c r="J552" s="1539">
        <v>1000000</v>
      </c>
      <c r="K552" s="1551"/>
      <c r="L552" s="1551"/>
      <c r="M552" s="1626"/>
      <c r="N552" s="1626"/>
      <c r="O552" s="1627" t="s">
        <v>1491</v>
      </c>
    </row>
    <row r="553" spans="1:15" s="146" customFormat="1" ht="16.8" x14ac:dyDescent="0.15">
      <c r="A553" s="1612" t="s">
        <v>1033</v>
      </c>
      <c r="B553" s="1634" t="s">
        <v>1168</v>
      </c>
      <c r="C553" s="1136"/>
      <c r="D553" s="1136"/>
      <c r="E553" s="1136"/>
      <c r="F553" s="1136"/>
      <c r="G553" s="1418"/>
      <c r="H553" s="1418"/>
      <c r="I553" s="1418"/>
      <c r="J553" s="1539">
        <v>470000</v>
      </c>
      <c r="K553" s="1551"/>
      <c r="L553" s="1551"/>
      <c r="M553" s="1626"/>
      <c r="N553" s="1626"/>
      <c r="O553" s="1627"/>
    </row>
    <row r="554" spans="1:15" s="146" customFormat="1" ht="16.8" x14ac:dyDescent="0.15">
      <c r="A554" s="1612" t="s">
        <v>1033</v>
      </c>
      <c r="B554" s="1634" t="s">
        <v>1169</v>
      </c>
      <c r="C554" s="1136"/>
      <c r="D554" s="1136"/>
      <c r="E554" s="1136"/>
      <c r="F554" s="1136"/>
      <c r="G554" s="1418"/>
      <c r="H554" s="1418"/>
      <c r="I554" s="1418"/>
      <c r="J554" s="1539">
        <v>120000</v>
      </c>
      <c r="K554" s="1551"/>
      <c r="L554" s="1551"/>
      <c r="M554" s="1626"/>
      <c r="N554" s="1626"/>
      <c r="O554" s="1627"/>
    </row>
    <row r="555" spans="1:15" s="146" customFormat="1" ht="25.2" x14ac:dyDescent="0.15">
      <c r="A555" s="1612" t="s">
        <v>1033</v>
      </c>
      <c r="B555" s="1634" t="s">
        <v>1034</v>
      </c>
      <c r="C555" s="1136"/>
      <c r="D555" s="1136"/>
      <c r="E555" s="1136"/>
      <c r="F555" s="1136"/>
      <c r="G555" s="1418"/>
      <c r="H555" s="1418"/>
      <c r="I555" s="1418"/>
      <c r="J555" s="1539">
        <v>2420000</v>
      </c>
      <c r="K555" s="1551"/>
      <c r="L555" s="1551"/>
      <c r="M555" s="1626"/>
      <c r="N555" s="1626"/>
      <c r="O555" s="1627" t="s">
        <v>1165</v>
      </c>
    </row>
    <row r="556" spans="1:15" s="146" customFormat="1" ht="8.4" x14ac:dyDescent="0.15">
      <c r="A556" s="1612" t="s">
        <v>1033</v>
      </c>
      <c r="B556" s="1634" t="s">
        <v>129</v>
      </c>
      <c r="C556" s="1146"/>
      <c r="D556" s="1146"/>
      <c r="E556" s="1146"/>
      <c r="F556" s="1146"/>
      <c r="G556" s="1136"/>
      <c r="H556" s="1136"/>
      <c r="I556" s="1136"/>
      <c r="J556" s="1539">
        <v>10000</v>
      </c>
      <c r="K556" s="1551"/>
      <c r="L556" s="1551"/>
      <c r="M556" s="1626"/>
      <c r="N556" s="1626"/>
      <c r="O556" s="1627"/>
    </row>
    <row r="557" spans="1:15" s="146" customFormat="1" ht="42" customHeight="1" x14ac:dyDescent="0.15">
      <c r="A557" s="1612" t="s">
        <v>1107</v>
      </c>
      <c r="B557" s="1634" t="s">
        <v>1228</v>
      </c>
      <c r="C557" s="1146"/>
      <c r="D557" s="1146"/>
      <c r="E557" s="1146"/>
      <c r="F557" s="1146"/>
      <c r="G557" s="1136"/>
      <c r="H557" s="1136"/>
      <c r="I557" s="1136"/>
      <c r="J557" s="1539">
        <v>8800000</v>
      </c>
      <c r="K557" s="1551"/>
      <c r="L557" s="1551"/>
      <c r="M557" s="1626"/>
      <c r="N557" s="1626"/>
      <c r="O557" s="1627" t="s">
        <v>1229</v>
      </c>
    </row>
    <row r="558" spans="1:15" s="146" customFormat="1" ht="8.4" x14ac:dyDescent="0.15">
      <c r="A558" s="1612" t="s">
        <v>1162</v>
      </c>
      <c r="B558" s="1634" t="s">
        <v>410</v>
      </c>
      <c r="C558" s="1146"/>
      <c r="D558" s="1146"/>
      <c r="E558" s="1146"/>
      <c r="F558" s="1146"/>
      <c r="G558" s="1136"/>
      <c r="H558" s="1136"/>
      <c r="I558" s="1136"/>
      <c r="J558" s="1539">
        <v>430000</v>
      </c>
      <c r="K558" s="1551"/>
      <c r="L558" s="1551"/>
      <c r="M558" s="1626"/>
      <c r="N558" s="1626"/>
      <c r="O558" s="1627"/>
    </row>
    <row r="559" spans="1:15" s="146" customFormat="1" ht="16.8" x14ac:dyDescent="0.15">
      <c r="A559" s="1612" t="s">
        <v>1162</v>
      </c>
      <c r="B559" s="1634" t="s">
        <v>1163</v>
      </c>
      <c r="C559" s="1146"/>
      <c r="D559" s="1146"/>
      <c r="E559" s="1146"/>
      <c r="F559" s="1146"/>
      <c r="G559" s="1136"/>
      <c r="H559" s="1136"/>
      <c r="I559" s="1136"/>
      <c r="J559" s="1539">
        <v>2600000</v>
      </c>
      <c r="K559" s="1551"/>
      <c r="L559" s="1551"/>
      <c r="M559" s="1626"/>
      <c r="N559" s="1626"/>
      <c r="O559" s="1627"/>
    </row>
    <row r="560" spans="1:15" s="146" customFormat="1" ht="16.8" x14ac:dyDescent="0.15">
      <c r="A560" s="1612" t="s">
        <v>1032</v>
      </c>
      <c r="B560" s="1634" t="s">
        <v>1490</v>
      </c>
      <c r="C560" s="1146"/>
      <c r="D560" s="1146"/>
      <c r="E560" s="1146"/>
      <c r="F560" s="1146"/>
      <c r="G560" s="1136"/>
      <c r="H560" s="1136"/>
      <c r="I560" s="1136"/>
      <c r="J560" s="1539">
        <v>1170000</v>
      </c>
      <c r="K560" s="1551"/>
      <c r="L560" s="1551"/>
      <c r="M560" s="1626"/>
      <c r="N560" s="1626"/>
      <c r="O560" s="1627"/>
    </row>
    <row r="561" spans="1:15" s="146" customFormat="1" ht="16.8" x14ac:dyDescent="0.15">
      <c r="A561" s="1612" t="s">
        <v>1166</v>
      </c>
      <c r="B561" s="1634" t="s">
        <v>1489</v>
      </c>
      <c r="C561" s="1146"/>
      <c r="D561" s="1146"/>
      <c r="E561" s="1146"/>
      <c r="F561" s="1146"/>
      <c r="G561" s="1136"/>
      <c r="H561" s="1136"/>
      <c r="I561" s="1136"/>
      <c r="J561" s="1539">
        <v>1156000</v>
      </c>
      <c r="K561" s="1551"/>
      <c r="L561" s="1551"/>
      <c r="M561" s="1626"/>
      <c r="N561" s="1626"/>
      <c r="O561" s="1627"/>
    </row>
    <row r="562" spans="1:15" s="146" customFormat="1" ht="8.4" x14ac:dyDescent="0.15">
      <c r="A562" s="1612" t="s">
        <v>1188</v>
      </c>
      <c r="B562" s="1634" t="s">
        <v>652</v>
      </c>
      <c r="C562" s="1146"/>
      <c r="D562" s="1146"/>
      <c r="E562" s="1146"/>
      <c r="F562" s="1146"/>
      <c r="G562" s="1136"/>
      <c r="H562" s="1136"/>
      <c r="I562" s="1136"/>
      <c r="J562" s="1539">
        <v>260000</v>
      </c>
      <c r="K562" s="1551"/>
      <c r="L562" s="1551"/>
      <c r="M562" s="1626"/>
      <c r="N562" s="1626"/>
      <c r="O562" s="1627"/>
    </row>
    <row r="563" spans="1:15" s="146" customFormat="1" ht="33.6" x14ac:dyDescent="0.15">
      <c r="A563" s="1612" t="s">
        <v>1188</v>
      </c>
      <c r="B563" s="1634" t="s">
        <v>1191</v>
      </c>
      <c r="C563" s="1146"/>
      <c r="D563" s="1146"/>
      <c r="E563" s="1146"/>
      <c r="F563" s="1146"/>
      <c r="G563" s="1136"/>
      <c r="H563" s="1136"/>
      <c r="I563" s="1136"/>
      <c r="J563" s="1539">
        <v>2000000</v>
      </c>
      <c r="K563" s="1551"/>
      <c r="L563" s="1551"/>
      <c r="M563" s="1626"/>
      <c r="N563" s="1626"/>
      <c r="O563" s="1627" t="s">
        <v>1329</v>
      </c>
    </row>
    <row r="564" spans="1:15" s="146" customFormat="1" ht="8.4" x14ac:dyDescent="0.15">
      <c r="A564" s="1612" t="s">
        <v>1188</v>
      </c>
      <c r="B564" s="1634" t="s">
        <v>129</v>
      </c>
      <c r="C564" s="1146"/>
      <c r="D564" s="1146"/>
      <c r="E564" s="1146"/>
      <c r="F564" s="1146"/>
      <c r="G564" s="1136"/>
      <c r="H564" s="1136"/>
      <c r="I564" s="1136"/>
      <c r="J564" s="1539">
        <v>7700</v>
      </c>
      <c r="K564" s="1551"/>
      <c r="L564" s="1551"/>
      <c r="M564" s="1626"/>
      <c r="N564" s="1626"/>
      <c r="O564" s="1627"/>
    </row>
    <row r="565" spans="1:15" s="146" customFormat="1" ht="22.5" customHeight="1" x14ac:dyDescent="0.15">
      <c r="A565" s="1612" t="s">
        <v>1188</v>
      </c>
      <c r="B565" s="1634" t="s">
        <v>1192</v>
      </c>
      <c r="C565" s="1146"/>
      <c r="D565" s="1146"/>
      <c r="E565" s="1146"/>
      <c r="F565" s="1146"/>
      <c r="G565" s="1136"/>
      <c r="H565" s="1136"/>
      <c r="I565" s="1136"/>
      <c r="J565" s="1551">
        <v>3600000</v>
      </c>
      <c r="K565" s="1551"/>
      <c r="L565" s="1551"/>
      <c r="M565" s="1626"/>
      <c r="N565" s="1626"/>
      <c r="O565" s="1627" t="s">
        <v>1472</v>
      </c>
    </row>
    <row r="566" spans="1:15" s="146" customFormat="1" ht="8.4" x14ac:dyDescent="0.15">
      <c r="A566" s="1612" t="s">
        <v>1164</v>
      </c>
      <c r="B566" s="1642" t="s">
        <v>1197</v>
      </c>
      <c r="C566" s="1146"/>
      <c r="D566" s="1146"/>
      <c r="E566" s="1146"/>
      <c r="F566" s="1146"/>
      <c r="G566" s="1136"/>
      <c r="H566" s="1136"/>
      <c r="I566" s="1136"/>
      <c r="J566" s="1539">
        <v>130000</v>
      </c>
      <c r="K566" s="1600"/>
      <c r="L566" s="1600"/>
      <c r="M566" s="1643"/>
      <c r="N566" s="1643"/>
      <c r="O566" s="1644"/>
    </row>
    <row r="567" spans="1:15" s="146" customFormat="1" ht="8.4" x14ac:dyDescent="0.15">
      <c r="A567" s="1612" t="s">
        <v>1164</v>
      </c>
      <c r="B567" s="1642" t="s">
        <v>1198</v>
      </c>
      <c r="C567" s="1146"/>
      <c r="D567" s="1146"/>
      <c r="E567" s="1146"/>
      <c r="F567" s="1146"/>
      <c r="G567" s="1136"/>
      <c r="H567" s="1136"/>
      <c r="I567" s="1136"/>
      <c r="J567" s="1551">
        <v>110000</v>
      </c>
      <c r="K567" s="1600"/>
      <c r="L567" s="1600"/>
      <c r="M567" s="1643"/>
      <c r="N567" s="1643"/>
      <c r="O567" s="1644"/>
    </row>
    <row r="568" spans="1:15" s="146" customFormat="1" ht="16.8" x14ac:dyDescent="0.15">
      <c r="A568" s="1612" t="s">
        <v>1202</v>
      </c>
      <c r="B568" s="1634" t="s">
        <v>1256</v>
      </c>
      <c r="C568" s="1146"/>
      <c r="D568" s="1146"/>
      <c r="E568" s="1146"/>
      <c r="F568" s="1146"/>
      <c r="G568" s="1136"/>
      <c r="H568" s="1136"/>
      <c r="I568" s="1136"/>
      <c r="J568" s="1539">
        <v>2500000</v>
      </c>
      <c r="K568" s="1551"/>
      <c r="L568" s="1551"/>
      <c r="M568" s="1626"/>
      <c r="N568" s="1626"/>
      <c r="O568" s="1627"/>
    </row>
    <row r="569" spans="1:15" s="146" customFormat="1" ht="8.4" x14ac:dyDescent="0.15">
      <c r="A569" s="1612" t="s">
        <v>1202</v>
      </c>
      <c r="B569" s="1634" t="s">
        <v>129</v>
      </c>
      <c r="C569" s="1146"/>
      <c r="D569" s="1146"/>
      <c r="E569" s="1146"/>
      <c r="F569" s="1146"/>
      <c r="G569" s="1136"/>
      <c r="H569" s="1136"/>
      <c r="I569" s="1136"/>
      <c r="J569" s="1539">
        <v>20000</v>
      </c>
      <c r="K569" s="1551"/>
      <c r="L569" s="1551"/>
      <c r="M569" s="1626"/>
      <c r="N569" s="1626"/>
      <c r="O569" s="1627"/>
    </row>
    <row r="570" spans="1:15" s="146" customFormat="1" ht="33.6" x14ac:dyDescent="0.15">
      <c r="A570" s="1612" t="s">
        <v>1205</v>
      </c>
      <c r="B570" s="1634" t="s">
        <v>1495</v>
      </c>
      <c r="C570" s="1146"/>
      <c r="D570" s="1146"/>
      <c r="E570" s="1146"/>
      <c r="F570" s="1146"/>
      <c r="G570" s="1136"/>
      <c r="H570" s="1136"/>
      <c r="I570" s="1136"/>
      <c r="J570" s="1539">
        <v>2000000</v>
      </c>
      <c r="K570" s="1551"/>
      <c r="L570" s="1551"/>
      <c r="M570" s="1626"/>
      <c r="N570" s="1626"/>
      <c r="O570" s="1627" t="s">
        <v>1342</v>
      </c>
    </row>
    <row r="571" spans="1:15" s="146" customFormat="1" ht="16.8" x14ac:dyDescent="0.15">
      <c r="A571" s="1612" t="s">
        <v>1205</v>
      </c>
      <c r="B571" s="1634" t="s">
        <v>1254</v>
      </c>
      <c r="C571" s="1146"/>
      <c r="D571" s="1146"/>
      <c r="E571" s="1146"/>
      <c r="F571" s="1146"/>
      <c r="G571" s="1136"/>
      <c r="H571" s="1136"/>
      <c r="I571" s="1136"/>
      <c r="J571" s="1539">
        <v>4000000</v>
      </c>
      <c r="K571" s="1551"/>
      <c r="L571" s="1551"/>
      <c r="M571" s="1626"/>
      <c r="N571" s="1626"/>
      <c r="O571" s="1627"/>
    </row>
    <row r="572" spans="1:15" s="146" customFormat="1" ht="8.4" x14ac:dyDescent="0.15">
      <c r="A572" s="1612" t="s">
        <v>1205</v>
      </c>
      <c r="B572" s="1642" t="s">
        <v>129</v>
      </c>
      <c r="C572" s="1146"/>
      <c r="D572" s="1146"/>
      <c r="E572" s="1146"/>
      <c r="F572" s="1146"/>
      <c r="G572" s="1136"/>
      <c r="H572" s="1136"/>
      <c r="I572" s="1136"/>
      <c r="J572" s="1539">
        <v>10000</v>
      </c>
      <c r="K572" s="1600"/>
      <c r="L572" s="1600"/>
      <c r="M572" s="1643"/>
      <c r="N572" s="1643"/>
      <c r="O572" s="1644"/>
    </row>
    <row r="573" spans="1:15" s="146" customFormat="1" ht="16.8" x14ac:dyDescent="0.15">
      <c r="A573" s="1645" t="s">
        <v>1205</v>
      </c>
      <c r="B573" s="1642" t="s">
        <v>1328</v>
      </c>
      <c r="C573" s="1146"/>
      <c r="D573" s="1146"/>
      <c r="E573" s="1146"/>
      <c r="F573" s="1146"/>
      <c r="G573" s="1136"/>
      <c r="H573" s="1136"/>
      <c r="I573" s="1136"/>
      <c r="J573" s="1539">
        <v>10000000</v>
      </c>
      <c r="K573" s="1600"/>
      <c r="L573" s="1600"/>
      <c r="M573" s="1643"/>
      <c r="N573" s="1643"/>
      <c r="O573" s="1644"/>
    </row>
    <row r="574" spans="1:15" s="146" customFormat="1" ht="25.2" x14ac:dyDescent="0.15">
      <c r="A574" s="1645" t="s">
        <v>1205</v>
      </c>
      <c r="B574" s="1634" t="s">
        <v>1327</v>
      </c>
      <c r="C574" s="1146"/>
      <c r="D574" s="1146"/>
      <c r="E574" s="1146"/>
      <c r="F574" s="1146"/>
      <c r="G574" s="1136"/>
      <c r="H574" s="1136"/>
      <c r="I574" s="1136"/>
      <c r="J574" s="1539">
        <v>2500000</v>
      </c>
      <c r="K574" s="1551"/>
      <c r="L574" s="1551"/>
      <c r="M574" s="1626"/>
      <c r="N574" s="1626"/>
      <c r="O574" s="1627"/>
    </row>
    <row r="575" spans="1:15" s="146" customFormat="1" ht="25.2" x14ac:dyDescent="0.15">
      <c r="A575" s="1612" t="s">
        <v>1226</v>
      </c>
      <c r="B575" s="1634" t="s">
        <v>1227</v>
      </c>
      <c r="C575" s="1146"/>
      <c r="D575" s="1146"/>
      <c r="E575" s="1146"/>
      <c r="F575" s="1146"/>
      <c r="G575" s="1136"/>
      <c r="H575" s="1136"/>
      <c r="I575" s="1136"/>
      <c r="J575" s="1539">
        <v>3200000</v>
      </c>
      <c r="K575" s="1551"/>
      <c r="L575" s="1551"/>
      <c r="M575" s="1626"/>
      <c r="N575" s="1626"/>
      <c r="O575" s="1627"/>
    </row>
    <row r="576" spans="1:15" s="146" customFormat="1" ht="8.4" x14ac:dyDescent="0.15">
      <c r="A576" s="1612" t="s">
        <v>1226</v>
      </c>
      <c r="B576" s="1634" t="s">
        <v>129</v>
      </c>
      <c r="C576" s="1146"/>
      <c r="D576" s="1146"/>
      <c r="E576" s="1146"/>
      <c r="F576" s="1146"/>
      <c r="G576" s="1136"/>
      <c r="H576" s="1136"/>
      <c r="I576" s="1136"/>
      <c r="J576" s="1539">
        <v>10000</v>
      </c>
      <c r="K576" s="1551"/>
      <c r="L576" s="1551"/>
      <c r="M576" s="1626"/>
      <c r="N576" s="1626"/>
      <c r="O576" s="1627"/>
    </row>
    <row r="577" spans="1:15" s="146" customFormat="1" ht="16.8" x14ac:dyDescent="0.15">
      <c r="A577" s="1612" t="s">
        <v>1226</v>
      </c>
      <c r="B577" s="1634" t="s">
        <v>1488</v>
      </c>
      <c r="C577" s="1146"/>
      <c r="D577" s="1146"/>
      <c r="E577" s="1146"/>
      <c r="F577" s="1146"/>
      <c r="G577" s="1136"/>
      <c r="H577" s="1136"/>
      <c r="I577" s="1136"/>
      <c r="J577" s="1539">
        <v>678000</v>
      </c>
      <c r="K577" s="1551"/>
      <c r="L577" s="1551"/>
      <c r="M577" s="1626"/>
      <c r="N577" s="1626"/>
      <c r="O577" s="1627"/>
    </row>
    <row r="578" spans="1:15" s="146" customFormat="1" ht="8.4" x14ac:dyDescent="0.15">
      <c r="A578" s="1612" t="s">
        <v>1252</v>
      </c>
      <c r="B578" s="1634" t="s">
        <v>1482</v>
      </c>
      <c r="C578" s="1146"/>
      <c r="D578" s="1146"/>
      <c r="E578" s="1146"/>
      <c r="F578" s="1146"/>
      <c r="G578" s="1136"/>
      <c r="H578" s="1136"/>
      <c r="I578" s="1136"/>
      <c r="J578" s="1539">
        <v>390000</v>
      </c>
      <c r="K578" s="1551"/>
      <c r="L578" s="1551"/>
      <c r="M578" s="1626"/>
      <c r="N578" s="1626"/>
      <c r="O578" s="1627"/>
    </row>
    <row r="579" spans="1:15" s="146" customFormat="1" ht="67.2" x14ac:dyDescent="0.15">
      <c r="A579" s="1612" t="s">
        <v>1252</v>
      </c>
      <c r="B579" s="1634" t="s">
        <v>1468</v>
      </c>
      <c r="C579" s="1146"/>
      <c r="D579" s="1146"/>
      <c r="E579" s="1146"/>
      <c r="F579" s="1146"/>
      <c r="G579" s="1136"/>
      <c r="H579" s="1136"/>
      <c r="I579" s="1136"/>
      <c r="J579" s="1539">
        <v>390000</v>
      </c>
      <c r="K579" s="1551"/>
      <c r="L579" s="1551"/>
      <c r="M579" s="1626"/>
      <c r="N579" s="1626"/>
      <c r="O579" s="1627" t="s">
        <v>1469</v>
      </c>
    </row>
    <row r="580" spans="1:15" s="146" customFormat="1" ht="8.4" x14ac:dyDescent="0.15">
      <c r="A580" s="1612" t="s">
        <v>1357</v>
      </c>
      <c r="B580" s="1634" t="s">
        <v>1399</v>
      </c>
      <c r="C580" s="1146"/>
      <c r="D580" s="1146"/>
      <c r="E580" s="1146"/>
      <c r="F580" s="1146"/>
      <c r="G580" s="1136"/>
      <c r="H580" s="1136"/>
      <c r="I580" s="1136"/>
      <c r="J580" s="1539">
        <v>1002720</v>
      </c>
      <c r="K580" s="1551"/>
      <c r="L580" s="1551"/>
      <c r="M580" s="1626"/>
      <c r="N580" s="1626"/>
      <c r="O580" s="1627"/>
    </row>
    <row r="581" spans="1:15" s="146" customFormat="1" ht="16.8" x14ac:dyDescent="0.15">
      <c r="A581" s="1612" t="s">
        <v>1301</v>
      </c>
      <c r="B581" s="1634" t="s">
        <v>1546</v>
      </c>
      <c r="C581" s="1146"/>
      <c r="D581" s="1146"/>
      <c r="E581" s="1146"/>
      <c r="F581" s="1146"/>
      <c r="G581" s="1136"/>
      <c r="H581" s="1136"/>
      <c r="I581" s="1136"/>
      <c r="J581" s="1539">
        <v>8800000</v>
      </c>
      <c r="K581" s="1551"/>
      <c r="L581" s="1551"/>
      <c r="M581" s="1626"/>
      <c r="N581" s="1626"/>
      <c r="O581" s="1627"/>
    </row>
    <row r="582" spans="1:15" s="146" customFormat="1" ht="16.8" x14ac:dyDescent="0.15">
      <c r="A582" s="1612" t="s">
        <v>1301</v>
      </c>
      <c r="B582" s="1634" t="s">
        <v>1393</v>
      </c>
      <c r="C582" s="1146"/>
      <c r="D582" s="1146"/>
      <c r="E582" s="1146"/>
      <c r="F582" s="1146"/>
      <c r="G582" s="1136"/>
      <c r="H582" s="1136"/>
      <c r="I582" s="1136"/>
      <c r="J582" s="1539">
        <v>250000</v>
      </c>
      <c r="K582" s="1551"/>
      <c r="L582" s="1551"/>
      <c r="M582" s="1626"/>
      <c r="N582" s="1626"/>
      <c r="O582" s="1627"/>
    </row>
    <row r="583" spans="1:15" s="146" customFormat="1" ht="8.4" x14ac:dyDescent="0.15">
      <c r="A583" s="1612" t="s">
        <v>1301</v>
      </c>
      <c r="B583" s="1634" t="s">
        <v>1400</v>
      </c>
      <c r="C583" s="1146"/>
      <c r="D583" s="1146"/>
      <c r="E583" s="1146"/>
      <c r="F583" s="1146"/>
      <c r="G583" s="1136"/>
      <c r="H583" s="1136"/>
      <c r="I583" s="1136"/>
      <c r="J583" s="1539">
        <v>1018710</v>
      </c>
      <c r="K583" s="1551"/>
      <c r="L583" s="1551"/>
      <c r="M583" s="1626"/>
      <c r="N583" s="1626"/>
      <c r="O583" s="1627"/>
    </row>
    <row r="584" spans="1:15" s="146" customFormat="1" ht="16.8" x14ac:dyDescent="0.15">
      <c r="A584" s="1612" t="s">
        <v>1301</v>
      </c>
      <c r="B584" s="1634" t="s">
        <v>1397</v>
      </c>
      <c r="C584" s="1146"/>
      <c r="D584" s="1146"/>
      <c r="E584" s="1146"/>
      <c r="F584" s="1146"/>
      <c r="G584" s="1136"/>
      <c r="H584" s="1136"/>
      <c r="I584" s="1136"/>
      <c r="J584" s="1539">
        <v>640000</v>
      </c>
      <c r="K584" s="1551"/>
      <c r="L584" s="1551"/>
      <c r="M584" s="1626"/>
      <c r="N584" s="1626"/>
      <c r="O584" s="1627"/>
    </row>
    <row r="585" spans="1:15" s="146" customFormat="1" ht="16.8" x14ac:dyDescent="0.15">
      <c r="A585" s="1612" t="s">
        <v>1372</v>
      </c>
      <c r="B585" s="1634" t="s">
        <v>1396</v>
      </c>
      <c r="C585" s="1146"/>
      <c r="D585" s="1146"/>
      <c r="E585" s="1146"/>
      <c r="F585" s="1146"/>
      <c r="G585" s="1136"/>
      <c r="H585" s="1136"/>
      <c r="I585" s="1136"/>
      <c r="J585" s="1539">
        <v>351000</v>
      </c>
      <c r="K585" s="1551"/>
      <c r="L585" s="1551"/>
      <c r="M585" s="1626"/>
      <c r="N585" s="1626"/>
      <c r="O585" s="1627"/>
    </row>
    <row r="586" spans="1:15" s="146" customFormat="1" ht="16.8" x14ac:dyDescent="0.15">
      <c r="A586" s="1612" t="s">
        <v>1372</v>
      </c>
      <c r="B586" s="1634" t="s">
        <v>1398</v>
      </c>
      <c r="C586" s="1146"/>
      <c r="D586" s="1146"/>
      <c r="E586" s="1146"/>
      <c r="F586" s="1146"/>
      <c r="G586" s="1136"/>
      <c r="H586" s="1136"/>
      <c r="I586" s="1136"/>
      <c r="J586" s="1539">
        <v>213000</v>
      </c>
      <c r="K586" s="1551"/>
      <c r="L586" s="1551"/>
      <c r="M586" s="1626"/>
      <c r="N586" s="1626"/>
      <c r="O586" s="1627"/>
    </row>
    <row r="587" spans="1:15" s="146" customFormat="1" ht="25.2" x14ac:dyDescent="0.15">
      <c r="A587" s="1612" t="s">
        <v>1368</v>
      </c>
      <c r="B587" s="1634" t="s">
        <v>1467</v>
      </c>
      <c r="C587" s="1146"/>
      <c r="D587" s="1146"/>
      <c r="E587" s="1146"/>
      <c r="F587" s="1146"/>
      <c r="G587" s="1136"/>
      <c r="H587" s="1136"/>
      <c r="I587" s="1136"/>
      <c r="J587" s="1539">
        <v>950000</v>
      </c>
      <c r="K587" s="1551"/>
      <c r="L587" s="1551"/>
      <c r="M587" s="1626"/>
      <c r="N587" s="1626"/>
      <c r="O587" s="1627"/>
    </row>
    <row r="588" spans="1:15" s="146" customFormat="1" ht="16.8" x14ac:dyDescent="0.15">
      <c r="A588" s="1612" t="s">
        <v>1370</v>
      </c>
      <c r="B588" s="1634" t="s">
        <v>1466</v>
      </c>
      <c r="C588" s="1146"/>
      <c r="D588" s="1146"/>
      <c r="E588" s="1146"/>
      <c r="F588" s="1146"/>
      <c r="G588" s="1136"/>
      <c r="H588" s="1136"/>
      <c r="I588" s="1136"/>
      <c r="J588" s="1539">
        <v>3000000</v>
      </c>
      <c r="K588" s="1551"/>
      <c r="L588" s="1551"/>
      <c r="M588" s="1626"/>
      <c r="N588" s="1626"/>
      <c r="O588" s="1627"/>
    </row>
    <row r="589" spans="1:15" s="146" customFormat="1" ht="25.2" x14ac:dyDescent="0.15">
      <c r="A589" s="1612" t="s">
        <v>1370</v>
      </c>
      <c r="B589" s="1634" t="s">
        <v>1394</v>
      </c>
      <c r="C589" s="1146"/>
      <c r="D589" s="1146"/>
      <c r="E589" s="1146"/>
      <c r="F589" s="1146"/>
      <c r="G589" s="1136"/>
      <c r="H589" s="1136"/>
      <c r="I589" s="1136"/>
      <c r="J589" s="1539">
        <v>1000000</v>
      </c>
      <c r="K589" s="1551"/>
      <c r="L589" s="1551"/>
      <c r="M589" s="1626"/>
      <c r="N589" s="1626"/>
      <c r="O589" s="1627"/>
    </row>
    <row r="590" spans="1:15" s="146" customFormat="1" ht="25.2" x14ac:dyDescent="0.15">
      <c r="A590" s="1612" t="s">
        <v>1370</v>
      </c>
      <c r="B590" s="1642" t="s">
        <v>1395</v>
      </c>
      <c r="C590" s="1146"/>
      <c r="D590" s="1146"/>
      <c r="E590" s="1146"/>
      <c r="F590" s="1146"/>
      <c r="G590" s="1136"/>
      <c r="H590" s="1136"/>
      <c r="I590" s="1136"/>
      <c r="J590" s="1539">
        <v>50000</v>
      </c>
      <c r="K590" s="1600"/>
      <c r="L590" s="1600"/>
      <c r="M590" s="1643"/>
      <c r="N590" s="1643"/>
      <c r="O590" s="1644"/>
    </row>
    <row r="591" spans="1:15" s="146" customFormat="1" ht="16.8" x14ac:dyDescent="0.15">
      <c r="A591" s="1612" t="s">
        <v>1370</v>
      </c>
      <c r="B591" s="1642" t="s">
        <v>1539</v>
      </c>
      <c r="C591" s="1146"/>
      <c r="D591" s="1146"/>
      <c r="E591" s="1146"/>
      <c r="F591" s="1146"/>
      <c r="G591" s="1136"/>
      <c r="H591" s="1136"/>
      <c r="I591" s="1136"/>
      <c r="J591" s="1539">
        <v>755000</v>
      </c>
      <c r="K591" s="1600"/>
      <c r="L591" s="1600"/>
      <c r="M591" s="1643"/>
      <c r="N591" s="1643"/>
      <c r="O591" s="1644" t="s">
        <v>1876</v>
      </c>
    </row>
    <row r="592" spans="1:15" s="146" customFormat="1" ht="16.8" x14ac:dyDescent="0.15">
      <c r="A592" s="1645" t="s">
        <v>1478</v>
      </c>
      <c r="B592" s="1642" t="s">
        <v>1484</v>
      </c>
      <c r="C592" s="1146"/>
      <c r="D592" s="1146"/>
      <c r="E592" s="1146"/>
      <c r="F592" s="1146"/>
      <c r="G592" s="1136"/>
      <c r="H592" s="1136"/>
      <c r="I592" s="1136"/>
      <c r="J592" s="1539">
        <v>15000000</v>
      </c>
      <c r="K592" s="1600"/>
      <c r="L592" s="1600"/>
      <c r="M592" s="1643"/>
      <c r="N592" s="1643"/>
      <c r="O592" s="1644" t="s">
        <v>1483</v>
      </c>
    </row>
    <row r="593" spans="1:15" s="146" customFormat="1" ht="8.4" x14ac:dyDescent="0.15">
      <c r="A593" s="1645" t="s">
        <v>1478</v>
      </c>
      <c r="B593" s="1642" t="s">
        <v>1875</v>
      </c>
      <c r="C593" s="1146"/>
      <c r="D593" s="1146"/>
      <c r="E593" s="1146"/>
      <c r="F593" s="1146"/>
      <c r="G593" s="1136"/>
      <c r="H593" s="1136"/>
      <c r="I593" s="1136"/>
      <c r="J593" s="1539">
        <v>200000</v>
      </c>
      <c r="K593" s="1600"/>
      <c r="L593" s="1600"/>
      <c r="M593" s="1643"/>
      <c r="N593" s="1643"/>
      <c r="O593" s="1644"/>
    </row>
    <row r="594" spans="1:15" s="146" customFormat="1" ht="16.8" x14ac:dyDescent="0.15">
      <c r="A594" s="1612" t="s">
        <v>1531</v>
      </c>
      <c r="B594" s="1634" t="s">
        <v>1532</v>
      </c>
      <c r="C594" s="1146"/>
      <c r="D594" s="1146"/>
      <c r="E594" s="1146"/>
      <c r="F594" s="1146"/>
      <c r="G594" s="1136"/>
      <c r="H594" s="1136"/>
      <c r="I594" s="1136"/>
      <c r="J594" s="1539">
        <v>352000</v>
      </c>
      <c r="K594" s="1551"/>
      <c r="L594" s="1551"/>
      <c r="M594" s="1626"/>
      <c r="N594" s="1626"/>
      <c r="O594" s="1627"/>
    </row>
    <row r="595" spans="1:15" s="146" customFormat="1" ht="16.8" x14ac:dyDescent="0.15">
      <c r="A595" s="1597" t="s">
        <v>1531</v>
      </c>
      <c r="B595" s="1642" t="s">
        <v>1558</v>
      </c>
      <c r="C595" s="1646"/>
      <c r="D595" s="1646"/>
      <c r="E595" s="1646"/>
      <c r="F595" s="1646"/>
      <c r="G595" s="1571"/>
      <c r="H595" s="1571"/>
      <c r="I595" s="1571"/>
      <c r="J595" s="1603">
        <v>12815000</v>
      </c>
      <c r="K595" s="1600"/>
      <c r="L595" s="1551"/>
      <c r="M595" s="1626"/>
      <c r="N595" s="1626"/>
      <c r="O595" s="1627"/>
    </row>
    <row r="596" spans="1:15" s="146" customFormat="1" ht="8.4" x14ac:dyDescent="0.15">
      <c r="A596" s="1597"/>
      <c r="B596" s="1665"/>
      <c r="C596" s="1666"/>
      <c r="D596" s="1666"/>
      <c r="E596" s="1666"/>
      <c r="F596" s="1666"/>
      <c r="G596" s="1667"/>
      <c r="H596" s="1667"/>
      <c r="I596" s="1667"/>
      <c r="J596" s="1668"/>
      <c r="K596" s="1669"/>
      <c r="L596" s="1669"/>
      <c r="M596" s="1670"/>
      <c r="N596" s="1670"/>
      <c r="O596" s="1671"/>
    </row>
    <row r="597" spans="1:15" s="146" customFormat="1" ht="8.4" x14ac:dyDescent="0.15">
      <c r="A597" s="1664"/>
      <c r="B597" s="1665"/>
      <c r="C597" s="1666"/>
      <c r="D597" s="1666"/>
      <c r="E597" s="1666"/>
      <c r="F597" s="1666"/>
      <c r="G597" s="1667"/>
      <c r="H597" s="1667"/>
      <c r="I597" s="1667"/>
      <c r="J597" s="1668"/>
      <c r="K597" s="1669"/>
      <c r="L597" s="1669"/>
      <c r="M597" s="1670"/>
      <c r="N597" s="1670"/>
      <c r="O597" s="1671"/>
    </row>
    <row r="598" spans="1:15" s="146" customFormat="1" ht="8.4" x14ac:dyDescent="0.15">
      <c r="A598" s="1664"/>
      <c r="B598" s="1665"/>
      <c r="C598" s="1666"/>
      <c r="D598" s="1666"/>
      <c r="E598" s="1666"/>
      <c r="F598" s="1666"/>
      <c r="G598" s="1667"/>
      <c r="H598" s="1667"/>
      <c r="I598" s="1667"/>
      <c r="J598" s="1668"/>
      <c r="K598" s="1669"/>
      <c r="L598" s="1669"/>
      <c r="M598" s="1670"/>
      <c r="N598" s="1670"/>
      <c r="O598" s="1671"/>
    </row>
    <row r="599" spans="1:15" s="146" customFormat="1" ht="8.4" x14ac:dyDescent="0.15">
      <c r="A599" s="1664"/>
      <c r="B599" s="1665"/>
      <c r="C599" s="1666"/>
      <c r="D599" s="1666"/>
      <c r="E599" s="1666"/>
      <c r="F599" s="1666"/>
      <c r="G599" s="1667"/>
      <c r="H599" s="1667"/>
      <c r="I599" s="1667"/>
      <c r="J599" s="1668"/>
      <c r="K599" s="1669"/>
      <c r="L599" s="1669"/>
      <c r="M599" s="1670"/>
      <c r="N599" s="1670"/>
      <c r="O599" s="1671"/>
    </row>
    <row r="600" spans="1:15" s="146" customFormat="1" ht="8.4" x14ac:dyDescent="0.15">
      <c r="A600" s="1664"/>
      <c r="B600" s="1665"/>
      <c r="C600" s="1666"/>
      <c r="D600" s="1666"/>
      <c r="E600" s="1666"/>
      <c r="F600" s="1666"/>
      <c r="G600" s="1667"/>
      <c r="H600" s="1667"/>
      <c r="I600" s="1667"/>
      <c r="J600" s="1668"/>
      <c r="K600" s="1669"/>
      <c r="L600" s="1669"/>
      <c r="M600" s="1670"/>
      <c r="N600" s="1670"/>
      <c r="O600" s="1671"/>
    </row>
    <row r="601" spans="1:15" s="146" customFormat="1" ht="8.4" x14ac:dyDescent="0.15">
      <c r="A601" s="1664"/>
      <c r="B601" s="1665"/>
      <c r="C601" s="1666"/>
      <c r="D601" s="1666"/>
      <c r="E601" s="1666"/>
      <c r="F601" s="1666"/>
      <c r="G601" s="1667"/>
      <c r="H601" s="1667"/>
      <c r="I601" s="1667"/>
      <c r="J601" s="1668"/>
      <c r="K601" s="1669"/>
      <c r="L601" s="1669"/>
      <c r="M601" s="1670"/>
      <c r="N601" s="1670"/>
      <c r="O601" s="1671"/>
    </row>
    <row r="602" spans="1:15" s="146" customFormat="1" ht="8.4" x14ac:dyDescent="0.15">
      <c r="A602" s="2333" t="s">
        <v>1844</v>
      </c>
      <c r="B602" s="2333"/>
      <c r="C602" s="1647">
        <f t="shared" ref="C602:L602" si="1">SUM(C262:C595)</f>
        <v>0</v>
      </c>
      <c r="D602" s="1647">
        <f t="shared" si="1"/>
        <v>352861750</v>
      </c>
      <c r="E602" s="1647">
        <f t="shared" si="1"/>
        <v>45000000</v>
      </c>
      <c r="F602" s="1647">
        <f t="shared" si="1"/>
        <v>1045294000</v>
      </c>
      <c r="G602" s="1647">
        <f t="shared" si="1"/>
        <v>300000</v>
      </c>
      <c r="H602" s="1647">
        <f t="shared" si="1"/>
        <v>457714000</v>
      </c>
      <c r="I602" s="1647">
        <f t="shared" si="1"/>
        <v>45270000</v>
      </c>
      <c r="J602" s="1647">
        <f t="shared" si="1"/>
        <v>742291730</v>
      </c>
      <c r="K602" s="1647">
        <f t="shared" si="1"/>
        <v>4030000</v>
      </c>
      <c r="L602" s="1647">
        <f t="shared" si="1"/>
        <v>15505000</v>
      </c>
      <c r="M602" s="1647"/>
      <c r="N602" s="1647"/>
      <c r="O602" s="442"/>
    </row>
    <row r="603" spans="1:15" s="146" customFormat="1" ht="8.4" x14ac:dyDescent="0.15">
      <c r="A603" s="2331" t="s">
        <v>1845</v>
      </c>
      <c r="B603" s="2331"/>
      <c r="C603" s="2334">
        <f>SUM(C602:F602)</f>
        <v>1443155750</v>
      </c>
      <c r="D603" s="2335"/>
      <c r="E603" s="2335"/>
      <c r="F603" s="2335"/>
      <c r="G603" s="1648"/>
      <c r="H603" s="1648"/>
      <c r="I603" s="1649"/>
      <c r="J603" s="1649"/>
      <c r="K603" s="1649"/>
      <c r="L603" s="1650"/>
      <c r="M603" s="1650"/>
      <c r="N603" s="1650"/>
      <c r="O603" s="442"/>
    </row>
    <row r="604" spans="1:15" s="146" customFormat="1" ht="8.4" x14ac:dyDescent="0.15">
      <c r="A604" s="2331" t="s">
        <v>1846</v>
      </c>
      <c r="B604" s="2331"/>
      <c r="C604" s="2334">
        <f>SUM(G602:L602)</f>
        <v>1265110730</v>
      </c>
      <c r="D604" s="2335"/>
      <c r="E604" s="2335"/>
      <c r="F604" s="2335"/>
      <c r="G604" s="1651"/>
      <c r="H604" s="1651"/>
      <c r="I604" s="1651"/>
      <c r="J604" s="1651"/>
      <c r="K604" s="1651"/>
      <c r="L604" s="1651"/>
      <c r="M604" s="1651"/>
      <c r="N604" s="1651"/>
      <c r="O604" s="442"/>
    </row>
    <row r="605" spans="1:15" s="146" customFormat="1" ht="8.4" x14ac:dyDescent="0.15">
      <c r="A605" s="2331" t="s">
        <v>1869</v>
      </c>
      <c r="B605" s="2331"/>
      <c r="C605" s="2334">
        <f>C603-C604</f>
        <v>178045020</v>
      </c>
      <c r="D605" s="2335"/>
      <c r="E605" s="2335"/>
      <c r="F605" s="2335"/>
      <c r="G605" s="1651"/>
      <c r="H605" s="1651"/>
      <c r="I605" s="1651"/>
      <c r="J605" s="1651"/>
      <c r="K605" s="1651"/>
      <c r="L605" s="1651"/>
      <c r="M605" s="1651"/>
      <c r="N605" s="1651"/>
      <c r="O605" s="442"/>
    </row>
    <row r="606" spans="1:15" x14ac:dyDescent="0.25">
      <c r="A606" s="2363" t="s">
        <v>1870</v>
      </c>
      <c r="B606" s="2364"/>
      <c r="C606" s="2365">
        <f>C605-242912630</f>
        <v>-64867610</v>
      </c>
      <c r="D606" s="2366"/>
      <c r="E606" s="2366"/>
      <c r="F606" s="2367"/>
      <c r="G606" s="1354"/>
      <c r="H606" s="1354"/>
      <c r="I606" s="1354"/>
      <c r="J606" s="1354"/>
      <c r="K606" s="1354"/>
      <c r="L606" s="1354"/>
      <c r="M606" s="1354"/>
      <c r="N606" s="1354"/>
      <c r="O606" s="1656"/>
    </row>
    <row r="610" spans="6:6" x14ac:dyDescent="0.25">
      <c r="F610" s="15">
        <f>1317162800-1522559150</f>
        <v>-205396350</v>
      </c>
    </row>
  </sheetData>
  <autoFilter ref="A6:P605"/>
  <mergeCells count="26">
    <mergeCell ref="A3:O3"/>
    <mergeCell ref="A4:O4"/>
    <mergeCell ref="A5:A6"/>
    <mergeCell ref="B5:B6"/>
    <mergeCell ref="C5:F5"/>
    <mergeCell ref="G5:L5"/>
    <mergeCell ref="O5:O6"/>
    <mergeCell ref="O271:O273"/>
    <mergeCell ref="A602:B602"/>
    <mergeCell ref="A603:B603"/>
    <mergeCell ref="C603:F603"/>
    <mergeCell ref="A604:B604"/>
    <mergeCell ref="C604:F604"/>
    <mergeCell ref="A257:B257"/>
    <mergeCell ref="A258:B258"/>
    <mergeCell ref="C258:F258"/>
    <mergeCell ref="G258:N258"/>
    <mergeCell ref="A259:B259"/>
    <mergeCell ref="C259:F259"/>
    <mergeCell ref="G259:N259"/>
    <mergeCell ref="C260:F260"/>
    <mergeCell ref="A606:B606"/>
    <mergeCell ref="C606:F606"/>
    <mergeCell ref="A605:B605"/>
    <mergeCell ref="C605:F605"/>
    <mergeCell ref="A260:B260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3"/>
  <sheetViews>
    <sheetView zoomScaleNormal="100" workbookViewId="0">
      <pane ySplit="6" topLeftCell="A313" activePane="bottomLeft" state="frozen"/>
      <selection pane="bottomLeft" activeCell="C341" sqref="C341:G341"/>
    </sheetView>
  </sheetViews>
  <sheetFormatPr defaultColWidth="9.109375" defaultRowHeight="13.8" x14ac:dyDescent="0.25"/>
  <cols>
    <col min="1" max="1" width="3.88671875" style="1" customWidth="1"/>
    <col min="2" max="2" width="18.44140625" style="13" customWidth="1"/>
    <col min="3" max="3" width="4.109375" style="15" customWidth="1"/>
    <col min="4" max="4" width="10.44140625" style="15" customWidth="1"/>
    <col min="5" max="5" width="11" style="15" customWidth="1"/>
    <col min="6" max="6" width="10.5546875" style="15" customWidth="1"/>
    <col min="7" max="7" width="11.88671875" style="15" customWidth="1"/>
    <col min="8" max="8" width="8.6640625" style="3" customWidth="1"/>
    <col min="9" max="10" width="10.109375" style="3" customWidth="1"/>
    <col min="11" max="11" width="11.5546875" style="3" customWidth="1"/>
    <col min="12" max="12" width="10.6640625" style="3" customWidth="1"/>
    <col min="13" max="13" width="10.44140625" style="3" customWidth="1"/>
    <col min="14" max="14" width="9" style="13" customWidth="1"/>
    <col min="15" max="15" width="11.44140625" style="1" customWidth="1"/>
    <col min="16" max="16384" width="9.109375" style="1"/>
  </cols>
  <sheetData>
    <row r="1" spans="1:14" ht="16.8" x14ac:dyDescent="0.25">
      <c r="A1" s="5" t="s">
        <v>3</v>
      </c>
      <c r="B1" s="16"/>
      <c r="C1" s="33"/>
      <c r="D1" s="33"/>
      <c r="E1" s="33"/>
      <c r="F1" s="33"/>
      <c r="G1" s="33"/>
      <c r="H1" s="1"/>
      <c r="I1" s="1"/>
      <c r="J1" s="1"/>
      <c r="K1" s="1"/>
      <c r="L1" s="1"/>
      <c r="M1" s="1"/>
    </row>
    <row r="2" spans="1:14" x14ac:dyDescent="0.25">
      <c r="A2" s="7" t="s">
        <v>5</v>
      </c>
      <c r="B2" s="17"/>
      <c r="C2" s="34"/>
      <c r="D2" s="34"/>
      <c r="E2" s="34"/>
      <c r="F2" s="34"/>
      <c r="G2" s="34"/>
      <c r="H2" s="1"/>
      <c r="I2" s="1"/>
      <c r="J2" s="1"/>
      <c r="K2" s="1"/>
      <c r="L2" s="1"/>
      <c r="M2" s="1"/>
    </row>
    <row r="3" spans="1:14" ht="20.399999999999999" x14ac:dyDescent="0.35">
      <c r="A3" s="2124" t="s">
        <v>1306</v>
      </c>
      <c r="B3" s="2124"/>
      <c r="C3" s="2124"/>
      <c r="D3" s="2124"/>
      <c r="E3" s="2124"/>
      <c r="F3" s="2124"/>
      <c r="G3" s="2124"/>
      <c r="H3" s="2124"/>
      <c r="I3" s="2124"/>
      <c r="J3" s="2124"/>
      <c r="K3" s="2124"/>
      <c r="L3" s="2124"/>
      <c r="M3" s="2124"/>
      <c r="N3" s="2124"/>
    </row>
    <row r="4" spans="1:14" ht="21.9" customHeight="1" thickBot="1" x14ac:dyDescent="0.3">
      <c r="A4" s="2348" t="s">
        <v>1860</v>
      </c>
      <c r="B4" s="2348"/>
      <c r="C4" s="2348"/>
      <c r="D4" s="2348"/>
      <c r="E4" s="2348"/>
      <c r="F4" s="2348"/>
      <c r="G4" s="2348"/>
      <c r="H4" s="2348"/>
      <c r="I4" s="2348"/>
      <c r="J4" s="2348"/>
      <c r="K4" s="2348"/>
      <c r="L4" s="2348"/>
      <c r="M4" s="2348"/>
      <c r="N4" s="2348"/>
    </row>
    <row r="5" spans="1:14" s="32" customFormat="1" ht="21.9" customHeight="1" thickTop="1" x14ac:dyDescent="0.2">
      <c r="A5" s="2368" t="s">
        <v>153</v>
      </c>
      <c r="B5" s="2370" t="s">
        <v>91</v>
      </c>
      <c r="C5" s="2382" t="s">
        <v>609</v>
      </c>
      <c r="D5" s="2383"/>
      <c r="E5" s="2383"/>
      <c r="F5" s="2383"/>
      <c r="G5" s="2384"/>
      <c r="H5" s="2385" t="s">
        <v>92</v>
      </c>
      <c r="I5" s="2386"/>
      <c r="J5" s="2386"/>
      <c r="K5" s="2386"/>
      <c r="L5" s="2386"/>
      <c r="M5" s="2387"/>
      <c r="N5" s="2372" t="s">
        <v>1</v>
      </c>
    </row>
    <row r="6" spans="1:14" s="32" customFormat="1" ht="45" customHeight="1" x14ac:dyDescent="0.2">
      <c r="A6" s="2369"/>
      <c r="B6" s="2371"/>
      <c r="C6" s="1430" t="s">
        <v>1837</v>
      </c>
      <c r="D6" s="1430" t="s">
        <v>683</v>
      </c>
      <c r="E6" s="1430" t="s">
        <v>685</v>
      </c>
      <c r="F6" s="1430" t="s">
        <v>1566</v>
      </c>
      <c r="G6" s="1430" t="s">
        <v>1858</v>
      </c>
      <c r="H6" s="1431" t="s">
        <v>1837</v>
      </c>
      <c r="I6" s="1431" t="s">
        <v>683</v>
      </c>
      <c r="J6" s="1431" t="s">
        <v>685</v>
      </c>
      <c r="K6" s="1431" t="s">
        <v>686</v>
      </c>
      <c r="L6" s="1432" t="s">
        <v>688</v>
      </c>
      <c r="M6" s="1432" t="s">
        <v>1838</v>
      </c>
      <c r="N6" s="2373"/>
    </row>
    <row r="7" spans="1:14" s="32" customFormat="1" ht="21" customHeight="1" x14ac:dyDescent="0.2">
      <c r="A7" s="1433"/>
      <c r="B7" s="1434" t="s">
        <v>1551</v>
      </c>
      <c r="C7" s="1435"/>
      <c r="D7" s="1435"/>
      <c r="E7" s="1435"/>
      <c r="F7" s="1435"/>
      <c r="G7" s="1435"/>
      <c r="H7" s="1436"/>
      <c r="I7" s="1436"/>
      <c r="J7" s="1436"/>
      <c r="K7" s="1436"/>
      <c r="L7" s="1437"/>
      <c r="M7" s="1438"/>
      <c r="N7" s="1439"/>
    </row>
    <row r="8" spans="1:14" s="32" customFormat="1" ht="21.9" customHeight="1" x14ac:dyDescent="0.2">
      <c r="A8" s="1440" t="s">
        <v>260</v>
      </c>
      <c r="B8" s="1230" t="s">
        <v>414</v>
      </c>
      <c r="C8" s="1441"/>
      <c r="D8" s="1441">
        <v>18000000</v>
      </c>
      <c r="E8" s="1442"/>
      <c r="F8" s="1443"/>
      <c r="G8" s="1443"/>
      <c r="H8" s="1444"/>
      <c r="I8" s="1444"/>
      <c r="J8" s="1444"/>
      <c r="K8" s="1444"/>
      <c r="L8" s="1444"/>
      <c r="M8" s="1444"/>
      <c r="N8" s="1445"/>
    </row>
    <row r="9" spans="1:14" s="32" customFormat="1" ht="21.9" customHeight="1" x14ac:dyDescent="0.2">
      <c r="A9" s="1440" t="s">
        <v>403</v>
      </c>
      <c r="B9" s="1230" t="s">
        <v>415</v>
      </c>
      <c r="C9" s="1442"/>
      <c r="D9" s="1442"/>
      <c r="E9" s="1441">
        <v>45000000</v>
      </c>
      <c r="F9" s="1443"/>
      <c r="G9" s="1443"/>
      <c r="H9" s="1444"/>
      <c r="I9" s="1444"/>
      <c r="J9" s="1444"/>
      <c r="K9" s="1444"/>
      <c r="L9" s="1444"/>
      <c r="M9" s="1444"/>
      <c r="N9" s="1446"/>
    </row>
    <row r="10" spans="1:14" s="32" customFormat="1" ht="21.9" customHeight="1" x14ac:dyDescent="0.2">
      <c r="A10" s="1440" t="s">
        <v>432</v>
      </c>
      <c r="B10" s="311" t="s">
        <v>415</v>
      </c>
      <c r="C10" s="1441"/>
      <c r="D10" s="1441">
        <v>45000000</v>
      </c>
      <c r="E10" s="1442"/>
      <c r="F10" s="1447"/>
      <c r="G10" s="1447"/>
      <c r="H10" s="1444"/>
      <c r="I10" s="1444"/>
      <c r="J10" s="1444"/>
      <c r="K10" s="1444"/>
      <c r="L10" s="1444"/>
      <c r="M10" s="1444"/>
      <c r="N10" s="1446"/>
    </row>
    <row r="11" spans="1:14" s="32" customFormat="1" ht="21.9" customHeight="1" x14ac:dyDescent="0.2">
      <c r="A11" s="1440" t="s">
        <v>500</v>
      </c>
      <c r="B11" s="311" t="s">
        <v>414</v>
      </c>
      <c r="C11" s="1442"/>
      <c r="D11" s="1442"/>
      <c r="E11" s="1442"/>
      <c r="F11" s="1447">
        <v>5000000</v>
      </c>
      <c r="G11" s="1447"/>
      <c r="H11" s="1444"/>
      <c r="I11" s="1444"/>
      <c r="J11" s="1444"/>
      <c r="K11" s="1444"/>
      <c r="L11" s="1444"/>
      <c r="M11" s="1444"/>
      <c r="N11" s="1446"/>
    </row>
    <row r="12" spans="1:14" s="32" customFormat="1" ht="21" customHeight="1" x14ac:dyDescent="0.2">
      <c r="A12" s="1440" t="s">
        <v>634</v>
      </c>
      <c r="B12" s="311" t="s">
        <v>414</v>
      </c>
      <c r="C12" s="1441"/>
      <c r="D12" s="1441">
        <v>30000000</v>
      </c>
      <c r="E12" s="1442"/>
      <c r="F12" s="1443"/>
      <c r="G12" s="1443"/>
      <c r="H12" s="1444"/>
      <c r="I12" s="1444"/>
      <c r="J12" s="1444"/>
      <c r="K12" s="1444"/>
      <c r="L12" s="1444"/>
      <c r="M12" s="1444"/>
      <c r="N12" s="1446"/>
    </row>
    <row r="13" spans="1:14" s="32" customFormat="1" ht="24" customHeight="1" x14ac:dyDescent="0.2">
      <c r="A13" s="1440" t="s">
        <v>964</v>
      </c>
      <c r="B13" s="311" t="s">
        <v>414</v>
      </c>
      <c r="C13" s="1441"/>
      <c r="D13" s="1441">
        <v>25000000</v>
      </c>
      <c r="E13" s="1442"/>
      <c r="F13" s="1443"/>
      <c r="G13" s="1443"/>
      <c r="H13" s="1444"/>
      <c r="I13" s="1444"/>
      <c r="J13" s="1444"/>
      <c r="K13" s="1444"/>
      <c r="L13" s="1444"/>
      <c r="M13" s="1444"/>
      <c r="N13" s="1446"/>
    </row>
    <row r="14" spans="1:14" s="32" customFormat="1" ht="10.199999999999999" x14ac:dyDescent="0.2">
      <c r="A14" s="1440" t="s">
        <v>1001</v>
      </c>
      <c r="B14" s="311" t="s">
        <v>415</v>
      </c>
      <c r="C14" s="1441"/>
      <c r="D14" s="1441">
        <v>90000000</v>
      </c>
      <c r="E14" s="1442"/>
      <c r="F14" s="1443"/>
      <c r="G14" s="1443"/>
      <c r="H14" s="1444"/>
      <c r="I14" s="1444"/>
      <c r="J14" s="1444"/>
      <c r="K14" s="1444"/>
      <c r="L14" s="1444"/>
      <c r="M14" s="1444"/>
      <c r="N14" s="1446"/>
    </row>
    <row r="15" spans="1:14" s="32" customFormat="1" ht="10.199999999999999" x14ac:dyDescent="0.2">
      <c r="A15" s="1448" t="s">
        <v>1243</v>
      </c>
      <c r="B15" s="1449" t="s">
        <v>415</v>
      </c>
      <c r="C15" s="1450"/>
      <c r="D15" s="1450">
        <v>90000000</v>
      </c>
      <c r="E15" s="1451"/>
      <c r="F15" s="1452"/>
      <c r="G15" s="1452"/>
      <c r="H15" s="1453"/>
      <c r="I15" s="1453"/>
      <c r="J15" s="1453"/>
      <c r="K15" s="1453"/>
      <c r="L15" s="1453"/>
      <c r="M15" s="1453"/>
      <c r="N15" s="1454"/>
    </row>
    <row r="16" spans="1:14" s="32" customFormat="1" ht="25.5" customHeight="1" x14ac:dyDescent="0.2">
      <c r="A16" s="1455"/>
      <c r="B16" s="1456" t="s">
        <v>1559</v>
      </c>
      <c r="C16" s="1457"/>
      <c r="D16" s="1457"/>
      <c r="E16" s="1457"/>
      <c r="F16" s="1458"/>
      <c r="G16" s="1458"/>
      <c r="H16" s="1458"/>
      <c r="I16" s="1458"/>
      <c r="J16" s="1458"/>
      <c r="K16" s="1458"/>
      <c r="L16" s="1458"/>
      <c r="M16" s="1458"/>
      <c r="N16" s="1459"/>
    </row>
    <row r="17" spans="1:14" s="32" customFormat="1" ht="38.25" customHeight="1" x14ac:dyDescent="0.2">
      <c r="A17" s="1460"/>
      <c r="B17" s="1232" t="s">
        <v>1023</v>
      </c>
      <c r="C17" s="1461"/>
      <c r="D17" s="1461">
        <v>24742200</v>
      </c>
      <c r="E17" s="1443"/>
      <c r="F17" s="1462">
        <v>13070600</v>
      </c>
      <c r="G17" s="1462"/>
      <c r="H17" s="1444"/>
      <c r="I17" s="1444"/>
      <c r="J17" s="1444"/>
      <c r="K17" s="1444"/>
      <c r="L17" s="1444"/>
      <c r="M17" s="1444"/>
      <c r="N17" s="2379" t="s">
        <v>1859</v>
      </c>
    </row>
    <row r="18" spans="1:14" s="32" customFormat="1" ht="14.25" customHeight="1" x14ac:dyDescent="0.2">
      <c r="A18" s="1460"/>
      <c r="B18" s="1232" t="s">
        <v>1560</v>
      </c>
      <c r="C18" s="1461"/>
      <c r="D18" s="1461">
        <v>26192050</v>
      </c>
      <c r="E18" s="1442"/>
      <c r="F18" s="1462">
        <v>6974300</v>
      </c>
      <c r="G18" s="1462"/>
      <c r="H18" s="1444"/>
      <c r="I18" s="1444"/>
      <c r="J18" s="1444"/>
      <c r="K18" s="1444"/>
      <c r="L18" s="1444"/>
      <c r="M18" s="1444"/>
      <c r="N18" s="2380"/>
    </row>
    <row r="19" spans="1:14" s="32" customFormat="1" ht="14.25" customHeight="1" x14ac:dyDescent="0.2">
      <c r="A19" s="1463"/>
      <c r="B19" s="1235" t="s">
        <v>1297</v>
      </c>
      <c r="C19" s="1451"/>
      <c r="D19" s="1451">
        <v>1357500</v>
      </c>
      <c r="E19" s="1452"/>
      <c r="F19" s="1452">
        <v>2587150</v>
      </c>
      <c r="G19" s="1452"/>
      <c r="H19" s="1453"/>
      <c r="I19" s="1453"/>
      <c r="J19" s="1453"/>
      <c r="K19" s="1453"/>
      <c r="L19" s="1453"/>
      <c r="M19" s="1453"/>
      <c r="N19" s="2381"/>
    </row>
    <row r="20" spans="1:14" s="32" customFormat="1" ht="25.5" customHeight="1" x14ac:dyDescent="0.2">
      <c r="A20" s="1455"/>
      <c r="B20" s="1456" t="s">
        <v>1856</v>
      </c>
      <c r="C20" s="1457"/>
      <c r="D20" s="1457"/>
      <c r="E20" s="1457"/>
      <c r="F20" s="1458"/>
      <c r="G20" s="1458"/>
      <c r="H20" s="1458"/>
      <c r="I20" s="1458"/>
      <c r="J20" s="1458"/>
      <c r="K20" s="1458"/>
      <c r="L20" s="1458"/>
      <c r="M20" s="1458"/>
      <c r="N20" s="1459"/>
    </row>
    <row r="21" spans="1:14" s="32" customFormat="1" ht="10.199999999999999" x14ac:dyDescent="0.2">
      <c r="A21" s="1460"/>
      <c r="B21" s="1232" t="s">
        <v>1857</v>
      </c>
      <c r="C21" s="1461"/>
      <c r="D21" s="1461"/>
      <c r="E21" s="1464"/>
      <c r="F21" s="1465"/>
      <c r="G21" s="1462">
        <f>'Tổng hợp DTBH'!F8</f>
        <v>5061200</v>
      </c>
      <c r="H21" s="1444"/>
      <c r="I21" s="1444"/>
      <c r="J21" s="1444"/>
      <c r="K21" s="1444"/>
      <c r="L21" s="1444"/>
      <c r="M21" s="1444"/>
      <c r="N21" s="1446"/>
    </row>
    <row r="22" spans="1:14" s="32" customFormat="1" ht="10.199999999999999" x14ac:dyDescent="0.2">
      <c r="A22" s="1460"/>
      <c r="B22" s="1232" t="s">
        <v>1022</v>
      </c>
      <c r="C22" s="1466"/>
      <c r="D22" s="1466"/>
      <c r="E22" s="1444"/>
      <c r="F22" s="1465"/>
      <c r="G22" s="1462">
        <f>'Tổng hợp DTBH'!F9</f>
        <v>87508050</v>
      </c>
      <c r="H22" s="1444"/>
      <c r="I22" s="1444"/>
      <c r="J22" s="1444"/>
      <c r="K22" s="1444"/>
      <c r="L22" s="1444"/>
      <c r="M22" s="1444"/>
      <c r="N22" s="1446"/>
    </row>
    <row r="23" spans="1:14" s="32" customFormat="1" ht="10.199999999999999" x14ac:dyDescent="0.2">
      <c r="A23" s="1460"/>
      <c r="B23" s="1232" t="s">
        <v>1023</v>
      </c>
      <c r="C23" s="1461"/>
      <c r="D23" s="1461"/>
      <c r="E23" s="1444"/>
      <c r="F23" s="1465"/>
      <c r="G23" s="1462">
        <f>'Tổng hợp DTBH'!F10</f>
        <v>238316100</v>
      </c>
      <c r="H23" s="1444"/>
      <c r="I23" s="1444"/>
      <c r="J23" s="1444"/>
      <c r="K23" s="1444"/>
      <c r="L23" s="1444"/>
      <c r="M23" s="1444"/>
      <c r="N23" s="1446"/>
    </row>
    <row r="24" spans="1:14" s="32" customFormat="1" ht="10.199999999999999" x14ac:dyDescent="0.2">
      <c r="A24" s="1460"/>
      <c r="B24" s="1230" t="s">
        <v>1560</v>
      </c>
      <c r="C24" s="1461"/>
      <c r="D24" s="1461"/>
      <c r="E24" s="1464"/>
      <c r="F24" s="1465"/>
      <c r="G24" s="1462">
        <f>'Tổng hợp DTBH'!F11</f>
        <v>312176600</v>
      </c>
      <c r="H24" s="1444"/>
      <c r="I24" s="1444"/>
      <c r="J24" s="1444"/>
      <c r="K24" s="1444"/>
      <c r="L24" s="1444"/>
      <c r="M24" s="1444"/>
      <c r="N24" s="1446"/>
    </row>
    <row r="25" spans="1:14" s="32" customFormat="1" ht="10.199999999999999" x14ac:dyDescent="0.2">
      <c r="A25" s="1463"/>
      <c r="B25" s="1235" t="s">
        <v>1297</v>
      </c>
      <c r="C25" s="1450"/>
      <c r="D25" s="1450"/>
      <c r="E25" s="1453"/>
      <c r="F25" s="1467"/>
      <c r="G25" s="1452">
        <f>'Tổng hợp DTBH'!F12</f>
        <v>349931000</v>
      </c>
      <c r="H25" s="1453"/>
      <c r="I25" s="1453"/>
      <c r="J25" s="1453"/>
      <c r="K25" s="1453"/>
      <c r="L25" s="1453"/>
      <c r="M25" s="1453"/>
      <c r="N25" s="1468"/>
    </row>
    <row r="26" spans="1:14" s="32" customFormat="1" ht="25.5" customHeight="1" x14ac:dyDescent="0.2">
      <c r="A26" s="1455"/>
      <c r="B26" s="1456" t="s">
        <v>1552</v>
      </c>
      <c r="C26" s="1457"/>
      <c r="D26" s="1457"/>
      <c r="E26" s="1457"/>
      <c r="F26" s="1458"/>
      <c r="G26" s="1458"/>
      <c r="H26" s="1458"/>
      <c r="I26" s="1458"/>
      <c r="J26" s="1458"/>
      <c r="K26" s="1458"/>
      <c r="L26" s="1458"/>
      <c r="M26" s="1458"/>
      <c r="N26" s="1459"/>
    </row>
    <row r="27" spans="1:14" s="32" customFormat="1" ht="30.6" x14ac:dyDescent="0.2">
      <c r="A27" s="1460" t="s">
        <v>409</v>
      </c>
      <c r="B27" s="1232" t="s">
        <v>781</v>
      </c>
      <c r="C27" s="1461"/>
      <c r="D27" s="1461"/>
      <c r="E27" s="1464"/>
      <c r="F27" s="1465">
        <v>819000</v>
      </c>
      <c r="G27" s="1465"/>
      <c r="H27" s="1444"/>
      <c r="I27" s="1444"/>
      <c r="J27" s="1444"/>
      <c r="K27" s="1444"/>
      <c r="L27" s="1444"/>
      <c r="M27" s="1444"/>
      <c r="N27" s="1446"/>
    </row>
    <row r="28" spans="1:14" s="32" customFormat="1" ht="20.399999999999999" x14ac:dyDescent="0.2">
      <c r="A28" s="1460" t="s">
        <v>565</v>
      </c>
      <c r="B28" s="1232" t="s">
        <v>777</v>
      </c>
      <c r="C28" s="1466"/>
      <c r="D28" s="1466">
        <v>2570000</v>
      </c>
      <c r="E28" s="1444"/>
      <c r="F28" s="1462"/>
      <c r="G28" s="1462"/>
      <c r="H28" s="1444"/>
      <c r="I28" s="1444"/>
      <c r="J28" s="1444"/>
      <c r="K28" s="1444"/>
      <c r="L28" s="1444"/>
      <c r="M28" s="1444"/>
      <c r="N28" s="1446"/>
    </row>
    <row r="29" spans="1:14" s="32" customFormat="1" ht="20.399999999999999" x14ac:dyDescent="0.2">
      <c r="A29" s="1460" t="s">
        <v>576</v>
      </c>
      <c r="B29" s="1232" t="s">
        <v>577</v>
      </c>
      <c r="C29" s="1461"/>
      <c r="D29" s="1461"/>
      <c r="E29" s="1444"/>
      <c r="F29" s="1465">
        <v>7250000</v>
      </c>
      <c r="G29" s="1465"/>
      <c r="H29" s="1444"/>
      <c r="I29" s="1444"/>
      <c r="J29" s="1444"/>
      <c r="K29" s="1444"/>
      <c r="L29" s="1444"/>
      <c r="M29" s="1444"/>
      <c r="N29" s="1446"/>
    </row>
    <row r="30" spans="1:14" s="32" customFormat="1" ht="30.6" x14ac:dyDescent="0.2">
      <c r="A30" s="1460" t="s">
        <v>1205</v>
      </c>
      <c r="B30" s="1232" t="s">
        <v>1348</v>
      </c>
      <c r="C30" s="1461"/>
      <c r="D30" s="1461"/>
      <c r="E30" s="1464"/>
      <c r="F30" s="1465">
        <v>15100000</v>
      </c>
      <c r="G30" s="1465"/>
      <c r="H30" s="1444"/>
      <c r="I30" s="1444"/>
      <c r="J30" s="1444"/>
      <c r="K30" s="1444"/>
      <c r="L30" s="1444"/>
      <c r="M30" s="1444"/>
      <c r="N30" s="1446"/>
    </row>
    <row r="31" spans="1:14" s="32" customFormat="1" ht="30.6" x14ac:dyDescent="0.2">
      <c r="A31" s="1463" t="s">
        <v>1370</v>
      </c>
      <c r="B31" s="1235" t="s">
        <v>1404</v>
      </c>
      <c r="C31" s="1451"/>
      <c r="D31" s="1451"/>
      <c r="E31" s="1453"/>
      <c r="F31" s="1467">
        <v>1500000</v>
      </c>
      <c r="G31" s="1467"/>
      <c r="H31" s="1453"/>
      <c r="I31" s="1453"/>
      <c r="J31" s="1453"/>
      <c r="K31" s="1453"/>
      <c r="L31" s="1453"/>
      <c r="M31" s="1453"/>
      <c r="N31" s="1468"/>
    </row>
    <row r="32" spans="1:14" s="32" customFormat="1" ht="19.5" customHeight="1" x14ac:dyDescent="0.2">
      <c r="A32" s="1469"/>
      <c r="B32" s="1470" t="s">
        <v>1553</v>
      </c>
      <c r="C32" s="1458"/>
      <c r="D32" s="1458"/>
      <c r="E32" s="1458"/>
      <c r="F32" s="1458"/>
      <c r="G32" s="1458"/>
      <c r="H32" s="1471"/>
      <c r="I32" s="1471"/>
      <c r="J32" s="1458"/>
      <c r="K32" s="1458"/>
      <c r="L32" s="1458"/>
      <c r="M32" s="1458"/>
      <c r="N32" s="1459"/>
    </row>
    <row r="33" spans="1:14" s="32" customFormat="1" ht="10.199999999999999" x14ac:dyDescent="0.2">
      <c r="A33" s="1472" t="s">
        <v>434</v>
      </c>
      <c r="B33" s="1230" t="s">
        <v>1318</v>
      </c>
      <c r="C33" s="1444"/>
      <c r="D33" s="1444"/>
      <c r="E33" s="1444"/>
      <c r="F33" s="1444"/>
      <c r="G33" s="1444"/>
      <c r="H33" s="1447"/>
      <c r="I33" s="1447">
        <v>20000000</v>
      </c>
      <c r="J33" s="1444"/>
      <c r="K33" s="1443"/>
      <c r="L33" s="1444"/>
      <c r="M33" s="1444"/>
      <c r="N33" s="1446"/>
    </row>
    <row r="34" spans="1:14" s="32" customFormat="1" ht="20.399999999999999" x14ac:dyDescent="0.2">
      <c r="A34" s="1472"/>
      <c r="B34" s="1230" t="s">
        <v>1320</v>
      </c>
      <c r="C34" s="1444"/>
      <c r="D34" s="1444"/>
      <c r="E34" s="1444"/>
      <c r="F34" s="1444"/>
      <c r="G34" s="1444"/>
      <c r="H34" s="1473"/>
      <c r="I34" s="1473">
        <v>40000000</v>
      </c>
      <c r="J34" s="1444"/>
      <c r="K34" s="1443"/>
      <c r="L34" s="1444"/>
      <c r="M34" s="1444"/>
      <c r="N34" s="1446"/>
    </row>
    <row r="35" spans="1:14" s="32" customFormat="1" ht="20.399999999999999" x14ac:dyDescent="0.2">
      <c r="A35" s="1460"/>
      <c r="B35" s="1232" t="s">
        <v>1320</v>
      </c>
      <c r="C35" s="1444"/>
      <c r="D35" s="1444"/>
      <c r="E35" s="1444"/>
      <c r="F35" s="1444"/>
      <c r="G35" s="1444"/>
      <c r="H35" s="1240"/>
      <c r="I35" s="1240"/>
      <c r="J35" s="1444"/>
      <c r="K35" s="1474">
        <v>49050000</v>
      </c>
      <c r="L35" s="1444"/>
      <c r="M35" s="1444"/>
      <c r="N35" s="1446"/>
    </row>
    <row r="36" spans="1:14" s="32" customFormat="1" ht="10.199999999999999" x14ac:dyDescent="0.2">
      <c r="A36" s="1472" t="s">
        <v>634</v>
      </c>
      <c r="B36" s="819" t="s">
        <v>1321</v>
      </c>
      <c r="C36" s="1444"/>
      <c r="D36" s="1444"/>
      <c r="E36" s="1444"/>
      <c r="F36" s="1444"/>
      <c r="G36" s="1444"/>
      <c r="H36" s="1447"/>
      <c r="I36" s="1447">
        <v>10000000</v>
      </c>
      <c r="J36" s="1444"/>
      <c r="K36" s="1447"/>
      <c r="L36" s="1444"/>
      <c r="M36" s="1444"/>
      <c r="N36" s="1446"/>
    </row>
    <row r="37" spans="1:14" s="32" customFormat="1" ht="10.199999999999999" x14ac:dyDescent="0.2">
      <c r="A37" s="1472"/>
      <c r="B37" s="819" t="s">
        <v>518</v>
      </c>
      <c r="C37" s="1444"/>
      <c r="D37" s="1444"/>
      <c r="E37" s="1444"/>
      <c r="F37" s="1444"/>
      <c r="G37" s="1444"/>
      <c r="H37" s="1447"/>
      <c r="I37" s="1447">
        <v>14000000</v>
      </c>
      <c r="J37" s="1444"/>
      <c r="K37" s="1447"/>
      <c r="L37" s="1444"/>
      <c r="M37" s="1444"/>
      <c r="N37" s="1446"/>
    </row>
    <row r="38" spans="1:14" s="32" customFormat="1" ht="10.199999999999999" x14ac:dyDescent="0.2">
      <c r="A38" s="1472"/>
      <c r="B38" s="819" t="s">
        <v>519</v>
      </c>
      <c r="C38" s="1444"/>
      <c r="D38" s="1444"/>
      <c r="E38" s="1444"/>
      <c r="F38" s="1444"/>
      <c r="G38" s="1444"/>
      <c r="H38" s="1447"/>
      <c r="I38" s="1447"/>
      <c r="J38" s="1444"/>
      <c r="K38" s="1475">
        <v>9000000</v>
      </c>
      <c r="L38" s="1444"/>
      <c r="M38" s="1444"/>
      <c r="N38" s="1446"/>
    </row>
    <row r="39" spans="1:14" s="32" customFormat="1" ht="10.199999999999999" x14ac:dyDescent="0.2">
      <c r="A39" s="1472" t="s">
        <v>792</v>
      </c>
      <c r="B39" s="1240" t="s">
        <v>1322</v>
      </c>
      <c r="C39" s="1444"/>
      <c r="D39" s="1444"/>
      <c r="E39" s="1444"/>
      <c r="F39" s="1444"/>
      <c r="G39" s="1444"/>
      <c r="H39" s="1443"/>
      <c r="I39" s="1443"/>
      <c r="J39" s="1444"/>
      <c r="K39" s="1335">
        <v>41600000</v>
      </c>
      <c r="L39" s="1444"/>
      <c r="M39" s="1444"/>
      <c r="N39" s="1446"/>
    </row>
    <row r="40" spans="1:14" s="32" customFormat="1" ht="10.199999999999999" x14ac:dyDescent="0.2">
      <c r="A40" s="1472"/>
      <c r="B40" s="1240" t="s">
        <v>519</v>
      </c>
      <c r="C40" s="1444"/>
      <c r="D40" s="1444"/>
      <c r="E40" s="1444"/>
      <c r="F40" s="1444"/>
      <c r="G40" s="1444"/>
      <c r="H40" s="1443"/>
      <c r="I40" s="1443"/>
      <c r="J40" s="1444"/>
      <c r="K40" s="1335">
        <f>141700000-K39</f>
        <v>100100000</v>
      </c>
      <c r="L40" s="1444"/>
      <c r="M40" s="1444"/>
      <c r="N40" s="1446"/>
    </row>
    <row r="41" spans="1:14" s="32" customFormat="1" ht="20.399999999999999" x14ac:dyDescent="0.2">
      <c r="A41" s="1472" t="s">
        <v>952</v>
      </c>
      <c r="B41" s="1230" t="s">
        <v>1323</v>
      </c>
      <c r="C41" s="1444"/>
      <c r="D41" s="1444"/>
      <c r="E41" s="1444"/>
      <c r="F41" s="1444"/>
      <c r="G41" s="1444"/>
      <c r="H41" s="1443"/>
      <c r="I41" s="1443"/>
      <c r="J41" s="1444"/>
      <c r="K41" s="1335">
        <v>6615000</v>
      </c>
      <c r="L41" s="1444"/>
      <c r="M41" s="1444"/>
      <c r="N41" s="1446"/>
    </row>
    <row r="42" spans="1:14" s="32" customFormat="1" ht="10.199999999999999" x14ac:dyDescent="0.2">
      <c r="A42" s="1472" t="s">
        <v>1252</v>
      </c>
      <c r="B42" s="1240" t="s">
        <v>1324</v>
      </c>
      <c r="C42" s="1444"/>
      <c r="D42" s="1444"/>
      <c r="E42" s="1444"/>
      <c r="F42" s="1444"/>
      <c r="G42" s="1444"/>
      <c r="H42" s="1335"/>
      <c r="I42" s="1335">
        <v>50000000</v>
      </c>
      <c r="J42" s="1444"/>
      <c r="K42" s="1240"/>
      <c r="L42" s="1444"/>
      <c r="M42" s="1444"/>
      <c r="N42" s="1446"/>
    </row>
    <row r="43" spans="1:14" s="32" customFormat="1" ht="10.199999999999999" x14ac:dyDescent="0.2">
      <c r="A43" s="1472"/>
      <c r="B43" s="1240" t="s">
        <v>518</v>
      </c>
      <c r="C43" s="1444"/>
      <c r="D43" s="1444"/>
      <c r="E43" s="1444"/>
      <c r="F43" s="1444"/>
      <c r="G43" s="1444"/>
      <c r="H43" s="1335"/>
      <c r="I43" s="1335">
        <v>84000000</v>
      </c>
      <c r="J43" s="1444"/>
      <c r="K43" s="1240"/>
      <c r="L43" s="1444"/>
      <c r="M43" s="1444"/>
      <c r="N43" s="1446"/>
    </row>
    <row r="44" spans="1:14" s="32" customFormat="1" ht="10.199999999999999" x14ac:dyDescent="0.2">
      <c r="A44" s="1463"/>
      <c r="B44" s="1476" t="s">
        <v>519</v>
      </c>
      <c r="C44" s="1453"/>
      <c r="D44" s="1453"/>
      <c r="E44" s="1453"/>
      <c r="F44" s="1453"/>
      <c r="G44" s="1453"/>
      <c r="H44" s="1452"/>
      <c r="I44" s="1452"/>
      <c r="J44" s="1453"/>
      <c r="K44" s="1477">
        <v>102450000</v>
      </c>
      <c r="L44" s="1453"/>
      <c r="M44" s="1453"/>
      <c r="N44" s="1468"/>
    </row>
    <row r="45" spans="1:14" s="32" customFormat="1" ht="18.75" customHeight="1" x14ac:dyDescent="0.2">
      <c r="A45" s="1455"/>
      <c r="B45" s="1456" t="s">
        <v>1861</v>
      </c>
      <c r="C45" s="1458"/>
      <c r="D45" s="1458"/>
      <c r="E45" s="1458"/>
      <c r="F45" s="1458"/>
      <c r="G45" s="1458"/>
      <c r="H45" s="1458"/>
      <c r="I45" s="1458"/>
      <c r="J45" s="1458"/>
      <c r="K45" s="1458"/>
      <c r="L45" s="1458"/>
      <c r="M45" s="1458"/>
      <c r="N45" s="1459"/>
    </row>
    <row r="46" spans="1:14" s="32" customFormat="1" ht="20.399999999999999" x14ac:dyDescent="0.2">
      <c r="A46" s="1472" t="s">
        <v>388</v>
      </c>
      <c r="B46" s="1230" t="s">
        <v>440</v>
      </c>
      <c r="C46" s="1444"/>
      <c r="D46" s="1444"/>
      <c r="E46" s="1444"/>
      <c r="F46" s="1447"/>
      <c r="G46" s="1447"/>
      <c r="H46" s="1443"/>
      <c r="I46" s="1443"/>
      <c r="J46" s="1443"/>
      <c r="K46" s="1447">
        <v>2500000</v>
      </c>
      <c r="L46" s="1444"/>
      <c r="M46" s="1444"/>
      <c r="N46" s="1446"/>
    </row>
    <row r="47" spans="1:14" s="32" customFormat="1" ht="20.399999999999999" x14ac:dyDescent="0.2">
      <c r="A47" s="1472" t="s">
        <v>388</v>
      </c>
      <c r="B47" s="1230" t="s">
        <v>442</v>
      </c>
      <c r="C47" s="1444"/>
      <c r="D47" s="1444"/>
      <c r="E47" s="1444"/>
      <c r="F47" s="1447"/>
      <c r="G47" s="1447"/>
      <c r="H47" s="1443"/>
      <c r="I47" s="1443"/>
      <c r="J47" s="1443"/>
      <c r="K47" s="1447">
        <v>2500000</v>
      </c>
      <c r="L47" s="1444"/>
      <c r="M47" s="1444"/>
      <c r="N47" s="1446"/>
    </row>
    <row r="48" spans="1:14" s="32" customFormat="1" ht="10.199999999999999" x14ac:dyDescent="0.2">
      <c r="A48" s="1472" t="s">
        <v>388</v>
      </c>
      <c r="B48" s="1230" t="s">
        <v>443</v>
      </c>
      <c r="C48" s="1444"/>
      <c r="D48" s="1444"/>
      <c r="E48" s="1444"/>
      <c r="F48" s="1447"/>
      <c r="G48" s="1447"/>
      <c r="H48" s="1443"/>
      <c r="I48" s="1443"/>
      <c r="J48" s="1443"/>
      <c r="K48" s="1447">
        <v>4000000</v>
      </c>
      <c r="L48" s="1444"/>
      <c r="M48" s="1444"/>
      <c r="N48" s="1446"/>
    </row>
    <row r="49" spans="1:14" s="32" customFormat="1" ht="20.399999999999999" x14ac:dyDescent="0.2">
      <c r="A49" s="1472" t="s">
        <v>432</v>
      </c>
      <c r="B49" s="1230" t="s">
        <v>1862</v>
      </c>
      <c r="C49" s="1444"/>
      <c r="D49" s="1444"/>
      <c r="E49" s="1444"/>
      <c r="F49" s="1443"/>
      <c r="G49" s="1443"/>
      <c r="H49" s="1447"/>
      <c r="I49" s="1447"/>
      <c r="J49" s="1443"/>
      <c r="K49" s="1447">
        <f>'Lương t.lĩnh T8'!H10</f>
        <v>2130000</v>
      </c>
      <c r="L49" s="1444"/>
      <c r="M49" s="1444"/>
      <c r="N49" s="1446"/>
    </row>
    <row r="50" spans="1:14" s="32" customFormat="1" ht="20.399999999999999" x14ac:dyDescent="0.2">
      <c r="A50" s="1472" t="s">
        <v>432</v>
      </c>
      <c r="B50" s="1230" t="s">
        <v>1260</v>
      </c>
      <c r="C50" s="1444"/>
      <c r="D50" s="1444"/>
      <c r="E50" s="1444"/>
      <c r="F50" s="1443"/>
      <c r="G50" s="1443"/>
      <c r="H50" s="1447"/>
      <c r="I50" s="1447">
        <v>5460000</v>
      </c>
      <c r="J50" s="1443"/>
      <c r="K50" s="1443"/>
      <c r="L50" s="1444"/>
      <c r="M50" s="1444"/>
      <c r="N50" s="1446"/>
    </row>
    <row r="51" spans="1:14" s="32" customFormat="1" ht="20.399999999999999" x14ac:dyDescent="0.2">
      <c r="A51" s="1472" t="s">
        <v>432</v>
      </c>
      <c r="B51" s="1230" t="s">
        <v>1311</v>
      </c>
      <c r="C51" s="1444"/>
      <c r="D51" s="1444"/>
      <c r="E51" s="1444"/>
      <c r="F51" s="1443"/>
      <c r="G51" s="1443"/>
      <c r="H51" s="1447"/>
      <c r="I51" s="1447"/>
      <c r="J51" s="1447">
        <v>14937500</v>
      </c>
      <c r="K51" s="1443"/>
      <c r="L51" s="1444"/>
      <c r="M51" s="1444"/>
      <c r="N51" s="1446"/>
    </row>
    <row r="52" spans="1:14" s="32" customFormat="1" ht="10.199999999999999" x14ac:dyDescent="0.2">
      <c r="A52" s="1472" t="s">
        <v>432</v>
      </c>
      <c r="B52" s="1230" t="s">
        <v>129</v>
      </c>
      <c r="C52" s="1444"/>
      <c r="D52" s="1444"/>
      <c r="E52" s="1444"/>
      <c r="F52" s="1443"/>
      <c r="G52" s="1443"/>
      <c r="H52" s="1447"/>
      <c r="I52" s="1447"/>
      <c r="J52" s="1447">
        <v>15000</v>
      </c>
      <c r="K52" s="1443"/>
      <c r="L52" s="1444"/>
      <c r="M52" s="1444"/>
      <c r="N52" s="1446"/>
    </row>
    <row r="53" spans="1:14" s="32" customFormat="1" ht="20.399999999999999" x14ac:dyDescent="0.2">
      <c r="A53" s="1472" t="s">
        <v>432</v>
      </c>
      <c r="B53" s="1230" t="s">
        <v>1312</v>
      </c>
      <c r="C53" s="1444"/>
      <c r="D53" s="1444"/>
      <c r="E53" s="1444"/>
      <c r="F53" s="1443"/>
      <c r="G53" s="1443"/>
      <c r="H53" s="1447"/>
      <c r="I53" s="1447"/>
      <c r="J53" s="1447">
        <v>15100000</v>
      </c>
      <c r="K53" s="1443"/>
      <c r="L53" s="1444"/>
      <c r="M53" s="1444"/>
      <c r="N53" s="1446"/>
    </row>
    <row r="54" spans="1:14" s="32" customFormat="1" ht="10.199999999999999" x14ac:dyDescent="0.2">
      <c r="A54" s="1472" t="s">
        <v>432</v>
      </c>
      <c r="B54" s="1230" t="s">
        <v>129</v>
      </c>
      <c r="C54" s="1444"/>
      <c r="D54" s="1444"/>
      <c r="E54" s="1444"/>
      <c r="F54" s="1443"/>
      <c r="G54" s="1443"/>
      <c r="H54" s="1447"/>
      <c r="I54" s="1447"/>
      <c r="J54" s="1447">
        <v>15000</v>
      </c>
      <c r="K54" s="1443"/>
      <c r="L54" s="1444"/>
      <c r="M54" s="1444"/>
      <c r="N54" s="1446"/>
    </row>
    <row r="55" spans="1:14" s="32" customFormat="1" ht="20.399999999999999" x14ac:dyDescent="0.2">
      <c r="A55" s="1472" t="s">
        <v>432</v>
      </c>
      <c r="B55" s="1230" t="s">
        <v>1313</v>
      </c>
      <c r="C55" s="1444"/>
      <c r="D55" s="1444"/>
      <c r="E55" s="1444"/>
      <c r="F55" s="1443"/>
      <c r="G55" s="1443"/>
      <c r="H55" s="1447"/>
      <c r="I55" s="1447"/>
      <c r="J55" s="1447">
        <v>15187500</v>
      </c>
      <c r="K55" s="1443"/>
      <c r="L55" s="1444"/>
      <c r="M55" s="1444"/>
      <c r="N55" s="1446"/>
    </row>
    <row r="56" spans="1:14" s="32" customFormat="1" ht="10.199999999999999" x14ac:dyDescent="0.2">
      <c r="A56" s="1472" t="s">
        <v>432</v>
      </c>
      <c r="B56" s="1230" t="s">
        <v>129</v>
      </c>
      <c r="C56" s="1444"/>
      <c r="D56" s="1444"/>
      <c r="E56" s="1444"/>
      <c r="F56" s="1443"/>
      <c r="G56" s="1443"/>
      <c r="H56" s="1447"/>
      <c r="I56" s="1447"/>
      <c r="J56" s="1447">
        <v>15000</v>
      </c>
      <c r="K56" s="1443"/>
      <c r="L56" s="1444"/>
      <c r="M56" s="1444"/>
      <c r="N56" s="1446"/>
    </row>
    <row r="57" spans="1:14" s="32" customFormat="1" ht="10.199999999999999" x14ac:dyDescent="0.2">
      <c r="A57" s="1472" t="s">
        <v>765</v>
      </c>
      <c r="B57" s="1230" t="s">
        <v>1210</v>
      </c>
      <c r="C57" s="1444"/>
      <c r="D57" s="1444"/>
      <c r="E57" s="1444"/>
      <c r="F57" s="1447"/>
      <c r="G57" s="1447"/>
      <c r="H57" s="1443"/>
      <c r="I57" s="1443"/>
      <c r="J57" s="1443"/>
      <c r="K57" s="1447">
        <v>4000000</v>
      </c>
      <c r="L57" s="1444"/>
      <c r="M57" s="1444"/>
      <c r="N57" s="1446"/>
    </row>
    <row r="58" spans="1:14" s="32" customFormat="1" ht="10.199999999999999" x14ac:dyDescent="0.2">
      <c r="A58" s="1472" t="s">
        <v>823</v>
      </c>
      <c r="B58" s="1230" t="s">
        <v>1194</v>
      </c>
      <c r="C58" s="1444"/>
      <c r="D58" s="1444"/>
      <c r="E58" s="1444"/>
      <c r="F58" s="1447"/>
      <c r="G58" s="1447"/>
      <c r="H58" s="1443"/>
      <c r="I58" s="1443"/>
      <c r="J58" s="1443"/>
      <c r="K58" s="1447">
        <v>1000000</v>
      </c>
      <c r="L58" s="1444"/>
      <c r="M58" s="1444"/>
      <c r="N58" s="1446"/>
    </row>
    <row r="59" spans="1:14" s="32" customFormat="1" ht="10.199999999999999" x14ac:dyDescent="0.2">
      <c r="A59" s="1472" t="s">
        <v>964</v>
      </c>
      <c r="B59" s="1230" t="s">
        <v>1208</v>
      </c>
      <c r="C59" s="1444"/>
      <c r="D59" s="1444"/>
      <c r="E59" s="1444"/>
      <c r="F59" s="1447"/>
      <c r="G59" s="1447"/>
      <c r="H59" s="1443"/>
      <c r="I59" s="1443"/>
      <c r="J59" s="1443"/>
      <c r="K59" s="1447">
        <v>2000000</v>
      </c>
      <c r="L59" s="1444"/>
      <c r="M59" s="1444"/>
      <c r="N59" s="1446"/>
    </row>
    <row r="60" spans="1:14" s="32" customFormat="1" ht="10.199999999999999" x14ac:dyDescent="0.2">
      <c r="A60" s="1472" t="s">
        <v>952</v>
      </c>
      <c r="B60" s="1230" t="s">
        <v>1208</v>
      </c>
      <c r="C60" s="1444"/>
      <c r="D60" s="1444"/>
      <c r="E60" s="1444"/>
      <c r="F60" s="1447"/>
      <c r="G60" s="1447"/>
      <c r="H60" s="1443"/>
      <c r="I60" s="1443"/>
      <c r="J60" s="1443"/>
      <c r="K60" s="1447">
        <v>2500000</v>
      </c>
      <c r="L60" s="1444"/>
      <c r="M60" s="1444"/>
      <c r="N60" s="1446"/>
    </row>
    <row r="61" spans="1:14" s="32" customFormat="1" ht="10.199999999999999" x14ac:dyDescent="0.2">
      <c r="A61" s="1472" t="s">
        <v>983</v>
      </c>
      <c r="B61" s="1230" t="s">
        <v>1000</v>
      </c>
      <c r="C61" s="1444"/>
      <c r="D61" s="1444"/>
      <c r="E61" s="1444"/>
      <c r="F61" s="1447"/>
      <c r="G61" s="1447"/>
      <c r="H61" s="1443"/>
      <c r="I61" s="1443"/>
      <c r="J61" s="1443"/>
      <c r="K61" s="1447">
        <v>5000000</v>
      </c>
      <c r="L61" s="1444"/>
      <c r="M61" s="1444"/>
      <c r="N61" s="1446"/>
    </row>
    <row r="62" spans="1:14" s="32" customFormat="1" ht="10.199999999999999" x14ac:dyDescent="0.2">
      <c r="A62" s="1472" t="s">
        <v>1001</v>
      </c>
      <c r="B62" s="1230" t="s">
        <v>1193</v>
      </c>
      <c r="C62" s="1444"/>
      <c r="D62" s="1444"/>
      <c r="E62" s="1444"/>
      <c r="F62" s="1447"/>
      <c r="G62" s="1447"/>
      <c r="H62" s="1443"/>
      <c r="I62" s="1443"/>
      <c r="J62" s="1443"/>
      <c r="K62" s="1447">
        <v>3000000</v>
      </c>
      <c r="L62" s="1444"/>
      <c r="M62" s="1444"/>
      <c r="N62" s="1446"/>
    </row>
    <row r="63" spans="1:14" s="32" customFormat="1" ht="10.199999999999999" x14ac:dyDescent="0.2">
      <c r="A63" s="1472" t="s">
        <v>1001</v>
      </c>
      <c r="B63" s="1230" t="s">
        <v>129</v>
      </c>
      <c r="C63" s="1444"/>
      <c r="D63" s="1444"/>
      <c r="E63" s="1444"/>
      <c r="F63" s="1447"/>
      <c r="G63" s="1447"/>
      <c r="H63" s="1443"/>
      <c r="I63" s="1443"/>
      <c r="J63" s="1443"/>
      <c r="K63" s="1447">
        <v>7700</v>
      </c>
      <c r="L63" s="1444"/>
      <c r="M63" s="1444"/>
      <c r="N63" s="1446"/>
    </row>
    <row r="64" spans="1:14" s="32" customFormat="1" ht="10.199999999999999" x14ac:dyDescent="0.2">
      <c r="A64" s="1472" t="s">
        <v>1001</v>
      </c>
      <c r="B64" s="1230" t="s">
        <v>1194</v>
      </c>
      <c r="C64" s="1444"/>
      <c r="D64" s="1444"/>
      <c r="E64" s="1444"/>
      <c r="F64" s="1447"/>
      <c r="G64" s="1447"/>
      <c r="H64" s="1443"/>
      <c r="I64" s="1443"/>
      <c r="J64" s="1443"/>
      <c r="K64" s="1447">
        <v>2000000</v>
      </c>
      <c r="L64" s="1444"/>
      <c r="M64" s="1444"/>
      <c r="N64" s="1446"/>
    </row>
    <row r="65" spans="1:14" s="32" customFormat="1" ht="20.399999999999999" x14ac:dyDescent="0.2">
      <c r="A65" s="1472" t="s">
        <v>1018</v>
      </c>
      <c r="B65" s="1230" t="s">
        <v>1351</v>
      </c>
      <c r="C65" s="1444"/>
      <c r="D65" s="1444"/>
      <c r="E65" s="1444"/>
      <c r="F65" s="1447"/>
      <c r="G65" s="1447"/>
      <c r="H65" s="1443"/>
      <c r="I65" s="1443"/>
      <c r="J65" s="1443"/>
      <c r="K65" s="1447">
        <v>4000000</v>
      </c>
      <c r="L65" s="1444"/>
      <c r="M65" s="1444"/>
      <c r="N65" s="1446"/>
    </row>
    <row r="66" spans="1:14" s="32" customFormat="1" ht="10.199999999999999" x14ac:dyDescent="0.2">
      <c r="A66" s="1472" t="s">
        <v>1107</v>
      </c>
      <c r="B66" s="1230" t="s">
        <v>1193</v>
      </c>
      <c r="C66" s="1444"/>
      <c r="D66" s="1444"/>
      <c r="E66" s="1444"/>
      <c r="F66" s="1447"/>
      <c r="G66" s="1447"/>
      <c r="H66" s="1443"/>
      <c r="I66" s="1443"/>
      <c r="J66" s="1443"/>
      <c r="K66" s="1447">
        <v>5000000</v>
      </c>
      <c r="L66" s="1444"/>
      <c r="M66" s="1444"/>
      <c r="N66" s="1446"/>
    </row>
    <row r="67" spans="1:14" s="32" customFormat="1" ht="10.199999999999999" x14ac:dyDescent="0.2">
      <c r="A67" s="1472" t="s">
        <v>1107</v>
      </c>
      <c r="B67" s="1230" t="s">
        <v>129</v>
      </c>
      <c r="C67" s="1444"/>
      <c r="D67" s="1444"/>
      <c r="E67" s="1444"/>
      <c r="F67" s="1447"/>
      <c r="G67" s="1447"/>
      <c r="H67" s="1443"/>
      <c r="I67" s="1443"/>
      <c r="J67" s="1443"/>
      <c r="K67" s="1447">
        <v>10000</v>
      </c>
      <c r="L67" s="1444"/>
      <c r="M67" s="1444"/>
      <c r="N67" s="1446"/>
    </row>
    <row r="68" spans="1:14" s="32" customFormat="1" ht="10.199999999999999" x14ac:dyDescent="0.2">
      <c r="A68" s="1472" t="s">
        <v>1188</v>
      </c>
      <c r="B68" s="1230" t="s">
        <v>1189</v>
      </c>
      <c r="C68" s="1444"/>
      <c r="D68" s="1444"/>
      <c r="E68" s="1444"/>
      <c r="F68" s="1447"/>
      <c r="G68" s="1447"/>
      <c r="H68" s="1443"/>
      <c r="I68" s="1443"/>
      <c r="J68" s="1443"/>
      <c r="K68" s="1447">
        <v>500000</v>
      </c>
      <c r="L68" s="1444"/>
      <c r="M68" s="1444"/>
      <c r="N68" s="1446"/>
    </row>
    <row r="69" spans="1:14" s="32" customFormat="1" ht="10.199999999999999" x14ac:dyDescent="0.2">
      <c r="A69" s="1472" t="s">
        <v>1188</v>
      </c>
      <c r="B69" s="1230" t="s">
        <v>1225</v>
      </c>
      <c r="C69" s="1444"/>
      <c r="D69" s="1444"/>
      <c r="E69" s="1444"/>
      <c r="F69" s="1447"/>
      <c r="G69" s="1447"/>
      <c r="H69" s="1443"/>
      <c r="I69" s="1443"/>
      <c r="J69" s="1443"/>
      <c r="K69" s="1447">
        <v>500000</v>
      </c>
      <c r="L69" s="1444"/>
      <c r="M69" s="1444"/>
      <c r="N69" s="1446"/>
    </row>
    <row r="70" spans="1:14" s="32" customFormat="1" ht="10.199999999999999" x14ac:dyDescent="0.2">
      <c r="A70" s="1472" t="s">
        <v>1188</v>
      </c>
      <c r="B70" s="1230" t="s">
        <v>1193</v>
      </c>
      <c r="C70" s="1444"/>
      <c r="D70" s="1444"/>
      <c r="E70" s="1444"/>
      <c r="F70" s="1447"/>
      <c r="G70" s="1447"/>
      <c r="H70" s="1443"/>
      <c r="I70" s="1443"/>
      <c r="J70" s="1443"/>
      <c r="K70" s="1447">
        <v>4600000</v>
      </c>
      <c r="L70" s="1444"/>
      <c r="M70" s="1444"/>
      <c r="N70" s="1446"/>
    </row>
    <row r="71" spans="1:14" s="32" customFormat="1" ht="10.199999999999999" x14ac:dyDescent="0.2">
      <c r="A71" s="1472" t="s">
        <v>1188</v>
      </c>
      <c r="B71" s="1230" t="s">
        <v>129</v>
      </c>
      <c r="C71" s="1444"/>
      <c r="D71" s="1444"/>
      <c r="E71" s="1444"/>
      <c r="F71" s="1447"/>
      <c r="G71" s="1447"/>
      <c r="H71" s="1443"/>
      <c r="I71" s="1443"/>
      <c r="J71" s="1443"/>
      <c r="K71" s="1447">
        <v>10000</v>
      </c>
      <c r="L71" s="1444"/>
      <c r="M71" s="1444"/>
      <c r="N71" s="1446"/>
    </row>
    <row r="72" spans="1:14" s="32" customFormat="1" ht="20.399999999999999" x14ac:dyDescent="0.2">
      <c r="A72" s="1472" t="s">
        <v>1164</v>
      </c>
      <c r="B72" s="1230" t="s">
        <v>1190</v>
      </c>
      <c r="C72" s="1444"/>
      <c r="D72" s="1444"/>
      <c r="E72" s="1444"/>
      <c r="F72" s="1447"/>
      <c r="G72" s="1447"/>
      <c r="H72" s="1443"/>
      <c r="I72" s="1443"/>
      <c r="J72" s="1443"/>
      <c r="K72" s="1447">
        <v>2500000</v>
      </c>
      <c r="L72" s="1444"/>
      <c r="M72" s="1444"/>
      <c r="N72" s="1446"/>
    </row>
    <row r="73" spans="1:14" s="32" customFormat="1" ht="10.199999999999999" x14ac:dyDescent="0.2">
      <c r="A73" s="1472" t="s">
        <v>1164</v>
      </c>
      <c r="B73" s="1230" t="s">
        <v>129</v>
      </c>
      <c r="C73" s="1444"/>
      <c r="D73" s="1444"/>
      <c r="E73" s="1444"/>
      <c r="F73" s="1447"/>
      <c r="G73" s="1447"/>
      <c r="H73" s="1443"/>
      <c r="I73" s="1443"/>
      <c r="J73" s="1443"/>
      <c r="K73" s="1447">
        <v>10000</v>
      </c>
      <c r="L73" s="1444"/>
      <c r="M73" s="1444"/>
      <c r="N73" s="1446"/>
    </row>
    <row r="74" spans="1:14" s="32" customFormat="1" ht="20.399999999999999" x14ac:dyDescent="0.2">
      <c r="A74" s="1472" t="s">
        <v>1202</v>
      </c>
      <c r="B74" s="1230" t="s">
        <v>1223</v>
      </c>
      <c r="C74" s="1444"/>
      <c r="D74" s="1444"/>
      <c r="E74" s="1444"/>
      <c r="F74" s="1447"/>
      <c r="G74" s="1447"/>
      <c r="H74" s="1443"/>
      <c r="I74" s="1443"/>
      <c r="J74" s="1443"/>
      <c r="K74" s="1447">
        <v>1800000</v>
      </c>
      <c r="L74" s="1444"/>
      <c r="M74" s="1444"/>
      <c r="N74" s="1446"/>
    </row>
    <row r="75" spans="1:14" s="32" customFormat="1" ht="20.399999999999999" x14ac:dyDescent="0.2">
      <c r="A75" s="1460" t="s">
        <v>1205</v>
      </c>
      <c r="B75" s="1232" t="s">
        <v>1222</v>
      </c>
      <c r="C75" s="1444"/>
      <c r="D75" s="1444"/>
      <c r="E75" s="1444"/>
      <c r="F75" s="1465"/>
      <c r="G75" s="1465"/>
      <c r="H75" s="1462"/>
      <c r="I75" s="1462"/>
      <c r="J75" s="1462"/>
      <c r="K75" s="1465">
        <v>5000000</v>
      </c>
      <c r="L75" s="1444"/>
      <c r="M75" s="1444"/>
      <c r="N75" s="1446"/>
    </row>
    <row r="76" spans="1:14" s="32" customFormat="1" ht="20.399999999999999" x14ac:dyDescent="0.2">
      <c r="A76" s="1478" t="s">
        <v>1252</v>
      </c>
      <c r="B76" s="1230" t="s">
        <v>1223</v>
      </c>
      <c r="C76" s="1444"/>
      <c r="D76" s="1444"/>
      <c r="E76" s="1444"/>
      <c r="F76" s="1447"/>
      <c r="G76" s="1447"/>
      <c r="H76" s="1443"/>
      <c r="I76" s="1443"/>
      <c r="J76" s="1443"/>
      <c r="K76" s="1447">
        <v>1000000</v>
      </c>
      <c r="L76" s="1444"/>
      <c r="M76" s="1444"/>
      <c r="N76" s="1446"/>
    </row>
    <row r="77" spans="1:14" s="32" customFormat="1" ht="61.2" x14ac:dyDescent="0.2">
      <c r="A77" s="1463" t="s">
        <v>1370</v>
      </c>
      <c r="B77" s="1235" t="s">
        <v>1524</v>
      </c>
      <c r="C77" s="1453"/>
      <c r="D77" s="1453"/>
      <c r="E77" s="1453"/>
      <c r="F77" s="1467"/>
      <c r="G77" s="1467"/>
      <c r="H77" s="1452"/>
      <c r="I77" s="1452"/>
      <c r="J77" s="1452"/>
      <c r="K77" s="1467">
        <v>5087000</v>
      </c>
      <c r="L77" s="1453"/>
      <c r="M77" s="1453"/>
      <c r="N77" s="1479"/>
    </row>
    <row r="78" spans="1:14" s="32" customFormat="1" ht="61.2" x14ac:dyDescent="0.2">
      <c r="A78" s="1463" t="s">
        <v>1370</v>
      </c>
      <c r="B78" s="1235" t="s">
        <v>1524</v>
      </c>
      <c r="C78" s="1453"/>
      <c r="D78" s="1453"/>
      <c r="E78" s="1453"/>
      <c r="F78" s="1467"/>
      <c r="G78" s="1467"/>
      <c r="H78" s="1452"/>
      <c r="I78" s="1452"/>
      <c r="J78" s="1452"/>
      <c r="K78" s="1467">
        <v>5087000</v>
      </c>
      <c r="L78" s="1453"/>
      <c r="M78" s="1453"/>
      <c r="N78" s="1479"/>
    </row>
    <row r="79" spans="1:14" s="32" customFormat="1" ht="20.399999999999999" x14ac:dyDescent="0.2">
      <c r="A79" s="1480" t="s">
        <v>1531</v>
      </c>
      <c r="B79" s="1242" t="s">
        <v>1567</v>
      </c>
      <c r="C79" s="1453"/>
      <c r="D79" s="1453"/>
      <c r="E79" s="1453"/>
      <c r="F79" s="1467"/>
      <c r="G79" s="1467"/>
      <c r="H79" s="1452"/>
      <c r="I79" s="1452"/>
      <c r="J79" s="1452"/>
      <c r="K79" s="1467">
        <v>3044000</v>
      </c>
      <c r="L79" s="1453"/>
      <c r="M79" s="1453"/>
      <c r="N79" s="1479"/>
    </row>
    <row r="80" spans="1:14" s="32" customFormat="1" ht="10.199999999999999" x14ac:dyDescent="0.2">
      <c r="A80" s="1480" t="s">
        <v>1531</v>
      </c>
      <c r="B80" s="1242" t="s">
        <v>1568</v>
      </c>
      <c r="C80" s="1453"/>
      <c r="D80" s="1453"/>
      <c r="E80" s="1453"/>
      <c r="F80" s="1467"/>
      <c r="G80" s="1467"/>
      <c r="H80" s="1452"/>
      <c r="I80" s="1452"/>
      <c r="J80" s="1452"/>
      <c r="K80" s="1467">
        <f>10000000-K79</f>
        <v>6956000</v>
      </c>
      <c r="L80" s="1453"/>
      <c r="M80" s="1453"/>
      <c r="N80" s="1479"/>
    </row>
    <row r="81" spans="1:14" s="32" customFormat="1" ht="10.199999999999999" x14ac:dyDescent="0.2">
      <c r="A81" s="1455"/>
      <c r="B81" s="1456" t="s">
        <v>1561</v>
      </c>
      <c r="C81" s="1458"/>
      <c r="D81" s="1458"/>
      <c r="E81" s="1458"/>
      <c r="F81" s="1458"/>
      <c r="G81" s="1458"/>
      <c r="H81" s="1458"/>
      <c r="I81" s="1458"/>
      <c r="J81" s="1458"/>
      <c r="K81" s="1447"/>
      <c r="L81" s="1458"/>
      <c r="M81" s="1458"/>
      <c r="N81" s="1481"/>
    </row>
    <row r="82" spans="1:14" s="1484" customFormat="1" ht="20.399999999999999" x14ac:dyDescent="0.2">
      <c r="A82" s="1482" t="s">
        <v>527</v>
      </c>
      <c r="B82" s="1230" t="s">
        <v>1319</v>
      </c>
      <c r="C82" s="1444"/>
      <c r="D82" s="1444"/>
      <c r="E82" s="1444"/>
      <c r="F82" s="1444"/>
      <c r="G82" s="1444"/>
      <c r="H82" s="310"/>
      <c r="I82" s="310"/>
      <c r="J82" s="1444"/>
      <c r="K82" s="1447">
        <v>291700</v>
      </c>
      <c r="L82" s="1443"/>
      <c r="M82" s="1443"/>
      <c r="N82" s="1483"/>
    </row>
    <row r="83" spans="1:14" s="1484" customFormat="1" ht="10.199999999999999" x14ac:dyDescent="0.2">
      <c r="A83" s="1482" t="s">
        <v>527</v>
      </c>
      <c r="B83" s="1230" t="s">
        <v>1339</v>
      </c>
      <c r="C83" s="1444"/>
      <c r="D83" s="1444"/>
      <c r="E83" s="1444"/>
      <c r="F83" s="1444"/>
      <c r="G83" s="1444"/>
      <c r="H83" s="310"/>
      <c r="I83" s="310"/>
      <c r="J83" s="1444"/>
      <c r="K83" s="1447">
        <v>745000</v>
      </c>
      <c r="L83" s="1443"/>
      <c r="M83" s="1443"/>
      <c r="N83" s="1483"/>
    </row>
    <row r="84" spans="1:14" s="1484" customFormat="1" ht="20.399999999999999" x14ac:dyDescent="0.2">
      <c r="A84" s="1482" t="s">
        <v>237</v>
      </c>
      <c r="B84" s="1230" t="s">
        <v>1261</v>
      </c>
      <c r="C84" s="1444"/>
      <c r="D84" s="1444"/>
      <c r="E84" s="1444"/>
      <c r="F84" s="1444"/>
      <c r="G84" s="1444"/>
      <c r="H84" s="310"/>
      <c r="I84" s="310"/>
      <c r="J84" s="1444"/>
      <c r="K84" s="1447">
        <v>1300000</v>
      </c>
      <c r="L84" s="1443"/>
      <c r="M84" s="1443"/>
      <c r="N84" s="1483"/>
    </row>
    <row r="85" spans="1:14" s="1484" customFormat="1" ht="10.199999999999999" x14ac:dyDescent="0.2">
      <c r="A85" s="1482" t="s">
        <v>237</v>
      </c>
      <c r="B85" s="1230" t="s">
        <v>129</v>
      </c>
      <c r="C85" s="1444"/>
      <c r="D85" s="1444"/>
      <c r="E85" s="1444"/>
      <c r="F85" s="1444"/>
      <c r="G85" s="1444"/>
      <c r="H85" s="310"/>
      <c r="I85" s="310"/>
      <c r="J85" s="1447"/>
      <c r="K85" s="1447">
        <v>7700</v>
      </c>
      <c r="L85" s="1443"/>
      <c r="M85" s="1443"/>
      <c r="N85" s="1483"/>
    </row>
    <row r="86" spans="1:14" s="1484" customFormat="1" ht="40.799999999999997" x14ac:dyDescent="0.2">
      <c r="A86" s="1482" t="s">
        <v>239</v>
      </c>
      <c r="B86" s="1230" t="s">
        <v>421</v>
      </c>
      <c r="C86" s="1444"/>
      <c r="D86" s="1444"/>
      <c r="E86" s="1444"/>
      <c r="F86" s="1444"/>
      <c r="G86" s="1444"/>
      <c r="H86" s="310"/>
      <c r="I86" s="310"/>
      <c r="J86" s="1447"/>
      <c r="K86" s="1443"/>
      <c r="L86" s="1443"/>
      <c r="M86" s="1447">
        <f>15000+40000+60000+10000+15000</f>
        <v>140000</v>
      </c>
      <c r="N86" s="1483" t="s">
        <v>252</v>
      </c>
    </row>
    <row r="87" spans="1:14" s="1484" customFormat="1" ht="40.799999999999997" x14ac:dyDescent="0.2">
      <c r="A87" s="1482" t="s">
        <v>239</v>
      </c>
      <c r="B87" s="1230" t="s">
        <v>422</v>
      </c>
      <c r="C87" s="1444"/>
      <c r="D87" s="1444"/>
      <c r="E87" s="1444"/>
      <c r="F87" s="1444"/>
      <c r="G87" s="1444"/>
      <c r="H87" s="310"/>
      <c r="I87" s="310"/>
      <c r="J87" s="1447"/>
      <c r="K87" s="1443"/>
      <c r="L87" s="1443"/>
      <c r="M87" s="1447">
        <v>550000</v>
      </c>
      <c r="N87" s="1483"/>
    </row>
    <row r="88" spans="1:14" s="1484" customFormat="1" ht="40.799999999999997" x14ac:dyDescent="0.2">
      <c r="A88" s="1482" t="s">
        <v>239</v>
      </c>
      <c r="B88" s="1230" t="s">
        <v>423</v>
      </c>
      <c r="C88" s="1444"/>
      <c r="D88" s="1444"/>
      <c r="E88" s="1444"/>
      <c r="F88" s="1444"/>
      <c r="G88" s="1444"/>
      <c r="H88" s="310"/>
      <c r="I88" s="310"/>
      <c r="J88" s="1447"/>
      <c r="K88" s="1443"/>
      <c r="L88" s="1443"/>
      <c r="M88" s="1447">
        <v>790000</v>
      </c>
      <c r="N88" s="1483" t="s">
        <v>253</v>
      </c>
    </row>
    <row r="89" spans="1:14" s="1484" customFormat="1" ht="20.399999999999999" x14ac:dyDescent="0.2">
      <c r="A89" s="1482" t="s">
        <v>241</v>
      </c>
      <c r="B89" s="1230" t="s">
        <v>1314</v>
      </c>
      <c r="C89" s="1444"/>
      <c r="D89" s="1444"/>
      <c r="E89" s="1444"/>
      <c r="F89" s="1444"/>
      <c r="G89" s="1444"/>
      <c r="H89" s="1447"/>
      <c r="I89" s="1447">
        <v>110000</v>
      </c>
      <c r="J89" s="1447"/>
      <c r="K89" s="1443"/>
      <c r="L89" s="1443"/>
      <c r="M89" s="1443"/>
      <c r="N89" s="1483"/>
    </row>
    <row r="90" spans="1:14" s="32" customFormat="1" ht="10.199999999999999" x14ac:dyDescent="0.2">
      <c r="A90" s="1482" t="s">
        <v>263</v>
      </c>
      <c r="B90" s="1230" t="s">
        <v>1347</v>
      </c>
      <c r="C90" s="1444"/>
      <c r="D90" s="1444"/>
      <c r="E90" s="1444"/>
      <c r="F90" s="1444"/>
      <c r="G90" s="1444"/>
      <c r="H90" s="1444"/>
      <c r="I90" s="1444"/>
      <c r="J90" s="1447"/>
      <c r="K90" s="1447">
        <v>499000</v>
      </c>
      <c r="L90" s="1443"/>
      <c r="M90" s="1443"/>
      <c r="N90" s="1483"/>
    </row>
    <row r="91" spans="1:14" s="32" customFormat="1" ht="20.399999999999999" x14ac:dyDescent="0.2">
      <c r="A91" s="1482" t="s">
        <v>263</v>
      </c>
      <c r="B91" s="1230" t="s">
        <v>1525</v>
      </c>
      <c r="C91" s="1444"/>
      <c r="D91" s="1444"/>
      <c r="E91" s="1444"/>
      <c r="F91" s="1444"/>
      <c r="G91" s="1444"/>
      <c r="H91" s="1444"/>
      <c r="I91" s="1444"/>
      <c r="J91" s="1444"/>
      <c r="K91" s="1447">
        <v>500000</v>
      </c>
      <c r="L91" s="1443"/>
      <c r="M91" s="1443"/>
      <c r="N91" s="1483"/>
    </row>
    <row r="92" spans="1:14" s="32" customFormat="1" ht="20.399999999999999" x14ac:dyDescent="0.2">
      <c r="A92" s="1482" t="s">
        <v>266</v>
      </c>
      <c r="B92" s="1230" t="s">
        <v>1330</v>
      </c>
      <c r="C92" s="1444"/>
      <c r="D92" s="1444"/>
      <c r="E92" s="1444"/>
      <c r="F92" s="1444"/>
      <c r="G92" s="1444"/>
      <c r="H92" s="1444"/>
      <c r="I92" s="1444"/>
      <c r="J92" s="1444"/>
      <c r="K92" s="1447">
        <v>5850000</v>
      </c>
      <c r="L92" s="1443"/>
      <c r="M92" s="1443"/>
      <c r="N92" s="1483" t="s">
        <v>640</v>
      </c>
    </row>
    <row r="93" spans="1:14" s="32" customFormat="1" ht="51" x14ac:dyDescent="0.2">
      <c r="A93" s="1472" t="s">
        <v>260</v>
      </c>
      <c r="B93" s="1230" t="s">
        <v>1544</v>
      </c>
      <c r="C93" s="1444"/>
      <c r="D93" s="1444"/>
      <c r="E93" s="1444"/>
      <c r="F93" s="1444"/>
      <c r="G93" s="1444"/>
      <c r="H93" s="1444"/>
      <c r="I93" s="1444"/>
      <c r="J93" s="1444"/>
      <c r="K93" s="1443"/>
      <c r="L93" s="1443"/>
      <c r="M93" s="1447">
        <v>15000</v>
      </c>
      <c r="N93" s="1483" t="s">
        <v>252</v>
      </c>
    </row>
    <row r="94" spans="1:14" s="32" customFormat="1" ht="51" x14ac:dyDescent="0.2">
      <c r="A94" s="1472" t="s">
        <v>260</v>
      </c>
      <c r="B94" s="1230" t="s">
        <v>1542</v>
      </c>
      <c r="C94" s="1444"/>
      <c r="D94" s="1444"/>
      <c r="E94" s="1444"/>
      <c r="F94" s="1444"/>
      <c r="G94" s="1444"/>
      <c r="H94" s="1444"/>
      <c r="I94" s="1444"/>
      <c r="J94" s="1444"/>
      <c r="K94" s="1443"/>
      <c r="L94" s="1443"/>
      <c r="M94" s="1447">
        <f>120000*3*2</f>
        <v>720000</v>
      </c>
      <c r="N94" s="1483"/>
    </row>
    <row r="95" spans="1:14" s="32" customFormat="1" ht="51" x14ac:dyDescent="0.2">
      <c r="A95" s="1472" t="s">
        <v>260</v>
      </c>
      <c r="B95" s="1230" t="s">
        <v>1543</v>
      </c>
      <c r="C95" s="1444"/>
      <c r="D95" s="1444"/>
      <c r="E95" s="1444"/>
      <c r="F95" s="1444"/>
      <c r="G95" s="1444"/>
      <c r="H95" s="1444"/>
      <c r="I95" s="1444"/>
      <c r="J95" s="1444"/>
      <c r="K95" s="1443"/>
      <c r="L95" s="1443"/>
      <c r="M95" s="1447">
        <f>420*2000</f>
        <v>840000</v>
      </c>
      <c r="N95" s="1483"/>
    </row>
    <row r="96" spans="1:14" s="32" customFormat="1" ht="40.799999999999997" x14ac:dyDescent="0.2">
      <c r="A96" s="1472" t="s">
        <v>257</v>
      </c>
      <c r="B96" s="1230" t="s">
        <v>427</v>
      </c>
      <c r="C96" s="1444"/>
      <c r="D96" s="1444"/>
      <c r="E96" s="1444"/>
      <c r="F96" s="1444"/>
      <c r="G96" s="1444"/>
      <c r="H96" s="1444"/>
      <c r="I96" s="1444"/>
      <c r="J96" s="1444"/>
      <c r="K96" s="1443"/>
      <c r="L96" s="1443"/>
      <c r="M96" s="1447">
        <f>10000+10000+60000+60000</f>
        <v>140000</v>
      </c>
      <c r="N96" s="1483" t="s">
        <v>252</v>
      </c>
    </row>
    <row r="97" spans="1:15" s="32" customFormat="1" ht="30.6" x14ac:dyDescent="0.2">
      <c r="A97" s="1472" t="s">
        <v>257</v>
      </c>
      <c r="B97" s="1230" t="s">
        <v>420</v>
      </c>
      <c r="C97" s="1444"/>
      <c r="D97" s="1444"/>
      <c r="E97" s="1444"/>
      <c r="F97" s="1444"/>
      <c r="G97" s="1444"/>
      <c r="H97" s="1444"/>
      <c r="I97" s="1444"/>
      <c r="J97" s="1444"/>
      <c r="K97" s="1443"/>
      <c r="L97" s="1443"/>
      <c r="M97" s="1447">
        <f>320*2000</f>
        <v>640000</v>
      </c>
      <c r="N97" s="1483"/>
    </row>
    <row r="98" spans="1:15" s="32" customFormat="1" ht="20.399999999999999" x14ac:dyDescent="0.2">
      <c r="A98" s="1472" t="s">
        <v>257</v>
      </c>
      <c r="B98" s="1230" t="s">
        <v>557</v>
      </c>
      <c r="C98" s="1444"/>
      <c r="D98" s="1444"/>
      <c r="E98" s="1444"/>
      <c r="F98" s="1444"/>
      <c r="G98" s="1444"/>
      <c r="H98" s="1444"/>
      <c r="I98" s="1444"/>
      <c r="J98" s="1444"/>
      <c r="K98" s="1447">
        <v>520000</v>
      </c>
      <c r="L98" s="1443"/>
      <c r="M98" s="1443"/>
      <c r="N98" s="1483"/>
    </row>
    <row r="99" spans="1:15" s="32" customFormat="1" ht="10.199999999999999" x14ac:dyDescent="0.2">
      <c r="A99" s="1472" t="s">
        <v>266</v>
      </c>
      <c r="B99" s="1230" t="s">
        <v>408</v>
      </c>
      <c r="C99" s="1444"/>
      <c r="D99" s="1444"/>
      <c r="E99" s="1444"/>
      <c r="F99" s="1444"/>
      <c r="G99" s="1444"/>
      <c r="H99" s="1444"/>
      <c r="I99" s="1444"/>
      <c r="J99" s="1444"/>
      <c r="K99" s="1447">
        <v>600000</v>
      </c>
      <c r="L99" s="1443"/>
      <c r="M99" s="1443"/>
      <c r="N99" s="1483"/>
    </row>
    <row r="100" spans="1:15" s="32" customFormat="1" ht="10.199999999999999" x14ac:dyDescent="0.2">
      <c r="A100" s="1472" t="s">
        <v>409</v>
      </c>
      <c r="B100" s="1230" t="s">
        <v>410</v>
      </c>
      <c r="C100" s="1444"/>
      <c r="D100" s="1444"/>
      <c r="E100" s="1444"/>
      <c r="F100" s="1444"/>
      <c r="G100" s="1444"/>
      <c r="H100" s="1444"/>
      <c r="I100" s="1444"/>
      <c r="J100" s="1444"/>
      <c r="K100" s="1447">
        <v>870000</v>
      </c>
      <c r="L100" s="1443"/>
      <c r="M100" s="1443"/>
      <c r="N100" s="1483"/>
    </row>
    <row r="101" spans="1:15" s="32" customFormat="1" ht="20.399999999999999" x14ac:dyDescent="0.2">
      <c r="A101" s="1472" t="s">
        <v>266</v>
      </c>
      <c r="B101" s="1230" t="s">
        <v>1526</v>
      </c>
      <c r="C101" s="1444"/>
      <c r="D101" s="1444"/>
      <c r="E101" s="1444"/>
      <c r="F101" s="1444"/>
      <c r="G101" s="1444"/>
      <c r="H101" s="1444"/>
      <c r="I101" s="1444"/>
      <c r="J101" s="1444"/>
      <c r="K101" s="1447">
        <v>200000</v>
      </c>
      <c r="L101" s="1443"/>
      <c r="M101" s="1443"/>
      <c r="N101" s="1483"/>
    </row>
    <row r="102" spans="1:15" s="32" customFormat="1" ht="20.399999999999999" x14ac:dyDescent="0.2">
      <c r="A102" s="1472" t="s">
        <v>387</v>
      </c>
      <c r="B102" s="1230" t="s">
        <v>1539</v>
      </c>
      <c r="C102" s="1444"/>
      <c r="D102" s="1444"/>
      <c r="E102" s="1444"/>
      <c r="F102" s="1444"/>
      <c r="G102" s="1444"/>
      <c r="H102" s="1444"/>
      <c r="I102" s="1444"/>
      <c r="J102" s="1444"/>
      <c r="K102" s="1447">
        <v>1000000</v>
      </c>
      <c r="L102" s="1443"/>
      <c r="M102" s="1443"/>
      <c r="N102" s="1483" t="s">
        <v>1540</v>
      </c>
    </row>
    <row r="103" spans="1:15" s="32" customFormat="1" ht="20.399999999999999" x14ac:dyDescent="0.2">
      <c r="A103" s="1472" t="s">
        <v>387</v>
      </c>
      <c r="B103" s="1230" t="s">
        <v>410</v>
      </c>
      <c r="C103" s="1444"/>
      <c r="D103" s="1444"/>
      <c r="E103" s="1444"/>
      <c r="F103" s="1444"/>
      <c r="G103" s="1444"/>
      <c r="H103" s="1444"/>
      <c r="I103" s="1444"/>
      <c r="J103" s="1444"/>
      <c r="K103" s="1447">
        <v>1885400</v>
      </c>
      <c r="L103" s="1443"/>
      <c r="M103" s="1443"/>
      <c r="N103" s="1483" t="s">
        <v>413</v>
      </c>
    </row>
    <row r="104" spans="1:15" s="32" customFormat="1" ht="10.199999999999999" x14ac:dyDescent="0.2">
      <c r="A104" s="1472" t="s">
        <v>387</v>
      </c>
      <c r="B104" s="1230" t="s">
        <v>1533</v>
      </c>
      <c r="C104" s="1444"/>
      <c r="D104" s="1444"/>
      <c r="E104" s="1444"/>
      <c r="F104" s="1444"/>
      <c r="G104" s="1444"/>
      <c r="H104" s="1444"/>
      <c r="I104" s="1444"/>
      <c r="J104" s="1444"/>
      <c r="K104" s="1447">
        <v>60000</v>
      </c>
      <c r="L104" s="1443"/>
      <c r="M104" s="1443"/>
      <c r="N104" s="1483"/>
    </row>
    <row r="105" spans="1:15" s="32" customFormat="1" ht="20.399999999999999" x14ac:dyDescent="0.2">
      <c r="A105" s="1472" t="s">
        <v>387</v>
      </c>
      <c r="B105" s="1230" t="s">
        <v>1539</v>
      </c>
      <c r="C105" s="1444"/>
      <c r="D105" s="1444"/>
      <c r="E105" s="1444"/>
      <c r="F105" s="1444"/>
      <c r="G105" s="1444"/>
      <c r="H105" s="1444"/>
      <c r="I105" s="1444"/>
      <c r="J105" s="1444"/>
      <c r="K105" s="1447">
        <v>809000</v>
      </c>
      <c r="L105" s="1443"/>
      <c r="M105" s="1443"/>
      <c r="N105" s="1483" t="s">
        <v>1541</v>
      </c>
    </row>
    <row r="106" spans="1:15" s="32" customFormat="1" ht="30.6" x14ac:dyDescent="0.2">
      <c r="A106" s="1482" t="s">
        <v>388</v>
      </c>
      <c r="B106" s="1230" t="s">
        <v>851</v>
      </c>
      <c r="C106" s="1444"/>
      <c r="D106" s="1444"/>
      <c r="E106" s="1444"/>
      <c r="F106" s="1444"/>
      <c r="G106" s="1444"/>
      <c r="H106" s="1444"/>
      <c r="I106" s="1444"/>
      <c r="J106" s="1444"/>
      <c r="K106" s="1447">
        <v>800000</v>
      </c>
      <c r="L106" s="1240"/>
      <c r="M106" s="1443"/>
      <c r="N106" s="1483" t="s">
        <v>389</v>
      </c>
    </row>
    <row r="107" spans="1:15" s="32" customFormat="1" ht="20.399999999999999" x14ac:dyDescent="0.2">
      <c r="A107" s="1482" t="s">
        <v>942</v>
      </c>
      <c r="B107" s="1230" t="s">
        <v>1538</v>
      </c>
      <c r="C107" s="1444"/>
      <c r="D107" s="1444"/>
      <c r="E107" s="1444"/>
      <c r="F107" s="1444"/>
      <c r="G107" s="1444"/>
      <c r="H107" s="1444"/>
      <c r="I107" s="1444"/>
      <c r="J107" s="1444"/>
      <c r="K107" s="1447">
        <v>1220000</v>
      </c>
      <c r="L107" s="1240"/>
      <c r="M107" s="1443"/>
      <c r="N107" s="1483"/>
    </row>
    <row r="108" spans="1:15" s="32" customFormat="1" ht="30.6" x14ac:dyDescent="0.2">
      <c r="A108" s="1472" t="s">
        <v>434</v>
      </c>
      <c r="B108" s="1230" t="s">
        <v>568</v>
      </c>
      <c r="C108" s="1444"/>
      <c r="D108" s="1444"/>
      <c r="E108" s="1444"/>
      <c r="F108" s="1444"/>
      <c r="G108" s="1444"/>
      <c r="H108" s="1444"/>
      <c r="I108" s="1444"/>
      <c r="J108" s="1444"/>
      <c r="K108" s="1443"/>
      <c r="L108" s="1443"/>
      <c r="M108" s="1447">
        <v>130000</v>
      </c>
      <c r="N108" s="1483"/>
      <c r="O108" s="1485" t="e">
        <f>#REF!+#REF!</f>
        <v>#REF!</v>
      </c>
    </row>
    <row r="109" spans="1:15" s="32" customFormat="1" ht="30.6" x14ac:dyDescent="0.2">
      <c r="A109" s="1472" t="s">
        <v>434</v>
      </c>
      <c r="B109" s="1230" t="s">
        <v>569</v>
      </c>
      <c r="C109" s="1444"/>
      <c r="D109" s="1444"/>
      <c r="E109" s="1444"/>
      <c r="F109" s="1444"/>
      <c r="G109" s="1444"/>
      <c r="H109" s="1444"/>
      <c r="I109" s="1444"/>
      <c r="J109" s="1444"/>
      <c r="K109" s="1443"/>
      <c r="L109" s="1443"/>
      <c r="M109" s="1447">
        <v>840000</v>
      </c>
      <c r="N109" s="1483"/>
    </row>
    <row r="110" spans="1:15" s="32" customFormat="1" ht="10.199999999999999" x14ac:dyDescent="0.2">
      <c r="A110" s="1472" t="s">
        <v>434</v>
      </c>
      <c r="B110" s="1230" t="s">
        <v>558</v>
      </c>
      <c r="C110" s="1444"/>
      <c r="D110" s="1444"/>
      <c r="E110" s="1444"/>
      <c r="F110" s="1444"/>
      <c r="G110" s="1444"/>
      <c r="H110" s="1444"/>
      <c r="I110" s="1444"/>
      <c r="J110" s="1444"/>
      <c r="K110" s="1447">
        <v>73000</v>
      </c>
      <c r="L110" s="1443"/>
      <c r="M110" s="1443"/>
      <c r="N110" s="1483"/>
    </row>
    <row r="111" spans="1:15" s="32" customFormat="1" ht="20.399999999999999" x14ac:dyDescent="0.2">
      <c r="A111" s="1472" t="s">
        <v>434</v>
      </c>
      <c r="B111" s="1230" t="s">
        <v>435</v>
      </c>
      <c r="C111" s="1444"/>
      <c r="D111" s="1444"/>
      <c r="E111" s="1444"/>
      <c r="F111" s="1444"/>
      <c r="G111" s="1444"/>
      <c r="H111" s="1444"/>
      <c r="I111" s="1444"/>
      <c r="J111" s="1444"/>
      <c r="K111" s="1447">
        <f>510000+185000</f>
        <v>695000</v>
      </c>
      <c r="L111" s="1443"/>
      <c r="M111" s="1443"/>
      <c r="N111" s="1483"/>
    </row>
    <row r="112" spans="1:15" s="32" customFormat="1" ht="20.399999999999999" x14ac:dyDescent="0.2">
      <c r="A112" s="1472" t="s">
        <v>434</v>
      </c>
      <c r="B112" s="1230" t="s">
        <v>779</v>
      </c>
      <c r="C112" s="1444"/>
      <c r="D112" s="1444"/>
      <c r="E112" s="1444"/>
      <c r="F112" s="1444"/>
      <c r="G112" s="1444"/>
      <c r="H112" s="1447"/>
      <c r="I112" s="1447">
        <v>55000</v>
      </c>
      <c r="J112" s="1444"/>
      <c r="K112" s="1443"/>
      <c r="L112" s="1443"/>
      <c r="M112" s="1443"/>
      <c r="N112" s="1483"/>
    </row>
    <row r="113" spans="1:14" s="32" customFormat="1" ht="10.199999999999999" x14ac:dyDescent="0.2">
      <c r="A113" s="1472" t="s">
        <v>434</v>
      </c>
      <c r="B113" s="1230" t="s">
        <v>780</v>
      </c>
      <c r="C113" s="1444"/>
      <c r="D113" s="1444"/>
      <c r="E113" s="1444"/>
      <c r="F113" s="1444"/>
      <c r="G113" s="1444"/>
      <c r="H113" s="1447"/>
      <c r="I113" s="1447">
        <v>55000</v>
      </c>
      <c r="J113" s="1444"/>
      <c r="K113" s="1443"/>
      <c r="L113" s="1443"/>
      <c r="M113" s="1443"/>
      <c r="N113" s="1483"/>
    </row>
    <row r="114" spans="1:14" s="32" customFormat="1" ht="20.399999999999999" x14ac:dyDescent="0.2">
      <c r="A114" s="1472" t="s">
        <v>434</v>
      </c>
      <c r="B114" s="1230" t="s">
        <v>1557</v>
      </c>
      <c r="C114" s="1444"/>
      <c r="D114" s="1444"/>
      <c r="E114" s="1444"/>
      <c r="F114" s="1444"/>
      <c r="G114" s="1444"/>
      <c r="H114" s="1447"/>
      <c r="I114" s="1447">
        <v>22000</v>
      </c>
      <c r="J114" s="1444"/>
      <c r="K114" s="1443"/>
      <c r="L114" s="1443"/>
      <c r="M114" s="1443"/>
      <c r="N114" s="1483"/>
    </row>
    <row r="115" spans="1:14" s="32" customFormat="1" ht="30.6" x14ac:dyDescent="0.2">
      <c r="A115" s="1472" t="s">
        <v>419</v>
      </c>
      <c r="B115" s="1230" t="s">
        <v>850</v>
      </c>
      <c r="C115" s="1444"/>
      <c r="D115" s="1444"/>
      <c r="E115" s="1444"/>
      <c r="F115" s="1444"/>
      <c r="G115" s="1444"/>
      <c r="H115" s="1447"/>
      <c r="I115" s="1447"/>
      <c r="J115" s="1444"/>
      <c r="K115" s="1447">
        <v>2750000</v>
      </c>
      <c r="L115" s="1443"/>
      <c r="M115" s="1443"/>
      <c r="N115" s="1483"/>
    </row>
    <row r="116" spans="1:14" s="32" customFormat="1" ht="20.399999999999999" x14ac:dyDescent="0.2">
      <c r="A116" s="1472" t="s">
        <v>432</v>
      </c>
      <c r="B116" s="1230" t="s">
        <v>436</v>
      </c>
      <c r="C116" s="1444"/>
      <c r="D116" s="1444"/>
      <c r="E116" s="1444"/>
      <c r="F116" s="1444"/>
      <c r="G116" s="1444"/>
      <c r="H116" s="1444"/>
      <c r="I116" s="1444"/>
      <c r="J116" s="1444"/>
      <c r="K116" s="1447">
        <v>2400000</v>
      </c>
      <c r="L116" s="1443"/>
      <c r="M116" s="1443"/>
      <c r="N116" s="1483"/>
    </row>
    <row r="117" spans="1:14" s="32" customFormat="1" ht="20.399999999999999" x14ac:dyDescent="0.2">
      <c r="A117" s="1472" t="s">
        <v>432</v>
      </c>
      <c r="B117" s="1230" t="s">
        <v>437</v>
      </c>
      <c r="C117" s="1444"/>
      <c r="D117" s="1444"/>
      <c r="E117" s="1444"/>
      <c r="F117" s="1444"/>
      <c r="G117" s="1444"/>
      <c r="H117" s="1447"/>
      <c r="I117" s="1447"/>
      <c r="J117" s="1444"/>
      <c r="K117" s="1447">
        <v>1200000</v>
      </c>
      <c r="L117" s="1443"/>
      <c r="M117" s="1443"/>
      <c r="N117" s="1483"/>
    </row>
    <row r="118" spans="1:14" s="32" customFormat="1" ht="20.399999999999999" x14ac:dyDescent="0.2">
      <c r="A118" s="1472" t="s">
        <v>432</v>
      </c>
      <c r="B118" s="1230" t="s">
        <v>438</v>
      </c>
      <c r="C118" s="1444"/>
      <c r="D118" s="1444"/>
      <c r="E118" s="1444"/>
      <c r="F118" s="1444"/>
      <c r="G118" s="1444"/>
      <c r="H118" s="1447"/>
      <c r="I118" s="1447"/>
      <c r="J118" s="1444"/>
      <c r="K118" s="1447">
        <v>1000000</v>
      </c>
      <c r="L118" s="1443"/>
      <c r="M118" s="1443"/>
      <c r="N118" s="1483"/>
    </row>
    <row r="119" spans="1:14" s="32" customFormat="1" ht="40.799999999999997" x14ac:dyDescent="0.2">
      <c r="A119" s="1472" t="s">
        <v>432</v>
      </c>
      <c r="B119" s="1230" t="s">
        <v>439</v>
      </c>
      <c r="C119" s="1444"/>
      <c r="D119" s="1444"/>
      <c r="E119" s="1444"/>
      <c r="F119" s="1444"/>
      <c r="G119" s="1444"/>
      <c r="H119" s="1444"/>
      <c r="I119" s="1444"/>
      <c r="J119" s="1444"/>
      <c r="K119" s="1447">
        <v>200000</v>
      </c>
      <c r="L119" s="1443"/>
      <c r="M119" s="1443"/>
      <c r="N119" s="1483" t="s">
        <v>1471</v>
      </c>
    </row>
    <row r="120" spans="1:14" s="32" customFormat="1" ht="30.6" x14ac:dyDescent="0.2">
      <c r="A120" s="1472" t="s">
        <v>432</v>
      </c>
      <c r="B120" s="1230" t="s">
        <v>433</v>
      </c>
      <c r="C120" s="1444"/>
      <c r="D120" s="1444"/>
      <c r="E120" s="1444"/>
      <c r="F120" s="1444"/>
      <c r="G120" s="1444"/>
      <c r="H120" s="1444"/>
      <c r="I120" s="1444"/>
      <c r="J120" s="1444"/>
      <c r="K120" s="1447">
        <v>1300000</v>
      </c>
      <c r="L120" s="1443"/>
      <c r="M120" s="1443"/>
      <c r="N120" s="1483"/>
    </row>
    <row r="121" spans="1:14" s="32" customFormat="1" ht="20.399999999999999" x14ac:dyDescent="0.2">
      <c r="A121" s="1472" t="s">
        <v>432</v>
      </c>
      <c r="B121" s="1230" t="s">
        <v>1235</v>
      </c>
      <c r="C121" s="1444"/>
      <c r="D121" s="1444"/>
      <c r="E121" s="1444"/>
      <c r="F121" s="1444"/>
      <c r="G121" s="1444"/>
      <c r="H121" s="1447"/>
      <c r="I121" s="1447"/>
      <c r="J121" s="1444"/>
      <c r="K121" s="1447">
        <v>1000000</v>
      </c>
      <c r="L121" s="1443"/>
      <c r="M121" s="1443"/>
      <c r="N121" s="1483"/>
    </row>
    <row r="122" spans="1:14" s="32" customFormat="1" ht="30.6" x14ac:dyDescent="0.2">
      <c r="A122" s="1472" t="s">
        <v>432</v>
      </c>
      <c r="B122" s="1230" t="s">
        <v>1236</v>
      </c>
      <c r="C122" s="1444"/>
      <c r="D122" s="1444"/>
      <c r="E122" s="1444"/>
      <c r="F122" s="1444"/>
      <c r="G122" s="1444"/>
      <c r="H122" s="1447"/>
      <c r="I122" s="1447"/>
      <c r="J122" s="1444"/>
      <c r="K122" s="1447">
        <v>110000</v>
      </c>
      <c r="L122" s="1443"/>
      <c r="M122" s="1443"/>
      <c r="N122" s="1483"/>
    </row>
    <row r="123" spans="1:14" s="32" customFormat="1" ht="20.399999999999999" x14ac:dyDescent="0.2">
      <c r="A123" s="1472" t="s">
        <v>432</v>
      </c>
      <c r="B123" s="1230" t="s">
        <v>458</v>
      </c>
      <c r="C123" s="1444"/>
      <c r="D123" s="1444"/>
      <c r="E123" s="1444"/>
      <c r="F123" s="1444"/>
      <c r="G123" s="1444"/>
      <c r="H123" s="1444"/>
      <c r="I123" s="1444"/>
      <c r="J123" s="1444"/>
      <c r="K123" s="1447">
        <v>1070000</v>
      </c>
      <c r="L123" s="1443"/>
      <c r="M123" s="1443"/>
      <c r="N123" s="1483"/>
    </row>
    <row r="124" spans="1:14" s="32" customFormat="1" ht="20.399999999999999" x14ac:dyDescent="0.2">
      <c r="A124" s="1472" t="s">
        <v>432</v>
      </c>
      <c r="B124" s="1230" t="s">
        <v>1863</v>
      </c>
      <c r="C124" s="1444"/>
      <c r="D124" s="1444"/>
      <c r="E124" s="1444"/>
      <c r="F124" s="1444"/>
      <c r="G124" s="1444"/>
      <c r="H124" s="1444"/>
      <c r="I124" s="1444"/>
      <c r="J124" s="1444"/>
      <c r="K124" s="1447">
        <v>10000000</v>
      </c>
      <c r="L124" s="1443"/>
      <c r="M124" s="1443"/>
      <c r="N124" s="1483"/>
    </row>
    <row r="125" spans="1:14" s="32" customFormat="1" ht="10.199999999999999" x14ac:dyDescent="0.2">
      <c r="A125" s="1472" t="s">
        <v>495</v>
      </c>
      <c r="B125" s="1230" t="s">
        <v>1864</v>
      </c>
      <c r="C125" s="1444"/>
      <c r="D125" s="1444"/>
      <c r="E125" s="1444"/>
      <c r="F125" s="1444"/>
      <c r="G125" s="1444"/>
      <c r="H125" s="1447">
        <v>300000</v>
      </c>
      <c r="I125" s="1444"/>
      <c r="J125" s="1444"/>
      <c r="K125" s="1447"/>
      <c r="L125" s="1443"/>
      <c r="M125" s="1443"/>
      <c r="N125" s="1483"/>
    </row>
    <row r="126" spans="1:14" s="32" customFormat="1" ht="30.6" x14ac:dyDescent="0.2">
      <c r="A126" s="1472" t="s">
        <v>500</v>
      </c>
      <c r="B126" s="1230" t="s">
        <v>1535</v>
      </c>
      <c r="C126" s="1444"/>
      <c r="D126" s="1444"/>
      <c r="E126" s="1444"/>
      <c r="F126" s="1444"/>
      <c r="G126" s="1444"/>
      <c r="H126" s="1444"/>
      <c r="I126" s="1444"/>
      <c r="J126" s="1444"/>
      <c r="K126" s="1447">
        <v>700000</v>
      </c>
      <c r="L126" s="1443"/>
      <c r="M126" s="1443"/>
      <c r="N126" s="1483"/>
    </row>
    <row r="127" spans="1:14" s="32" customFormat="1" ht="20.399999999999999" x14ac:dyDescent="0.2">
      <c r="A127" s="1472" t="s">
        <v>500</v>
      </c>
      <c r="B127" s="1230" t="s">
        <v>1534</v>
      </c>
      <c r="C127" s="1444"/>
      <c r="D127" s="1444"/>
      <c r="E127" s="1444"/>
      <c r="F127" s="1444"/>
      <c r="G127" s="1444"/>
      <c r="H127" s="1444"/>
      <c r="I127" s="1444"/>
      <c r="J127" s="1444"/>
      <c r="K127" s="1447">
        <v>2800000</v>
      </c>
      <c r="L127" s="1443"/>
      <c r="M127" s="1443"/>
      <c r="N127" s="1483"/>
    </row>
    <row r="128" spans="1:14" s="32" customFormat="1" ht="20.399999999999999" x14ac:dyDescent="0.2">
      <c r="A128" s="1472" t="s">
        <v>500</v>
      </c>
      <c r="B128" s="1230" t="s">
        <v>1536</v>
      </c>
      <c r="C128" s="1444"/>
      <c r="D128" s="1444"/>
      <c r="E128" s="1444"/>
      <c r="F128" s="1444"/>
      <c r="G128" s="1444"/>
      <c r="H128" s="1444"/>
      <c r="I128" s="1444"/>
      <c r="J128" s="1444"/>
      <c r="K128" s="1447">
        <v>2000000</v>
      </c>
      <c r="L128" s="1443"/>
      <c r="M128" s="1443"/>
      <c r="N128" s="1483"/>
    </row>
    <row r="129" spans="1:14" s="32" customFormat="1" ht="20.399999999999999" x14ac:dyDescent="0.2">
      <c r="A129" s="1472" t="s">
        <v>500</v>
      </c>
      <c r="B129" s="1230" t="s">
        <v>513</v>
      </c>
      <c r="C129" s="1444"/>
      <c r="D129" s="1444"/>
      <c r="E129" s="1444"/>
      <c r="F129" s="1444"/>
      <c r="G129" s="1444"/>
      <c r="H129" s="1444"/>
      <c r="I129" s="1444"/>
      <c r="J129" s="1444"/>
      <c r="K129" s="1447">
        <v>1000000</v>
      </c>
      <c r="L129" s="1443"/>
      <c r="M129" s="1443"/>
      <c r="N129" s="1483"/>
    </row>
    <row r="130" spans="1:14" s="32" customFormat="1" ht="20.399999999999999" x14ac:dyDescent="0.2">
      <c r="A130" s="1472" t="s">
        <v>500</v>
      </c>
      <c r="B130" s="1230" t="s">
        <v>514</v>
      </c>
      <c r="C130" s="1444"/>
      <c r="D130" s="1444"/>
      <c r="E130" s="1444"/>
      <c r="F130" s="1444"/>
      <c r="G130" s="1444"/>
      <c r="H130" s="1444"/>
      <c r="I130" s="1444"/>
      <c r="J130" s="1444"/>
      <c r="K130" s="1447">
        <v>1000000</v>
      </c>
      <c r="L130" s="1443"/>
      <c r="M130" s="1443"/>
      <c r="N130" s="1483"/>
    </row>
    <row r="131" spans="1:14" s="32" customFormat="1" ht="30.6" x14ac:dyDescent="0.2">
      <c r="A131" s="1472" t="s">
        <v>500</v>
      </c>
      <c r="B131" s="1230" t="s">
        <v>1234</v>
      </c>
      <c r="C131" s="1444"/>
      <c r="D131" s="1444"/>
      <c r="E131" s="1444"/>
      <c r="F131" s="1444"/>
      <c r="G131" s="1444"/>
      <c r="H131" s="1444"/>
      <c r="I131" s="1444"/>
      <c r="J131" s="1444"/>
      <c r="K131" s="1447">
        <v>120000</v>
      </c>
      <c r="L131" s="1443"/>
      <c r="M131" s="1443"/>
      <c r="N131" s="1483"/>
    </row>
    <row r="132" spans="1:14" s="32" customFormat="1" ht="20.399999999999999" x14ac:dyDescent="0.2">
      <c r="A132" s="1472" t="s">
        <v>500</v>
      </c>
      <c r="B132" s="1230" t="s">
        <v>1233</v>
      </c>
      <c r="C132" s="1444"/>
      <c r="D132" s="1444"/>
      <c r="E132" s="1444"/>
      <c r="F132" s="1444"/>
      <c r="G132" s="1444"/>
      <c r="H132" s="1444"/>
      <c r="I132" s="1444"/>
      <c r="J132" s="1444"/>
      <c r="K132" s="1447">
        <v>70000</v>
      </c>
      <c r="L132" s="1443"/>
      <c r="M132" s="1443"/>
      <c r="N132" s="1483"/>
    </row>
    <row r="133" spans="1:14" s="32" customFormat="1" ht="30.6" x14ac:dyDescent="0.2">
      <c r="A133" s="1472" t="s">
        <v>500</v>
      </c>
      <c r="B133" s="1230" t="s">
        <v>560</v>
      </c>
      <c r="C133" s="1444"/>
      <c r="D133" s="1444"/>
      <c r="E133" s="1444"/>
      <c r="F133" s="1444"/>
      <c r="G133" s="1444"/>
      <c r="H133" s="1444"/>
      <c r="I133" s="1444"/>
      <c r="J133" s="1444"/>
      <c r="K133" s="1443"/>
      <c r="L133" s="1443"/>
      <c r="M133" s="1447">
        <v>190000</v>
      </c>
      <c r="N133" s="1483"/>
    </row>
    <row r="134" spans="1:14" s="32" customFormat="1" ht="30.6" x14ac:dyDescent="0.2">
      <c r="A134" s="1472" t="s">
        <v>500</v>
      </c>
      <c r="B134" s="1230" t="s">
        <v>561</v>
      </c>
      <c r="C134" s="1444"/>
      <c r="D134" s="1444"/>
      <c r="E134" s="1444"/>
      <c r="F134" s="1444"/>
      <c r="G134" s="1444"/>
      <c r="H134" s="1444"/>
      <c r="I134" s="1444"/>
      <c r="J134" s="1444"/>
      <c r="K134" s="1443"/>
      <c r="L134" s="1443"/>
      <c r="M134" s="1447">
        <v>50000</v>
      </c>
      <c r="N134" s="1483"/>
    </row>
    <row r="135" spans="1:14" s="32" customFormat="1" ht="30.6" x14ac:dyDescent="0.2">
      <c r="A135" s="1472" t="s">
        <v>500</v>
      </c>
      <c r="B135" s="1230" t="s">
        <v>562</v>
      </c>
      <c r="C135" s="1444"/>
      <c r="D135" s="1444"/>
      <c r="E135" s="1444"/>
      <c r="F135" s="1444"/>
      <c r="G135" s="1444"/>
      <c r="H135" s="1444"/>
      <c r="I135" s="1444"/>
      <c r="J135" s="1444"/>
      <c r="K135" s="1443"/>
      <c r="L135" s="1443"/>
      <c r="M135" s="1447">
        <v>140000</v>
      </c>
      <c r="N135" s="1483"/>
    </row>
    <row r="136" spans="1:14" s="32" customFormat="1" ht="30.6" x14ac:dyDescent="0.2">
      <c r="A136" s="1472" t="s">
        <v>500</v>
      </c>
      <c r="B136" s="1230" t="s">
        <v>563</v>
      </c>
      <c r="C136" s="1444"/>
      <c r="D136" s="1444"/>
      <c r="E136" s="1444"/>
      <c r="F136" s="1444"/>
      <c r="G136" s="1444"/>
      <c r="H136" s="1444"/>
      <c r="I136" s="1444"/>
      <c r="J136" s="1444"/>
      <c r="K136" s="1443"/>
      <c r="L136" s="1443"/>
      <c r="M136" s="1447">
        <v>860000</v>
      </c>
      <c r="N136" s="1483" t="s">
        <v>1545</v>
      </c>
    </row>
    <row r="137" spans="1:14" s="32" customFormat="1" ht="40.799999999999997" x14ac:dyDescent="0.2">
      <c r="A137" s="1472" t="s">
        <v>500</v>
      </c>
      <c r="B137" s="1230" t="s">
        <v>564</v>
      </c>
      <c r="C137" s="1444"/>
      <c r="D137" s="1444"/>
      <c r="E137" s="1444"/>
      <c r="F137" s="1444"/>
      <c r="G137" s="1444"/>
      <c r="H137" s="1444"/>
      <c r="I137" s="1444"/>
      <c r="J137" s="1444"/>
      <c r="K137" s="1447">
        <v>60000</v>
      </c>
      <c r="L137" s="1443"/>
      <c r="M137" s="1443"/>
      <c r="N137" s="1483"/>
    </row>
    <row r="138" spans="1:14" s="32" customFormat="1" ht="20.399999999999999" x14ac:dyDescent="0.2">
      <c r="A138" s="1472" t="s">
        <v>500</v>
      </c>
      <c r="B138" s="1230" t="s">
        <v>1238</v>
      </c>
      <c r="C138" s="1444"/>
      <c r="D138" s="1444"/>
      <c r="E138" s="1444"/>
      <c r="F138" s="1444"/>
      <c r="G138" s="1444"/>
      <c r="H138" s="1444"/>
      <c r="I138" s="1444"/>
      <c r="J138" s="1444"/>
      <c r="K138" s="1447">
        <v>200000</v>
      </c>
      <c r="L138" s="1443"/>
      <c r="M138" s="1443"/>
      <c r="N138" s="1483"/>
    </row>
    <row r="139" spans="1:14" s="32" customFormat="1" ht="30.6" x14ac:dyDescent="0.2">
      <c r="A139" s="1472" t="s">
        <v>500</v>
      </c>
      <c r="B139" s="1230" t="s">
        <v>574</v>
      </c>
      <c r="C139" s="1444"/>
      <c r="D139" s="1444"/>
      <c r="E139" s="1444"/>
      <c r="F139" s="1444"/>
      <c r="G139" s="1444"/>
      <c r="H139" s="1444"/>
      <c r="I139" s="1444"/>
      <c r="J139" s="1444"/>
      <c r="K139" s="1447">
        <v>905000</v>
      </c>
      <c r="L139" s="1443"/>
      <c r="M139" s="1443"/>
      <c r="N139" s="1483"/>
    </row>
    <row r="140" spans="1:14" s="32" customFormat="1" ht="20.399999999999999" x14ac:dyDescent="0.2">
      <c r="A140" s="1472" t="s">
        <v>500</v>
      </c>
      <c r="B140" s="1230" t="s">
        <v>575</v>
      </c>
      <c r="C140" s="1444"/>
      <c r="D140" s="1444"/>
      <c r="E140" s="1444"/>
      <c r="F140" s="1444"/>
      <c r="G140" s="1444"/>
      <c r="H140" s="1444"/>
      <c r="I140" s="1444"/>
      <c r="J140" s="1444"/>
      <c r="K140" s="1447">
        <v>1000000</v>
      </c>
      <c r="L140" s="1443"/>
      <c r="M140" s="1443"/>
      <c r="N140" s="1483"/>
    </row>
    <row r="141" spans="1:14" s="32" customFormat="1" ht="30.6" x14ac:dyDescent="0.2">
      <c r="A141" s="1472" t="s">
        <v>500</v>
      </c>
      <c r="B141" s="1230" t="s">
        <v>1239</v>
      </c>
      <c r="C141" s="1444"/>
      <c r="D141" s="1444"/>
      <c r="E141" s="1444"/>
      <c r="F141" s="1444"/>
      <c r="G141" s="1444"/>
      <c r="H141" s="1444"/>
      <c r="I141" s="1444"/>
      <c r="J141" s="1444"/>
      <c r="K141" s="1447">
        <v>1818000</v>
      </c>
      <c r="L141" s="1443"/>
      <c r="M141" s="1443"/>
      <c r="N141" s="1483"/>
    </row>
    <row r="142" spans="1:14" s="32" customFormat="1" ht="30.6" x14ac:dyDescent="0.2">
      <c r="A142" s="1472" t="s">
        <v>500</v>
      </c>
      <c r="B142" s="1230" t="s">
        <v>1240</v>
      </c>
      <c r="C142" s="1444"/>
      <c r="D142" s="1444"/>
      <c r="E142" s="1444"/>
      <c r="F142" s="1444"/>
      <c r="G142" s="1444"/>
      <c r="H142" s="1444"/>
      <c r="I142" s="1444"/>
      <c r="J142" s="1444"/>
      <c r="K142" s="1447">
        <v>11400000</v>
      </c>
      <c r="L142" s="1443"/>
      <c r="M142" s="1443"/>
      <c r="N142" s="1483"/>
    </row>
    <row r="143" spans="1:14" s="32" customFormat="1" ht="20.399999999999999" x14ac:dyDescent="0.2">
      <c r="A143" s="1472" t="s">
        <v>570</v>
      </c>
      <c r="B143" s="1230" t="s">
        <v>571</v>
      </c>
      <c r="C143" s="1444"/>
      <c r="D143" s="1444"/>
      <c r="E143" s="1444"/>
      <c r="F143" s="1444"/>
      <c r="G143" s="1444"/>
      <c r="H143" s="1444"/>
      <c r="I143" s="1444"/>
      <c r="J143" s="1444"/>
      <c r="K143" s="1447">
        <v>380000</v>
      </c>
      <c r="L143" s="1443"/>
      <c r="M143" s="1443"/>
      <c r="N143" s="1483"/>
    </row>
    <row r="144" spans="1:14" s="32" customFormat="1" ht="20.399999999999999" x14ac:dyDescent="0.2">
      <c r="A144" s="1472" t="s">
        <v>570</v>
      </c>
      <c r="B144" s="1230" t="s">
        <v>572</v>
      </c>
      <c r="C144" s="1444"/>
      <c r="D144" s="1444"/>
      <c r="E144" s="1444"/>
      <c r="F144" s="1444"/>
      <c r="G144" s="1444"/>
      <c r="H144" s="1444"/>
      <c r="I144" s="1444"/>
      <c r="J144" s="1444"/>
      <c r="K144" s="1447">
        <v>500000</v>
      </c>
      <c r="L144" s="1443"/>
      <c r="M144" s="1443"/>
      <c r="N144" s="1483"/>
    </row>
    <row r="145" spans="1:14" s="32" customFormat="1" ht="20.399999999999999" x14ac:dyDescent="0.2">
      <c r="A145" s="1472" t="s">
        <v>570</v>
      </c>
      <c r="B145" s="1230" t="s">
        <v>573</v>
      </c>
      <c r="C145" s="1444"/>
      <c r="D145" s="1444"/>
      <c r="E145" s="1444"/>
      <c r="F145" s="1444"/>
      <c r="G145" s="1444"/>
      <c r="H145" s="1444"/>
      <c r="I145" s="1444"/>
      <c r="J145" s="1444"/>
      <c r="K145" s="1447">
        <v>1000000</v>
      </c>
      <c r="L145" s="1443"/>
      <c r="M145" s="1443"/>
      <c r="N145" s="1483"/>
    </row>
    <row r="146" spans="1:14" s="32" customFormat="1" ht="30.6" x14ac:dyDescent="0.2">
      <c r="A146" s="1472" t="s">
        <v>565</v>
      </c>
      <c r="B146" s="1230" t="s">
        <v>566</v>
      </c>
      <c r="C146" s="1444"/>
      <c r="D146" s="1444"/>
      <c r="E146" s="1444"/>
      <c r="F146" s="1444"/>
      <c r="G146" s="1444"/>
      <c r="H146" s="1444"/>
      <c r="I146" s="1444"/>
      <c r="J146" s="1444"/>
      <c r="K146" s="1447">
        <v>1000000</v>
      </c>
      <c r="L146" s="1443"/>
      <c r="M146" s="1443"/>
      <c r="N146" s="1483"/>
    </row>
    <row r="147" spans="1:14" s="32" customFormat="1" ht="30.6" x14ac:dyDescent="0.2">
      <c r="A147" s="1472" t="s">
        <v>565</v>
      </c>
      <c r="B147" s="1230" t="s">
        <v>567</v>
      </c>
      <c r="C147" s="1444"/>
      <c r="D147" s="1444"/>
      <c r="E147" s="1444"/>
      <c r="F147" s="1444"/>
      <c r="G147" s="1444"/>
      <c r="H147" s="1444"/>
      <c r="I147" s="1444"/>
      <c r="J147" s="1444"/>
      <c r="K147" s="1447">
        <v>500000</v>
      </c>
      <c r="L147" s="1443"/>
      <c r="M147" s="1443"/>
      <c r="N147" s="1483"/>
    </row>
    <row r="148" spans="1:14" s="32" customFormat="1" ht="40.799999999999997" x14ac:dyDescent="0.2">
      <c r="A148" s="1472" t="s">
        <v>565</v>
      </c>
      <c r="B148" s="1230" t="s">
        <v>1214</v>
      </c>
      <c r="C148" s="1444"/>
      <c r="D148" s="1444"/>
      <c r="E148" s="1444"/>
      <c r="F148" s="1444"/>
      <c r="G148" s="1444"/>
      <c r="H148" s="1444"/>
      <c r="I148" s="1444"/>
      <c r="J148" s="1444"/>
      <c r="K148" s="1447">
        <v>3200000</v>
      </c>
      <c r="L148" s="1443"/>
      <c r="M148" s="1443"/>
      <c r="N148" s="1483" t="s">
        <v>1215</v>
      </c>
    </row>
    <row r="149" spans="1:14" s="32" customFormat="1" ht="30.6" x14ac:dyDescent="0.2">
      <c r="A149" s="1472" t="s">
        <v>576</v>
      </c>
      <c r="B149" s="1230" t="s">
        <v>606</v>
      </c>
      <c r="C149" s="1444"/>
      <c r="D149" s="1444"/>
      <c r="E149" s="1444"/>
      <c r="F149" s="1444"/>
      <c r="G149" s="1444"/>
      <c r="H149" s="1444"/>
      <c r="I149" s="1444"/>
      <c r="J149" s="1444"/>
      <c r="K149" s="1443"/>
      <c r="L149" s="1443"/>
      <c r="M149" s="1447">
        <v>135000</v>
      </c>
      <c r="N149" s="1483"/>
    </row>
    <row r="150" spans="1:14" s="32" customFormat="1" ht="30.6" x14ac:dyDescent="0.2">
      <c r="A150" s="1472" t="s">
        <v>576</v>
      </c>
      <c r="B150" s="1230" t="s">
        <v>607</v>
      </c>
      <c r="C150" s="1444"/>
      <c r="D150" s="1444"/>
      <c r="E150" s="1444"/>
      <c r="F150" s="1444"/>
      <c r="G150" s="1444"/>
      <c r="H150" s="1444"/>
      <c r="I150" s="1444"/>
      <c r="J150" s="1444"/>
      <c r="K150" s="1443"/>
      <c r="L150" s="1443"/>
      <c r="M150" s="1447">
        <v>145000</v>
      </c>
      <c r="N150" s="1483"/>
    </row>
    <row r="151" spans="1:14" s="32" customFormat="1" ht="20.399999999999999" x14ac:dyDescent="0.2">
      <c r="A151" s="1472" t="s">
        <v>576</v>
      </c>
      <c r="B151" s="1230" t="s">
        <v>608</v>
      </c>
      <c r="C151" s="1444"/>
      <c r="D151" s="1444"/>
      <c r="E151" s="1444"/>
      <c r="F151" s="1444"/>
      <c r="G151" s="1444"/>
      <c r="H151" s="1444"/>
      <c r="I151" s="1444"/>
      <c r="J151" s="1444"/>
      <c r="K151" s="1443"/>
      <c r="L151" s="1443"/>
      <c r="M151" s="1447">
        <v>580000</v>
      </c>
      <c r="N151" s="1483"/>
    </row>
    <row r="152" spans="1:14" s="32" customFormat="1" ht="20.399999999999999" x14ac:dyDescent="0.2">
      <c r="A152" s="1472" t="s">
        <v>576</v>
      </c>
      <c r="B152" s="1230" t="s">
        <v>1338</v>
      </c>
      <c r="C152" s="1444"/>
      <c r="D152" s="1444"/>
      <c r="E152" s="1444"/>
      <c r="F152" s="1444"/>
      <c r="G152" s="1444"/>
      <c r="H152" s="1444"/>
      <c r="I152" s="1444"/>
      <c r="J152" s="1444"/>
      <c r="K152" s="1447">
        <v>900000</v>
      </c>
      <c r="L152" s="1443"/>
      <c r="M152" s="1443"/>
      <c r="N152" s="1483"/>
    </row>
    <row r="153" spans="1:14" s="32" customFormat="1" ht="10.199999999999999" x14ac:dyDescent="0.2">
      <c r="A153" s="1472" t="s">
        <v>576</v>
      </c>
      <c r="B153" s="1230" t="s">
        <v>129</v>
      </c>
      <c r="C153" s="1444"/>
      <c r="D153" s="1444"/>
      <c r="E153" s="1444"/>
      <c r="F153" s="1444"/>
      <c r="G153" s="1444"/>
      <c r="H153" s="1447"/>
      <c r="I153" s="1447"/>
      <c r="J153" s="1444"/>
      <c r="K153" s="1447">
        <v>2200</v>
      </c>
      <c r="L153" s="1443"/>
      <c r="M153" s="1443"/>
      <c r="N153" s="1483"/>
    </row>
    <row r="154" spans="1:14" s="32" customFormat="1" ht="30.6" x14ac:dyDescent="0.2">
      <c r="A154" s="1472" t="s">
        <v>553</v>
      </c>
      <c r="B154" s="1230" t="s">
        <v>604</v>
      </c>
      <c r="C154" s="1444"/>
      <c r="D154" s="1444"/>
      <c r="E154" s="1444"/>
      <c r="F154" s="1444"/>
      <c r="G154" s="1444"/>
      <c r="H154" s="1444"/>
      <c r="I154" s="1444"/>
      <c r="J154" s="1444"/>
      <c r="K154" s="1443"/>
      <c r="L154" s="1443"/>
      <c r="M154" s="1447">
        <v>100000</v>
      </c>
      <c r="N154" s="1486"/>
    </row>
    <row r="155" spans="1:14" s="32" customFormat="1" ht="30.6" x14ac:dyDescent="0.2">
      <c r="A155" s="1472" t="s">
        <v>553</v>
      </c>
      <c r="B155" s="1230" t="s">
        <v>605</v>
      </c>
      <c r="C155" s="1444"/>
      <c r="D155" s="1444"/>
      <c r="E155" s="1444"/>
      <c r="F155" s="1444"/>
      <c r="G155" s="1444"/>
      <c r="H155" s="1444"/>
      <c r="I155" s="1444"/>
      <c r="J155" s="1444"/>
      <c r="K155" s="1443"/>
      <c r="L155" s="1443"/>
      <c r="M155" s="1447">
        <v>640000</v>
      </c>
      <c r="N155" s="1486"/>
    </row>
    <row r="156" spans="1:14" s="32" customFormat="1" ht="51" x14ac:dyDescent="0.2">
      <c r="A156" s="1472" t="s">
        <v>553</v>
      </c>
      <c r="B156" s="1230" t="s">
        <v>1523</v>
      </c>
      <c r="C156" s="1444"/>
      <c r="D156" s="1444"/>
      <c r="E156" s="1444"/>
      <c r="F156" s="1444"/>
      <c r="G156" s="1444"/>
      <c r="H156" s="1447"/>
      <c r="I156" s="1447"/>
      <c r="J156" s="1444"/>
      <c r="K156" s="1447">
        <f>241000+647000+392000</f>
        <v>1280000</v>
      </c>
      <c r="L156" s="1443"/>
      <c r="M156" s="1443"/>
      <c r="N156" s="1483" t="s">
        <v>1237</v>
      </c>
    </row>
    <row r="157" spans="1:14" s="32" customFormat="1" ht="20.399999999999999" x14ac:dyDescent="0.2">
      <c r="A157" s="1472" t="s">
        <v>554</v>
      </c>
      <c r="B157" s="1230" t="s">
        <v>555</v>
      </c>
      <c r="C157" s="1444"/>
      <c r="D157" s="1444"/>
      <c r="E157" s="1444"/>
      <c r="F157" s="1444"/>
      <c r="G157" s="1444"/>
      <c r="H157" s="1444"/>
      <c r="I157" s="1444"/>
      <c r="J157" s="1444"/>
      <c r="K157" s="1447">
        <v>1114000</v>
      </c>
      <c r="L157" s="1443"/>
      <c r="M157" s="1443"/>
      <c r="N157" s="1483"/>
    </row>
    <row r="158" spans="1:14" s="32" customFormat="1" ht="20.399999999999999" x14ac:dyDescent="0.2">
      <c r="A158" s="1472" t="s">
        <v>554</v>
      </c>
      <c r="B158" s="1230" t="s">
        <v>1241</v>
      </c>
      <c r="C158" s="1444"/>
      <c r="D158" s="1444"/>
      <c r="E158" s="1444"/>
      <c r="F158" s="1444"/>
      <c r="G158" s="1444"/>
      <c r="H158" s="1444"/>
      <c r="I158" s="1444"/>
      <c r="J158" s="1447"/>
      <c r="K158" s="1447">
        <v>100000</v>
      </c>
      <c r="L158" s="1443"/>
      <c r="M158" s="1443"/>
      <c r="N158" s="1483"/>
    </row>
    <row r="159" spans="1:14" s="32" customFormat="1" ht="20.399999999999999" x14ac:dyDescent="0.2">
      <c r="A159" s="1472" t="s">
        <v>554</v>
      </c>
      <c r="B159" s="1230" t="s">
        <v>556</v>
      </c>
      <c r="C159" s="1444"/>
      <c r="D159" s="1444"/>
      <c r="E159" s="1444"/>
      <c r="F159" s="1444"/>
      <c r="G159" s="1444"/>
      <c r="H159" s="1444"/>
      <c r="I159" s="1444"/>
      <c r="J159" s="1447"/>
      <c r="K159" s="1447">
        <v>50000</v>
      </c>
      <c r="L159" s="1443"/>
      <c r="M159" s="1443"/>
      <c r="N159" s="1483"/>
    </row>
    <row r="160" spans="1:14" s="32" customFormat="1" ht="10.199999999999999" x14ac:dyDescent="0.2">
      <c r="A160" s="1472" t="s">
        <v>579</v>
      </c>
      <c r="B160" s="1230" t="s">
        <v>558</v>
      </c>
      <c r="C160" s="1444"/>
      <c r="D160" s="1444"/>
      <c r="E160" s="1444"/>
      <c r="F160" s="1444"/>
      <c r="G160" s="1444"/>
      <c r="H160" s="1444"/>
      <c r="I160" s="1444"/>
      <c r="J160" s="1447"/>
      <c r="K160" s="1447">
        <v>108000</v>
      </c>
      <c r="L160" s="1443"/>
      <c r="M160" s="1443"/>
      <c r="N160" s="1483"/>
    </row>
    <row r="161" spans="1:14" s="32" customFormat="1" ht="30.6" x14ac:dyDescent="0.2">
      <c r="A161" s="1472" t="s">
        <v>579</v>
      </c>
      <c r="B161" s="1230" t="s">
        <v>1470</v>
      </c>
      <c r="C161" s="1444"/>
      <c r="D161" s="1444"/>
      <c r="E161" s="1444"/>
      <c r="F161" s="1444"/>
      <c r="G161" s="1444"/>
      <c r="H161" s="1444"/>
      <c r="I161" s="1444"/>
      <c r="J161" s="1444"/>
      <c r="K161" s="1447">
        <v>4555000</v>
      </c>
      <c r="L161" s="1443"/>
      <c r="M161" s="1443"/>
      <c r="N161" s="1483" t="s">
        <v>1537</v>
      </c>
    </row>
    <row r="162" spans="1:14" s="32" customFormat="1" ht="10.199999999999999" x14ac:dyDescent="0.2">
      <c r="A162" s="1472" t="s">
        <v>579</v>
      </c>
      <c r="B162" s="1230" t="s">
        <v>129</v>
      </c>
      <c r="C162" s="1444"/>
      <c r="D162" s="1444"/>
      <c r="E162" s="1444"/>
      <c r="F162" s="1444"/>
      <c r="G162" s="1444"/>
      <c r="H162" s="1444"/>
      <c r="I162" s="1444"/>
      <c r="J162" s="1447"/>
      <c r="K162" s="1447">
        <v>2200</v>
      </c>
      <c r="L162" s="1443"/>
      <c r="M162" s="1443"/>
      <c r="N162" s="1483"/>
    </row>
    <row r="163" spans="1:14" s="32" customFormat="1" ht="20.399999999999999" x14ac:dyDescent="0.2">
      <c r="A163" s="1472" t="s">
        <v>579</v>
      </c>
      <c r="B163" s="1230" t="s">
        <v>559</v>
      </c>
      <c r="C163" s="1444"/>
      <c r="D163" s="1444"/>
      <c r="E163" s="1444"/>
      <c r="F163" s="1444"/>
      <c r="G163" s="1444"/>
      <c r="H163" s="1444"/>
      <c r="I163" s="1444"/>
      <c r="J163" s="1447"/>
      <c r="K163" s="1447">
        <v>13180000</v>
      </c>
      <c r="L163" s="1443"/>
      <c r="M163" s="1443"/>
      <c r="N163" s="1483"/>
    </row>
    <row r="164" spans="1:14" s="32" customFormat="1" ht="20.399999999999999" x14ac:dyDescent="0.2">
      <c r="A164" s="1472" t="s">
        <v>579</v>
      </c>
      <c r="B164" s="1230" t="s">
        <v>611</v>
      </c>
      <c r="C164" s="1444"/>
      <c r="D164" s="1444"/>
      <c r="E164" s="1444"/>
      <c r="F164" s="1444"/>
      <c r="G164" s="1444"/>
      <c r="H164" s="1444"/>
      <c r="I164" s="1444"/>
      <c r="J164" s="1444"/>
      <c r="K164" s="1447">
        <v>6171000</v>
      </c>
      <c r="L164" s="1443"/>
      <c r="M164" s="1443"/>
      <c r="N164" s="1483"/>
    </row>
    <row r="165" spans="1:14" s="32" customFormat="1" ht="10.199999999999999" x14ac:dyDescent="0.2">
      <c r="A165" s="1472" t="s">
        <v>579</v>
      </c>
      <c r="B165" s="1230" t="s">
        <v>129</v>
      </c>
      <c r="C165" s="1444"/>
      <c r="D165" s="1444"/>
      <c r="E165" s="1444"/>
      <c r="F165" s="1444"/>
      <c r="G165" s="1444"/>
      <c r="H165" s="1444"/>
      <c r="I165" s="1444"/>
      <c r="J165" s="1444"/>
      <c r="K165" s="1447">
        <v>7700</v>
      </c>
      <c r="L165" s="1443"/>
      <c r="M165" s="1443"/>
      <c r="N165" s="1483"/>
    </row>
    <row r="166" spans="1:14" s="32" customFormat="1" ht="20.399999999999999" x14ac:dyDescent="0.2">
      <c r="A166" s="1472" t="s">
        <v>602</v>
      </c>
      <c r="B166" s="1230" t="s">
        <v>612</v>
      </c>
      <c r="C166" s="1444"/>
      <c r="D166" s="1444"/>
      <c r="E166" s="1444"/>
      <c r="F166" s="1444"/>
      <c r="G166" s="1444"/>
      <c r="H166" s="1444"/>
      <c r="I166" s="1444"/>
      <c r="J166" s="1444"/>
      <c r="K166" s="1447">
        <v>3200000</v>
      </c>
      <c r="L166" s="1443"/>
      <c r="M166" s="1443"/>
      <c r="N166" s="1483"/>
    </row>
    <row r="167" spans="1:14" s="32" customFormat="1" ht="20.399999999999999" x14ac:dyDescent="0.2">
      <c r="A167" s="1472" t="s">
        <v>602</v>
      </c>
      <c r="B167" s="1230" t="s">
        <v>624</v>
      </c>
      <c r="C167" s="1444"/>
      <c r="D167" s="1444"/>
      <c r="E167" s="1444"/>
      <c r="F167" s="1444"/>
      <c r="G167" s="1444"/>
      <c r="H167" s="1444"/>
      <c r="I167" s="1444"/>
      <c r="J167" s="1444"/>
      <c r="K167" s="1447">
        <v>1200000</v>
      </c>
      <c r="L167" s="1443"/>
      <c r="M167" s="1443"/>
      <c r="N167" s="1483" t="s">
        <v>641</v>
      </c>
    </row>
    <row r="168" spans="1:14" s="32" customFormat="1" ht="20.399999999999999" x14ac:dyDescent="0.2">
      <c r="A168" s="1472" t="s">
        <v>623</v>
      </c>
      <c r="B168" s="1230" t="s">
        <v>625</v>
      </c>
      <c r="C168" s="1444"/>
      <c r="D168" s="1444"/>
      <c r="E168" s="1444"/>
      <c r="F168" s="1444"/>
      <c r="G168" s="1444"/>
      <c r="H168" s="1444"/>
      <c r="I168" s="1444"/>
      <c r="J168" s="1444"/>
      <c r="K168" s="1447">
        <v>2340000</v>
      </c>
      <c r="L168" s="1443"/>
      <c r="M168" s="1443"/>
      <c r="N168" s="1483"/>
    </row>
    <row r="169" spans="1:14" s="32" customFormat="1" ht="20.399999999999999" x14ac:dyDescent="0.2">
      <c r="A169" s="1472" t="s">
        <v>623</v>
      </c>
      <c r="B169" s="1230" t="s">
        <v>1211</v>
      </c>
      <c r="C169" s="1444"/>
      <c r="D169" s="1444"/>
      <c r="E169" s="1444"/>
      <c r="F169" s="1444"/>
      <c r="G169" s="1444"/>
      <c r="H169" s="1444"/>
      <c r="I169" s="1444"/>
      <c r="J169" s="1444"/>
      <c r="K169" s="1447">
        <v>800000</v>
      </c>
      <c r="L169" s="1443"/>
      <c r="M169" s="1443"/>
      <c r="N169" s="1483" t="s">
        <v>1213</v>
      </c>
    </row>
    <row r="170" spans="1:14" s="32" customFormat="1" ht="20.399999999999999" x14ac:dyDescent="0.2">
      <c r="A170" s="1472" t="s">
        <v>623</v>
      </c>
      <c r="B170" s="1230" t="s">
        <v>632</v>
      </c>
      <c r="C170" s="1444"/>
      <c r="D170" s="1444"/>
      <c r="E170" s="1444"/>
      <c r="F170" s="1444"/>
      <c r="G170" s="1444"/>
      <c r="H170" s="1444"/>
      <c r="I170" s="1444"/>
      <c r="J170" s="1444"/>
      <c r="K170" s="1447">
        <v>10200000</v>
      </c>
      <c r="L170" s="1443"/>
      <c r="M170" s="1443"/>
      <c r="N170" s="1483" t="s">
        <v>1212</v>
      </c>
    </row>
    <row r="171" spans="1:14" s="32" customFormat="1" ht="20.399999999999999" x14ac:dyDescent="0.2">
      <c r="A171" s="1472" t="s">
        <v>623</v>
      </c>
      <c r="B171" s="1230" t="s">
        <v>1242</v>
      </c>
      <c r="C171" s="1444"/>
      <c r="D171" s="1444"/>
      <c r="E171" s="1444"/>
      <c r="F171" s="1444"/>
      <c r="G171" s="1444"/>
      <c r="H171" s="1444"/>
      <c r="I171" s="1444"/>
      <c r="J171" s="1444"/>
      <c r="K171" s="1447">
        <v>500000</v>
      </c>
      <c r="L171" s="1443"/>
      <c r="M171" s="1443"/>
      <c r="N171" s="1483"/>
    </row>
    <row r="172" spans="1:14" s="32" customFormat="1" ht="20.399999999999999" x14ac:dyDescent="0.2">
      <c r="A172" s="1472" t="s">
        <v>623</v>
      </c>
      <c r="B172" s="1230" t="s">
        <v>1518</v>
      </c>
      <c r="C172" s="1444"/>
      <c r="D172" s="1444"/>
      <c r="E172" s="1444"/>
      <c r="F172" s="1444"/>
      <c r="G172" s="1444"/>
      <c r="H172" s="1444"/>
      <c r="I172" s="1444"/>
      <c r="J172" s="1444"/>
      <c r="K172" s="1447">
        <v>75000</v>
      </c>
      <c r="L172" s="1443"/>
      <c r="M172" s="1443"/>
      <c r="N172" s="1483"/>
    </row>
    <row r="173" spans="1:14" s="32" customFormat="1" ht="30.6" x14ac:dyDescent="0.2">
      <c r="A173" s="1472" t="s">
        <v>623</v>
      </c>
      <c r="B173" s="1230" t="s">
        <v>1519</v>
      </c>
      <c r="C173" s="1444"/>
      <c r="D173" s="1444"/>
      <c r="E173" s="1444"/>
      <c r="F173" s="1444"/>
      <c r="G173" s="1444"/>
      <c r="H173" s="1444"/>
      <c r="I173" s="1444"/>
      <c r="J173" s="1444"/>
      <c r="K173" s="1447">
        <v>1200000</v>
      </c>
      <c r="L173" s="1443"/>
      <c r="M173" s="1443"/>
      <c r="N173" s="1483"/>
    </row>
    <row r="174" spans="1:14" s="32" customFormat="1" ht="30.6" x14ac:dyDescent="0.2">
      <c r="A174" s="1472" t="s">
        <v>623</v>
      </c>
      <c r="B174" s="1230" t="s">
        <v>1520</v>
      </c>
      <c r="C174" s="1444"/>
      <c r="D174" s="1444"/>
      <c r="E174" s="1444"/>
      <c r="F174" s="1444"/>
      <c r="G174" s="1444"/>
      <c r="H174" s="1447"/>
      <c r="I174" s="1447"/>
      <c r="J174" s="1444"/>
      <c r="K174" s="1447">
        <v>60000</v>
      </c>
      <c r="L174" s="1443"/>
      <c r="M174" s="1443"/>
      <c r="N174" s="1483"/>
    </row>
    <row r="175" spans="1:14" s="32" customFormat="1" ht="20.399999999999999" x14ac:dyDescent="0.2">
      <c r="A175" s="1472" t="s">
        <v>623</v>
      </c>
      <c r="B175" s="1230" t="s">
        <v>1521</v>
      </c>
      <c r="C175" s="1444"/>
      <c r="D175" s="1444"/>
      <c r="E175" s="1444"/>
      <c r="F175" s="1444"/>
      <c r="G175" s="1444"/>
      <c r="H175" s="1447"/>
      <c r="I175" s="1447"/>
      <c r="J175" s="1444"/>
      <c r="K175" s="1447">
        <v>500000</v>
      </c>
      <c r="L175" s="1443"/>
      <c r="M175" s="1443"/>
      <c r="N175" s="1483" t="s">
        <v>1522</v>
      </c>
    </row>
    <row r="176" spans="1:14" s="32" customFormat="1" ht="10.199999999999999" x14ac:dyDescent="0.2">
      <c r="A176" s="1472" t="s">
        <v>633</v>
      </c>
      <c r="B176" s="1230" t="s">
        <v>849</v>
      </c>
      <c r="C176" s="1444"/>
      <c r="D176" s="1444"/>
      <c r="E176" s="1444"/>
      <c r="F176" s="1444"/>
      <c r="G176" s="1444"/>
      <c r="H176" s="1447"/>
      <c r="I176" s="1447"/>
      <c r="J176" s="1444"/>
      <c r="K176" s="1447">
        <v>1023000</v>
      </c>
      <c r="L176" s="1443"/>
      <c r="M176" s="1443"/>
      <c r="N176" s="1483"/>
    </row>
    <row r="177" spans="1:14" s="32" customFormat="1" ht="20.399999999999999" x14ac:dyDescent="0.2">
      <c r="A177" s="1472" t="s">
        <v>633</v>
      </c>
      <c r="B177" s="1230" t="s">
        <v>1517</v>
      </c>
      <c r="C177" s="1444"/>
      <c r="D177" s="1444"/>
      <c r="E177" s="1444"/>
      <c r="F177" s="1444"/>
      <c r="G177" s="1444"/>
      <c r="H177" s="1447"/>
      <c r="I177" s="1447"/>
      <c r="J177" s="1444"/>
      <c r="K177" s="1447">
        <v>1380000</v>
      </c>
      <c r="L177" s="1443"/>
      <c r="M177" s="1443"/>
      <c r="N177" s="1483"/>
    </row>
    <row r="178" spans="1:14" s="32" customFormat="1" ht="20.399999999999999" x14ac:dyDescent="0.2">
      <c r="A178" s="1472" t="s">
        <v>655</v>
      </c>
      <c r="B178" s="1230" t="s">
        <v>782</v>
      </c>
      <c r="C178" s="1444"/>
      <c r="D178" s="1444"/>
      <c r="E178" s="1444"/>
      <c r="F178" s="1444"/>
      <c r="G178" s="1444"/>
      <c r="H178" s="1447"/>
      <c r="I178" s="1447"/>
      <c r="J178" s="1444"/>
      <c r="K178" s="1447">
        <v>7000000</v>
      </c>
      <c r="L178" s="1240"/>
      <c r="M178" s="1443"/>
      <c r="N178" s="1483"/>
    </row>
    <row r="179" spans="1:14" s="32" customFormat="1" ht="10.199999999999999" x14ac:dyDescent="0.2">
      <c r="A179" s="1472" t="s">
        <v>655</v>
      </c>
      <c r="B179" s="1230" t="s">
        <v>129</v>
      </c>
      <c r="C179" s="1444"/>
      <c r="D179" s="1444"/>
      <c r="E179" s="1444"/>
      <c r="F179" s="1444"/>
      <c r="G179" s="1444"/>
      <c r="H179" s="1447"/>
      <c r="I179" s="1447"/>
      <c r="J179" s="1444"/>
      <c r="K179" s="1447">
        <v>10000</v>
      </c>
      <c r="L179" s="1240"/>
      <c r="M179" s="1443"/>
      <c r="N179" s="1483"/>
    </row>
    <row r="180" spans="1:14" s="32" customFormat="1" ht="40.799999999999997" x14ac:dyDescent="0.2">
      <c r="A180" s="1472" t="s">
        <v>655</v>
      </c>
      <c r="B180" s="1230" t="s">
        <v>1333</v>
      </c>
      <c r="C180" s="1444"/>
      <c r="D180" s="1444"/>
      <c r="E180" s="1444"/>
      <c r="F180" s="1444"/>
      <c r="G180" s="1444"/>
      <c r="H180" s="1444"/>
      <c r="I180" s="1444"/>
      <c r="J180" s="1447"/>
      <c r="K180" s="1447">
        <v>11000</v>
      </c>
      <c r="L180" s="1240"/>
      <c r="M180" s="1443"/>
      <c r="N180" s="1483"/>
    </row>
    <row r="181" spans="1:14" s="32" customFormat="1" ht="40.799999999999997" x14ac:dyDescent="0.2">
      <c r="A181" s="1472" t="s">
        <v>655</v>
      </c>
      <c r="B181" s="1230" t="s">
        <v>1334</v>
      </c>
      <c r="C181" s="1444"/>
      <c r="D181" s="1444"/>
      <c r="E181" s="1444"/>
      <c r="F181" s="1444"/>
      <c r="G181" s="1444"/>
      <c r="H181" s="1447"/>
      <c r="I181" s="1447"/>
      <c r="J181" s="1444"/>
      <c r="K181" s="1447">
        <v>10000</v>
      </c>
      <c r="L181" s="1240"/>
      <c r="M181" s="1443"/>
      <c r="N181" s="1483"/>
    </row>
    <row r="182" spans="1:14" s="32" customFormat="1" ht="40.799999999999997" x14ac:dyDescent="0.2">
      <c r="A182" s="1472" t="s">
        <v>655</v>
      </c>
      <c r="B182" s="1230" t="s">
        <v>1335</v>
      </c>
      <c r="C182" s="1444"/>
      <c r="D182" s="1444"/>
      <c r="E182" s="1444"/>
      <c r="F182" s="1444"/>
      <c r="G182" s="1444"/>
      <c r="H182" s="1447"/>
      <c r="I182" s="1447"/>
      <c r="J182" s="1444"/>
      <c r="K182" s="1447">
        <v>11000</v>
      </c>
      <c r="L182" s="1240"/>
      <c r="M182" s="1443"/>
      <c r="N182" s="1483"/>
    </row>
    <row r="183" spans="1:14" s="32" customFormat="1" ht="30.6" x14ac:dyDescent="0.2">
      <c r="A183" s="1472" t="s">
        <v>634</v>
      </c>
      <c r="B183" s="1230" t="s">
        <v>643</v>
      </c>
      <c r="C183" s="1444"/>
      <c r="D183" s="1444"/>
      <c r="E183" s="1444"/>
      <c r="F183" s="1444"/>
      <c r="G183" s="1444"/>
      <c r="H183" s="1444"/>
      <c r="I183" s="1444"/>
      <c r="J183" s="1447"/>
      <c r="K183" s="1447">
        <v>250000</v>
      </c>
      <c r="L183" s="1443"/>
      <c r="M183" s="1443"/>
      <c r="N183" s="1483"/>
    </row>
    <row r="184" spans="1:14" s="32" customFormat="1" ht="30.6" x14ac:dyDescent="0.2">
      <c r="A184" s="1472" t="s">
        <v>634</v>
      </c>
      <c r="B184" s="1230" t="s">
        <v>644</v>
      </c>
      <c r="C184" s="1444"/>
      <c r="D184" s="1444"/>
      <c r="E184" s="1444"/>
      <c r="F184" s="1444"/>
      <c r="G184" s="1444"/>
      <c r="H184" s="1447"/>
      <c r="I184" s="1447"/>
      <c r="J184" s="1444"/>
      <c r="K184" s="1447">
        <v>70000</v>
      </c>
      <c r="L184" s="1443"/>
      <c r="M184" s="1443"/>
      <c r="N184" s="1483"/>
    </row>
    <row r="185" spans="1:14" s="32" customFormat="1" ht="20.399999999999999" x14ac:dyDescent="0.2">
      <c r="A185" s="1472" t="s">
        <v>634</v>
      </c>
      <c r="B185" s="1230" t="s">
        <v>645</v>
      </c>
      <c r="C185" s="1444"/>
      <c r="D185" s="1444"/>
      <c r="E185" s="1444"/>
      <c r="F185" s="1444"/>
      <c r="G185" s="1444"/>
      <c r="H185" s="1447"/>
      <c r="I185" s="1447"/>
      <c r="J185" s="1444"/>
      <c r="K185" s="1447">
        <v>1200000</v>
      </c>
      <c r="L185" s="1443"/>
      <c r="M185" s="1443"/>
      <c r="N185" s="1483"/>
    </row>
    <row r="186" spans="1:14" s="32" customFormat="1" ht="20.399999999999999" x14ac:dyDescent="0.2">
      <c r="A186" s="1472" t="s">
        <v>634</v>
      </c>
      <c r="B186" s="1230" t="s">
        <v>646</v>
      </c>
      <c r="C186" s="1444"/>
      <c r="D186" s="1444"/>
      <c r="E186" s="1444"/>
      <c r="F186" s="1444"/>
      <c r="G186" s="1444"/>
      <c r="H186" s="1447"/>
      <c r="I186" s="1447"/>
      <c r="J186" s="1444"/>
      <c r="K186" s="1447">
        <v>1000000</v>
      </c>
      <c r="L186" s="1443"/>
      <c r="M186" s="1443"/>
      <c r="N186" s="1483"/>
    </row>
    <row r="187" spans="1:14" s="32" customFormat="1" ht="10.199999999999999" x14ac:dyDescent="0.2">
      <c r="A187" s="1472" t="s">
        <v>634</v>
      </c>
      <c r="B187" s="1230" t="s">
        <v>648</v>
      </c>
      <c r="C187" s="1444"/>
      <c r="D187" s="1444"/>
      <c r="E187" s="1444"/>
      <c r="F187" s="1444"/>
      <c r="G187" s="1444"/>
      <c r="H187" s="1447"/>
      <c r="I187" s="1447"/>
      <c r="J187" s="1444"/>
      <c r="K187" s="1447">
        <v>10000000</v>
      </c>
      <c r="L187" s="1443"/>
      <c r="M187" s="1443"/>
      <c r="N187" s="1483"/>
    </row>
    <row r="188" spans="1:14" s="32" customFormat="1" ht="20.399999999999999" x14ac:dyDescent="0.2">
      <c r="A188" s="1472" t="s">
        <v>651</v>
      </c>
      <c r="B188" s="1230" t="s">
        <v>775</v>
      </c>
      <c r="C188" s="1444"/>
      <c r="D188" s="1444"/>
      <c r="E188" s="1444"/>
      <c r="F188" s="1444"/>
      <c r="G188" s="1444"/>
      <c r="H188" s="1447"/>
      <c r="I188" s="1447">
        <v>10000000</v>
      </c>
      <c r="J188" s="1444"/>
      <c r="K188" s="1443"/>
      <c r="L188" s="1443"/>
      <c r="M188" s="1443"/>
      <c r="N188" s="1483"/>
    </row>
    <row r="189" spans="1:14" s="32" customFormat="1" ht="20.399999999999999" x14ac:dyDescent="0.2">
      <c r="A189" s="1472" t="s">
        <v>651</v>
      </c>
      <c r="B189" s="1230" t="s">
        <v>776</v>
      </c>
      <c r="C189" s="1444"/>
      <c r="D189" s="1444"/>
      <c r="E189" s="1444"/>
      <c r="F189" s="1444"/>
      <c r="G189" s="1444"/>
      <c r="H189" s="1444"/>
      <c r="I189" s="1444"/>
      <c r="J189" s="1444"/>
      <c r="K189" s="1443"/>
      <c r="L189" s="1443"/>
      <c r="M189" s="1447">
        <v>3140000</v>
      </c>
      <c r="N189" s="1483"/>
    </row>
    <row r="190" spans="1:14" s="32" customFormat="1" ht="30.6" x14ac:dyDescent="0.2">
      <c r="A190" s="1472" t="s">
        <v>651</v>
      </c>
      <c r="B190" s="1230" t="s">
        <v>1176</v>
      </c>
      <c r="C190" s="1444"/>
      <c r="D190" s="1444"/>
      <c r="E190" s="1444"/>
      <c r="F190" s="1444"/>
      <c r="G190" s="1444"/>
      <c r="H190" s="1444"/>
      <c r="I190" s="1444"/>
      <c r="J190" s="1444"/>
      <c r="K190" s="1240"/>
      <c r="L190" s="1443"/>
      <c r="M190" s="1447">
        <v>120000</v>
      </c>
      <c r="N190" s="1483"/>
    </row>
    <row r="191" spans="1:14" s="32" customFormat="1" ht="40.799999999999997" x14ac:dyDescent="0.2">
      <c r="A191" s="1472" t="s">
        <v>651</v>
      </c>
      <c r="B191" s="1230" t="s">
        <v>1177</v>
      </c>
      <c r="C191" s="1444"/>
      <c r="D191" s="1444"/>
      <c r="E191" s="1444"/>
      <c r="F191" s="1444"/>
      <c r="G191" s="1444"/>
      <c r="H191" s="1444"/>
      <c r="I191" s="1444"/>
      <c r="J191" s="1444"/>
      <c r="K191" s="1240"/>
      <c r="L191" s="1443"/>
      <c r="M191" s="1447">
        <v>490000</v>
      </c>
      <c r="N191" s="1483"/>
    </row>
    <row r="192" spans="1:14" s="32" customFormat="1" ht="30.6" x14ac:dyDescent="0.2">
      <c r="A192" s="1472" t="s">
        <v>651</v>
      </c>
      <c r="B192" s="1230" t="s">
        <v>1178</v>
      </c>
      <c r="C192" s="1444"/>
      <c r="D192" s="1444"/>
      <c r="E192" s="1444"/>
      <c r="F192" s="1444"/>
      <c r="G192" s="1444"/>
      <c r="H192" s="1444"/>
      <c r="I192" s="1444"/>
      <c r="J192" s="1444"/>
      <c r="K192" s="1240"/>
      <c r="L192" s="1443"/>
      <c r="M192" s="1447">
        <v>780000</v>
      </c>
      <c r="N192" s="1483"/>
    </row>
    <row r="193" spans="1:14" s="32" customFormat="1" ht="20.399999999999999" x14ac:dyDescent="0.2">
      <c r="A193" s="1472" t="s">
        <v>642</v>
      </c>
      <c r="B193" s="1230" t="s">
        <v>1346</v>
      </c>
      <c r="C193" s="1444"/>
      <c r="D193" s="1444"/>
      <c r="E193" s="1444"/>
      <c r="F193" s="1444"/>
      <c r="G193" s="1444"/>
      <c r="H193" s="1444"/>
      <c r="I193" s="1444"/>
      <c r="J193" s="1444"/>
      <c r="K193" s="1447">
        <v>300000</v>
      </c>
      <c r="L193" s="1443"/>
      <c r="M193" s="1443"/>
      <c r="N193" s="1483"/>
    </row>
    <row r="194" spans="1:14" s="32" customFormat="1" ht="20.399999999999999" x14ac:dyDescent="0.2">
      <c r="A194" s="1472" t="s">
        <v>642</v>
      </c>
      <c r="B194" s="1230" t="s">
        <v>682</v>
      </c>
      <c r="C194" s="1444"/>
      <c r="D194" s="1444"/>
      <c r="E194" s="1444"/>
      <c r="F194" s="1444"/>
      <c r="G194" s="1444"/>
      <c r="H194" s="1444"/>
      <c r="I194" s="1444"/>
      <c r="J194" s="1444"/>
      <c r="K194" s="1447">
        <v>625000</v>
      </c>
      <c r="L194" s="1443"/>
      <c r="M194" s="1443"/>
      <c r="N194" s="1483"/>
    </row>
    <row r="195" spans="1:14" s="32" customFormat="1" ht="10.199999999999999" x14ac:dyDescent="0.2">
      <c r="A195" s="1472" t="s">
        <v>642</v>
      </c>
      <c r="B195" s="1230" t="s">
        <v>652</v>
      </c>
      <c r="C195" s="1444"/>
      <c r="D195" s="1444"/>
      <c r="E195" s="1444"/>
      <c r="F195" s="1444"/>
      <c r="G195" s="1444"/>
      <c r="H195" s="1444"/>
      <c r="I195" s="1444"/>
      <c r="J195" s="1443"/>
      <c r="K195" s="1447">
        <v>382000</v>
      </c>
      <c r="L195" s="1443"/>
      <c r="M195" s="1443"/>
      <c r="N195" s="1483"/>
    </row>
    <row r="196" spans="1:14" s="32" customFormat="1" ht="10.199999999999999" x14ac:dyDescent="0.2">
      <c r="A196" s="1472" t="s">
        <v>649</v>
      </c>
      <c r="B196" s="1230" t="s">
        <v>940</v>
      </c>
      <c r="C196" s="1444"/>
      <c r="D196" s="1444"/>
      <c r="E196" s="1444"/>
      <c r="F196" s="1444"/>
      <c r="G196" s="1444"/>
      <c r="H196" s="1447"/>
      <c r="I196" s="1447">
        <v>114012000</v>
      </c>
      <c r="J196" s="1443"/>
      <c r="K196" s="1443"/>
      <c r="L196" s="1443"/>
      <c r="M196" s="1443"/>
      <c r="N196" s="1483"/>
    </row>
    <row r="197" spans="1:14" s="32" customFormat="1" ht="10.199999999999999" x14ac:dyDescent="0.2">
      <c r="A197" s="1472" t="s">
        <v>649</v>
      </c>
      <c r="B197" s="1230" t="s">
        <v>650</v>
      </c>
      <c r="C197" s="1444"/>
      <c r="D197" s="1444"/>
      <c r="E197" s="1444"/>
      <c r="F197" s="1444"/>
      <c r="G197" s="1444"/>
      <c r="H197" s="1444"/>
      <c r="I197" s="1444"/>
      <c r="J197" s="1447"/>
      <c r="K197" s="1447">
        <v>499000</v>
      </c>
      <c r="L197" s="1443"/>
      <c r="M197" s="1443"/>
      <c r="N197" s="1483"/>
    </row>
    <row r="198" spans="1:14" s="32" customFormat="1" ht="20.399999999999999" x14ac:dyDescent="0.2">
      <c r="A198" s="1472" t="s">
        <v>649</v>
      </c>
      <c r="B198" s="1230" t="s">
        <v>1527</v>
      </c>
      <c r="C198" s="1444"/>
      <c r="D198" s="1444"/>
      <c r="E198" s="1444"/>
      <c r="F198" s="1444"/>
      <c r="G198" s="1444"/>
      <c r="H198" s="1444"/>
      <c r="I198" s="1444"/>
      <c r="J198" s="1447"/>
      <c r="K198" s="1447">
        <v>500000</v>
      </c>
      <c r="L198" s="1443"/>
      <c r="M198" s="1443"/>
      <c r="N198" s="1483"/>
    </row>
    <row r="199" spans="1:14" s="32" customFormat="1" ht="40.799999999999997" x14ac:dyDescent="0.2">
      <c r="A199" s="1472" t="s">
        <v>718</v>
      </c>
      <c r="B199" s="1230" t="s">
        <v>1170</v>
      </c>
      <c r="C199" s="1444"/>
      <c r="D199" s="1444"/>
      <c r="E199" s="1444"/>
      <c r="F199" s="1444"/>
      <c r="G199" s="1444"/>
      <c r="H199" s="1444"/>
      <c r="I199" s="1444"/>
      <c r="J199" s="1447"/>
      <c r="K199" s="1240"/>
      <c r="L199" s="1443"/>
      <c r="M199" s="1447">
        <v>145000</v>
      </c>
      <c r="N199" s="1483"/>
    </row>
    <row r="200" spans="1:14" s="32" customFormat="1" ht="40.799999999999997" x14ac:dyDescent="0.2">
      <c r="A200" s="1472" t="s">
        <v>718</v>
      </c>
      <c r="B200" s="1230" t="s">
        <v>1171</v>
      </c>
      <c r="C200" s="1444"/>
      <c r="D200" s="1444"/>
      <c r="E200" s="1444"/>
      <c r="F200" s="1444"/>
      <c r="G200" s="1444"/>
      <c r="H200" s="1444"/>
      <c r="I200" s="1444"/>
      <c r="J200" s="1447"/>
      <c r="K200" s="1240"/>
      <c r="L200" s="1443"/>
      <c r="M200" s="1447">
        <v>250000</v>
      </c>
      <c r="N200" s="1483"/>
    </row>
    <row r="201" spans="1:14" s="32" customFormat="1" ht="30.6" x14ac:dyDescent="0.2">
      <c r="A201" s="1472" t="s">
        <v>718</v>
      </c>
      <c r="B201" s="1230" t="s">
        <v>1172</v>
      </c>
      <c r="C201" s="1444"/>
      <c r="D201" s="1444"/>
      <c r="E201" s="1444"/>
      <c r="F201" s="1444"/>
      <c r="G201" s="1444"/>
      <c r="H201" s="1444"/>
      <c r="I201" s="1444"/>
      <c r="J201" s="1447"/>
      <c r="K201" s="1240"/>
      <c r="L201" s="1443"/>
      <c r="M201" s="1447">
        <v>980000</v>
      </c>
      <c r="N201" s="1483"/>
    </row>
    <row r="202" spans="1:14" s="32" customFormat="1" ht="20.399999999999999" x14ac:dyDescent="0.2">
      <c r="A202" s="1472" t="s">
        <v>680</v>
      </c>
      <c r="B202" s="1230" t="s">
        <v>681</v>
      </c>
      <c r="C202" s="1444"/>
      <c r="D202" s="1444"/>
      <c r="E202" s="1444"/>
      <c r="F202" s="1444"/>
      <c r="G202" s="1444"/>
      <c r="H202" s="1444"/>
      <c r="I202" s="1444"/>
      <c r="J202" s="1447"/>
      <c r="K202" s="1447">
        <v>1500000</v>
      </c>
      <c r="L202" s="1443"/>
      <c r="M202" s="1443"/>
      <c r="N202" s="1483"/>
    </row>
    <row r="203" spans="1:14" s="32" customFormat="1" ht="10.199999999999999" x14ac:dyDescent="0.2">
      <c r="A203" s="1472" t="s">
        <v>680</v>
      </c>
      <c r="B203" s="1230" t="s">
        <v>129</v>
      </c>
      <c r="C203" s="1444"/>
      <c r="D203" s="1444"/>
      <c r="E203" s="1444"/>
      <c r="F203" s="1444"/>
      <c r="G203" s="1444"/>
      <c r="H203" s="1444"/>
      <c r="I203" s="1444"/>
      <c r="J203" s="1444"/>
      <c r="K203" s="1487">
        <v>10000</v>
      </c>
      <c r="L203" s="1443"/>
      <c r="M203" s="1443"/>
      <c r="N203" s="1483"/>
    </row>
    <row r="204" spans="1:14" s="32" customFormat="1" ht="30.6" x14ac:dyDescent="0.2">
      <c r="A204" s="1472" t="s">
        <v>1035</v>
      </c>
      <c r="B204" s="1230" t="s">
        <v>1173</v>
      </c>
      <c r="C204" s="1444"/>
      <c r="D204" s="1444"/>
      <c r="E204" s="1444"/>
      <c r="F204" s="1444"/>
      <c r="G204" s="1444"/>
      <c r="H204" s="1444"/>
      <c r="I204" s="1444"/>
      <c r="J204" s="1444"/>
      <c r="K204" s="1240"/>
      <c r="L204" s="1443"/>
      <c r="M204" s="1447">
        <v>30000</v>
      </c>
      <c r="N204" s="1483"/>
    </row>
    <row r="205" spans="1:14" s="32" customFormat="1" ht="30.6" x14ac:dyDescent="0.2">
      <c r="A205" s="1472" t="s">
        <v>1035</v>
      </c>
      <c r="B205" s="1230" t="s">
        <v>1174</v>
      </c>
      <c r="C205" s="1444"/>
      <c r="D205" s="1444"/>
      <c r="E205" s="1444"/>
      <c r="F205" s="1444"/>
      <c r="G205" s="1444"/>
      <c r="H205" s="1444"/>
      <c r="I205" s="1444"/>
      <c r="J205" s="1443"/>
      <c r="K205" s="1240"/>
      <c r="L205" s="1443"/>
      <c r="M205" s="1447">
        <v>80000</v>
      </c>
      <c r="N205" s="1483"/>
    </row>
    <row r="206" spans="1:14" s="32" customFormat="1" ht="30.6" x14ac:dyDescent="0.2">
      <c r="A206" s="1472" t="s">
        <v>1035</v>
      </c>
      <c r="B206" s="1230" t="s">
        <v>1175</v>
      </c>
      <c r="C206" s="1444"/>
      <c r="D206" s="1444"/>
      <c r="E206" s="1444"/>
      <c r="F206" s="1444"/>
      <c r="G206" s="1444"/>
      <c r="H206" s="1444"/>
      <c r="I206" s="1444"/>
      <c r="J206" s="1447"/>
      <c r="K206" s="1488"/>
      <c r="L206" s="1443"/>
      <c r="M206" s="1447">
        <v>380000</v>
      </c>
      <c r="N206" s="1483"/>
    </row>
    <row r="207" spans="1:14" s="32" customFormat="1" ht="30.6" x14ac:dyDescent="0.2">
      <c r="A207" s="1472" t="s">
        <v>700</v>
      </c>
      <c r="B207" s="1230" t="s">
        <v>701</v>
      </c>
      <c r="C207" s="1444"/>
      <c r="D207" s="1444"/>
      <c r="E207" s="1444"/>
      <c r="F207" s="1444"/>
      <c r="G207" s="1444"/>
      <c r="H207" s="1444"/>
      <c r="I207" s="1444"/>
      <c r="J207" s="1447"/>
      <c r="K207" s="1447">
        <v>47000</v>
      </c>
      <c r="L207" s="1443"/>
      <c r="M207" s="1443"/>
      <c r="N207" s="1483"/>
    </row>
    <row r="208" spans="1:14" s="32" customFormat="1" ht="40.799999999999997" x14ac:dyDescent="0.2">
      <c r="A208" s="1472" t="s">
        <v>700</v>
      </c>
      <c r="B208" s="1230" t="s">
        <v>703</v>
      </c>
      <c r="C208" s="1444"/>
      <c r="D208" s="1444"/>
      <c r="E208" s="1444"/>
      <c r="F208" s="1444"/>
      <c r="G208" s="1444"/>
      <c r="H208" s="1444"/>
      <c r="I208" s="1444"/>
      <c r="J208" s="1447"/>
      <c r="K208" s="1447">
        <v>1160000</v>
      </c>
      <c r="L208" s="1443"/>
      <c r="M208" s="1443"/>
      <c r="N208" s="1483" t="s">
        <v>758</v>
      </c>
    </row>
    <row r="209" spans="1:14" s="32" customFormat="1" ht="40.799999999999997" x14ac:dyDescent="0.2">
      <c r="A209" s="1472" t="s">
        <v>700</v>
      </c>
      <c r="B209" s="1230" t="s">
        <v>704</v>
      </c>
      <c r="C209" s="1444"/>
      <c r="D209" s="1444"/>
      <c r="E209" s="1444"/>
      <c r="F209" s="1444"/>
      <c r="G209" s="1444"/>
      <c r="H209" s="1444"/>
      <c r="I209" s="1444"/>
      <c r="J209" s="1444"/>
      <c r="K209" s="1447">
        <v>75000</v>
      </c>
      <c r="L209" s="1240"/>
      <c r="M209" s="1443"/>
      <c r="N209" s="1483" t="s">
        <v>759</v>
      </c>
    </row>
    <row r="210" spans="1:14" s="32" customFormat="1" ht="40.799999999999997" x14ac:dyDescent="0.2">
      <c r="A210" s="1472" t="s">
        <v>700</v>
      </c>
      <c r="B210" s="1230" t="s">
        <v>705</v>
      </c>
      <c r="C210" s="1444"/>
      <c r="D210" s="1444"/>
      <c r="E210" s="1444"/>
      <c r="F210" s="1444"/>
      <c r="G210" s="1444"/>
      <c r="H210" s="1444"/>
      <c r="I210" s="1444"/>
      <c r="J210" s="1444"/>
      <c r="K210" s="1447">
        <v>1600000</v>
      </c>
      <c r="L210" s="1443"/>
      <c r="M210" s="1443"/>
      <c r="N210" s="1483"/>
    </row>
    <row r="211" spans="1:14" s="32" customFormat="1" ht="51" x14ac:dyDescent="0.2">
      <c r="A211" s="1472" t="s">
        <v>700</v>
      </c>
      <c r="B211" s="1230" t="s">
        <v>706</v>
      </c>
      <c r="C211" s="1444"/>
      <c r="D211" s="1444"/>
      <c r="E211" s="1444"/>
      <c r="F211" s="1444"/>
      <c r="G211" s="1444"/>
      <c r="H211" s="1444"/>
      <c r="I211" s="1444"/>
      <c r="J211" s="1444"/>
      <c r="K211" s="1447">
        <v>190000</v>
      </c>
      <c r="L211" s="1443"/>
      <c r="M211" s="1443"/>
      <c r="N211" s="1483"/>
    </row>
    <row r="212" spans="1:14" s="32" customFormat="1" ht="40.799999999999997" x14ac:dyDescent="0.2">
      <c r="A212" s="1472" t="s">
        <v>700</v>
      </c>
      <c r="B212" s="1230" t="s">
        <v>707</v>
      </c>
      <c r="C212" s="1444"/>
      <c r="D212" s="1444"/>
      <c r="E212" s="1444"/>
      <c r="F212" s="1444"/>
      <c r="G212" s="1444"/>
      <c r="H212" s="1444"/>
      <c r="I212" s="1444"/>
      <c r="J212" s="1444"/>
      <c r="K212" s="1447">
        <v>1000000</v>
      </c>
      <c r="L212" s="1240"/>
      <c r="M212" s="1443"/>
      <c r="N212" s="1483" t="s">
        <v>759</v>
      </c>
    </row>
    <row r="213" spans="1:14" s="32" customFormat="1" ht="51" x14ac:dyDescent="0.2">
      <c r="A213" s="1472" t="s">
        <v>700</v>
      </c>
      <c r="B213" s="1230" t="s">
        <v>708</v>
      </c>
      <c r="C213" s="1444"/>
      <c r="D213" s="1444"/>
      <c r="E213" s="1444"/>
      <c r="F213" s="1444"/>
      <c r="G213" s="1444"/>
      <c r="H213" s="1444"/>
      <c r="I213" s="1444"/>
      <c r="J213" s="1444"/>
      <c r="K213" s="1447">
        <v>1000000</v>
      </c>
      <c r="L213" s="1240"/>
      <c r="M213" s="1443"/>
      <c r="N213" s="1483" t="s">
        <v>759</v>
      </c>
    </row>
    <row r="214" spans="1:14" s="32" customFormat="1" ht="40.799999999999997" x14ac:dyDescent="0.2">
      <c r="A214" s="1472" t="s">
        <v>700</v>
      </c>
      <c r="B214" s="1230" t="s">
        <v>1516</v>
      </c>
      <c r="C214" s="1444"/>
      <c r="D214" s="1444"/>
      <c r="E214" s="1444"/>
      <c r="F214" s="1444"/>
      <c r="G214" s="1444"/>
      <c r="H214" s="1444"/>
      <c r="I214" s="1444"/>
      <c r="J214" s="1444"/>
      <c r="K214" s="1447">
        <v>230000</v>
      </c>
      <c r="L214" s="1240"/>
      <c r="M214" s="1443"/>
      <c r="N214" s="1483" t="s">
        <v>759</v>
      </c>
    </row>
    <row r="215" spans="1:14" s="32" customFormat="1" ht="30.6" x14ac:dyDescent="0.2">
      <c r="A215" s="1472" t="s">
        <v>700</v>
      </c>
      <c r="B215" s="1230" t="s">
        <v>1179</v>
      </c>
      <c r="C215" s="1444"/>
      <c r="D215" s="1444"/>
      <c r="E215" s="1444"/>
      <c r="F215" s="1444"/>
      <c r="G215" s="1444"/>
      <c r="H215" s="1444"/>
      <c r="I215" s="1444"/>
      <c r="J215" s="1444"/>
      <c r="K215" s="1488"/>
      <c r="L215" s="1443"/>
      <c r="M215" s="1447">
        <v>460000</v>
      </c>
      <c r="N215" s="1483"/>
    </row>
    <row r="216" spans="1:14" s="32" customFormat="1" ht="30.6" x14ac:dyDescent="0.2">
      <c r="A216" s="1472" t="s">
        <v>764</v>
      </c>
      <c r="B216" s="1230" t="s">
        <v>763</v>
      </c>
      <c r="C216" s="1444"/>
      <c r="D216" s="1444"/>
      <c r="E216" s="1444"/>
      <c r="F216" s="1444"/>
      <c r="G216" s="1444"/>
      <c r="H216" s="1444"/>
      <c r="I216" s="1444"/>
      <c r="J216" s="1444"/>
      <c r="K216" s="1447">
        <v>3000000</v>
      </c>
      <c r="L216" s="1443"/>
      <c r="M216" s="1443"/>
      <c r="N216" s="1483"/>
    </row>
    <row r="217" spans="1:14" s="32" customFormat="1" ht="20.399999999999999" x14ac:dyDescent="0.2">
      <c r="A217" s="1472" t="s">
        <v>764</v>
      </c>
      <c r="B217" s="1230" t="s">
        <v>1547</v>
      </c>
      <c r="C217" s="1444"/>
      <c r="D217" s="1444"/>
      <c r="E217" s="1444"/>
      <c r="F217" s="1444"/>
      <c r="G217" s="1444"/>
      <c r="H217" s="1444"/>
      <c r="I217" s="1444"/>
      <c r="J217" s="1444"/>
      <c r="K217" s="1447">
        <v>9000000</v>
      </c>
      <c r="L217" s="1443"/>
      <c r="M217" s="1443"/>
      <c r="N217" s="1483"/>
    </row>
    <row r="218" spans="1:14" s="32" customFormat="1" ht="10.199999999999999" x14ac:dyDescent="0.2">
      <c r="A218" s="1472" t="s">
        <v>764</v>
      </c>
      <c r="B218" s="1230" t="s">
        <v>129</v>
      </c>
      <c r="C218" s="1444"/>
      <c r="D218" s="1444"/>
      <c r="E218" s="1444"/>
      <c r="F218" s="1444"/>
      <c r="G218" s="1444"/>
      <c r="H218" s="1444"/>
      <c r="I218" s="1444"/>
      <c r="J218" s="1444"/>
      <c r="K218" s="1447">
        <v>10000</v>
      </c>
      <c r="L218" s="1443"/>
      <c r="M218" s="1443"/>
      <c r="N218" s="1483"/>
    </row>
    <row r="219" spans="1:14" s="32" customFormat="1" ht="30.6" x14ac:dyDescent="0.2">
      <c r="A219" s="1472" t="s">
        <v>852</v>
      </c>
      <c r="B219" s="1230" t="s">
        <v>855</v>
      </c>
      <c r="C219" s="1444"/>
      <c r="D219" s="1444"/>
      <c r="E219" s="1444"/>
      <c r="F219" s="1444"/>
      <c r="G219" s="1444"/>
      <c r="H219" s="1444"/>
      <c r="I219" s="1444"/>
      <c r="J219" s="1444"/>
      <c r="K219" s="1443"/>
      <c r="L219" s="1447">
        <v>85000</v>
      </c>
      <c r="M219" s="1443"/>
      <c r="N219" s="1483"/>
    </row>
    <row r="220" spans="1:14" s="32" customFormat="1" ht="30.6" x14ac:dyDescent="0.2">
      <c r="A220" s="1472" t="s">
        <v>852</v>
      </c>
      <c r="B220" s="1230" t="s">
        <v>856</v>
      </c>
      <c r="C220" s="1444"/>
      <c r="D220" s="1444"/>
      <c r="E220" s="1444"/>
      <c r="F220" s="1444"/>
      <c r="G220" s="1444"/>
      <c r="H220" s="1444"/>
      <c r="I220" s="1444"/>
      <c r="J220" s="1444"/>
      <c r="K220" s="1447">
        <v>3200000</v>
      </c>
      <c r="L220" s="1443"/>
      <c r="M220" s="1443"/>
      <c r="N220" s="1483"/>
    </row>
    <row r="221" spans="1:14" s="32" customFormat="1" ht="30.6" x14ac:dyDescent="0.2">
      <c r="A221" s="1472" t="s">
        <v>852</v>
      </c>
      <c r="B221" s="1230" t="s">
        <v>857</v>
      </c>
      <c r="C221" s="1444"/>
      <c r="D221" s="1444"/>
      <c r="E221" s="1444"/>
      <c r="F221" s="1444"/>
      <c r="G221" s="1444"/>
      <c r="H221" s="1444"/>
      <c r="I221" s="1444"/>
      <c r="J221" s="1447"/>
      <c r="K221" s="1443"/>
      <c r="L221" s="1447">
        <v>180000</v>
      </c>
      <c r="M221" s="1443"/>
      <c r="N221" s="1483"/>
    </row>
    <row r="222" spans="1:14" s="32" customFormat="1" ht="30.6" x14ac:dyDescent="0.2">
      <c r="A222" s="1472" t="s">
        <v>852</v>
      </c>
      <c r="B222" s="1230" t="s">
        <v>858</v>
      </c>
      <c r="C222" s="1444"/>
      <c r="D222" s="1444"/>
      <c r="E222" s="1444"/>
      <c r="F222" s="1444"/>
      <c r="G222" s="1444"/>
      <c r="H222" s="1444"/>
      <c r="I222" s="1444"/>
      <c r="J222" s="1447"/>
      <c r="K222" s="1443">
        <v>700000</v>
      </c>
      <c r="L222" s="1443"/>
      <c r="M222" s="1443"/>
      <c r="N222" s="1483" t="s">
        <v>1496</v>
      </c>
    </row>
    <row r="223" spans="1:14" s="32" customFormat="1" ht="30.6" x14ac:dyDescent="0.2">
      <c r="A223" s="1472" t="s">
        <v>852</v>
      </c>
      <c r="B223" s="1230" t="s">
        <v>859</v>
      </c>
      <c r="C223" s="1444"/>
      <c r="D223" s="1444"/>
      <c r="E223" s="1444"/>
      <c r="F223" s="1444"/>
      <c r="G223" s="1444"/>
      <c r="H223" s="1444"/>
      <c r="I223" s="1444"/>
      <c r="J223" s="1447"/>
      <c r="K223" s="1443"/>
      <c r="L223" s="1447">
        <v>1500000</v>
      </c>
      <c r="M223" s="1443"/>
      <c r="N223" s="1483"/>
    </row>
    <row r="224" spans="1:14" s="32" customFormat="1" ht="20.399999999999999" x14ac:dyDescent="0.2">
      <c r="A224" s="1472" t="s">
        <v>742</v>
      </c>
      <c r="B224" s="1230" t="s">
        <v>1181</v>
      </c>
      <c r="C224" s="1444"/>
      <c r="D224" s="1444"/>
      <c r="E224" s="1444"/>
      <c r="F224" s="1444"/>
      <c r="G224" s="1444"/>
      <c r="H224" s="1489"/>
      <c r="I224" s="1489"/>
      <c r="J224" s="1444"/>
      <c r="K224" s="1443"/>
      <c r="L224" s="1443"/>
      <c r="M224" s="1447">
        <v>75000</v>
      </c>
      <c r="N224" s="1483"/>
    </row>
    <row r="225" spans="1:14" s="32" customFormat="1" ht="30.6" x14ac:dyDescent="0.2">
      <c r="A225" s="1472" t="s">
        <v>742</v>
      </c>
      <c r="B225" s="1230" t="s">
        <v>1180</v>
      </c>
      <c r="C225" s="1444"/>
      <c r="D225" s="1444"/>
      <c r="E225" s="1444"/>
      <c r="F225" s="1444"/>
      <c r="G225" s="1444"/>
      <c r="H225" s="1489"/>
      <c r="I225" s="1489"/>
      <c r="J225" s="1444"/>
      <c r="K225" s="1443"/>
      <c r="L225" s="1443"/>
      <c r="M225" s="1447">
        <v>250000</v>
      </c>
      <c r="N225" s="1483"/>
    </row>
    <row r="226" spans="1:14" s="32" customFormat="1" ht="20.399999999999999" x14ac:dyDescent="0.2">
      <c r="A226" s="1472" t="s">
        <v>742</v>
      </c>
      <c r="B226" s="1230" t="s">
        <v>1182</v>
      </c>
      <c r="C226" s="1444"/>
      <c r="D226" s="1444"/>
      <c r="E226" s="1444"/>
      <c r="F226" s="1444"/>
      <c r="G226" s="1444"/>
      <c r="H226" s="1444"/>
      <c r="I226" s="1444"/>
      <c r="J226" s="1444"/>
      <c r="K226" s="1443"/>
      <c r="L226" s="1443"/>
      <c r="M226" s="1447">
        <v>680000</v>
      </c>
      <c r="N226" s="1483"/>
    </row>
    <row r="227" spans="1:14" s="32" customFormat="1" ht="20.399999999999999" x14ac:dyDescent="0.2">
      <c r="A227" s="1472" t="s">
        <v>761</v>
      </c>
      <c r="B227" s="1230" t="s">
        <v>762</v>
      </c>
      <c r="C227" s="1444"/>
      <c r="D227" s="1444"/>
      <c r="E227" s="1444"/>
      <c r="F227" s="1444"/>
      <c r="G227" s="1444"/>
      <c r="H227" s="1444"/>
      <c r="I227" s="1444"/>
      <c r="J227" s="1489"/>
      <c r="K227" s="1447">
        <v>330000</v>
      </c>
      <c r="L227" s="1443"/>
      <c r="M227" s="1443"/>
      <c r="N227" s="1483"/>
    </row>
    <row r="228" spans="1:14" s="32" customFormat="1" ht="20.399999999999999" x14ac:dyDescent="0.2">
      <c r="A228" s="1472" t="s">
        <v>792</v>
      </c>
      <c r="B228" s="1230" t="s">
        <v>860</v>
      </c>
      <c r="C228" s="1444"/>
      <c r="D228" s="1444"/>
      <c r="E228" s="1444"/>
      <c r="F228" s="1444"/>
      <c r="G228" s="1444"/>
      <c r="H228" s="1444"/>
      <c r="I228" s="1444"/>
      <c r="J228" s="1489"/>
      <c r="K228" s="1443"/>
      <c r="L228" s="1447">
        <v>70000</v>
      </c>
      <c r="M228" s="1443"/>
      <c r="N228" s="1483"/>
    </row>
    <row r="229" spans="1:14" s="32" customFormat="1" ht="20.399999999999999" x14ac:dyDescent="0.2">
      <c r="A229" s="1472" t="s">
        <v>792</v>
      </c>
      <c r="B229" s="1230" t="s">
        <v>1498</v>
      </c>
      <c r="C229" s="1444"/>
      <c r="D229" s="1444"/>
      <c r="E229" s="1444"/>
      <c r="F229" s="1444"/>
      <c r="G229" s="1444"/>
      <c r="H229" s="1444"/>
      <c r="I229" s="1444"/>
      <c r="J229" s="1489"/>
      <c r="K229" s="1447">
        <v>1000000</v>
      </c>
      <c r="L229" s="1443"/>
      <c r="M229" s="1443"/>
      <c r="N229" s="1483"/>
    </row>
    <row r="230" spans="1:14" s="32" customFormat="1" ht="30.6" x14ac:dyDescent="0.2">
      <c r="A230" s="1472" t="s">
        <v>792</v>
      </c>
      <c r="B230" s="1230" t="s">
        <v>861</v>
      </c>
      <c r="C230" s="1444"/>
      <c r="D230" s="1444"/>
      <c r="E230" s="1444"/>
      <c r="F230" s="1444"/>
      <c r="G230" s="1444"/>
      <c r="H230" s="1444"/>
      <c r="I230" s="1444"/>
      <c r="J230" s="1444"/>
      <c r="K230" s="1443"/>
      <c r="L230" s="1447">
        <v>75000</v>
      </c>
      <c r="M230" s="1443"/>
      <c r="N230" s="1483"/>
    </row>
    <row r="231" spans="1:14" s="32" customFormat="1" ht="20.399999999999999" x14ac:dyDescent="0.2">
      <c r="A231" s="1472" t="s">
        <v>792</v>
      </c>
      <c r="B231" s="1230" t="s">
        <v>862</v>
      </c>
      <c r="C231" s="1444"/>
      <c r="D231" s="1444"/>
      <c r="E231" s="1444"/>
      <c r="F231" s="1444"/>
      <c r="G231" s="1444"/>
      <c r="H231" s="1444"/>
      <c r="I231" s="1444"/>
      <c r="J231" s="1444"/>
      <c r="K231" s="1443"/>
      <c r="L231" s="1447">
        <v>500000</v>
      </c>
      <c r="M231" s="1443"/>
      <c r="N231" s="1483" t="s">
        <v>1497</v>
      </c>
    </row>
    <row r="232" spans="1:14" s="32" customFormat="1" ht="20.399999999999999" x14ac:dyDescent="0.2">
      <c r="A232" s="1472" t="s">
        <v>765</v>
      </c>
      <c r="B232" s="1230" t="s">
        <v>1259</v>
      </c>
      <c r="C232" s="1444"/>
      <c r="D232" s="1444"/>
      <c r="E232" s="1444"/>
      <c r="F232" s="1444"/>
      <c r="G232" s="1444"/>
      <c r="H232" s="1444"/>
      <c r="I232" s="1444"/>
      <c r="J232" s="1444"/>
      <c r="K232" s="1447">
        <v>5000000</v>
      </c>
      <c r="L232" s="1443"/>
      <c r="M232" s="1443"/>
      <c r="N232" s="1483"/>
    </row>
    <row r="233" spans="1:14" s="32" customFormat="1" ht="10.199999999999999" x14ac:dyDescent="0.2">
      <c r="A233" s="1472" t="s">
        <v>765</v>
      </c>
      <c r="B233" s="1230" t="s">
        <v>129</v>
      </c>
      <c r="C233" s="1444"/>
      <c r="D233" s="1444"/>
      <c r="E233" s="1444"/>
      <c r="F233" s="1444"/>
      <c r="G233" s="1444"/>
      <c r="H233" s="1444"/>
      <c r="I233" s="1444"/>
      <c r="J233" s="1444"/>
      <c r="K233" s="1447">
        <v>10000</v>
      </c>
      <c r="L233" s="1443"/>
      <c r="M233" s="1443"/>
      <c r="N233" s="1483"/>
    </row>
    <row r="234" spans="1:14" s="32" customFormat="1" ht="30.6" x14ac:dyDescent="0.2">
      <c r="A234" s="1472" t="s">
        <v>765</v>
      </c>
      <c r="B234" s="1230" t="s">
        <v>1344</v>
      </c>
      <c r="C234" s="1444"/>
      <c r="D234" s="1444"/>
      <c r="E234" s="1444"/>
      <c r="F234" s="1444"/>
      <c r="G234" s="1444"/>
      <c r="H234" s="1444"/>
      <c r="I234" s="1444"/>
      <c r="J234" s="1489"/>
      <c r="K234" s="1447">
        <v>10000000</v>
      </c>
      <c r="L234" s="1443"/>
      <c r="M234" s="1443"/>
      <c r="N234" s="1483"/>
    </row>
    <row r="235" spans="1:14" s="32" customFormat="1" ht="30.6" x14ac:dyDescent="0.2">
      <c r="A235" s="1472" t="s">
        <v>843</v>
      </c>
      <c r="B235" s="1230" t="s">
        <v>1343</v>
      </c>
      <c r="C235" s="1444"/>
      <c r="D235" s="1444"/>
      <c r="E235" s="1444"/>
      <c r="F235" s="1444"/>
      <c r="G235" s="1444"/>
      <c r="H235" s="1444"/>
      <c r="I235" s="1444"/>
      <c r="J235" s="1489"/>
      <c r="K235" s="1447">
        <v>10000000</v>
      </c>
      <c r="L235" s="1443"/>
      <c r="M235" s="1443"/>
      <c r="N235" s="1483" t="s">
        <v>769</v>
      </c>
    </row>
    <row r="236" spans="1:14" s="32" customFormat="1" ht="40.799999999999997" x14ac:dyDescent="0.2">
      <c r="A236" s="1472" t="s">
        <v>844</v>
      </c>
      <c r="B236" s="1230" t="s">
        <v>1499</v>
      </c>
      <c r="C236" s="1444"/>
      <c r="D236" s="1444"/>
      <c r="E236" s="1444"/>
      <c r="F236" s="1444"/>
      <c r="G236" s="1444"/>
      <c r="H236" s="1444"/>
      <c r="I236" s="1444"/>
      <c r="J236" s="1444"/>
      <c r="K236" s="1447">
        <v>150000</v>
      </c>
      <c r="L236" s="1443"/>
      <c r="M236" s="1443"/>
      <c r="N236" s="1483"/>
    </row>
    <row r="237" spans="1:14" s="32" customFormat="1" ht="40.799999999999997" x14ac:dyDescent="0.2">
      <c r="A237" s="1472" t="s">
        <v>844</v>
      </c>
      <c r="B237" s="1230" t="s">
        <v>1501</v>
      </c>
      <c r="C237" s="1444"/>
      <c r="D237" s="1444"/>
      <c r="E237" s="1444"/>
      <c r="F237" s="1444"/>
      <c r="G237" s="1444"/>
      <c r="H237" s="1444"/>
      <c r="I237" s="1444"/>
      <c r="J237" s="1489"/>
      <c r="K237" s="1447">
        <v>100000</v>
      </c>
      <c r="L237" s="1443"/>
      <c r="M237" s="1443"/>
      <c r="N237" s="1483"/>
    </row>
    <row r="238" spans="1:14" s="32" customFormat="1" ht="40.799999999999997" x14ac:dyDescent="0.2">
      <c r="A238" s="1472" t="s">
        <v>844</v>
      </c>
      <c r="B238" s="1230" t="s">
        <v>1502</v>
      </c>
      <c r="C238" s="1444"/>
      <c r="D238" s="1444"/>
      <c r="E238" s="1444"/>
      <c r="F238" s="1444"/>
      <c r="G238" s="1444"/>
      <c r="H238" s="1444"/>
      <c r="I238" s="1444"/>
      <c r="J238" s="1489"/>
      <c r="K238" s="1447">
        <v>200000</v>
      </c>
      <c r="L238" s="1443"/>
      <c r="M238" s="1443"/>
      <c r="N238" s="1483"/>
    </row>
    <row r="239" spans="1:14" s="32" customFormat="1" ht="30.6" x14ac:dyDescent="0.2">
      <c r="A239" s="1472" t="s">
        <v>844</v>
      </c>
      <c r="B239" s="1230" t="s">
        <v>1503</v>
      </c>
      <c r="C239" s="1444"/>
      <c r="D239" s="1444"/>
      <c r="E239" s="1444"/>
      <c r="F239" s="1444"/>
      <c r="G239" s="1444"/>
      <c r="H239" s="1489"/>
      <c r="I239" s="1489"/>
      <c r="J239" s="1444"/>
      <c r="K239" s="1447">
        <v>1000000</v>
      </c>
      <c r="L239" s="1443"/>
      <c r="M239" s="1443"/>
      <c r="N239" s="1483" t="s">
        <v>1504</v>
      </c>
    </row>
    <row r="240" spans="1:14" s="32" customFormat="1" ht="30.6" x14ac:dyDescent="0.2">
      <c r="A240" s="1472" t="s">
        <v>844</v>
      </c>
      <c r="B240" s="1230" t="s">
        <v>1505</v>
      </c>
      <c r="C240" s="1444"/>
      <c r="D240" s="1444"/>
      <c r="E240" s="1444"/>
      <c r="F240" s="1444"/>
      <c r="G240" s="1444"/>
      <c r="H240" s="1489"/>
      <c r="I240" s="1489"/>
      <c r="J240" s="1444"/>
      <c r="K240" s="1447">
        <v>1500000</v>
      </c>
      <c r="L240" s="1443"/>
      <c r="M240" s="1443"/>
      <c r="N240" s="1483" t="s">
        <v>1509</v>
      </c>
    </row>
    <row r="241" spans="1:15" s="32" customFormat="1" ht="30.6" x14ac:dyDescent="0.2">
      <c r="A241" s="1472" t="s">
        <v>844</v>
      </c>
      <c r="B241" s="1230" t="s">
        <v>1506</v>
      </c>
      <c r="C241" s="1444"/>
      <c r="D241" s="1444"/>
      <c r="E241" s="1444"/>
      <c r="F241" s="1444"/>
      <c r="G241" s="1444"/>
      <c r="H241" s="1444"/>
      <c r="I241" s="1444"/>
      <c r="J241" s="1489"/>
      <c r="K241" s="1447">
        <v>740000</v>
      </c>
      <c r="L241" s="1443"/>
      <c r="M241" s="1443"/>
      <c r="N241" s="1483"/>
    </row>
    <row r="242" spans="1:15" s="32" customFormat="1" ht="40.799999999999997" x14ac:dyDescent="0.2">
      <c r="A242" s="1472" t="s">
        <v>844</v>
      </c>
      <c r="B242" s="1230" t="s">
        <v>1507</v>
      </c>
      <c r="C242" s="1444"/>
      <c r="D242" s="1444"/>
      <c r="E242" s="1444"/>
      <c r="F242" s="1444"/>
      <c r="G242" s="1444"/>
      <c r="H242" s="1444"/>
      <c r="I242" s="1444"/>
      <c r="J242" s="1489"/>
      <c r="K242" s="1447">
        <v>350000</v>
      </c>
      <c r="L242" s="1443"/>
      <c r="M242" s="1443"/>
      <c r="N242" s="1483"/>
    </row>
    <row r="243" spans="1:15" s="32" customFormat="1" ht="40.799999999999997" x14ac:dyDescent="0.2">
      <c r="A243" s="1472" t="s">
        <v>844</v>
      </c>
      <c r="B243" s="1230" t="s">
        <v>1500</v>
      </c>
      <c r="C243" s="1444"/>
      <c r="D243" s="1444"/>
      <c r="E243" s="1444"/>
      <c r="F243" s="1444"/>
      <c r="G243" s="1444"/>
      <c r="H243" s="1444"/>
      <c r="I243" s="1444"/>
      <c r="J243" s="1447"/>
      <c r="K243" s="1443"/>
      <c r="L243" s="1447">
        <v>1000000</v>
      </c>
      <c r="M243" s="1443"/>
      <c r="N243" s="1483"/>
    </row>
    <row r="244" spans="1:15" s="32" customFormat="1" ht="40.799999999999997" x14ac:dyDescent="0.2">
      <c r="A244" s="1472" t="s">
        <v>844</v>
      </c>
      <c r="B244" s="1230" t="s">
        <v>1508</v>
      </c>
      <c r="C244" s="1444"/>
      <c r="D244" s="1444"/>
      <c r="E244" s="1444"/>
      <c r="F244" s="1444"/>
      <c r="G244" s="1444"/>
      <c r="H244" s="1444"/>
      <c r="I244" s="1444"/>
      <c r="J244" s="1447"/>
      <c r="K244" s="1447">
        <v>500000</v>
      </c>
      <c r="L244" s="1447"/>
      <c r="M244" s="1443"/>
      <c r="N244" s="1483"/>
    </row>
    <row r="245" spans="1:15" s="32" customFormat="1" ht="40.799999999999997" x14ac:dyDescent="0.2">
      <c r="A245" s="1472" t="s">
        <v>844</v>
      </c>
      <c r="B245" s="1230" t="s">
        <v>1510</v>
      </c>
      <c r="C245" s="1444"/>
      <c r="D245" s="1444"/>
      <c r="E245" s="1444"/>
      <c r="F245" s="1444"/>
      <c r="G245" s="1444"/>
      <c r="H245" s="1447"/>
      <c r="I245" s="1447"/>
      <c r="J245" s="1443"/>
      <c r="K245" s="1447">
        <v>270000</v>
      </c>
      <c r="L245" s="1447"/>
      <c r="M245" s="1443"/>
      <c r="N245" s="1483"/>
    </row>
    <row r="246" spans="1:15" s="32" customFormat="1" ht="20.399999999999999" x14ac:dyDescent="0.2">
      <c r="A246" s="1472" t="s">
        <v>844</v>
      </c>
      <c r="B246" s="1230" t="s">
        <v>863</v>
      </c>
      <c r="C246" s="1444"/>
      <c r="D246" s="1444"/>
      <c r="E246" s="1444"/>
      <c r="F246" s="1447"/>
      <c r="G246" s="1447"/>
      <c r="H246" s="1444"/>
      <c r="I246" s="1444"/>
      <c r="J246" s="1444"/>
      <c r="K246" s="1447">
        <v>17500000</v>
      </c>
      <c r="L246" s="1443"/>
      <c r="M246" s="1443"/>
      <c r="N246" s="1483"/>
    </row>
    <row r="247" spans="1:15" s="32" customFormat="1" ht="51" x14ac:dyDescent="0.2">
      <c r="A247" s="1472" t="s">
        <v>864</v>
      </c>
      <c r="B247" s="1230" t="s">
        <v>889</v>
      </c>
      <c r="C247" s="1444"/>
      <c r="D247" s="1444"/>
      <c r="E247" s="1444"/>
      <c r="F247" s="1444"/>
      <c r="G247" s="1444"/>
      <c r="H247" s="1444"/>
      <c r="I247" s="1444"/>
      <c r="J247" s="1444"/>
      <c r="K247" s="1447">
        <v>500000</v>
      </c>
      <c r="L247" s="1443"/>
      <c r="M247" s="1443"/>
      <c r="N247" s="1483"/>
    </row>
    <row r="248" spans="1:15" s="32" customFormat="1" ht="40.799999999999997" x14ac:dyDescent="0.2">
      <c r="A248" s="1472" t="s">
        <v>864</v>
      </c>
      <c r="B248" s="1230" t="s">
        <v>868</v>
      </c>
      <c r="C248" s="1444"/>
      <c r="D248" s="1444"/>
      <c r="E248" s="1444"/>
      <c r="F248" s="1444"/>
      <c r="G248" s="1444"/>
      <c r="H248" s="1444"/>
      <c r="I248" s="1444"/>
      <c r="J248" s="1447"/>
      <c r="K248" s="1447">
        <v>120000</v>
      </c>
      <c r="L248" s="1443"/>
      <c r="M248" s="1443"/>
      <c r="N248" s="1483"/>
    </row>
    <row r="249" spans="1:15" s="32" customFormat="1" ht="40.799999999999997" x14ac:dyDescent="0.2">
      <c r="A249" s="1472" t="s">
        <v>864</v>
      </c>
      <c r="B249" s="1230" t="s">
        <v>865</v>
      </c>
      <c r="C249" s="1444"/>
      <c r="D249" s="1444"/>
      <c r="E249" s="1444"/>
      <c r="F249" s="1444"/>
      <c r="G249" s="1444"/>
      <c r="H249" s="1444"/>
      <c r="I249" s="1444"/>
      <c r="J249" s="1444"/>
      <c r="K249" s="1447">
        <v>200000</v>
      </c>
      <c r="L249" s="1443"/>
      <c r="M249" s="1443"/>
      <c r="N249" s="1483"/>
    </row>
    <row r="250" spans="1:15" s="32" customFormat="1" ht="40.799999999999997" x14ac:dyDescent="0.2">
      <c r="A250" s="1472" t="s">
        <v>864</v>
      </c>
      <c r="B250" s="1230" t="s">
        <v>866</v>
      </c>
      <c r="C250" s="1444"/>
      <c r="D250" s="1444"/>
      <c r="E250" s="1444"/>
      <c r="F250" s="1444"/>
      <c r="G250" s="1444"/>
      <c r="H250" s="1444"/>
      <c r="I250" s="1444"/>
      <c r="J250" s="1444"/>
      <c r="K250" s="1447">
        <v>1200000</v>
      </c>
      <c r="L250" s="1443"/>
      <c r="M250" s="1443"/>
      <c r="N250" s="1483"/>
    </row>
    <row r="251" spans="1:15" s="32" customFormat="1" ht="40.799999999999997" x14ac:dyDescent="0.2">
      <c r="A251" s="1472" t="s">
        <v>864</v>
      </c>
      <c r="B251" s="1230" t="s">
        <v>867</v>
      </c>
      <c r="C251" s="1444"/>
      <c r="D251" s="1444"/>
      <c r="E251" s="1444"/>
      <c r="F251" s="1444"/>
      <c r="G251" s="1444"/>
      <c r="H251" s="1444"/>
      <c r="I251" s="1444"/>
      <c r="J251" s="1444"/>
      <c r="K251" s="1447">
        <v>150000</v>
      </c>
      <c r="L251" s="1443"/>
      <c r="M251" s="1443"/>
      <c r="N251" s="1483"/>
    </row>
    <row r="252" spans="1:15" s="32" customFormat="1" ht="40.799999999999997" x14ac:dyDescent="0.2">
      <c r="A252" s="1472" t="s">
        <v>864</v>
      </c>
      <c r="B252" s="1230" t="s">
        <v>869</v>
      </c>
      <c r="C252" s="1444"/>
      <c r="D252" s="1444"/>
      <c r="E252" s="1444"/>
      <c r="F252" s="1444"/>
      <c r="G252" s="1444"/>
      <c r="H252" s="1444"/>
      <c r="I252" s="1444"/>
      <c r="J252" s="1444"/>
      <c r="K252" s="1447">
        <v>135000</v>
      </c>
      <c r="L252" s="1443"/>
      <c r="M252" s="1443"/>
      <c r="N252" s="1483"/>
    </row>
    <row r="253" spans="1:15" s="32" customFormat="1" ht="40.799999999999997" x14ac:dyDescent="0.2">
      <c r="A253" s="1472" t="s">
        <v>864</v>
      </c>
      <c r="B253" s="1230" t="s">
        <v>870</v>
      </c>
      <c r="C253" s="1444"/>
      <c r="D253" s="1444"/>
      <c r="E253" s="1444"/>
      <c r="F253" s="1444"/>
      <c r="G253" s="1444"/>
      <c r="H253" s="1444"/>
      <c r="I253" s="1444"/>
      <c r="J253" s="1444"/>
      <c r="K253" s="1447">
        <v>500000</v>
      </c>
      <c r="L253" s="1443"/>
      <c r="M253" s="1443"/>
      <c r="N253" s="1483"/>
      <c r="O253" s="1485"/>
    </row>
    <row r="254" spans="1:15" s="32" customFormat="1" ht="40.799999999999997" x14ac:dyDescent="0.2">
      <c r="A254" s="1472" t="s">
        <v>864</v>
      </c>
      <c r="B254" s="1230" t="s">
        <v>871</v>
      </c>
      <c r="C254" s="1444"/>
      <c r="D254" s="1444"/>
      <c r="E254" s="1444"/>
      <c r="F254" s="1444"/>
      <c r="G254" s="1444"/>
      <c r="H254" s="1444"/>
      <c r="I254" s="1444"/>
      <c r="J254" s="1444"/>
      <c r="K254" s="1447">
        <v>1650000</v>
      </c>
      <c r="L254" s="1443"/>
      <c r="M254" s="1443"/>
      <c r="N254" s="1483"/>
    </row>
    <row r="255" spans="1:15" s="32" customFormat="1" ht="51" x14ac:dyDescent="0.2">
      <c r="A255" s="1472" t="s">
        <v>864</v>
      </c>
      <c r="B255" s="1230" t="s">
        <v>888</v>
      </c>
      <c r="C255" s="1444"/>
      <c r="D255" s="1444"/>
      <c r="E255" s="1444"/>
      <c r="F255" s="1444"/>
      <c r="G255" s="1444"/>
      <c r="H255" s="1444"/>
      <c r="I255" s="1444"/>
      <c r="J255" s="1444"/>
      <c r="K255" s="1447">
        <v>1000000</v>
      </c>
      <c r="L255" s="1443"/>
      <c r="M255" s="1443"/>
      <c r="N255" s="1483" t="s">
        <v>1512</v>
      </c>
    </row>
    <row r="256" spans="1:15" s="32" customFormat="1" ht="40.799999999999997" x14ac:dyDescent="0.2">
      <c r="A256" s="1472" t="s">
        <v>864</v>
      </c>
      <c r="B256" s="1230" t="s">
        <v>1511</v>
      </c>
      <c r="C256" s="1444"/>
      <c r="D256" s="1444"/>
      <c r="E256" s="1444"/>
      <c r="F256" s="1444"/>
      <c r="G256" s="1444"/>
      <c r="H256" s="1444"/>
      <c r="I256" s="1444"/>
      <c r="J256" s="1444"/>
      <c r="K256" s="1447">
        <v>60000</v>
      </c>
      <c r="L256" s="1443"/>
      <c r="M256" s="1443"/>
      <c r="N256" s="1483"/>
    </row>
    <row r="257" spans="1:14" s="32" customFormat="1" ht="40.799999999999997" x14ac:dyDescent="0.2">
      <c r="A257" s="1472" t="s">
        <v>864</v>
      </c>
      <c r="B257" s="1230" t="s">
        <v>872</v>
      </c>
      <c r="C257" s="1444"/>
      <c r="D257" s="1444"/>
      <c r="E257" s="1444"/>
      <c r="F257" s="1444"/>
      <c r="G257" s="1444"/>
      <c r="H257" s="1444"/>
      <c r="I257" s="1444"/>
      <c r="J257" s="1444"/>
      <c r="K257" s="1447">
        <v>530000</v>
      </c>
      <c r="L257" s="1443"/>
      <c r="M257" s="1443"/>
      <c r="N257" s="1483"/>
    </row>
    <row r="258" spans="1:14" s="32" customFormat="1" ht="40.799999999999997" x14ac:dyDescent="0.2">
      <c r="A258" s="1472" t="s">
        <v>864</v>
      </c>
      <c r="B258" s="1230" t="s">
        <v>873</v>
      </c>
      <c r="C258" s="1444"/>
      <c r="D258" s="1444"/>
      <c r="E258" s="1444"/>
      <c r="F258" s="1444"/>
      <c r="G258" s="1444"/>
      <c r="H258" s="1444"/>
      <c r="I258" s="1444"/>
      <c r="J258" s="1444"/>
      <c r="K258" s="1447">
        <v>100000</v>
      </c>
      <c r="L258" s="1443"/>
      <c r="M258" s="1443"/>
      <c r="N258" s="1483"/>
    </row>
    <row r="259" spans="1:14" s="32" customFormat="1" ht="40.799999999999997" x14ac:dyDescent="0.2">
      <c r="A259" s="1472" t="s">
        <v>864</v>
      </c>
      <c r="B259" s="1230" t="s">
        <v>874</v>
      </c>
      <c r="C259" s="1444"/>
      <c r="D259" s="1444"/>
      <c r="E259" s="1444"/>
      <c r="F259" s="1444"/>
      <c r="G259" s="1444"/>
      <c r="H259" s="1444"/>
      <c r="I259" s="1444"/>
      <c r="J259" s="1444"/>
      <c r="K259" s="1447">
        <v>200000</v>
      </c>
      <c r="L259" s="1443"/>
      <c r="M259" s="1443"/>
      <c r="N259" s="1483"/>
    </row>
    <row r="260" spans="1:14" s="32" customFormat="1" ht="30.6" x14ac:dyDescent="0.2">
      <c r="A260" s="1472" t="s">
        <v>839</v>
      </c>
      <c r="B260" s="1230" t="s">
        <v>1209</v>
      </c>
      <c r="C260" s="1444"/>
      <c r="D260" s="1444"/>
      <c r="E260" s="1444"/>
      <c r="F260" s="1444"/>
      <c r="G260" s="1444"/>
      <c r="H260" s="1444"/>
      <c r="I260" s="1444"/>
      <c r="J260" s="1444"/>
      <c r="K260" s="1447">
        <v>4555000</v>
      </c>
      <c r="L260" s="1443"/>
      <c r="M260" s="1443"/>
      <c r="N260" s="1483"/>
    </row>
    <row r="261" spans="1:14" s="32" customFormat="1" ht="30.6" x14ac:dyDescent="0.2">
      <c r="A261" s="1472" t="s">
        <v>875</v>
      </c>
      <c r="B261" s="1230" t="s">
        <v>876</v>
      </c>
      <c r="C261" s="1444"/>
      <c r="D261" s="1444"/>
      <c r="E261" s="1444"/>
      <c r="F261" s="1444"/>
      <c r="G261" s="1444"/>
      <c r="H261" s="1444"/>
      <c r="I261" s="1444"/>
      <c r="J261" s="1444"/>
      <c r="K261" s="1447">
        <v>120000</v>
      </c>
      <c r="L261" s="1443"/>
      <c r="M261" s="1443"/>
      <c r="N261" s="1483"/>
    </row>
    <row r="262" spans="1:14" s="32" customFormat="1" ht="30.6" x14ac:dyDescent="0.2">
      <c r="A262" s="1472" t="s">
        <v>875</v>
      </c>
      <c r="B262" s="1230" t="s">
        <v>877</v>
      </c>
      <c r="C262" s="1444"/>
      <c r="D262" s="1444"/>
      <c r="E262" s="1444"/>
      <c r="F262" s="1444"/>
      <c r="G262" s="1444"/>
      <c r="H262" s="1444"/>
      <c r="I262" s="1444"/>
      <c r="J262" s="1444"/>
      <c r="K262" s="1447">
        <v>1000000</v>
      </c>
      <c r="L262" s="1443"/>
      <c r="M262" s="1443"/>
      <c r="N262" s="1483"/>
    </row>
    <row r="263" spans="1:14" s="32" customFormat="1" ht="30.6" x14ac:dyDescent="0.2">
      <c r="A263" s="1472" t="s">
        <v>875</v>
      </c>
      <c r="B263" s="1230" t="s">
        <v>878</v>
      </c>
      <c r="C263" s="1444"/>
      <c r="D263" s="1444"/>
      <c r="E263" s="1444"/>
      <c r="F263" s="1444"/>
      <c r="G263" s="1444"/>
      <c r="H263" s="1444"/>
      <c r="I263" s="1444"/>
      <c r="J263" s="1444"/>
      <c r="K263" s="1447">
        <v>1000000</v>
      </c>
      <c r="L263" s="1443"/>
      <c r="M263" s="1443"/>
      <c r="N263" s="1483" t="s">
        <v>1513</v>
      </c>
    </row>
    <row r="264" spans="1:14" s="32" customFormat="1" ht="30.6" x14ac:dyDescent="0.2">
      <c r="A264" s="1472" t="s">
        <v>875</v>
      </c>
      <c r="B264" s="1230" t="s">
        <v>879</v>
      </c>
      <c r="C264" s="1444"/>
      <c r="D264" s="1444"/>
      <c r="E264" s="1444"/>
      <c r="F264" s="1444"/>
      <c r="G264" s="1444"/>
      <c r="H264" s="1444"/>
      <c r="I264" s="1444"/>
      <c r="J264" s="1444"/>
      <c r="K264" s="1447">
        <v>190000</v>
      </c>
      <c r="L264" s="1443"/>
      <c r="M264" s="1443"/>
      <c r="N264" s="1483"/>
    </row>
    <row r="265" spans="1:14" s="32" customFormat="1" ht="30.6" x14ac:dyDescent="0.2">
      <c r="A265" s="1472" t="s">
        <v>823</v>
      </c>
      <c r="B265" s="1230" t="s">
        <v>880</v>
      </c>
      <c r="C265" s="1444"/>
      <c r="D265" s="1444"/>
      <c r="E265" s="1444"/>
      <c r="F265" s="1444"/>
      <c r="G265" s="1444"/>
      <c r="H265" s="1444"/>
      <c r="I265" s="1444"/>
      <c r="J265" s="1444"/>
      <c r="K265" s="1447">
        <v>120000</v>
      </c>
      <c r="L265" s="1443"/>
      <c r="M265" s="1443"/>
      <c r="N265" s="1483"/>
    </row>
    <row r="266" spans="1:14" s="32" customFormat="1" ht="30.6" x14ac:dyDescent="0.2">
      <c r="A266" s="1472" t="s">
        <v>823</v>
      </c>
      <c r="B266" s="1230" t="s">
        <v>881</v>
      </c>
      <c r="C266" s="1444"/>
      <c r="D266" s="1444"/>
      <c r="E266" s="1444"/>
      <c r="F266" s="1444"/>
      <c r="G266" s="1444"/>
      <c r="H266" s="1444"/>
      <c r="I266" s="1444"/>
      <c r="J266" s="1444"/>
      <c r="K266" s="1447">
        <v>500000</v>
      </c>
      <c r="L266" s="1443"/>
      <c r="M266" s="1443"/>
      <c r="N266" s="1483" t="s">
        <v>1514</v>
      </c>
    </row>
    <row r="267" spans="1:14" s="32" customFormat="1" ht="30.6" x14ac:dyDescent="0.2">
      <c r="A267" s="1472" t="s">
        <v>823</v>
      </c>
      <c r="B267" s="1230" t="s">
        <v>882</v>
      </c>
      <c r="C267" s="1444"/>
      <c r="D267" s="1444"/>
      <c r="E267" s="1444"/>
      <c r="F267" s="1444"/>
      <c r="G267" s="1444"/>
      <c r="H267" s="1444"/>
      <c r="I267" s="1444"/>
      <c r="J267" s="1444"/>
      <c r="K267" s="1447">
        <v>250000</v>
      </c>
      <c r="L267" s="1443"/>
      <c r="M267" s="1443"/>
      <c r="N267" s="1483"/>
    </row>
    <row r="268" spans="1:14" s="32" customFormat="1" ht="30.6" x14ac:dyDescent="0.2">
      <c r="A268" s="1472" t="s">
        <v>823</v>
      </c>
      <c r="B268" s="1230" t="s">
        <v>1232</v>
      </c>
      <c r="C268" s="1444"/>
      <c r="D268" s="1444"/>
      <c r="E268" s="1444"/>
      <c r="F268" s="1444"/>
      <c r="G268" s="1444"/>
      <c r="H268" s="1444"/>
      <c r="I268" s="1444"/>
      <c r="J268" s="1444"/>
      <c r="K268" s="1447">
        <v>1000000</v>
      </c>
      <c r="L268" s="1443"/>
      <c r="M268" s="1443"/>
      <c r="N268" s="1483"/>
    </row>
    <row r="269" spans="1:14" s="32" customFormat="1" ht="30.6" x14ac:dyDescent="0.2">
      <c r="A269" s="1472" t="s">
        <v>823</v>
      </c>
      <c r="B269" s="1230" t="s">
        <v>1257</v>
      </c>
      <c r="C269" s="1444"/>
      <c r="D269" s="1444"/>
      <c r="E269" s="1444"/>
      <c r="F269" s="1444"/>
      <c r="G269" s="1444"/>
      <c r="H269" s="1444"/>
      <c r="I269" s="1444"/>
      <c r="J269" s="1444"/>
      <c r="K269" s="1447">
        <v>332000</v>
      </c>
      <c r="L269" s="1443"/>
      <c r="M269" s="1443"/>
      <c r="N269" s="1483"/>
    </row>
    <row r="270" spans="1:14" s="32" customFormat="1" ht="20.399999999999999" x14ac:dyDescent="0.2">
      <c r="A270" s="1472" t="s">
        <v>823</v>
      </c>
      <c r="B270" s="1230" t="s">
        <v>1258</v>
      </c>
      <c r="C270" s="1444"/>
      <c r="D270" s="1444"/>
      <c r="E270" s="1444"/>
      <c r="F270" s="1444"/>
      <c r="G270" s="1444"/>
      <c r="H270" s="1444"/>
      <c r="I270" s="1444"/>
      <c r="J270" s="1444"/>
      <c r="K270" s="1447">
        <v>636000</v>
      </c>
      <c r="L270" s="1443"/>
      <c r="M270" s="1443"/>
      <c r="N270" s="1483"/>
    </row>
    <row r="271" spans="1:14" s="32" customFormat="1" ht="10.199999999999999" x14ac:dyDescent="0.2">
      <c r="A271" s="1472" t="s">
        <v>823</v>
      </c>
      <c r="B271" s="1230" t="s">
        <v>129</v>
      </c>
      <c r="C271" s="1444"/>
      <c r="D271" s="1444"/>
      <c r="E271" s="1444"/>
      <c r="F271" s="1444"/>
      <c r="G271" s="1444"/>
      <c r="H271" s="1444"/>
      <c r="I271" s="1444"/>
      <c r="J271" s="1444"/>
      <c r="K271" s="1447">
        <v>10000</v>
      </c>
      <c r="L271" s="1443"/>
      <c r="M271" s="1443"/>
      <c r="N271" s="1483"/>
    </row>
    <row r="272" spans="1:14" s="32" customFormat="1" ht="10.199999999999999" x14ac:dyDescent="0.2">
      <c r="A272" s="1472" t="s">
        <v>902</v>
      </c>
      <c r="B272" s="1230" t="s">
        <v>903</v>
      </c>
      <c r="C272" s="1444"/>
      <c r="D272" s="1444"/>
      <c r="E272" s="1444"/>
      <c r="F272" s="1444"/>
      <c r="G272" s="1444"/>
      <c r="H272" s="1444"/>
      <c r="I272" s="1444"/>
      <c r="J272" s="1444"/>
      <c r="K272" s="1447">
        <v>500000</v>
      </c>
      <c r="L272" s="1443"/>
      <c r="M272" s="1443"/>
      <c r="N272" s="1483"/>
    </row>
    <row r="273" spans="1:14" s="32" customFormat="1" ht="20.399999999999999" x14ac:dyDescent="0.2">
      <c r="A273" s="1472" t="s">
        <v>981</v>
      </c>
      <c r="B273" s="1230" t="s">
        <v>1527</v>
      </c>
      <c r="C273" s="1490"/>
      <c r="D273" s="1490"/>
      <c r="E273" s="1490"/>
      <c r="F273" s="1490"/>
      <c r="G273" s="1490"/>
      <c r="H273" s="1490"/>
      <c r="I273" s="1490"/>
      <c r="J273" s="1490"/>
      <c r="K273" s="1465">
        <v>500000</v>
      </c>
      <c r="L273" s="1443"/>
      <c r="M273" s="1443"/>
      <c r="N273" s="1483"/>
    </row>
    <row r="274" spans="1:14" s="1493" customFormat="1" ht="20.399999999999999" x14ac:dyDescent="0.2">
      <c r="A274" s="1472" t="s">
        <v>1006</v>
      </c>
      <c r="B274" s="1491" t="s">
        <v>1007</v>
      </c>
      <c r="C274" s="1492"/>
      <c r="D274" s="1492"/>
      <c r="E274" s="1492"/>
      <c r="F274" s="1492"/>
      <c r="G274" s="1492"/>
      <c r="H274" s="1492"/>
      <c r="I274" s="1492"/>
      <c r="J274" s="1492"/>
      <c r="K274" s="1443"/>
      <c r="L274" s="1447">
        <v>120000</v>
      </c>
      <c r="M274" s="1443"/>
      <c r="N274" s="1483"/>
    </row>
    <row r="275" spans="1:14" s="32" customFormat="1" ht="20.399999999999999" x14ac:dyDescent="0.2">
      <c r="A275" s="1472" t="s">
        <v>1006</v>
      </c>
      <c r="B275" s="1491" t="s">
        <v>1008</v>
      </c>
      <c r="C275" s="1494"/>
      <c r="D275" s="1494"/>
      <c r="E275" s="1494"/>
      <c r="F275" s="1494"/>
      <c r="G275" s="1494"/>
      <c r="H275" s="1495"/>
      <c r="I275" s="1495"/>
      <c r="J275" s="1494"/>
      <c r="K275" s="1443"/>
      <c r="L275" s="1447">
        <v>500000</v>
      </c>
      <c r="M275" s="1443"/>
      <c r="N275" s="1483" t="s">
        <v>1515</v>
      </c>
    </row>
    <row r="276" spans="1:14" s="32" customFormat="1" ht="30.6" x14ac:dyDescent="0.2">
      <c r="A276" s="1472" t="s">
        <v>983</v>
      </c>
      <c r="B276" s="1491" t="s">
        <v>1075</v>
      </c>
      <c r="C276" s="963"/>
      <c r="D276" s="963"/>
      <c r="E276" s="963"/>
      <c r="F276" s="963"/>
      <c r="G276" s="963"/>
      <c r="H276" s="963"/>
      <c r="I276" s="963"/>
      <c r="J276" s="963"/>
      <c r="K276" s="1447">
        <v>150000</v>
      </c>
      <c r="L276" s="1443"/>
      <c r="M276" s="1443"/>
      <c r="N276" s="1483"/>
    </row>
    <row r="277" spans="1:14" s="32" customFormat="1" ht="20.399999999999999" x14ac:dyDescent="0.2">
      <c r="A277" s="1472" t="s">
        <v>983</v>
      </c>
      <c r="B277" s="1491" t="s">
        <v>1076</v>
      </c>
      <c r="C277" s="1496"/>
      <c r="D277" s="1496"/>
      <c r="E277" s="1496"/>
      <c r="F277" s="1496"/>
      <c r="G277" s="1496"/>
      <c r="H277" s="1496"/>
      <c r="I277" s="1496"/>
      <c r="J277" s="1497"/>
      <c r="K277" s="1447">
        <v>560000</v>
      </c>
      <c r="L277" s="1443"/>
      <c r="M277" s="1443"/>
      <c r="N277" s="1483"/>
    </row>
    <row r="278" spans="1:14" s="32" customFormat="1" ht="20.399999999999999" x14ac:dyDescent="0.2">
      <c r="A278" s="1472" t="s">
        <v>983</v>
      </c>
      <c r="B278" s="1491" t="s">
        <v>1077</v>
      </c>
      <c r="C278" s="1498"/>
      <c r="D278" s="1498"/>
      <c r="E278" s="1498"/>
      <c r="F278" s="1498"/>
      <c r="G278" s="1498"/>
      <c r="H278" s="1498"/>
      <c r="I278" s="1498"/>
      <c r="J278" s="1498"/>
      <c r="K278" s="1443">
        <v>800000</v>
      </c>
      <c r="L278" s="1443"/>
      <c r="M278" s="1443"/>
      <c r="N278" s="1483"/>
    </row>
    <row r="279" spans="1:14" s="32" customFormat="1" ht="30.6" x14ac:dyDescent="0.2">
      <c r="A279" s="1472" t="s">
        <v>984</v>
      </c>
      <c r="B279" s="1491" t="s">
        <v>1207</v>
      </c>
      <c r="C279" s="963"/>
      <c r="D279" s="963"/>
      <c r="E279" s="963"/>
      <c r="F279" s="963"/>
      <c r="G279" s="963"/>
      <c r="H279" s="963"/>
      <c r="I279" s="963"/>
      <c r="J279" s="963"/>
      <c r="K279" s="1447">
        <v>9240000</v>
      </c>
      <c r="L279" s="1443"/>
      <c r="M279" s="1443"/>
      <c r="N279" s="1483"/>
    </row>
    <row r="280" spans="1:14" s="32" customFormat="1" ht="30.6" x14ac:dyDescent="0.2">
      <c r="A280" s="1472" t="s">
        <v>1105</v>
      </c>
      <c r="B280" s="1491" t="s">
        <v>1186</v>
      </c>
      <c r="C280" s="963"/>
      <c r="D280" s="963"/>
      <c r="E280" s="963"/>
      <c r="F280" s="963"/>
      <c r="G280" s="963"/>
      <c r="H280" s="963"/>
      <c r="I280" s="963"/>
      <c r="J280" s="963"/>
      <c r="K280" s="1447">
        <v>250000</v>
      </c>
      <c r="L280" s="1443"/>
      <c r="M280" s="1443"/>
      <c r="N280" s="1483"/>
    </row>
    <row r="281" spans="1:14" s="32" customFormat="1" ht="40.799999999999997" x14ac:dyDescent="0.2">
      <c r="A281" s="1472" t="s">
        <v>1105</v>
      </c>
      <c r="B281" s="1491" t="s">
        <v>1187</v>
      </c>
      <c r="C281" s="963"/>
      <c r="D281" s="963"/>
      <c r="E281" s="963"/>
      <c r="F281" s="963"/>
      <c r="G281" s="963"/>
      <c r="H281" s="963"/>
      <c r="I281" s="963"/>
      <c r="J281" s="963"/>
      <c r="K281" s="1447">
        <v>3500000</v>
      </c>
      <c r="L281" s="1443"/>
      <c r="M281" s="1443"/>
      <c r="N281" s="1483" t="s">
        <v>1494</v>
      </c>
    </row>
    <row r="282" spans="1:14" s="32" customFormat="1" ht="10.199999999999999" x14ac:dyDescent="0.2">
      <c r="A282" s="1472" t="s">
        <v>1001</v>
      </c>
      <c r="B282" s="1491" t="s">
        <v>1002</v>
      </c>
      <c r="C282" s="963"/>
      <c r="D282" s="963"/>
      <c r="E282" s="963"/>
      <c r="F282" s="963"/>
      <c r="G282" s="963"/>
      <c r="H282" s="1447"/>
      <c r="I282" s="1447">
        <v>110000000</v>
      </c>
      <c r="J282" s="963"/>
      <c r="K282" s="1443"/>
      <c r="L282" s="1443"/>
      <c r="M282" s="1443"/>
      <c r="N282" s="1483"/>
    </row>
    <row r="283" spans="1:14" s="32" customFormat="1" ht="10.199999999999999" x14ac:dyDescent="0.2">
      <c r="A283" s="1472" t="s">
        <v>1001</v>
      </c>
      <c r="B283" s="1491" t="s">
        <v>1003</v>
      </c>
      <c r="C283" s="963"/>
      <c r="D283" s="963"/>
      <c r="E283" s="963"/>
      <c r="F283" s="963"/>
      <c r="G283" s="963"/>
      <c r="H283" s="963"/>
      <c r="I283" s="963"/>
      <c r="J283" s="963"/>
      <c r="K283" s="1447">
        <v>800000</v>
      </c>
      <c r="L283" s="1443"/>
      <c r="M283" s="1443"/>
      <c r="N283" s="1483"/>
    </row>
    <row r="284" spans="1:14" s="32" customFormat="1" ht="30.6" x14ac:dyDescent="0.2">
      <c r="A284" s="1472" t="s">
        <v>1018</v>
      </c>
      <c r="B284" s="1491" t="s">
        <v>1019</v>
      </c>
      <c r="C284" s="963"/>
      <c r="D284" s="963"/>
      <c r="E284" s="963"/>
      <c r="F284" s="963"/>
      <c r="G284" s="963"/>
      <c r="H284" s="963"/>
      <c r="I284" s="963"/>
      <c r="J284" s="963"/>
      <c r="K284" s="1447">
        <v>10000000</v>
      </c>
      <c r="L284" s="1443"/>
      <c r="M284" s="1443"/>
      <c r="N284" s="1483"/>
    </row>
    <row r="285" spans="1:14" s="32" customFormat="1" ht="10.199999999999999" x14ac:dyDescent="0.2">
      <c r="A285" s="1472" t="s">
        <v>1018</v>
      </c>
      <c r="B285" s="1491" t="s">
        <v>129</v>
      </c>
      <c r="C285" s="963"/>
      <c r="D285" s="963"/>
      <c r="E285" s="963"/>
      <c r="F285" s="963"/>
      <c r="G285" s="963"/>
      <c r="H285" s="963"/>
      <c r="I285" s="963"/>
      <c r="J285" s="963"/>
      <c r="K285" s="1447">
        <v>11000</v>
      </c>
      <c r="L285" s="1443"/>
      <c r="M285" s="1443"/>
      <c r="N285" s="1483"/>
    </row>
    <row r="286" spans="1:14" s="32" customFormat="1" ht="30.6" x14ac:dyDescent="0.2">
      <c r="A286" s="1472" t="s">
        <v>1018</v>
      </c>
      <c r="B286" s="1491" t="s">
        <v>1183</v>
      </c>
      <c r="C286" s="963"/>
      <c r="D286" s="963"/>
      <c r="E286" s="963"/>
      <c r="F286" s="963"/>
      <c r="G286" s="963"/>
      <c r="H286" s="962"/>
      <c r="I286" s="962"/>
      <c r="J286" s="962"/>
      <c r="K286" s="1447">
        <v>60000</v>
      </c>
      <c r="L286" s="1443"/>
      <c r="M286" s="1443"/>
      <c r="N286" s="1483"/>
    </row>
    <row r="287" spans="1:14" s="32" customFormat="1" ht="20.399999999999999" x14ac:dyDescent="0.2">
      <c r="A287" s="1472" t="s">
        <v>1018</v>
      </c>
      <c r="B287" s="1491" t="s">
        <v>1184</v>
      </c>
      <c r="C287" s="963"/>
      <c r="D287" s="963"/>
      <c r="E287" s="963"/>
      <c r="F287" s="963"/>
      <c r="G287" s="963"/>
      <c r="H287" s="962"/>
      <c r="I287" s="962"/>
      <c r="J287" s="962"/>
      <c r="K287" s="1447">
        <v>230000</v>
      </c>
      <c r="L287" s="1443"/>
      <c r="M287" s="1443"/>
      <c r="N287" s="1483"/>
    </row>
    <row r="288" spans="1:14" s="32" customFormat="1" ht="20.399999999999999" x14ac:dyDescent="0.2">
      <c r="A288" s="1472" t="s">
        <v>1018</v>
      </c>
      <c r="B288" s="1491" t="s">
        <v>1185</v>
      </c>
      <c r="C288" s="963"/>
      <c r="D288" s="963"/>
      <c r="E288" s="963"/>
      <c r="F288" s="963"/>
      <c r="G288" s="963"/>
      <c r="H288" s="962"/>
      <c r="I288" s="962"/>
      <c r="J288" s="962"/>
      <c r="K288" s="1447">
        <v>1018000</v>
      </c>
      <c r="L288" s="1443"/>
      <c r="M288" s="1443"/>
      <c r="N288" s="1483" t="s">
        <v>1493</v>
      </c>
    </row>
    <row r="289" spans="1:14" s="32" customFormat="1" ht="51" x14ac:dyDescent="0.2">
      <c r="A289" s="1472" t="s">
        <v>1030</v>
      </c>
      <c r="B289" s="1491" t="s">
        <v>1562</v>
      </c>
      <c r="C289" s="963"/>
      <c r="D289" s="963"/>
      <c r="E289" s="963"/>
      <c r="F289" s="963"/>
      <c r="G289" s="963"/>
      <c r="H289" s="962"/>
      <c r="I289" s="962"/>
      <c r="J289" s="962"/>
      <c r="K289" s="1447">
        <v>1420000</v>
      </c>
      <c r="L289" s="1443"/>
      <c r="M289" s="1443"/>
      <c r="N289" s="1483"/>
    </row>
    <row r="290" spans="1:14" s="32" customFormat="1" ht="10.199999999999999" x14ac:dyDescent="0.2">
      <c r="A290" s="1472" t="s">
        <v>1030</v>
      </c>
      <c r="B290" s="1491" t="s">
        <v>129</v>
      </c>
      <c r="C290" s="963"/>
      <c r="D290" s="963"/>
      <c r="E290" s="963"/>
      <c r="F290" s="963"/>
      <c r="G290" s="963"/>
      <c r="H290" s="962"/>
      <c r="I290" s="962"/>
      <c r="J290" s="962"/>
      <c r="K290" s="1447">
        <v>8000</v>
      </c>
      <c r="L290" s="1443"/>
      <c r="M290" s="1443"/>
      <c r="N290" s="1483"/>
    </row>
    <row r="291" spans="1:14" s="32" customFormat="1" ht="20.399999999999999" x14ac:dyDescent="0.2">
      <c r="A291" s="1472" t="s">
        <v>1030</v>
      </c>
      <c r="B291" s="1491" t="s">
        <v>903</v>
      </c>
      <c r="C291" s="963"/>
      <c r="D291" s="963"/>
      <c r="E291" s="963"/>
      <c r="F291" s="963"/>
      <c r="G291" s="963"/>
      <c r="H291" s="962"/>
      <c r="I291" s="962"/>
      <c r="J291" s="962"/>
      <c r="K291" s="1447">
        <v>1000000</v>
      </c>
      <c r="L291" s="1443"/>
      <c r="M291" s="1443"/>
      <c r="N291" s="1483" t="s">
        <v>1492</v>
      </c>
    </row>
    <row r="292" spans="1:14" s="32" customFormat="1" ht="20.399999999999999" x14ac:dyDescent="0.2">
      <c r="A292" s="1472" t="s">
        <v>1126</v>
      </c>
      <c r="B292" s="1491" t="s">
        <v>1402</v>
      </c>
      <c r="C292" s="963"/>
      <c r="D292" s="963"/>
      <c r="E292" s="963"/>
      <c r="F292" s="963"/>
      <c r="G292" s="963"/>
      <c r="H292" s="962"/>
      <c r="I292" s="962"/>
      <c r="J292" s="962"/>
      <c r="K292" s="1447">
        <v>2160000</v>
      </c>
      <c r="L292" s="1443"/>
      <c r="M292" s="1443"/>
      <c r="N292" s="1483"/>
    </row>
    <row r="293" spans="1:14" s="32" customFormat="1" ht="10.199999999999999" x14ac:dyDescent="0.2">
      <c r="A293" s="1472" t="s">
        <v>1126</v>
      </c>
      <c r="B293" s="1491" t="s">
        <v>1401</v>
      </c>
      <c r="C293" s="963"/>
      <c r="D293" s="963"/>
      <c r="E293" s="963"/>
      <c r="F293" s="963"/>
      <c r="G293" s="963"/>
      <c r="H293" s="962"/>
      <c r="I293" s="962"/>
      <c r="J293" s="962"/>
      <c r="K293" s="1447">
        <v>794000</v>
      </c>
      <c r="L293" s="1443"/>
      <c r="M293" s="1443"/>
      <c r="N293" s="1483"/>
    </row>
    <row r="294" spans="1:14" s="32" customFormat="1" ht="20.399999999999999" x14ac:dyDescent="0.2">
      <c r="A294" s="1472" t="s">
        <v>1126</v>
      </c>
      <c r="B294" s="1491" t="s">
        <v>1527</v>
      </c>
      <c r="C294" s="963"/>
      <c r="D294" s="963"/>
      <c r="E294" s="963"/>
      <c r="F294" s="963"/>
      <c r="G294" s="963"/>
      <c r="H294" s="962"/>
      <c r="I294" s="962"/>
      <c r="J294" s="962"/>
      <c r="K294" s="1447">
        <v>500000</v>
      </c>
      <c r="L294" s="1443"/>
      <c r="M294" s="1443"/>
      <c r="N294" s="1483"/>
    </row>
    <row r="295" spans="1:14" s="32" customFormat="1" ht="30.6" x14ac:dyDescent="0.2">
      <c r="A295" s="1472" t="s">
        <v>1033</v>
      </c>
      <c r="B295" s="1491" t="s">
        <v>1167</v>
      </c>
      <c r="C295" s="963"/>
      <c r="D295" s="963"/>
      <c r="E295" s="963"/>
      <c r="F295" s="963"/>
      <c r="G295" s="963"/>
      <c r="H295" s="962"/>
      <c r="I295" s="962"/>
      <c r="J295" s="962"/>
      <c r="K295" s="1447">
        <v>1000000</v>
      </c>
      <c r="L295" s="1443"/>
      <c r="M295" s="1443"/>
      <c r="N295" s="1483" t="s">
        <v>1491</v>
      </c>
    </row>
    <row r="296" spans="1:14" s="32" customFormat="1" ht="30.6" x14ac:dyDescent="0.2">
      <c r="A296" s="1472" t="s">
        <v>1033</v>
      </c>
      <c r="B296" s="1491" t="s">
        <v>1168</v>
      </c>
      <c r="C296" s="963"/>
      <c r="D296" s="963"/>
      <c r="E296" s="963"/>
      <c r="F296" s="963"/>
      <c r="G296" s="963"/>
      <c r="H296" s="962"/>
      <c r="I296" s="962"/>
      <c r="J296" s="962"/>
      <c r="K296" s="1447">
        <v>470000</v>
      </c>
      <c r="L296" s="1443"/>
      <c r="M296" s="1443"/>
      <c r="N296" s="1483"/>
    </row>
    <row r="297" spans="1:14" s="32" customFormat="1" ht="30.6" x14ac:dyDescent="0.2">
      <c r="A297" s="1472" t="s">
        <v>1033</v>
      </c>
      <c r="B297" s="1491" t="s">
        <v>1169</v>
      </c>
      <c r="C297" s="963"/>
      <c r="D297" s="963"/>
      <c r="E297" s="963"/>
      <c r="F297" s="963"/>
      <c r="G297" s="963"/>
      <c r="H297" s="962"/>
      <c r="I297" s="962"/>
      <c r="J297" s="962"/>
      <c r="K297" s="1447">
        <v>120000</v>
      </c>
      <c r="L297" s="1443"/>
      <c r="M297" s="1443"/>
      <c r="N297" s="1483"/>
    </row>
    <row r="298" spans="1:14" s="32" customFormat="1" ht="30.6" x14ac:dyDescent="0.2">
      <c r="A298" s="1472" t="s">
        <v>1033</v>
      </c>
      <c r="B298" s="1491" t="s">
        <v>1034</v>
      </c>
      <c r="C298" s="963"/>
      <c r="D298" s="963"/>
      <c r="E298" s="963"/>
      <c r="F298" s="963"/>
      <c r="G298" s="963"/>
      <c r="H298" s="962"/>
      <c r="I298" s="962"/>
      <c r="J298" s="962"/>
      <c r="K298" s="1447">
        <v>2420000</v>
      </c>
      <c r="L298" s="1443"/>
      <c r="M298" s="1443"/>
      <c r="N298" s="1483" t="s">
        <v>1165</v>
      </c>
    </row>
    <row r="299" spans="1:14" s="32" customFormat="1" ht="10.199999999999999" x14ac:dyDescent="0.2">
      <c r="A299" s="1472" t="s">
        <v>1033</v>
      </c>
      <c r="B299" s="1491" t="s">
        <v>129</v>
      </c>
      <c r="C299" s="1499"/>
      <c r="D299" s="1499"/>
      <c r="E299" s="1499"/>
      <c r="F299" s="1499"/>
      <c r="G299" s="1499"/>
      <c r="H299" s="963"/>
      <c r="I299" s="963"/>
      <c r="J299" s="963"/>
      <c r="K299" s="1447">
        <v>10000</v>
      </c>
      <c r="L299" s="1443"/>
      <c r="M299" s="1443"/>
      <c r="N299" s="1483"/>
    </row>
    <row r="300" spans="1:14" s="32" customFormat="1" ht="61.2" x14ac:dyDescent="0.2">
      <c r="A300" s="1472" t="s">
        <v>1107</v>
      </c>
      <c r="B300" s="1491" t="s">
        <v>1228</v>
      </c>
      <c r="C300" s="1499"/>
      <c r="D300" s="1499"/>
      <c r="E300" s="1499"/>
      <c r="F300" s="1499"/>
      <c r="G300" s="1499"/>
      <c r="H300" s="963"/>
      <c r="I300" s="963"/>
      <c r="J300" s="963"/>
      <c r="K300" s="1447">
        <v>8800000</v>
      </c>
      <c r="L300" s="1443"/>
      <c r="M300" s="1443"/>
      <c r="N300" s="1483" t="s">
        <v>1229</v>
      </c>
    </row>
    <row r="301" spans="1:14" s="32" customFormat="1" ht="10.199999999999999" x14ac:dyDescent="0.2">
      <c r="A301" s="1472" t="s">
        <v>1162</v>
      </c>
      <c r="B301" s="1491" t="s">
        <v>410</v>
      </c>
      <c r="C301" s="1499"/>
      <c r="D301" s="1499"/>
      <c r="E301" s="1499"/>
      <c r="F301" s="1499"/>
      <c r="G301" s="1499"/>
      <c r="H301" s="963"/>
      <c r="I301" s="963"/>
      <c r="J301" s="963"/>
      <c r="K301" s="1447">
        <v>430000</v>
      </c>
      <c r="L301" s="1443"/>
      <c r="M301" s="1443"/>
      <c r="N301" s="1483"/>
    </row>
    <row r="302" spans="1:14" s="32" customFormat="1" ht="20.399999999999999" x14ac:dyDescent="0.2">
      <c r="A302" s="1472" t="s">
        <v>1162</v>
      </c>
      <c r="B302" s="1491" t="s">
        <v>1163</v>
      </c>
      <c r="C302" s="1499"/>
      <c r="D302" s="1499"/>
      <c r="E302" s="1499"/>
      <c r="F302" s="1499"/>
      <c r="G302" s="1499"/>
      <c r="H302" s="963"/>
      <c r="I302" s="963"/>
      <c r="J302" s="963"/>
      <c r="K302" s="1447">
        <v>2600000</v>
      </c>
      <c r="L302" s="1443"/>
      <c r="M302" s="1443"/>
      <c r="N302" s="1483"/>
    </row>
    <row r="303" spans="1:14" s="32" customFormat="1" ht="20.399999999999999" x14ac:dyDescent="0.2">
      <c r="A303" s="1472" t="s">
        <v>1032</v>
      </c>
      <c r="B303" s="1491" t="s">
        <v>1490</v>
      </c>
      <c r="C303" s="1499"/>
      <c r="D303" s="1499"/>
      <c r="E303" s="1499"/>
      <c r="F303" s="1499"/>
      <c r="G303" s="1499"/>
      <c r="H303" s="963"/>
      <c r="I303" s="963"/>
      <c r="J303" s="963"/>
      <c r="K303" s="1447">
        <v>1170000</v>
      </c>
      <c r="L303" s="1443"/>
      <c r="M303" s="1443"/>
      <c r="N303" s="1483"/>
    </row>
    <row r="304" spans="1:14" s="32" customFormat="1" ht="20.399999999999999" x14ac:dyDescent="0.2">
      <c r="A304" s="1472" t="s">
        <v>1166</v>
      </c>
      <c r="B304" s="1491" t="s">
        <v>1489</v>
      </c>
      <c r="C304" s="1499"/>
      <c r="D304" s="1499"/>
      <c r="E304" s="1499"/>
      <c r="F304" s="1499"/>
      <c r="G304" s="1499"/>
      <c r="H304" s="963"/>
      <c r="I304" s="963"/>
      <c r="J304" s="963"/>
      <c r="K304" s="1447">
        <v>1156000</v>
      </c>
      <c r="L304" s="1443"/>
      <c r="M304" s="1443"/>
      <c r="N304" s="1483"/>
    </row>
    <row r="305" spans="1:14" s="32" customFormat="1" ht="10.199999999999999" x14ac:dyDescent="0.2">
      <c r="A305" s="1472" t="s">
        <v>1188</v>
      </c>
      <c r="B305" s="1491" t="s">
        <v>652</v>
      </c>
      <c r="C305" s="1499"/>
      <c r="D305" s="1499"/>
      <c r="E305" s="1499"/>
      <c r="F305" s="1499"/>
      <c r="G305" s="1499"/>
      <c r="H305" s="963"/>
      <c r="I305" s="963"/>
      <c r="J305" s="963"/>
      <c r="K305" s="1447">
        <v>260000</v>
      </c>
      <c r="L305" s="1443"/>
      <c r="M305" s="1443"/>
      <c r="N305" s="1483"/>
    </row>
    <row r="306" spans="1:14" s="32" customFormat="1" ht="51" x14ac:dyDescent="0.2">
      <c r="A306" s="1472" t="s">
        <v>1188</v>
      </c>
      <c r="B306" s="1491" t="s">
        <v>1191</v>
      </c>
      <c r="C306" s="1499"/>
      <c r="D306" s="1499"/>
      <c r="E306" s="1499"/>
      <c r="F306" s="1499"/>
      <c r="G306" s="1499"/>
      <c r="H306" s="963"/>
      <c r="I306" s="963"/>
      <c r="J306" s="963"/>
      <c r="K306" s="1447">
        <v>2000000</v>
      </c>
      <c r="L306" s="1443"/>
      <c r="M306" s="1443"/>
      <c r="N306" s="1483" t="s">
        <v>1329</v>
      </c>
    </row>
    <row r="307" spans="1:14" s="32" customFormat="1" ht="10.199999999999999" x14ac:dyDescent="0.2">
      <c r="A307" s="1472" t="s">
        <v>1188</v>
      </c>
      <c r="B307" s="1491" t="s">
        <v>129</v>
      </c>
      <c r="C307" s="1499"/>
      <c r="D307" s="1499"/>
      <c r="E307" s="1499"/>
      <c r="F307" s="1499"/>
      <c r="G307" s="1499"/>
      <c r="H307" s="963"/>
      <c r="I307" s="963"/>
      <c r="J307" s="963"/>
      <c r="K307" s="1447">
        <v>7700</v>
      </c>
      <c r="L307" s="1443"/>
      <c r="M307" s="1443"/>
      <c r="N307" s="1483"/>
    </row>
    <row r="308" spans="1:14" s="32" customFormat="1" ht="30.6" x14ac:dyDescent="0.2">
      <c r="A308" s="1472" t="s">
        <v>1188</v>
      </c>
      <c r="B308" s="1491" t="s">
        <v>1192</v>
      </c>
      <c r="C308" s="1499"/>
      <c r="D308" s="1499"/>
      <c r="E308" s="1499"/>
      <c r="F308" s="1499"/>
      <c r="G308" s="1499"/>
      <c r="H308" s="963"/>
      <c r="I308" s="963"/>
      <c r="J308" s="963"/>
      <c r="K308" s="1443">
        <v>3600000</v>
      </c>
      <c r="L308" s="1443"/>
      <c r="M308" s="1443"/>
      <c r="N308" s="1483" t="s">
        <v>1472</v>
      </c>
    </row>
    <row r="309" spans="1:14" s="32" customFormat="1" ht="10.199999999999999" x14ac:dyDescent="0.2">
      <c r="A309" s="1472" t="s">
        <v>1164</v>
      </c>
      <c r="B309" s="1500" t="s">
        <v>1197</v>
      </c>
      <c r="C309" s="1499"/>
      <c r="D309" s="1499"/>
      <c r="E309" s="1499"/>
      <c r="F309" s="1499"/>
      <c r="G309" s="1499"/>
      <c r="H309" s="963"/>
      <c r="I309" s="963"/>
      <c r="J309" s="963"/>
      <c r="K309" s="1447">
        <v>130000</v>
      </c>
      <c r="L309" s="1462"/>
      <c r="M309" s="1462"/>
      <c r="N309" s="1501"/>
    </row>
    <row r="310" spans="1:14" s="32" customFormat="1" ht="10.199999999999999" x14ac:dyDescent="0.2">
      <c r="A310" s="1472" t="s">
        <v>1164</v>
      </c>
      <c r="B310" s="1500" t="s">
        <v>1198</v>
      </c>
      <c r="C310" s="1499"/>
      <c r="D310" s="1499"/>
      <c r="E310" s="1499"/>
      <c r="F310" s="1499"/>
      <c r="G310" s="1499"/>
      <c r="H310" s="963"/>
      <c r="I310" s="963"/>
      <c r="J310" s="963"/>
      <c r="K310" s="1443">
        <v>110000</v>
      </c>
      <c r="L310" s="1462"/>
      <c r="M310" s="1462"/>
      <c r="N310" s="1501"/>
    </row>
    <row r="311" spans="1:14" s="32" customFormat="1" ht="30.6" x14ac:dyDescent="0.2">
      <c r="A311" s="1472" t="s">
        <v>1202</v>
      </c>
      <c r="B311" s="1491" t="s">
        <v>1256</v>
      </c>
      <c r="C311" s="1499"/>
      <c r="D311" s="1499"/>
      <c r="E311" s="1499"/>
      <c r="F311" s="1499"/>
      <c r="G311" s="1499"/>
      <c r="H311" s="963"/>
      <c r="I311" s="963"/>
      <c r="J311" s="963"/>
      <c r="K311" s="1447">
        <v>2500000</v>
      </c>
      <c r="L311" s="1443"/>
      <c r="M311" s="1443"/>
      <c r="N311" s="1483"/>
    </row>
    <row r="312" spans="1:14" s="32" customFormat="1" ht="10.199999999999999" x14ac:dyDescent="0.2">
      <c r="A312" s="1472" t="s">
        <v>1202</v>
      </c>
      <c r="B312" s="1491" t="s">
        <v>129</v>
      </c>
      <c r="C312" s="1499"/>
      <c r="D312" s="1499"/>
      <c r="E312" s="1499"/>
      <c r="F312" s="1499"/>
      <c r="G312" s="1499"/>
      <c r="H312" s="963"/>
      <c r="I312" s="963"/>
      <c r="J312" s="963"/>
      <c r="K312" s="1447">
        <v>20000</v>
      </c>
      <c r="L312" s="1443"/>
      <c r="M312" s="1443"/>
      <c r="N312" s="1483"/>
    </row>
    <row r="313" spans="1:14" s="32" customFormat="1" ht="40.799999999999997" x14ac:dyDescent="0.2">
      <c r="A313" s="1472" t="s">
        <v>1205</v>
      </c>
      <c r="B313" s="1491" t="s">
        <v>1495</v>
      </c>
      <c r="C313" s="1499"/>
      <c r="D313" s="1499"/>
      <c r="E313" s="1499"/>
      <c r="F313" s="1499"/>
      <c r="G313" s="1499"/>
      <c r="H313" s="963"/>
      <c r="I313" s="963"/>
      <c r="J313" s="963"/>
      <c r="K313" s="1447">
        <v>2000000</v>
      </c>
      <c r="L313" s="1443"/>
      <c r="M313" s="1443"/>
      <c r="N313" s="1483" t="s">
        <v>1342</v>
      </c>
    </row>
    <row r="314" spans="1:14" s="32" customFormat="1" ht="20.399999999999999" x14ac:dyDescent="0.2">
      <c r="A314" s="1472" t="s">
        <v>1205</v>
      </c>
      <c r="B314" s="1491" t="s">
        <v>1254</v>
      </c>
      <c r="C314" s="1499"/>
      <c r="D314" s="1499"/>
      <c r="E314" s="1499"/>
      <c r="F314" s="1499"/>
      <c r="G314" s="1499"/>
      <c r="H314" s="963"/>
      <c r="I314" s="963"/>
      <c r="J314" s="963"/>
      <c r="K314" s="1447">
        <v>4000000</v>
      </c>
      <c r="L314" s="1443"/>
      <c r="M314" s="1443"/>
      <c r="N314" s="1483"/>
    </row>
    <row r="315" spans="1:14" s="32" customFormat="1" ht="10.199999999999999" x14ac:dyDescent="0.2">
      <c r="A315" s="1472" t="s">
        <v>1205</v>
      </c>
      <c r="B315" s="1500" t="s">
        <v>129</v>
      </c>
      <c r="C315" s="1499"/>
      <c r="D315" s="1499"/>
      <c r="E315" s="1499"/>
      <c r="F315" s="1499"/>
      <c r="G315" s="1499"/>
      <c r="H315" s="963"/>
      <c r="I315" s="963"/>
      <c r="J315" s="963"/>
      <c r="K315" s="1447">
        <v>10000</v>
      </c>
      <c r="L315" s="1462"/>
      <c r="M315" s="1462"/>
      <c r="N315" s="1501"/>
    </row>
    <row r="316" spans="1:14" s="32" customFormat="1" ht="20.399999999999999" x14ac:dyDescent="0.2">
      <c r="A316" s="1502" t="s">
        <v>1205</v>
      </c>
      <c r="B316" s="1500" t="s">
        <v>1328</v>
      </c>
      <c r="C316" s="1499"/>
      <c r="D316" s="1499"/>
      <c r="E316" s="1499"/>
      <c r="F316" s="1499"/>
      <c r="G316" s="1499"/>
      <c r="H316" s="963"/>
      <c r="I316" s="963"/>
      <c r="J316" s="963"/>
      <c r="K316" s="1447">
        <v>10000000</v>
      </c>
      <c r="L316" s="1462"/>
      <c r="M316" s="1462"/>
      <c r="N316" s="1501"/>
    </row>
    <row r="317" spans="1:14" s="32" customFormat="1" ht="30.6" x14ac:dyDescent="0.2">
      <c r="A317" s="1502" t="s">
        <v>1205</v>
      </c>
      <c r="B317" s="1491" t="s">
        <v>1327</v>
      </c>
      <c r="C317" s="1499"/>
      <c r="D317" s="1499"/>
      <c r="E317" s="1499"/>
      <c r="F317" s="1499"/>
      <c r="G317" s="1499"/>
      <c r="H317" s="963"/>
      <c r="I317" s="963"/>
      <c r="J317" s="963"/>
      <c r="K317" s="1447">
        <v>2500000</v>
      </c>
      <c r="L317" s="1443"/>
      <c r="M317" s="1443"/>
      <c r="N317" s="1483"/>
    </row>
    <row r="318" spans="1:14" s="32" customFormat="1" ht="40.799999999999997" x14ac:dyDescent="0.2">
      <c r="A318" s="1472" t="s">
        <v>1226</v>
      </c>
      <c r="B318" s="1491" t="s">
        <v>1227</v>
      </c>
      <c r="C318" s="1499"/>
      <c r="D318" s="1499"/>
      <c r="E318" s="1499"/>
      <c r="F318" s="1499"/>
      <c r="G318" s="1499"/>
      <c r="H318" s="963"/>
      <c r="I318" s="963"/>
      <c r="J318" s="963"/>
      <c r="K318" s="1447">
        <v>3200000</v>
      </c>
      <c r="L318" s="1443"/>
      <c r="M318" s="1443"/>
      <c r="N318" s="1483"/>
    </row>
    <row r="319" spans="1:14" s="32" customFormat="1" ht="10.199999999999999" x14ac:dyDescent="0.2">
      <c r="A319" s="1472" t="s">
        <v>1226</v>
      </c>
      <c r="B319" s="1491" t="s">
        <v>129</v>
      </c>
      <c r="C319" s="1499"/>
      <c r="D319" s="1499"/>
      <c r="E319" s="1499"/>
      <c r="F319" s="1499"/>
      <c r="G319" s="1499"/>
      <c r="H319" s="963"/>
      <c r="I319" s="963"/>
      <c r="J319" s="963"/>
      <c r="K319" s="1447">
        <v>10000</v>
      </c>
      <c r="L319" s="1443"/>
      <c r="M319" s="1443"/>
      <c r="N319" s="1483"/>
    </row>
    <row r="320" spans="1:14" s="32" customFormat="1" ht="30.6" x14ac:dyDescent="0.2">
      <c r="A320" s="1472" t="s">
        <v>1226</v>
      </c>
      <c r="B320" s="1491" t="s">
        <v>1488</v>
      </c>
      <c r="C320" s="1499"/>
      <c r="D320" s="1499"/>
      <c r="E320" s="1499"/>
      <c r="F320" s="1499"/>
      <c r="G320" s="1499"/>
      <c r="H320" s="963"/>
      <c r="I320" s="963"/>
      <c r="J320" s="963"/>
      <c r="K320" s="1447">
        <v>678000</v>
      </c>
      <c r="L320" s="1443"/>
      <c r="M320" s="1443"/>
      <c r="N320" s="1483"/>
    </row>
    <row r="321" spans="1:14" s="32" customFormat="1" ht="10.199999999999999" x14ac:dyDescent="0.2">
      <c r="A321" s="1472"/>
      <c r="B321" s="1491"/>
      <c r="C321" s="1499"/>
      <c r="D321" s="1499"/>
      <c r="E321" s="1499"/>
      <c r="F321" s="1499"/>
      <c r="G321" s="1499"/>
      <c r="H321" s="963"/>
      <c r="I321" s="963"/>
      <c r="J321" s="963"/>
      <c r="K321" s="1447"/>
      <c r="L321" s="1443"/>
      <c r="M321" s="1443"/>
      <c r="N321" s="1483"/>
    </row>
    <row r="322" spans="1:14" s="32" customFormat="1" ht="20.399999999999999" x14ac:dyDescent="0.2">
      <c r="A322" s="1472" t="s">
        <v>1252</v>
      </c>
      <c r="B322" s="1491" t="s">
        <v>1482</v>
      </c>
      <c r="C322" s="1499"/>
      <c r="D322" s="1499"/>
      <c r="E322" s="1499"/>
      <c r="F322" s="1499"/>
      <c r="G322" s="1499"/>
      <c r="H322" s="963"/>
      <c r="I322" s="963"/>
      <c r="J322" s="963"/>
      <c r="K322" s="1447">
        <v>390000</v>
      </c>
      <c r="L322" s="1443"/>
      <c r="M322" s="1443"/>
      <c r="N322" s="1483"/>
    </row>
    <row r="323" spans="1:14" s="32" customFormat="1" ht="81.599999999999994" x14ac:dyDescent="0.2">
      <c r="A323" s="1472" t="s">
        <v>1252</v>
      </c>
      <c r="B323" s="1491" t="s">
        <v>1468</v>
      </c>
      <c r="C323" s="1499"/>
      <c r="D323" s="1499"/>
      <c r="E323" s="1499"/>
      <c r="F323" s="1499"/>
      <c r="G323" s="1499"/>
      <c r="H323" s="963"/>
      <c r="I323" s="963"/>
      <c r="J323" s="963"/>
      <c r="K323" s="1447">
        <v>390000</v>
      </c>
      <c r="L323" s="1443"/>
      <c r="M323" s="1443"/>
      <c r="N323" s="1483" t="s">
        <v>1469</v>
      </c>
    </row>
    <row r="324" spans="1:14" s="32" customFormat="1" ht="10.199999999999999" x14ac:dyDescent="0.2">
      <c r="A324" s="1472" t="s">
        <v>1357</v>
      </c>
      <c r="B324" s="1491" t="s">
        <v>1399</v>
      </c>
      <c r="C324" s="1499"/>
      <c r="D324" s="1499"/>
      <c r="E324" s="1499"/>
      <c r="F324" s="1499"/>
      <c r="G324" s="1499"/>
      <c r="H324" s="963"/>
      <c r="I324" s="963"/>
      <c r="J324" s="963"/>
      <c r="K324" s="1447">
        <v>1002720</v>
      </c>
      <c r="L324" s="1443"/>
      <c r="M324" s="1443"/>
      <c r="N324" s="1483"/>
    </row>
    <row r="325" spans="1:14" s="32" customFormat="1" ht="20.399999999999999" x14ac:dyDescent="0.2">
      <c r="A325" s="1472" t="s">
        <v>1301</v>
      </c>
      <c r="B325" s="1491" t="s">
        <v>1546</v>
      </c>
      <c r="C325" s="1499"/>
      <c r="D325" s="1499"/>
      <c r="E325" s="1499"/>
      <c r="F325" s="1499"/>
      <c r="G325" s="1499"/>
      <c r="H325" s="963"/>
      <c r="I325" s="963"/>
      <c r="J325" s="963"/>
      <c r="K325" s="1447">
        <v>8800000</v>
      </c>
      <c r="L325" s="1443"/>
      <c r="M325" s="1443"/>
      <c r="N325" s="1483"/>
    </row>
    <row r="326" spans="1:14" s="32" customFormat="1" ht="20.399999999999999" x14ac:dyDescent="0.2">
      <c r="A326" s="1472" t="s">
        <v>1301</v>
      </c>
      <c r="B326" s="1491" t="s">
        <v>1393</v>
      </c>
      <c r="C326" s="1499"/>
      <c r="D326" s="1499"/>
      <c r="E326" s="1499"/>
      <c r="F326" s="1499"/>
      <c r="G326" s="1499"/>
      <c r="H326" s="963"/>
      <c r="I326" s="963"/>
      <c r="J326" s="963"/>
      <c r="K326" s="1447">
        <v>250000</v>
      </c>
      <c r="L326" s="1443"/>
      <c r="M326" s="1443"/>
      <c r="N326" s="1483"/>
    </row>
    <row r="327" spans="1:14" s="32" customFormat="1" ht="10.199999999999999" x14ac:dyDescent="0.2">
      <c r="A327" s="1472" t="s">
        <v>1301</v>
      </c>
      <c r="B327" s="1491" t="s">
        <v>1400</v>
      </c>
      <c r="C327" s="1499"/>
      <c r="D327" s="1499"/>
      <c r="E327" s="1499"/>
      <c r="F327" s="1499"/>
      <c r="G327" s="1499"/>
      <c r="H327" s="963"/>
      <c r="I327" s="963"/>
      <c r="J327" s="963"/>
      <c r="K327" s="1447">
        <v>1018710</v>
      </c>
      <c r="L327" s="1443"/>
      <c r="M327" s="1443"/>
      <c r="N327" s="1483"/>
    </row>
    <row r="328" spans="1:14" s="32" customFormat="1" ht="30.6" x14ac:dyDescent="0.2">
      <c r="A328" s="1472" t="s">
        <v>1301</v>
      </c>
      <c r="B328" s="1491" t="s">
        <v>1397</v>
      </c>
      <c r="C328" s="1499"/>
      <c r="D328" s="1499"/>
      <c r="E328" s="1499"/>
      <c r="F328" s="1499"/>
      <c r="G328" s="1499"/>
      <c r="H328" s="963"/>
      <c r="I328" s="963"/>
      <c r="J328" s="963"/>
      <c r="K328" s="1447">
        <v>640000</v>
      </c>
      <c r="L328" s="1443"/>
      <c r="M328" s="1443"/>
      <c r="N328" s="1483"/>
    </row>
    <row r="329" spans="1:14" s="32" customFormat="1" ht="30.6" x14ac:dyDescent="0.2">
      <c r="A329" s="1472" t="s">
        <v>1372</v>
      </c>
      <c r="B329" s="1491" t="s">
        <v>1396</v>
      </c>
      <c r="C329" s="1499"/>
      <c r="D329" s="1499"/>
      <c r="E329" s="1499"/>
      <c r="F329" s="1499"/>
      <c r="G329" s="1499"/>
      <c r="H329" s="963"/>
      <c r="I329" s="963"/>
      <c r="J329" s="963"/>
      <c r="K329" s="1447">
        <v>351000</v>
      </c>
      <c r="L329" s="1443"/>
      <c r="M329" s="1443"/>
      <c r="N329" s="1483"/>
    </row>
    <row r="330" spans="1:14" s="32" customFormat="1" ht="30.6" x14ac:dyDescent="0.2">
      <c r="A330" s="1472" t="s">
        <v>1372</v>
      </c>
      <c r="B330" s="1491" t="s">
        <v>1398</v>
      </c>
      <c r="C330" s="1499"/>
      <c r="D330" s="1499"/>
      <c r="E330" s="1499"/>
      <c r="F330" s="1499"/>
      <c r="G330" s="1499"/>
      <c r="H330" s="963"/>
      <c r="I330" s="963"/>
      <c r="J330" s="963"/>
      <c r="K330" s="1447">
        <v>213000</v>
      </c>
      <c r="L330" s="1443"/>
      <c r="M330" s="1443"/>
      <c r="N330" s="1483"/>
    </row>
    <row r="331" spans="1:14" s="32" customFormat="1" ht="40.799999999999997" x14ac:dyDescent="0.2">
      <c r="A331" s="1472" t="s">
        <v>1368</v>
      </c>
      <c r="B331" s="1491" t="s">
        <v>1467</v>
      </c>
      <c r="C331" s="1499"/>
      <c r="D331" s="1499"/>
      <c r="E331" s="1499"/>
      <c r="F331" s="1499"/>
      <c r="G331" s="1499"/>
      <c r="H331" s="963"/>
      <c r="I331" s="963"/>
      <c r="J331" s="963"/>
      <c r="K331" s="1447">
        <v>950000</v>
      </c>
      <c r="L331" s="1443"/>
      <c r="M331" s="1443"/>
      <c r="N331" s="1483"/>
    </row>
    <row r="332" spans="1:14" s="32" customFormat="1" ht="30.6" x14ac:dyDescent="0.2">
      <c r="A332" s="1472" t="s">
        <v>1370</v>
      </c>
      <c r="B332" s="1491" t="s">
        <v>1466</v>
      </c>
      <c r="C332" s="1499"/>
      <c r="D332" s="1499"/>
      <c r="E332" s="1499"/>
      <c r="F332" s="1499"/>
      <c r="G332" s="1499"/>
      <c r="H332" s="963"/>
      <c r="I332" s="963"/>
      <c r="J332" s="963"/>
      <c r="K332" s="1447">
        <v>3000000</v>
      </c>
      <c r="L332" s="1443"/>
      <c r="M332" s="1443"/>
      <c r="N332" s="1483"/>
    </row>
    <row r="333" spans="1:14" s="32" customFormat="1" ht="30.6" x14ac:dyDescent="0.2">
      <c r="A333" s="1472" t="s">
        <v>1370</v>
      </c>
      <c r="B333" s="1491" t="s">
        <v>1394</v>
      </c>
      <c r="C333" s="1499"/>
      <c r="D333" s="1499"/>
      <c r="E333" s="1499"/>
      <c r="F333" s="1499"/>
      <c r="G333" s="1499"/>
      <c r="H333" s="963"/>
      <c r="I333" s="963"/>
      <c r="J333" s="963"/>
      <c r="K333" s="1447">
        <v>1000000</v>
      </c>
      <c r="L333" s="1443"/>
      <c r="M333" s="1443"/>
      <c r="N333" s="1483"/>
    </row>
    <row r="334" spans="1:14" s="32" customFormat="1" ht="30.6" x14ac:dyDescent="0.2">
      <c r="A334" s="1472" t="s">
        <v>1370</v>
      </c>
      <c r="B334" s="1500" t="s">
        <v>1395</v>
      </c>
      <c r="C334" s="1499"/>
      <c r="D334" s="1499"/>
      <c r="E334" s="1499"/>
      <c r="F334" s="1499"/>
      <c r="G334" s="1499"/>
      <c r="H334" s="963"/>
      <c r="I334" s="963"/>
      <c r="J334" s="963"/>
      <c r="K334" s="1447">
        <v>50000</v>
      </c>
      <c r="L334" s="1462"/>
      <c r="M334" s="1462"/>
      <c r="N334" s="1501"/>
    </row>
    <row r="335" spans="1:14" s="32" customFormat="1" ht="17.399999999999999" x14ac:dyDescent="0.2">
      <c r="A335" s="1612" t="s">
        <v>1370</v>
      </c>
      <c r="B335" s="1642" t="s">
        <v>1539</v>
      </c>
      <c r="C335" s="1499"/>
      <c r="D335" s="1499"/>
      <c r="E335" s="1499"/>
      <c r="F335" s="1499"/>
      <c r="G335" s="1499"/>
      <c r="H335" s="963"/>
      <c r="I335" s="963"/>
      <c r="J335" s="963"/>
      <c r="K335" s="1539">
        <v>755000</v>
      </c>
      <c r="L335" s="1462"/>
      <c r="M335" s="1462"/>
      <c r="N335" s="1644" t="s">
        <v>1876</v>
      </c>
    </row>
    <row r="336" spans="1:14" s="32" customFormat="1" ht="20.399999999999999" x14ac:dyDescent="0.2">
      <c r="A336" s="1502" t="s">
        <v>1478</v>
      </c>
      <c r="B336" s="1500" t="s">
        <v>1484</v>
      </c>
      <c r="C336" s="1499"/>
      <c r="D336" s="1499"/>
      <c r="E336" s="1499"/>
      <c r="F336" s="1499"/>
      <c r="G336" s="1499"/>
      <c r="H336" s="963"/>
      <c r="I336" s="963"/>
      <c r="J336" s="963"/>
      <c r="K336" s="1447">
        <v>15000000</v>
      </c>
      <c r="L336" s="1462"/>
      <c r="M336" s="1462"/>
      <c r="N336" s="1501" t="s">
        <v>1483</v>
      </c>
    </row>
    <row r="337" spans="1:14" s="32" customFormat="1" ht="17.399999999999999" x14ac:dyDescent="0.2">
      <c r="A337" s="1645" t="s">
        <v>1478</v>
      </c>
      <c r="B337" s="1642" t="s">
        <v>1875</v>
      </c>
      <c r="C337" s="1499"/>
      <c r="D337" s="1499"/>
      <c r="E337" s="1499"/>
      <c r="F337" s="1499"/>
      <c r="G337" s="1499"/>
      <c r="H337" s="963"/>
      <c r="I337" s="963"/>
      <c r="J337" s="963"/>
      <c r="K337" s="1539">
        <v>200000</v>
      </c>
      <c r="L337" s="1462"/>
      <c r="M337" s="1462"/>
      <c r="N337" s="1501"/>
    </row>
    <row r="338" spans="1:14" s="32" customFormat="1" ht="20.399999999999999" x14ac:dyDescent="0.2">
      <c r="A338" s="1472" t="s">
        <v>1531</v>
      </c>
      <c r="B338" s="1491" t="s">
        <v>1532</v>
      </c>
      <c r="C338" s="1499"/>
      <c r="D338" s="1499"/>
      <c r="E338" s="1499"/>
      <c r="F338" s="1499"/>
      <c r="G338" s="1499"/>
      <c r="H338" s="963"/>
      <c r="I338" s="963"/>
      <c r="J338" s="963"/>
      <c r="K338" s="1447">
        <v>352000</v>
      </c>
      <c r="L338" s="1443"/>
      <c r="M338" s="1443"/>
      <c r="N338" s="1483"/>
    </row>
    <row r="339" spans="1:14" s="32" customFormat="1" ht="20.399999999999999" x14ac:dyDescent="0.2">
      <c r="A339" s="1460" t="s">
        <v>1531</v>
      </c>
      <c r="B339" s="1500" t="s">
        <v>1558</v>
      </c>
      <c r="C339" s="1503"/>
      <c r="D339" s="1503"/>
      <c r="E339" s="1503"/>
      <c r="F339" s="1503"/>
      <c r="G339" s="1503"/>
      <c r="H339" s="1504"/>
      <c r="I339" s="1504"/>
      <c r="J339" s="1504"/>
      <c r="K339" s="1465">
        <v>12815000</v>
      </c>
      <c r="L339" s="1462"/>
      <c r="M339" s="1443"/>
      <c r="N339" s="1483"/>
    </row>
    <row r="340" spans="1:14" s="32" customFormat="1" ht="10.199999999999999" x14ac:dyDescent="0.2">
      <c r="A340" s="2378" t="s">
        <v>2</v>
      </c>
      <c r="B340" s="2378"/>
      <c r="C340" s="1505">
        <f t="shared" ref="C340:M340" si="0">SUM(C8:C339)</f>
        <v>0</v>
      </c>
      <c r="D340" s="1505">
        <f t="shared" si="0"/>
        <v>352861750</v>
      </c>
      <c r="E340" s="1505">
        <f t="shared" si="0"/>
        <v>45000000</v>
      </c>
      <c r="F340" s="1505">
        <f t="shared" si="0"/>
        <v>52301050</v>
      </c>
      <c r="G340" s="1505">
        <f t="shared" si="0"/>
        <v>992992950</v>
      </c>
      <c r="H340" s="1505">
        <f t="shared" si="0"/>
        <v>300000</v>
      </c>
      <c r="I340" s="1505">
        <f t="shared" si="0"/>
        <v>457714000</v>
      </c>
      <c r="J340" s="1505">
        <f t="shared" si="0"/>
        <v>45270000</v>
      </c>
      <c r="K340" s="1505">
        <f t="shared" si="0"/>
        <v>742291730</v>
      </c>
      <c r="L340" s="1505">
        <f t="shared" si="0"/>
        <v>4030000</v>
      </c>
      <c r="M340" s="1505">
        <f t="shared" si="0"/>
        <v>15505000</v>
      </c>
      <c r="N340" s="1506"/>
    </row>
    <row r="341" spans="1:14" s="32" customFormat="1" ht="10.199999999999999" x14ac:dyDescent="0.2">
      <c r="A341" s="2377" t="s">
        <v>1563</v>
      </c>
      <c r="B341" s="2377"/>
      <c r="C341" s="2374">
        <f>SUM(C340:G340)</f>
        <v>1443155750</v>
      </c>
      <c r="D341" s="2375"/>
      <c r="E341" s="2375"/>
      <c r="F341" s="2375"/>
      <c r="G341" s="2376"/>
      <c r="H341" s="1507"/>
      <c r="I341" s="1507"/>
      <c r="J341" s="1508"/>
      <c r="K341" s="1508"/>
      <c r="L341" s="1508"/>
      <c r="M341" s="1509"/>
      <c r="N341" s="1506"/>
    </row>
    <row r="342" spans="1:14" s="32" customFormat="1" ht="10.199999999999999" x14ac:dyDescent="0.2">
      <c r="A342" s="2377" t="s">
        <v>1564</v>
      </c>
      <c r="B342" s="2377"/>
      <c r="C342" s="2374">
        <f>SUM(H340:M340)</f>
        <v>1265110730</v>
      </c>
      <c r="D342" s="2375"/>
      <c r="E342" s="2375"/>
      <c r="F342" s="2375"/>
      <c r="G342" s="2376"/>
      <c r="H342" s="1510"/>
      <c r="I342" s="1510"/>
      <c r="J342" s="1510"/>
      <c r="K342" s="1510"/>
      <c r="L342" s="1510"/>
      <c r="M342" s="1510"/>
      <c r="N342" s="1506"/>
    </row>
    <row r="343" spans="1:14" s="32" customFormat="1" ht="10.199999999999999" x14ac:dyDescent="0.2">
      <c r="A343" s="2377" t="s">
        <v>1565</v>
      </c>
      <c r="B343" s="2377"/>
      <c r="C343" s="2374">
        <f>C341-C342</f>
        <v>178045020</v>
      </c>
      <c r="D343" s="2375"/>
      <c r="E343" s="2375"/>
      <c r="F343" s="2375"/>
      <c r="G343" s="2376"/>
      <c r="H343" s="1510"/>
      <c r="I343" s="1510"/>
      <c r="J343" s="1510"/>
      <c r="K343" s="1510"/>
      <c r="L343" s="1510"/>
      <c r="M343" s="1510"/>
      <c r="N343" s="1506"/>
    </row>
  </sheetData>
  <mergeCells count="15">
    <mergeCell ref="A3:N3"/>
    <mergeCell ref="A5:A6"/>
    <mergeCell ref="B5:B6"/>
    <mergeCell ref="N5:N6"/>
    <mergeCell ref="C343:G343"/>
    <mergeCell ref="A343:B343"/>
    <mergeCell ref="A340:B340"/>
    <mergeCell ref="A341:B341"/>
    <mergeCell ref="A342:B342"/>
    <mergeCell ref="C342:G342"/>
    <mergeCell ref="N17:N19"/>
    <mergeCell ref="A4:N4"/>
    <mergeCell ref="C5:G5"/>
    <mergeCell ref="H5:M5"/>
    <mergeCell ref="C341:G341"/>
  </mergeCells>
  <pageMargins left="0.39370078740157483" right="0" top="0" bottom="0" header="0.31496062992125984" footer="0.31496062992125984"/>
  <pageSetup paperSize="256" orientation="landscape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10" sqref="D10"/>
    </sheetView>
  </sheetViews>
  <sheetFormatPr defaultColWidth="9.109375" defaultRowHeight="13.8" x14ac:dyDescent="0.25"/>
  <cols>
    <col min="1" max="1" width="6.88671875" style="1" customWidth="1"/>
    <col min="2" max="2" width="28.44140625" style="13" customWidth="1"/>
    <col min="3" max="3" width="10.88671875" style="15" customWidth="1"/>
    <col min="4" max="4" width="11.109375" style="809" customWidth="1"/>
    <col min="5" max="5" width="8.88671875" style="809" customWidth="1"/>
    <col min="6" max="6" width="12" style="809" customWidth="1"/>
    <col min="7" max="7" width="18.5546875" style="1" customWidth="1"/>
    <col min="8" max="16384" width="9.109375" style="1"/>
  </cols>
  <sheetData>
    <row r="1" spans="1:7" ht="16.8" x14ac:dyDescent="0.25">
      <c r="A1" s="5" t="s">
        <v>3</v>
      </c>
      <c r="B1" s="16"/>
      <c r="C1" s="33"/>
      <c r="D1" s="1216"/>
      <c r="E1" s="1216"/>
      <c r="F1" s="1216"/>
    </row>
    <row r="2" spans="1:7" x14ac:dyDescent="0.25">
      <c r="A2" s="7" t="s">
        <v>5</v>
      </c>
      <c r="B2" s="17"/>
      <c r="C2" s="34"/>
      <c r="D2" s="1217"/>
      <c r="E2" s="1217"/>
      <c r="F2" s="1217"/>
    </row>
    <row r="3" spans="1:7" s="24" customFormat="1" x14ac:dyDescent="0.25">
      <c r="A3" s="20"/>
      <c r="D3" s="511"/>
      <c r="E3" s="511"/>
      <c r="F3" s="511"/>
    </row>
    <row r="4" spans="1:7" ht="50.25" customHeight="1" x14ac:dyDescent="0.35">
      <c r="A4" s="2390" t="s">
        <v>1331</v>
      </c>
      <c r="B4" s="2390"/>
      <c r="C4" s="2390"/>
      <c r="D4" s="2390"/>
      <c r="E4" s="2390"/>
      <c r="F4" s="2390"/>
      <c r="G4" s="2390"/>
    </row>
    <row r="5" spans="1:7" ht="14.4" thickBot="1" x14ac:dyDescent="0.3">
      <c r="A5" s="2294" t="s">
        <v>757</v>
      </c>
      <c r="B5" s="2294"/>
      <c r="C5" s="2294"/>
      <c r="D5" s="2294"/>
      <c r="E5" s="2294"/>
      <c r="F5" s="2294"/>
      <c r="G5" s="2294"/>
    </row>
    <row r="6" spans="1:7" s="452" customFormat="1" ht="14.4" thickTop="1" x14ac:dyDescent="0.25">
      <c r="A6" s="2295" t="s">
        <v>153</v>
      </c>
      <c r="B6" s="2297" t="s">
        <v>91</v>
      </c>
      <c r="C6" s="2299" t="s">
        <v>609</v>
      </c>
      <c r="D6" s="2299"/>
      <c r="E6" s="2299"/>
      <c r="F6" s="2299"/>
      <c r="G6" s="2300" t="s">
        <v>670</v>
      </c>
    </row>
    <row r="7" spans="1:7" s="452" customFormat="1" ht="26.4" x14ac:dyDescent="0.25">
      <c r="A7" s="2296"/>
      <c r="B7" s="2298"/>
      <c r="C7" s="605" t="s">
        <v>684</v>
      </c>
      <c r="D7" s="1191" t="s">
        <v>683</v>
      </c>
      <c r="E7" s="1191" t="s">
        <v>685</v>
      </c>
      <c r="F7" s="1191" t="s">
        <v>686</v>
      </c>
      <c r="G7" s="2301"/>
    </row>
    <row r="8" spans="1:7" s="90" customFormat="1" ht="13.2" x14ac:dyDescent="0.25">
      <c r="A8" s="601" t="s">
        <v>655</v>
      </c>
      <c r="B8" s="36" t="s">
        <v>1332</v>
      </c>
      <c r="C8" s="602"/>
      <c r="D8" s="1073">
        <v>100000000</v>
      </c>
      <c r="E8" s="1116"/>
      <c r="F8" s="94"/>
      <c r="G8" s="89"/>
    </row>
    <row r="9" spans="1:7" s="90" customFormat="1" ht="13.2" x14ac:dyDescent="0.25">
      <c r="A9" s="601" t="s">
        <v>655</v>
      </c>
      <c r="B9" s="36" t="s">
        <v>1336</v>
      </c>
      <c r="C9" s="602"/>
      <c r="D9" s="1073">
        <v>30000000</v>
      </c>
      <c r="E9" s="1073"/>
      <c r="F9" s="94"/>
      <c r="G9" s="89"/>
    </row>
    <row r="10" spans="1:7" s="90" customFormat="1" ht="13.2" x14ac:dyDescent="0.25">
      <c r="A10" s="601" t="s">
        <v>655</v>
      </c>
      <c r="B10" s="36" t="s">
        <v>1337</v>
      </c>
      <c r="C10" s="602"/>
      <c r="D10" s="1073">
        <v>60000000</v>
      </c>
      <c r="E10" s="1116"/>
      <c r="F10" s="93"/>
      <c r="G10" s="89"/>
    </row>
    <row r="11" spans="1:7" s="90" customFormat="1" ht="13.2" x14ac:dyDescent="0.25">
      <c r="A11" s="601"/>
      <c r="B11" s="40"/>
      <c r="C11" s="602"/>
      <c r="D11" s="1116"/>
      <c r="E11" s="1116"/>
      <c r="F11" s="94"/>
      <c r="G11" s="89"/>
    </row>
    <row r="12" spans="1:7" s="90" customFormat="1" ht="13.2" x14ac:dyDescent="0.25">
      <c r="A12" s="601"/>
      <c r="B12" s="40"/>
      <c r="C12" s="602"/>
      <c r="D12" s="1116"/>
      <c r="E12" s="1116"/>
      <c r="F12" s="94"/>
      <c r="G12" s="89"/>
    </row>
    <row r="13" spans="1:7" s="90" customFormat="1" ht="13.2" x14ac:dyDescent="0.25">
      <c r="A13" s="601"/>
      <c r="B13" s="40"/>
      <c r="C13" s="602"/>
      <c r="D13" s="1116"/>
      <c r="E13" s="1116"/>
      <c r="F13" s="94"/>
      <c r="G13" s="89"/>
    </row>
    <row r="14" spans="1:7" s="90" customFormat="1" ht="13.2" x14ac:dyDescent="0.25">
      <c r="A14" s="601"/>
      <c r="B14" s="40"/>
      <c r="C14" s="602"/>
      <c r="D14" s="1116"/>
      <c r="E14" s="1116"/>
      <c r="F14" s="94"/>
      <c r="G14" s="89"/>
    </row>
    <row r="15" spans="1:7" s="90" customFormat="1" ht="13.2" x14ac:dyDescent="0.25">
      <c r="A15" s="601"/>
      <c r="B15" s="40"/>
      <c r="C15" s="602"/>
      <c r="D15" s="1116"/>
      <c r="E15" s="1116"/>
      <c r="F15" s="94"/>
      <c r="G15" s="89"/>
    </row>
    <row r="16" spans="1:7" s="90" customFormat="1" ht="13.2" x14ac:dyDescent="0.25">
      <c r="A16" s="601"/>
      <c r="B16" s="40"/>
      <c r="C16" s="602"/>
      <c r="D16" s="1116"/>
      <c r="E16" s="1116"/>
      <c r="F16" s="94"/>
      <c r="G16" s="89"/>
    </row>
    <row r="17" spans="1:7" s="90" customFormat="1" ht="13.2" x14ac:dyDescent="0.25">
      <c r="A17" s="601"/>
      <c r="B17" s="36"/>
      <c r="C17" s="602"/>
      <c r="D17" s="1116"/>
      <c r="E17" s="1116"/>
      <c r="F17" s="94"/>
      <c r="G17" s="89"/>
    </row>
    <row r="18" spans="1:7" s="90" customFormat="1" ht="13.2" x14ac:dyDescent="0.25">
      <c r="A18" s="600"/>
      <c r="B18" s="40"/>
      <c r="C18" s="92"/>
      <c r="D18" s="94"/>
      <c r="E18" s="94"/>
      <c r="F18" s="94"/>
      <c r="G18" s="89"/>
    </row>
    <row r="19" spans="1:7" s="599" customFormat="1" thickBot="1" x14ac:dyDescent="0.3">
      <c r="A19" s="2388" t="s">
        <v>2</v>
      </c>
      <c r="B19" s="2389"/>
      <c r="C19" s="603">
        <f>SUM(C7:C18)</f>
        <v>0</v>
      </c>
      <c r="D19" s="603">
        <f>SUM(D7:D18)</f>
        <v>190000000</v>
      </c>
      <c r="E19" s="603">
        <f>SUM(E7:E18)</f>
        <v>0</v>
      </c>
      <c r="F19" s="603">
        <f>SUM(F7:F18)</f>
        <v>0</v>
      </c>
      <c r="G19" s="604"/>
    </row>
    <row r="20" spans="1:7" ht="14.4" thickTop="1" x14ac:dyDescent="0.25">
      <c r="C20" s="41"/>
      <c r="D20" s="1114"/>
      <c r="E20" s="1114"/>
      <c r="F20" s="1114"/>
    </row>
    <row r="21" spans="1:7" x14ac:dyDescent="0.25">
      <c r="C21" s="3"/>
      <c r="D21" s="808"/>
      <c r="E21" s="808"/>
      <c r="F21" s="808"/>
    </row>
    <row r="22" spans="1:7" x14ac:dyDescent="0.25">
      <c r="C22" s="2293"/>
      <c r="D22" s="2293"/>
      <c r="E22" s="2293"/>
      <c r="F22" s="2293"/>
    </row>
    <row r="23" spans="1:7" x14ac:dyDescent="0.25">
      <c r="C23" s="4"/>
      <c r="D23" s="1218"/>
      <c r="E23" s="1218"/>
      <c r="F23" s="1218"/>
    </row>
    <row r="24" spans="1:7" x14ac:dyDescent="0.25">
      <c r="C24" s="3"/>
      <c r="D24" s="808"/>
      <c r="E24" s="808"/>
      <c r="F24" s="808"/>
    </row>
    <row r="25" spans="1:7" x14ac:dyDescent="0.25">
      <c r="C25" s="3"/>
      <c r="D25" s="808"/>
      <c r="E25" s="808"/>
      <c r="F25" s="808"/>
    </row>
    <row r="26" spans="1:7" x14ac:dyDescent="0.25">
      <c r="C26" s="3"/>
      <c r="D26" s="808"/>
      <c r="E26" s="808"/>
      <c r="F26" s="808"/>
    </row>
    <row r="27" spans="1:7" x14ac:dyDescent="0.25">
      <c r="C27" s="3"/>
      <c r="D27" s="808"/>
      <c r="E27" s="808"/>
      <c r="F27" s="808"/>
    </row>
    <row r="28" spans="1:7" x14ac:dyDescent="0.25">
      <c r="C28" s="3"/>
      <c r="D28" s="808"/>
      <c r="E28" s="808"/>
      <c r="F28" s="808"/>
    </row>
    <row r="29" spans="1:7" x14ac:dyDescent="0.25">
      <c r="C29" s="3"/>
      <c r="D29" s="808"/>
      <c r="E29" s="808"/>
      <c r="F29" s="808"/>
    </row>
    <row r="30" spans="1:7" x14ac:dyDescent="0.25">
      <c r="C30" s="3"/>
      <c r="D30" s="808"/>
      <c r="E30" s="808"/>
      <c r="F30" s="808"/>
    </row>
    <row r="31" spans="1:7" x14ac:dyDescent="0.25">
      <c r="B31" s="1"/>
      <c r="C31" s="3"/>
      <c r="D31" s="808"/>
      <c r="E31" s="808"/>
      <c r="F31" s="808"/>
    </row>
    <row r="32" spans="1:7" x14ac:dyDescent="0.25">
      <c r="B32" s="1"/>
      <c r="C32" s="3"/>
      <c r="D32" s="808"/>
      <c r="E32" s="808"/>
      <c r="F32" s="808"/>
    </row>
    <row r="33" spans="2:6" x14ac:dyDescent="0.25">
      <c r="B33" s="1"/>
      <c r="C33" s="3"/>
      <c r="D33" s="808"/>
      <c r="E33" s="808"/>
      <c r="F33" s="808"/>
    </row>
    <row r="34" spans="2:6" x14ac:dyDescent="0.25">
      <c r="B34" s="1"/>
      <c r="C34" s="3"/>
      <c r="D34" s="808"/>
      <c r="E34" s="808"/>
      <c r="F34" s="808"/>
    </row>
    <row r="35" spans="2:6" x14ac:dyDescent="0.25">
      <c r="B35" s="1"/>
      <c r="C35" s="3"/>
      <c r="D35" s="808"/>
      <c r="E35" s="808"/>
      <c r="F35" s="808"/>
    </row>
    <row r="36" spans="2:6" x14ac:dyDescent="0.25">
      <c r="B36" s="1"/>
      <c r="C36" s="3"/>
      <c r="D36" s="808"/>
      <c r="E36" s="808"/>
      <c r="F36" s="808"/>
    </row>
    <row r="37" spans="2:6" x14ac:dyDescent="0.25">
      <c r="B37" s="1"/>
      <c r="C37" s="3"/>
      <c r="D37" s="808"/>
      <c r="E37" s="808"/>
      <c r="F37" s="808"/>
    </row>
    <row r="38" spans="2:6" x14ac:dyDescent="0.25">
      <c r="B38" s="1"/>
      <c r="C38" s="3"/>
      <c r="D38" s="808"/>
      <c r="E38" s="808"/>
      <c r="F38" s="808"/>
    </row>
    <row r="39" spans="2:6" x14ac:dyDescent="0.25">
      <c r="B39" s="1"/>
      <c r="C39" s="3"/>
      <c r="D39" s="808"/>
      <c r="E39" s="808"/>
      <c r="F39" s="808"/>
    </row>
    <row r="40" spans="2:6" x14ac:dyDescent="0.25">
      <c r="B40" s="1"/>
      <c r="C40" s="3"/>
      <c r="D40" s="808"/>
      <c r="E40" s="808"/>
      <c r="F40" s="808"/>
    </row>
    <row r="41" spans="2:6" x14ac:dyDescent="0.25">
      <c r="B41" s="1"/>
      <c r="C41" s="3"/>
      <c r="D41" s="808"/>
      <c r="E41" s="808"/>
      <c r="F41" s="808"/>
    </row>
    <row r="42" spans="2:6" x14ac:dyDescent="0.25">
      <c r="B42" s="1"/>
      <c r="C42" s="3"/>
      <c r="D42" s="808"/>
      <c r="E42" s="808"/>
      <c r="F42" s="808"/>
    </row>
    <row r="43" spans="2:6" x14ac:dyDescent="0.25">
      <c r="B43" s="1"/>
      <c r="C43" s="3"/>
      <c r="D43" s="808"/>
      <c r="E43" s="808"/>
      <c r="F43" s="808"/>
    </row>
  </sheetData>
  <mergeCells count="8">
    <mergeCell ref="A19:B19"/>
    <mergeCell ref="C22:F22"/>
    <mergeCell ref="A4:G4"/>
    <mergeCell ref="A5:G5"/>
    <mergeCell ref="A6:A7"/>
    <mergeCell ref="B6:B7"/>
    <mergeCell ref="C6:F6"/>
    <mergeCell ref="G6:G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2"/>
  <sheetViews>
    <sheetView zoomScale="118" zoomScaleNormal="118" workbookViewId="0">
      <pane xSplit="1" ySplit="6" topLeftCell="B58" activePane="bottomRight" state="frozen"/>
      <selection pane="topRight" activeCell="B1" sqref="B1"/>
      <selection pane="bottomLeft" activeCell="A8" sqref="A8"/>
      <selection pane="bottomRight" activeCell="K21" sqref="K21"/>
    </sheetView>
  </sheetViews>
  <sheetFormatPr defaultColWidth="7" defaultRowHeight="13.8" x14ac:dyDescent="0.25"/>
  <cols>
    <col min="1" max="1" width="7" style="511"/>
    <col min="2" max="2" width="12.109375" style="511" customWidth="1"/>
    <col min="3" max="5" width="7" style="511"/>
    <col min="6" max="6" width="13" style="511" customWidth="1"/>
    <col min="7" max="7" width="11.109375" style="511" customWidth="1"/>
    <col min="8" max="10" width="7" style="511"/>
    <col min="11" max="11" width="13.33203125" style="511" bestFit="1" customWidth="1"/>
    <col min="12" max="16384" width="7" style="511"/>
  </cols>
  <sheetData>
    <row r="1" spans="1:18" ht="16.8" x14ac:dyDescent="0.3">
      <c r="A1" s="649" t="s">
        <v>3</v>
      </c>
      <c r="B1" s="649"/>
      <c r="C1" s="650"/>
      <c r="D1" s="651"/>
      <c r="E1" s="650"/>
      <c r="F1" s="509"/>
      <c r="G1" s="509"/>
      <c r="H1" s="509"/>
      <c r="M1" s="509"/>
      <c r="N1" s="509"/>
      <c r="O1" s="509"/>
      <c r="P1" s="653"/>
      <c r="Q1" s="509"/>
      <c r="R1" s="660"/>
    </row>
    <row r="2" spans="1:18" ht="15.6" x14ac:dyDescent="0.25">
      <c r="A2" s="654" t="s">
        <v>5</v>
      </c>
      <c r="B2" s="654"/>
      <c r="C2" s="655"/>
      <c r="D2" s="656"/>
      <c r="E2" s="655"/>
      <c r="F2" s="510"/>
      <c r="G2" s="510"/>
      <c r="H2" s="510"/>
      <c r="M2" s="510"/>
      <c r="N2" s="510"/>
      <c r="O2" s="510"/>
      <c r="P2" s="657"/>
      <c r="Q2" s="510"/>
      <c r="R2" s="661"/>
    </row>
    <row r="3" spans="1:18" x14ac:dyDescent="0.25">
      <c r="A3" s="654"/>
      <c r="B3" s="654"/>
      <c r="C3" s="654"/>
      <c r="D3" s="654"/>
      <c r="E3" s="2391"/>
      <c r="F3" s="2391"/>
      <c r="G3" s="808"/>
      <c r="H3" s="809"/>
      <c r="I3" s="658"/>
    </row>
    <row r="4" spans="1:18" ht="17.399999999999999" x14ac:dyDescent="0.25">
      <c r="A4" s="2404" t="s">
        <v>1309</v>
      </c>
      <c r="B4" s="2404"/>
      <c r="C4" s="2404"/>
      <c r="D4" s="2404"/>
      <c r="E4" s="2404"/>
      <c r="F4" s="2404"/>
      <c r="G4" s="2404"/>
      <c r="H4" s="2404"/>
      <c r="I4" s="658"/>
    </row>
    <row r="5" spans="1:18" ht="16.5" customHeight="1" thickBot="1" x14ac:dyDescent="0.3">
      <c r="A5" s="2405" t="s">
        <v>2317</v>
      </c>
      <c r="B5" s="2405"/>
      <c r="C5" s="2405"/>
      <c r="D5" s="2405"/>
      <c r="E5" s="2405"/>
      <c r="F5" s="2405"/>
      <c r="G5" s="2405"/>
      <c r="H5" s="2405"/>
    </row>
    <row r="6" spans="1:18" ht="36.75" customHeight="1" thickTop="1" x14ac:dyDescent="0.25">
      <c r="A6" s="810" t="s">
        <v>153</v>
      </c>
      <c r="B6" s="810" t="s">
        <v>502</v>
      </c>
      <c r="C6" s="810" t="s">
        <v>503</v>
      </c>
      <c r="D6" s="811" t="s">
        <v>226</v>
      </c>
      <c r="E6" s="811" t="s">
        <v>803</v>
      </c>
      <c r="F6" s="812" t="s">
        <v>203</v>
      </c>
      <c r="G6" s="812" t="s">
        <v>205</v>
      </c>
      <c r="H6" s="1401" t="s">
        <v>1</v>
      </c>
    </row>
    <row r="7" spans="1:18" ht="28.5" customHeight="1" x14ac:dyDescent="0.25">
      <c r="A7" s="813" t="s">
        <v>176</v>
      </c>
      <c r="B7" s="814" t="s">
        <v>960</v>
      </c>
      <c r="C7" s="815" t="s">
        <v>522</v>
      </c>
      <c r="D7" s="815">
        <v>10</v>
      </c>
      <c r="E7" s="815">
        <f>D7*50</f>
        <v>500</v>
      </c>
      <c r="F7" s="1247" t="s">
        <v>208</v>
      </c>
      <c r="G7" s="817">
        <v>67500000</v>
      </c>
      <c r="H7" s="1402" t="s">
        <v>941</v>
      </c>
    </row>
    <row r="8" spans="1:18" ht="12" customHeight="1" x14ac:dyDescent="0.25">
      <c r="A8" s="818"/>
      <c r="B8" s="814"/>
      <c r="C8" s="818" t="s">
        <v>505</v>
      </c>
      <c r="D8" s="818">
        <v>4</v>
      </c>
      <c r="E8" s="818">
        <f>D8*24</f>
        <v>96</v>
      </c>
      <c r="F8" s="820" t="s">
        <v>206</v>
      </c>
      <c r="G8" s="1255">
        <v>60000000</v>
      </c>
      <c r="H8" s="1403" t="s">
        <v>1307</v>
      </c>
    </row>
    <row r="9" spans="1:18" ht="12" customHeight="1" x14ac:dyDescent="0.25">
      <c r="A9" s="818"/>
      <c r="B9" s="814"/>
      <c r="C9" s="818" t="s">
        <v>507</v>
      </c>
      <c r="D9" s="818">
        <v>10</v>
      </c>
      <c r="E9" s="818">
        <f>D9*12</f>
        <v>120</v>
      </c>
      <c r="F9" s="820" t="s">
        <v>207</v>
      </c>
      <c r="G9" s="821">
        <v>50550000</v>
      </c>
      <c r="H9" s="1403" t="s">
        <v>941</v>
      </c>
    </row>
    <row r="10" spans="1:18" ht="33.75" customHeight="1" x14ac:dyDescent="0.25">
      <c r="A10" s="818"/>
      <c r="B10" s="814"/>
      <c r="C10" s="818" t="s">
        <v>805</v>
      </c>
      <c r="D10" s="818">
        <v>4</v>
      </c>
      <c r="E10" s="818">
        <f>D10*24</f>
        <v>96</v>
      </c>
      <c r="F10" s="816"/>
      <c r="G10" s="817"/>
      <c r="H10" s="1404" t="s">
        <v>637</v>
      </c>
    </row>
    <row r="11" spans="1:18" ht="24" customHeight="1" x14ac:dyDescent="0.25">
      <c r="A11" s="818"/>
      <c r="B11" s="814"/>
      <c r="C11" s="818" t="s">
        <v>508</v>
      </c>
      <c r="D11" s="818">
        <v>5</v>
      </c>
      <c r="E11" s="818">
        <f>D11*12</f>
        <v>60</v>
      </c>
      <c r="F11" s="816"/>
      <c r="G11" s="817"/>
      <c r="H11" s="1405" t="s">
        <v>189</v>
      </c>
    </row>
    <row r="12" spans="1:18" ht="12" customHeight="1" x14ac:dyDescent="0.25">
      <c r="A12" s="818"/>
      <c r="B12" s="814"/>
      <c r="C12" s="818" t="s">
        <v>509</v>
      </c>
      <c r="D12" s="818">
        <v>5</v>
      </c>
      <c r="E12" s="818">
        <f>D12*12</f>
        <v>60</v>
      </c>
      <c r="F12" s="816"/>
      <c r="G12" s="817"/>
      <c r="H12" s="1403"/>
    </row>
    <row r="13" spans="1:18" ht="12" customHeight="1" x14ac:dyDescent="0.25">
      <c r="A13" s="818"/>
      <c r="B13" s="814"/>
      <c r="C13" s="818" t="s">
        <v>939</v>
      </c>
      <c r="D13" s="818">
        <v>5</v>
      </c>
      <c r="E13" s="818">
        <f>D13*24</f>
        <v>120</v>
      </c>
      <c r="F13" s="816"/>
      <c r="G13" s="817"/>
      <c r="H13" s="1403"/>
    </row>
    <row r="14" spans="1:18" ht="12" customHeight="1" x14ac:dyDescent="0.25">
      <c r="A14" s="818"/>
      <c r="B14" s="814"/>
      <c r="C14" s="818" t="s">
        <v>806</v>
      </c>
      <c r="D14" s="818" t="s">
        <v>807</v>
      </c>
      <c r="E14" s="818">
        <f>5*24+8</f>
        <v>128</v>
      </c>
      <c r="F14" s="816"/>
      <c r="G14" s="817"/>
      <c r="H14" s="1403"/>
    </row>
    <row r="15" spans="1:18" ht="12" customHeight="1" x14ac:dyDescent="0.25">
      <c r="A15" s="818"/>
      <c r="B15" s="814"/>
      <c r="C15" s="818" t="s">
        <v>512</v>
      </c>
      <c r="D15" s="818" t="s">
        <v>808</v>
      </c>
      <c r="E15" s="818">
        <f>11*12+6</f>
        <v>138</v>
      </c>
      <c r="F15" s="816"/>
      <c r="G15" s="817"/>
      <c r="H15" s="1403"/>
    </row>
    <row r="16" spans="1:18" ht="12" customHeight="1" x14ac:dyDescent="0.25">
      <c r="A16" s="818"/>
      <c r="B16" s="814"/>
      <c r="C16" s="815" t="s">
        <v>802</v>
      </c>
      <c r="D16" s="818" t="s">
        <v>809</v>
      </c>
      <c r="E16" s="818">
        <f>19*12+3</f>
        <v>231</v>
      </c>
      <c r="F16" s="820"/>
      <c r="G16" s="821"/>
      <c r="H16" s="1403"/>
    </row>
    <row r="17" spans="1:11" ht="12" customHeight="1" x14ac:dyDescent="0.25">
      <c r="A17" s="818"/>
      <c r="B17" s="814"/>
      <c r="C17" s="818"/>
      <c r="D17" s="818"/>
      <c r="E17" s="818"/>
      <c r="F17" s="820"/>
      <c r="G17" s="821"/>
      <c r="H17" s="1403"/>
    </row>
    <row r="18" spans="1:11" ht="26.25" customHeight="1" x14ac:dyDescent="0.25">
      <c r="A18" s="822"/>
      <c r="B18" s="2393" t="s">
        <v>521</v>
      </c>
      <c r="C18" s="2394"/>
      <c r="D18" s="822">
        <v>65</v>
      </c>
      <c r="E18" s="822">
        <f>SUM(E7:E17)</f>
        <v>1549</v>
      </c>
      <c r="F18" s="823"/>
      <c r="G18" s="1221">
        <f>SUM(G7:G17)</f>
        <v>178050000</v>
      </c>
      <c r="H18" s="1406"/>
    </row>
    <row r="19" spans="1:11" ht="25.5" customHeight="1" x14ac:dyDescent="0.25">
      <c r="A19" s="824" t="s">
        <v>527</v>
      </c>
      <c r="B19" s="814" t="s">
        <v>961</v>
      </c>
      <c r="C19" s="818" t="s">
        <v>507</v>
      </c>
      <c r="D19" s="815">
        <v>10</v>
      </c>
      <c r="E19" s="815">
        <f>D19*12</f>
        <v>120</v>
      </c>
      <c r="F19" s="816" t="s">
        <v>206</v>
      </c>
      <c r="G19" s="817">
        <v>35400000</v>
      </c>
      <c r="H19" s="1400" t="s">
        <v>941</v>
      </c>
    </row>
    <row r="20" spans="1:11" ht="12" customHeight="1" x14ac:dyDescent="0.25">
      <c r="A20" s="824"/>
      <c r="B20" s="814"/>
      <c r="C20" s="818" t="s">
        <v>508</v>
      </c>
      <c r="D20" s="815">
        <v>10</v>
      </c>
      <c r="E20" s="815">
        <f>D20*12</f>
        <v>120</v>
      </c>
      <c r="F20" s="820" t="s">
        <v>207</v>
      </c>
      <c r="G20" s="821">
        <v>35550000</v>
      </c>
      <c r="H20" s="1403" t="s">
        <v>941</v>
      </c>
    </row>
    <row r="21" spans="1:11" ht="37.5" customHeight="1" x14ac:dyDescent="0.25">
      <c r="A21" s="824"/>
      <c r="B21" s="814"/>
      <c r="C21" s="818" t="s">
        <v>509</v>
      </c>
      <c r="D21" s="815">
        <v>10</v>
      </c>
      <c r="E21" s="815">
        <f>D21*12</f>
        <v>120</v>
      </c>
      <c r="F21" s="816"/>
      <c r="G21" s="817"/>
      <c r="H21" s="1405" t="s">
        <v>804</v>
      </c>
    </row>
    <row r="22" spans="1:11" ht="12" customHeight="1" x14ac:dyDescent="0.25">
      <c r="A22" s="824"/>
      <c r="B22" s="814"/>
      <c r="C22" s="818" t="s">
        <v>511</v>
      </c>
      <c r="D22" s="815">
        <v>5</v>
      </c>
      <c r="E22" s="815">
        <f>D22*24</f>
        <v>120</v>
      </c>
      <c r="F22" s="816"/>
      <c r="G22" s="817"/>
      <c r="H22" s="1403"/>
    </row>
    <row r="23" spans="1:11" s="837" customFormat="1" ht="43.5" customHeight="1" x14ac:dyDescent="0.25">
      <c r="A23" s="1222"/>
      <c r="B23" s="2395" t="s">
        <v>520</v>
      </c>
      <c r="C23" s="2396"/>
      <c r="D23" s="1222">
        <f>SUM(D19:D22)</f>
        <v>35</v>
      </c>
      <c r="E23" s="1222">
        <f>SUM(E19:E22)</f>
        <v>480</v>
      </c>
      <c r="F23" s="1223"/>
      <c r="G23" s="1224">
        <f>SUM(G19:G22)</f>
        <v>70950000</v>
      </c>
      <c r="H23" s="1407" t="s">
        <v>1308</v>
      </c>
    </row>
    <row r="24" spans="1:11" ht="24" customHeight="1" x14ac:dyDescent="0.25">
      <c r="A24" s="824" t="s">
        <v>500</v>
      </c>
      <c r="B24" s="814" t="s">
        <v>962</v>
      </c>
      <c r="C24" s="815" t="s">
        <v>504</v>
      </c>
      <c r="D24" s="815">
        <v>5</v>
      </c>
      <c r="E24" s="815">
        <f>D24*24</f>
        <v>120</v>
      </c>
      <c r="F24" s="816" t="s">
        <v>517</v>
      </c>
      <c r="G24" s="1079">
        <v>20000000</v>
      </c>
      <c r="H24" s="1400" t="s">
        <v>1296</v>
      </c>
    </row>
    <row r="25" spans="1:11" ht="27" customHeight="1" x14ac:dyDescent="0.25">
      <c r="A25" s="818"/>
      <c r="B25" s="814"/>
      <c r="C25" s="818" t="s">
        <v>505</v>
      </c>
      <c r="D25" s="818">
        <v>5</v>
      </c>
      <c r="E25" s="818">
        <f>D25*24</f>
        <v>120</v>
      </c>
      <c r="F25" s="820" t="s">
        <v>518</v>
      </c>
      <c r="G25" s="821">
        <v>40000000</v>
      </c>
      <c r="H25" s="1405" t="s">
        <v>1253</v>
      </c>
    </row>
    <row r="26" spans="1:11" ht="12" customHeight="1" x14ac:dyDescent="0.25">
      <c r="A26" s="818"/>
      <c r="B26" s="814"/>
      <c r="C26" s="818" t="s">
        <v>506</v>
      </c>
      <c r="D26" s="818">
        <v>10</v>
      </c>
      <c r="E26" s="818">
        <f>D26*12</f>
        <v>120</v>
      </c>
      <c r="F26" s="820" t="s">
        <v>519</v>
      </c>
      <c r="G26" s="821">
        <v>49050000</v>
      </c>
      <c r="H26" s="1408" t="s">
        <v>941</v>
      </c>
      <c r="K26" s="748"/>
    </row>
    <row r="27" spans="1:11" ht="12" customHeight="1" x14ac:dyDescent="0.25">
      <c r="A27" s="818"/>
      <c r="B27" s="814"/>
      <c r="C27" s="818" t="s">
        <v>507</v>
      </c>
      <c r="D27" s="818">
        <v>10</v>
      </c>
      <c r="E27" s="818">
        <f t="shared" ref="E27:E29" si="0">D27*12</f>
        <v>120</v>
      </c>
      <c r="F27" s="820"/>
      <c r="G27" s="821"/>
      <c r="H27" s="1400"/>
    </row>
    <row r="28" spans="1:11" ht="12" customHeight="1" x14ac:dyDescent="0.25">
      <c r="A28" s="818"/>
      <c r="B28" s="814"/>
      <c r="C28" s="818" t="s">
        <v>508</v>
      </c>
      <c r="D28" s="818">
        <v>10</v>
      </c>
      <c r="E28" s="818">
        <f t="shared" si="0"/>
        <v>120</v>
      </c>
      <c r="F28" s="820"/>
      <c r="G28" s="821"/>
      <c r="H28" s="1403"/>
    </row>
    <row r="29" spans="1:11" ht="12" customHeight="1" x14ac:dyDescent="0.25">
      <c r="A29" s="818"/>
      <c r="B29" s="814"/>
      <c r="C29" s="818" t="s">
        <v>509</v>
      </c>
      <c r="D29" s="818">
        <v>10</v>
      </c>
      <c r="E29" s="818">
        <f t="shared" si="0"/>
        <v>120</v>
      </c>
      <c r="F29" s="820"/>
      <c r="G29" s="821"/>
      <c r="H29" s="1403"/>
    </row>
    <row r="30" spans="1:11" ht="12" customHeight="1" x14ac:dyDescent="0.25">
      <c r="A30" s="818"/>
      <c r="B30" s="814"/>
      <c r="C30" s="818" t="s">
        <v>510</v>
      </c>
      <c r="D30" s="818">
        <v>5</v>
      </c>
      <c r="E30" s="818">
        <f>D30*12</f>
        <v>60</v>
      </c>
      <c r="F30" s="820"/>
      <c r="G30" s="821"/>
      <c r="H30" s="1403"/>
    </row>
    <row r="31" spans="1:11" ht="12" customHeight="1" x14ac:dyDescent="0.25">
      <c r="A31" s="818"/>
      <c r="B31" s="814"/>
      <c r="C31" s="818" t="s">
        <v>511</v>
      </c>
      <c r="D31" s="818">
        <v>5</v>
      </c>
      <c r="E31" s="818">
        <f>D31*24</f>
        <v>120</v>
      </c>
      <c r="F31" s="820"/>
      <c r="G31" s="821"/>
      <c r="H31" s="1403"/>
    </row>
    <row r="32" spans="1:11" ht="12" customHeight="1" x14ac:dyDescent="0.25">
      <c r="A32" s="818"/>
      <c r="B32" s="814"/>
      <c r="C32" s="818" t="s">
        <v>512</v>
      </c>
      <c r="D32" s="818">
        <v>5</v>
      </c>
      <c r="E32" s="818">
        <f>D32*12</f>
        <v>60</v>
      </c>
      <c r="F32" s="825"/>
      <c r="G32" s="826"/>
      <c r="H32" s="1403"/>
    </row>
    <row r="33" spans="1:11" ht="30.75" customHeight="1" x14ac:dyDescent="0.25">
      <c r="A33" s="790"/>
      <c r="B33" s="814"/>
      <c r="C33" s="827" t="s">
        <v>515</v>
      </c>
      <c r="D33" s="790"/>
      <c r="E33" s="790"/>
      <c r="F33" s="829"/>
      <c r="G33" s="830"/>
      <c r="H33" s="1409"/>
    </row>
    <row r="34" spans="1:11" s="837" customFormat="1" ht="12" customHeight="1" x14ac:dyDescent="0.25">
      <c r="A34" s="822"/>
      <c r="B34" s="2393" t="s">
        <v>516</v>
      </c>
      <c r="C34" s="2394"/>
      <c r="D34" s="822">
        <f>SUM(D24:D33)</f>
        <v>65</v>
      </c>
      <c r="E34" s="822">
        <f>SUM(E24:E32)</f>
        <v>960</v>
      </c>
      <c r="F34" s="1189"/>
      <c r="G34" s="1221">
        <f>SUM(G24:G33)</f>
        <v>109050000</v>
      </c>
      <c r="H34" s="1410"/>
      <c r="K34" s="2011"/>
    </row>
    <row r="35" spans="1:11" ht="24.75" customHeight="1" x14ac:dyDescent="0.25">
      <c r="A35" s="831" t="s">
        <v>634</v>
      </c>
      <c r="B35" s="814" t="s">
        <v>963</v>
      </c>
      <c r="C35" s="815" t="s">
        <v>802</v>
      </c>
      <c r="D35" s="815">
        <v>20</v>
      </c>
      <c r="E35" s="815">
        <f>D35*12</f>
        <v>240</v>
      </c>
      <c r="F35" s="820" t="s">
        <v>517</v>
      </c>
      <c r="G35" s="1079">
        <v>10000000</v>
      </c>
      <c r="H35" s="1400" t="s">
        <v>1253</v>
      </c>
    </row>
    <row r="36" spans="1:11" ht="12" customHeight="1" x14ac:dyDescent="0.25">
      <c r="A36" s="831"/>
      <c r="B36" s="814"/>
      <c r="C36" s="815"/>
      <c r="D36" s="815"/>
      <c r="E36" s="815"/>
      <c r="F36" s="820" t="s">
        <v>518</v>
      </c>
      <c r="G36" s="817">
        <v>14000000</v>
      </c>
      <c r="H36" s="1400" t="s">
        <v>683</v>
      </c>
    </row>
    <row r="37" spans="1:11" ht="12" customHeight="1" x14ac:dyDescent="0.25">
      <c r="A37" s="832"/>
      <c r="B37" s="814"/>
      <c r="C37" s="818"/>
      <c r="D37" s="818"/>
      <c r="E37" s="818"/>
      <c r="F37" s="820" t="s">
        <v>519</v>
      </c>
      <c r="G37" s="821">
        <v>9000000</v>
      </c>
      <c r="H37" s="1400" t="s">
        <v>941</v>
      </c>
    </row>
    <row r="38" spans="1:11" s="837" customFormat="1" ht="12" customHeight="1" x14ac:dyDescent="0.25">
      <c r="A38" s="822"/>
      <c r="B38" s="2393" t="s">
        <v>636</v>
      </c>
      <c r="C38" s="2394"/>
      <c r="D38" s="822">
        <v>20</v>
      </c>
      <c r="E38" s="822">
        <f>E35</f>
        <v>240</v>
      </c>
      <c r="F38" s="1189"/>
      <c r="G38" s="1221">
        <f>SUM(G35:G37)</f>
        <v>33000000</v>
      </c>
      <c r="H38" s="1410"/>
    </row>
    <row r="39" spans="1:11" ht="31.5" customHeight="1" x14ac:dyDescent="0.25">
      <c r="A39" s="1225" t="s">
        <v>792</v>
      </c>
      <c r="B39" s="1226" t="s">
        <v>1554</v>
      </c>
      <c r="C39" s="1227" t="s">
        <v>506</v>
      </c>
      <c r="D39" s="1227">
        <v>20</v>
      </c>
      <c r="E39" s="1227">
        <f>D39*12</f>
        <v>240</v>
      </c>
      <c r="F39" s="1228" t="s">
        <v>518</v>
      </c>
      <c r="G39" s="1254">
        <v>41600000</v>
      </c>
      <c r="H39" s="1400" t="s">
        <v>941</v>
      </c>
    </row>
    <row r="40" spans="1:11" ht="12" customHeight="1" x14ac:dyDescent="0.25">
      <c r="A40" s="1229"/>
      <c r="B40" s="1226"/>
      <c r="C40" s="1230" t="s">
        <v>507</v>
      </c>
      <c r="D40" s="1230">
        <v>20</v>
      </c>
      <c r="E40" s="1230">
        <f>D40*12</f>
        <v>240</v>
      </c>
      <c r="F40" s="1228" t="s">
        <v>519</v>
      </c>
      <c r="G40" s="1335">
        <f>141700000-G39</f>
        <v>100100000</v>
      </c>
      <c r="H40" s="1400" t="s">
        <v>941</v>
      </c>
    </row>
    <row r="41" spans="1:11" ht="12" customHeight="1" x14ac:dyDescent="0.25">
      <c r="A41" s="1229"/>
      <c r="B41" s="1226"/>
      <c r="C41" s="1230" t="s">
        <v>508</v>
      </c>
      <c r="D41" s="1230">
        <v>10</v>
      </c>
      <c r="E41" s="1230">
        <f>D41*12</f>
        <v>120</v>
      </c>
      <c r="F41" s="1228"/>
      <c r="G41" s="819"/>
      <c r="H41" s="1400"/>
    </row>
    <row r="42" spans="1:11" ht="12" customHeight="1" x14ac:dyDescent="0.25">
      <c r="A42" s="1229"/>
      <c r="B42" s="1226"/>
      <c r="C42" s="1230" t="s">
        <v>510</v>
      </c>
      <c r="D42" s="1230">
        <v>10</v>
      </c>
      <c r="E42" s="1230">
        <f>D42*12</f>
        <v>120</v>
      </c>
      <c r="F42" s="1228"/>
      <c r="G42" s="819"/>
      <c r="H42" s="1400"/>
    </row>
    <row r="43" spans="1:11" ht="12" customHeight="1" x14ac:dyDescent="0.25">
      <c r="A43" s="1229"/>
      <c r="B43" s="1226"/>
      <c r="C43" s="1230" t="s">
        <v>509</v>
      </c>
      <c r="D43" s="1230">
        <v>30</v>
      </c>
      <c r="E43" s="1230">
        <f>D43*12</f>
        <v>360</v>
      </c>
      <c r="F43" s="1228"/>
      <c r="G43" s="819"/>
      <c r="H43" s="1400"/>
    </row>
    <row r="44" spans="1:11" ht="12" customHeight="1" x14ac:dyDescent="0.25">
      <c r="A44" s="1229"/>
      <c r="B44" s="1226"/>
      <c r="C44" s="1230" t="s">
        <v>511</v>
      </c>
      <c r="D44" s="1230">
        <v>10</v>
      </c>
      <c r="E44" s="1230">
        <f>D44*24</f>
        <v>240</v>
      </c>
      <c r="F44" s="1228"/>
      <c r="G44" s="819"/>
      <c r="H44" s="1400"/>
    </row>
    <row r="45" spans="1:11" ht="12" customHeight="1" x14ac:dyDescent="0.25">
      <c r="A45" s="1229"/>
      <c r="B45" s="1226"/>
      <c r="C45" s="1230" t="s">
        <v>512</v>
      </c>
      <c r="D45" s="1230">
        <v>10</v>
      </c>
      <c r="E45" s="1230">
        <f>D45*12</f>
        <v>120</v>
      </c>
      <c r="F45" s="1228"/>
      <c r="G45" s="828"/>
      <c r="H45" s="1408"/>
    </row>
    <row r="46" spans="1:11" s="837" customFormat="1" ht="12" customHeight="1" x14ac:dyDescent="0.25">
      <c r="A46" s="1229"/>
      <c r="B46" s="1226"/>
      <c r="C46" s="1231" t="s">
        <v>802</v>
      </c>
      <c r="D46" s="1232">
        <v>30</v>
      </c>
      <c r="E46" s="1232">
        <f>D46*12</f>
        <v>360</v>
      </c>
      <c r="F46" s="1233"/>
      <c r="G46" s="828"/>
      <c r="H46" s="1409"/>
    </row>
    <row r="47" spans="1:11" ht="14.25" customHeight="1" x14ac:dyDescent="0.25">
      <c r="A47" s="2402" t="s">
        <v>815</v>
      </c>
      <c r="B47" s="2403"/>
      <c r="C47" s="2403"/>
      <c r="D47" s="1234"/>
      <c r="E47" s="1235">
        <f>SUM(E39:E46)</f>
        <v>1800</v>
      </c>
      <c r="F47" s="1236"/>
      <c r="G47" s="849">
        <f>SUM(G39:G40)</f>
        <v>141700000</v>
      </c>
      <c r="H47" s="1410"/>
    </row>
    <row r="48" spans="1:11" ht="31.5" customHeight="1" x14ac:dyDescent="0.25">
      <c r="A48" s="1225" t="s">
        <v>952</v>
      </c>
      <c r="B48" s="1226" t="s">
        <v>1555</v>
      </c>
      <c r="C48" s="1227" t="s">
        <v>522</v>
      </c>
      <c r="D48" s="1227"/>
      <c r="E48" s="1227">
        <v>49</v>
      </c>
      <c r="F48" s="1228"/>
      <c r="G48" s="1337">
        <f>E48*135000</f>
        <v>6615000</v>
      </c>
      <c r="H48" s="1408" t="s">
        <v>941</v>
      </c>
    </row>
    <row r="49" spans="1:11" ht="14.25" customHeight="1" x14ac:dyDescent="0.25">
      <c r="A49" s="2402" t="s">
        <v>973</v>
      </c>
      <c r="B49" s="2403"/>
      <c r="C49" s="2403"/>
      <c r="D49" s="1234"/>
      <c r="E49" s="1188">
        <f>SUM(E48:E48)</f>
        <v>49</v>
      </c>
      <c r="F49" s="1236"/>
      <c r="G49" s="849">
        <f>G48</f>
        <v>6615000</v>
      </c>
      <c r="H49" s="1410"/>
    </row>
    <row r="50" spans="1:11" ht="31.5" customHeight="1" x14ac:dyDescent="0.25">
      <c r="A50" s="1225" t="s">
        <v>1252</v>
      </c>
      <c r="B50" s="1226" t="s">
        <v>1556</v>
      </c>
      <c r="C50" s="1227" t="s">
        <v>506</v>
      </c>
      <c r="D50" s="1227">
        <v>20</v>
      </c>
      <c r="E50" s="1227">
        <f>D50*12</f>
        <v>240</v>
      </c>
      <c r="F50" s="1228" t="s">
        <v>517</v>
      </c>
      <c r="G50" s="1254">
        <v>50000000</v>
      </c>
      <c r="H50" s="1400" t="s">
        <v>1253</v>
      </c>
    </row>
    <row r="51" spans="1:11" ht="14.25" customHeight="1" x14ac:dyDescent="0.25">
      <c r="A51" s="1237"/>
      <c r="B51" s="1226"/>
      <c r="C51" s="1232" t="s">
        <v>507</v>
      </c>
      <c r="D51" s="1232">
        <v>20</v>
      </c>
      <c r="E51" s="1231">
        <f t="shared" ref="E51:E54" si="1">D51*12</f>
        <v>240</v>
      </c>
      <c r="F51" s="1233" t="s">
        <v>518</v>
      </c>
      <c r="G51" s="1238">
        <v>84000000</v>
      </c>
      <c r="H51" s="1403" t="s">
        <v>1253</v>
      </c>
    </row>
    <row r="52" spans="1:11" ht="14.25" customHeight="1" x14ac:dyDescent="0.25">
      <c r="A52" s="1239"/>
      <c r="B52" s="1226"/>
      <c r="C52" s="1230" t="s">
        <v>508</v>
      </c>
      <c r="D52" s="1230">
        <v>10</v>
      </c>
      <c r="E52" s="1230">
        <f t="shared" si="1"/>
        <v>120</v>
      </c>
      <c r="F52" s="1240" t="s">
        <v>519</v>
      </c>
      <c r="G52" s="1335">
        <v>102450000</v>
      </c>
      <c r="H52" s="1403" t="s">
        <v>941</v>
      </c>
    </row>
    <row r="53" spans="1:11" ht="14.25" customHeight="1" x14ac:dyDescent="0.25">
      <c r="A53" s="1239"/>
      <c r="B53" s="1226"/>
      <c r="C53" s="1230" t="s">
        <v>509</v>
      </c>
      <c r="D53" s="1230">
        <v>10</v>
      </c>
      <c r="E53" s="1230">
        <f t="shared" si="1"/>
        <v>120</v>
      </c>
      <c r="F53" s="1240"/>
      <c r="G53" s="1179"/>
      <c r="H53" s="1403"/>
    </row>
    <row r="54" spans="1:11" ht="14.25" customHeight="1" x14ac:dyDescent="0.25">
      <c r="A54" s="1239"/>
      <c r="B54" s="1226"/>
      <c r="C54" s="628" t="s">
        <v>510</v>
      </c>
      <c r="D54" s="1230">
        <v>10</v>
      </c>
      <c r="E54" s="1230">
        <f t="shared" si="1"/>
        <v>120</v>
      </c>
      <c r="F54" s="1240"/>
      <c r="G54" s="1179"/>
      <c r="H54" s="1403"/>
    </row>
    <row r="55" spans="1:11" ht="14.25" customHeight="1" x14ac:dyDescent="0.25">
      <c r="A55" s="1239"/>
      <c r="B55" s="1226"/>
      <c r="C55" s="1230" t="s">
        <v>511</v>
      </c>
      <c r="D55" s="1230">
        <v>6</v>
      </c>
      <c r="E55" s="1230">
        <f>D55*24</f>
        <v>144</v>
      </c>
      <c r="F55" s="1240"/>
      <c r="G55" s="1179"/>
      <c r="H55" s="1403"/>
    </row>
    <row r="56" spans="1:11" ht="14.25" customHeight="1" x14ac:dyDescent="0.25">
      <c r="A56" s="1239"/>
      <c r="B56" s="1226"/>
      <c r="C56" s="1230" t="s">
        <v>802</v>
      </c>
      <c r="D56" s="1230">
        <v>12</v>
      </c>
      <c r="E56" s="1230">
        <f>D56*12</f>
        <v>144</v>
      </c>
      <c r="F56" s="1240"/>
      <c r="G56" s="1179"/>
      <c r="H56" s="1403"/>
    </row>
    <row r="57" spans="1:11" ht="14.25" customHeight="1" x14ac:dyDescent="0.25">
      <c r="A57" s="1239"/>
      <c r="B57" s="1226"/>
      <c r="C57" s="628" t="s">
        <v>512</v>
      </c>
      <c r="D57" s="1230">
        <v>10</v>
      </c>
      <c r="E57" s="1230">
        <f>D57*12</f>
        <v>120</v>
      </c>
      <c r="F57" s="1240"/>
      <c r="G57" s="1179"/>
      <c r="H57" s="1403"/>
    </row>
    <row r="58" spans="1:11" ht="14.25" customHeight="1" x14ac:dyDescent="0.25">
      <c r="A58" s="1239"/>
      <c r="B58" s="1226"/>
      <c r="C58" s="1230" t="s">
        <v>504</v>
      </c>
      <c r="D58" s="1230">
        <v>10</v>
      </c>
      <c r="E58" s="1230">
        <f>D58*24</f>
        <v>240</v>
      </c>
      <c r="F58" s="1240"/>
      <c r="G58" s="1179"/>
      <c r="H58" s="1403"/>
    </row>
    <row r="59" spans="1:11" ht="14.25" customHeight="1" x14ac:dyDescent="0.25">
      <c r="A59" s="1239"/>
      <c r="B59" s="1226"/>
      <c r="C59" s="1230" t="s">
        <v>505</v>
      </c>
      <c r="D59" s="1230">
        <v>5</v>
      </c>
      <c r="E59" s="1230">
        <f>D59*24</f>
        <v>120</v>
      </c>
      <c r="F59" s="1240"/>
      <c r="G59" s="1179"/>
      <c r="H59" s="1408"/>
    </row>
    <row r="60" spans="1:11" ht="14.25" customHeight="1" x14ac:dyDescent="0.25">
      <c r="A60" s="2400" t="s">
        <v>988</v>
      </c>
      <c r="B60" s="2401"/>
      <c r="C60" s="2401"/>
      <c r="D60" s="1241"/>
      <c r="E60" s="1672">
        <f>SUM(E50:E59)</f>
        <v>1608</v>
      </c>
      <c r="F60" s="1243"/>
      <c r="G60" s="1176">
        <f>SUM(G50:G52)</f>
        <v>236450000</v>
      </c>
      <c r="H60" s="1403"/>
    </row>
    <row r="61" spans="1:11" ht="14.25" customHeight="1" x14ac:dyDescent="0.25">
      <c r="A61" s="1955" t="s">
        <v>2061</v>
      </c>
      <c r="B61" s="1956" t="s">
        <v>2330</v>
      </c>
      <c r="C61" s="777" t="s">
        <v>506</v>
      </c>
      <c r="D61" s="1957">
        <v>20</v>
      </c>
      <c r="E61" s="1672">
        <v>240</v>
      </c>
      <c r="F61" s="1243"/>
      <c r="G61" s="1176"/>
      <c r="H61" s="1400" t="s">
        <v>941</v>
      </c>
    </row>
    <row r="62" spans="1:11" ht="14.25" customHeight="1" x14ac:dyDescent="0.25">
      <c r="A62" s="1952"/>
      <c r="B62" s="1953"/>
      <c r="C62" s="787" t="s">
        <v>507</v>
      </c>
      <c r="D62" s="1957">
        <v>20</v>
      </c>
      <c r="E62" s="1672">
        <v>240</v>
      </c>
      <c r="F62" s="1243"/>
      <c r="G62" s="1176"/>
      <c r="H62" s="1400" t="s">
        <v>941</v>
      </c>
    </row>
    <row r="63" spans="1:11" ht="14.25" customHeight="1" x14ac:dyDescent="0.25">
      <c r="A63" s="1952"/>
      <c r="B63" s="1953"/>
      <c r="C63" s="771" t="s">
        <v>508</v>
      </c>
      <c r="D63" s="1957">
        <v>20</v>
      </c>
      <c r="E63" s="1672">
        <v>240</v>
      </c>
      <c r="F63" s="1243"/>
      <c r="G63" s="1176"/>
      <c r="H63" s="1400" t="s">
        <v>941</v>
      </c>
      <c r="K63" s="748"/>
    </row>
    <row r="64" spans="1:11" ht="14.25" customHeight="1" x14ac:dyDescent="0.25">
      <c r="A64" s="1952"/>
      <c r="B64" s="1953"/>
      <c r="C64" s="771" t="s">
        <v>509</v>
      </c>
      <c r="D64" s="1957">
        <v>20</v>
      </c>
      <c r="E64" s="1672">
        <v>240</v>
      </c>
      <c r="F64" s="1243"/>
      <c r="G64" s="1176"/>
      <c r="H64" s="1400" t="s">
        <v>941</v>
      </c>
    </row>
    <row r="65" spans="1:12" ht="14.25" customHeight="1" x14ac:dyDescent="0.25">
      <c r="A65" s="1952"/>
      <c r="B65" s="1953"/>
      <c r="C65" s="771" t="s">
        <v>802</v>
      </c>
      <c r="D65" s="1957">
        <v>30</v>
      </c>
      <c r="E65" s="1672">
        <v>360</v>
      </c>
      <c r="F65" s="1243"/>
      <c r="G65" s="1176"/>
      <c r="H65" s="1400" t="s">
        <v>941</v>
      </c>
    </row>
    <row r="66" spans="1:12" ht="14.25" customHeight="1" x14ac:dyDescent="0.25">
      <c r="A66" s="1952"/>
      <c r="B66" s="1953"/>
      <c r="C66" s="628" t="s">
        <v>512</v>
      </c>
      <c r="D66" s="1957">
        <v>10</v>
      </c>
      <c r="E66" s="1672">
        <v>120</v>
      </c>
      <c r="F66" s="1243"/>
      <c r="G66" s="1176"/>
      <c r="H66" s="1400" t="s">
        <v>941</v>
      </c>
    </row>
    <row r="67" spans="1:12" ht="14.25" customHeight="1" x14ac:dyDescent="0.25">
      <c r="A67" s="2400" t="s">
        <v>988</v>
      </c>
      <c r="B67" s="2401"/>
      <c r="C67" s="2401"/>
      <c r="D67" s="1954"/>
      <c r="E67" s="1672">
        <f>SUM(E61:E66)</f>
        <v>1440</v>
      </c>
      <c r="F67" s="1243"/>
      <c r="G67" s="1176">
        <v>198000000</v>
      </c>
      <c r="H67" s="1400" t="s">
        <v>941</v>
      </c>
    </row>
    <row r="68" spans="1:12" ht="15" customHeight="1" x14ac:dyDescent="0.25">
      <c r="A68" s="2397"/>
      <c r="B68" s="2398"/>
      <c r="C68" s="2399"/>
      <c r="D68" s="833"/>
      <c r="E68" s="833">
        <f>SUM(E18+E23+E34+E38+E47+E49+E60+E67)</f>
        <v>8126</v>
      </c>
      <c r="F68" s="834"/>
      <c r="G68" s="834">
        <f>G18+G23+G34+G38+G47+G49+G60+G67</f>
        <v>973815000</v>
      </c>
      <c r="H68" s="1411"/>
    </row>
    <row r="69" spans="1:12" ht="14.4" thickBot="1" x14ac:dyDescent="0.3">
      <c r="A69" s="2392"/>
      <c r="B69" s="2392"/>
      <c r="C69" s="2392"/>
      <c r="D69" s="835"/>
      <c r="E69" s="835"/>
      <c r="F69" s="835"/>
      <c r="G69" s="836"/>
      <c r="H69" s="1412"/>
    </row>
    <row r="70" spans="1:12" ht="14.4" thickTop="1" x14ac:dyDescent="0.25"/>
    <row r="71" spans="1:12" ht="16.8" x14ac:dyDescent="0.25">
      <c r="B71" s="1244" t="s">
        <v>904</v>
      </c>
      <c r="C71" s="267"/>
      <c r="D71" s="1245"/>
      <c r="E71" s="1245"/>
      <c r="F71" s="304" t="s">
        <v>303</v>
      </c>
      <c r="G71" s="1246"/>
      <c r="I71" s="873"/>
      <c r="J71" s="873"/>
      <c r="L71" s="873"/>
    </row>
    <row r="72" spans="1:12" ht="16.8" x14ac:dyDescent="0.25">
      <c r="B72" s="471" t="s">
        <v>308</v>
      </c>
      <c r="D72" s="1245"/>
      <c r="E72" s="1245"/>
      <c r="F72" s="1170" t="s">
        <v>243</v>
      </c>
      <c r="G72" s="1246"/>
      <c r="I72" s="873"/>
      <c r="J72" s="873"/>
      <c r="L72" s="873"/>
    </row>
  </sheetData>
  <mergeCells count="13">
    <mergeCell ref="E3:F3"/>
    <mergeCell ref="A69:C69"/>
    <mergeCell ref="B34:C34"/>
    <mergeCell ref="B18:C18"/>
    <mergeCell ref="B23:C23"/>
    <mergeCell ref="A68:C68"/>
    <mergeCell ref="A60:C60"/>
    <mergeCell ref="B38:C38"/>
    <mergeCell ref="A47:C47"/>
    <mergeCell ref="A49:C49"/>
    <mergeCell ref="A4:H4"/>
    <mergeCell ref="A5:H5"/>
    <mergeCell ref="A67:C67"/>
  </mergeCells>
  <pageMargins left="0.9055118110236221" right="0" top="0.74803149606299213" bottom="0.74803149606299213" header="0.31496062992125984" footer="0.31496062992125984"/>
  <pageSetup paperSize="9" orientation="portrait" horizontalDpi="4294967293" verticalDpi="0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workbookViewId="0">
      <selection activeCell="C70" sqref="C70"/>
    </sheetView>
  </sheetViews>
  <sheetFormatPr defaultColWidth="9" defaultRowHeight="13.8" x14ac:dyDescent="0.25"/>
  <cols>
    <col min="1" max="1" width="6.109375" style="24" customWidth="1"/>
    <col min="2" max="2" width="14.5546875" style="24" customWidth="1"/>
    <col min="3" max="3" width="16.109375" style="24" customWidth="1"/>
    <col min="4" max="4" width="7.88671875" style="24" customWidth="1"/>
    <col min="5" max="5" width="9.109375" style="24" customWidth="1"/>
    <col min="6" max="6" width="8.109375" style="24" customWidth="1"/>
    <col min="7" max="7" width="15.109375" style="24" customWidth="1"/>
    <col min="8" max="8" width="11.5546875" style="24" bestFit="1" customWidth="1"/>
    <col min="9" max="16384" width="9" style="24"/>
  </cols>
  <sheetData>
    <row r="1" spans="1:19" s="1" customFormat="1" ht="16.8" x14ac:dyDescent="0.3">
      <c r="A1" s="5" t="s">
        <v>3</v>
      </c>
      <c r="B1" s="5"/>
      <c r="C1" s="8"/>
      <c r="D1" s="8"/>
      <c r="E1" s="11"/>
      <c r="F1" s="8"/>
      <c r="G1" s="95"/>
      <c r="H1" s="95"/>
      <c r="N1" s="95"/>
      <c r="O1" s="95"/>
      <c r="P1" s="95"/>
      <c r="Q1" s="112"/>
      <c r="R1" s="95"/>
      <c r="S1" s="56"/>
    </row>
    <row r="2" spans="1:19" s="1" customFormat="1" ht="15.6" x14ac:dyDescent="0.25">
      <c r="A2" s="7" t="s">
        <v>5</v>
      </c>
      <c r="B2" s="7"/>
      <c r="C2" s="9"/>
      <c r="D2" s="9"/>
      <c r="E2" s="12"/>
      <c r="F2" s="9"/>
      <c r="G2" s="524"/>
      <c r="H2" s="524"/>
      <c r="N2" s="524"/>
      <c r="O2" s="524"/>
      <c r="P2" s="524"/>
      <c r="Q2" s="113"/>
      <c r="R2" s="524"/>
      <c r="S2" s="57"/>
    </row>
    <row r="3" spans="1:19" ht="32.25" customHeight="1" x14ac:dyDescent="0.25">
      <c r="A3" s="2411" t="s">
        <v>2316</v>
      </c>
      <c r="B3" s="2411"/>
      <c r="C3" s="2411"/>
      <c r="D3" s="2411"/>
      <c r="E3" s="2411"/>
      <c r="F3" s="2411"/>
      <c r="G3" s="2411"/>
      <c r="H3" s="28"/>
      <c r="J3" s="25"/>
    </row>
    <row r="4" spans="1:19" ht="14.4" thickBot="1" x14ac:dyDescent="0.3"/>
    <row r="5" spans="1:19" ht="21" thickTop="1" x14ac:dyDescent="0.25">
      <c r="A5" s="893" t="s">
        <v>153</v>
      </c>
      <c r="B5" s="158" t="s">
        <v>502</v>
      </c>
      <c r="C5" s="158" t="s">
        <v>503</v>
      </c>
      <c r="D5" s="158" t="s">
        <v>936</v>
      </c>
      <c r="E5" s="159" t="s">
        <v>226</v>
      </c>
      <c r="F5" s="159" t="s">
        <v>816</v>
      </c>
      <c r="G5" s="160" t="s">
        <v>1</v>
      </c>
      <c r="H5" s="576"/>
    </row>
    <row r="6" spans="1:19" x14ac:dyDescent="0.25">
      <c r="A6" s="894" t="s">
        <v>176</v>
      </c>
      <c r="B6" s="807" t="s">
        <v>523</v>
      </c>
      <c r="C6" s="161" t="s">
        <v>522</v>
      </c>
      <c r="D6" s="161" t="s">
        <v>46</v>
      </c>
      <c r="E6" s="161">
        <v>10</v>
      </c>
      <c r="F6" s="161">
        <f>E6*50</f>
        <v>500</v>
      </c>
      <c r="G6" s="162" t="s">
        <v>810</v>
      </c>
      <c r="H6" s="28"/>
    </row>
    <row r="7" spans="1:19" s="780" customFormat="1" ht="21" x14ac:dyDescent="0.25">
      <c r="A7" s="895" t="s">
        <v>176</v>
      </c>
      <c r="B7" s="777" t="s">
        <v>523</v>
      </c>
      <c r="C7" s="771" t="s">
        <v>505</v>
      </c>
      <c r="D7" s="771" t="s">
        <v>34</v>
      </c>
      <c r="E7" s="771">
        <v>4</v>
      </c>
      <c r="F7" s="771">
        <f>E7*24</f>
        <v>96</v>
      </c>
      <c r="G7" s="891" t="s">
        <v>189</v>
      </c>
      <c r="H7" s="779"/>
    </row>
    <row r="8" spans="1:19" s="780" customFormat="1" x14ac:dyDescent="0.25">
      <c r="A8" s="895" t="s">
        <v>176</v>
      </c>
      <c r="B8" s="777" t="s">
        <v>523</v>
      </c>
      <c r="C8" s="771" t="s">
        <v>507</v>
      </c>
      <c r="D8" s="771" t="s">
        <v>35</v>
      </c>
      <c r="E8" s="771">
        <v>10</v>
      </c>
      <c r="F8" s="771">
        <f>E8*12</f>
        <v>120</v>
      </c>
      <c r="G8" s="778"/>
      <c r="H8" s="779"/>
    </row>
    <row r="9" spans="1:19" s="780" customFormat="1" x14ac:dyDescent="0.25">
      <c r="A9" s="895" t="s">
        <v>176</v>
      </c>
      <c r="B9" s="777" t="s">
        <v>523</v>
      </c>
      <c r="C9" s="771" t="s">
        <v>805</v>
      </c>
      <c r="D9" s="771" t="s">
        <v>36</v>
      </c>
      <c r="E9" s="771">
        <v>4</v>
      </c>
      <c r="F9" s="771">
        <f>E9*24</f>
        <v>96</v>
      </c>
      <c r="G9" s="778"/>
      <c r="H9" s="779"/>
    </row>
    <row r="10" spans="1:19" s="780" customFormat="1" x14ac:dyDescent="0.25">
      <c r="A10" s="895" t="s">
        <v>176</v>
      </c>
      <c r="B10" s="777" t="s">
        <v>523</v>
      </c>
      <c r="C10" s="771" t="s">
        <v>508</v>
      </c>
      <c r="D10" s="771" t="s">
        <v>37</v>
      </c>
      <c r="E10" s="771">
        <v>5</v>
      </c>
      <c r="F10" s="771">
        <f>E10*12</f>
        <v>60</v>
      </c>
      <c r="G10" s="778"/>
      <c r="H10" s="779"/>
    </row>
    <row r="11" spans="1:19" s="780" customFormat="1" x14ac:dyDescent="0.25">
      <c r="A11" s="895" t="s">
        <v>176</v>
      </c>
      <c r="B11" s="777" t="s">
        <v>523</v>
      </c>
      <c r="C11" s="771" t="s">
        <v>939</v>
      </c>
      <c r="D11" s="771" t="s">
        <v>39</v>
      </c>
      <c r="E11" s="771">
        <v>5</v>
      </c>
      <c r="F11" s="771">
        <f>E11*24</f>
        <v>120</v>
      </c>
      <c r="G11" s="778"/>
      <c r="H11" s="779"/>
    </row>
    <row r="12" spans="1:19" s="780" customFormat="1" x14ac:dyDescent="0.25">
      <c r="A12" s="895" t="s">
        <v>176</v>
      </c>
      <c r="B12" s="777" t="s">
        <v>523</v>
      </c>
      <c r="C12" s="771" t="s">
        <v>509</v>
      </c>
      <c r="D12" s="771" t="s">
        <v>40</v>
      </c>
      <c r="E12" s="771">
        <v>5</v>
      </c>
      <c r="F12" s="771">
        <f>E12*12</f>
        <v>60</v>
      </c>
      <c r="G12" s="778"/>
      <c r="H12" s="779"/>
    </row>
    <row r="13" spans="1:19" s="780" customFormat="1" ht="21" x14ac:dyDescent="0.25">
      <c r="A13" s="895" t="s">
        <v>176</v>
      </c>
      <c r="B13" s="777" t="s">
        <v>523</v>
      </c>
      <c r="C13" s="771" t="s">
        <v>806</v>
      </c>
      <c r="D13" s="771" t="s">
        <v>38</v>
      </c>
      <c r="E13" s="771" t="s">
        <v>807</v>
      </c>
      <c r="F13" s="771">
        <f>5*24+8</f>
        <v>128</v>
      </c>
      <c r="G13" s="778"/>
      <c r="H13" s="779"/>
    </row>
    <row r="14" spans="1:19" s="780" customFormat="1" ht="21" x14ac:dyDescent="0.25">
      <c r="A14" s="895" t="s">
        <v>176</v>
      </c>
      <c r="B14" s="777" t="s">
        <v>523</v>
      </c>
      <c r="C14" s="771" t="s">
        <v>512</v>
      </c>
      <c r="D14" s="771" t="s">
        <v>42</v>
      </c>
      <c r="E14" s="771" t="s">
        <v>808</v>
      </c>
      <c r="F14" s="771">
        <f>11*12+6</f>
        <v>138</v>
      </c>
      <c r="G14" s="778"/>
      <c r="H14" s="779"/>
    </row>
    <row r="15" spans="1:19" s="780" customFormat="1" ht="21" x14ac:dyDescent="0.25">
      <c r="A15" s="895" t="s">
        <v>176</v>
      </c>
      <c r="B15" s="777" t="s">
        <v>523</v>
      </c>
      <c r="C15" s="777" t="s">
        <v>802</v>
      </c>
      <c r="D15" s="777" t="s">
        <v>44</v>
      </c>
      <c r="E15" s="771" t="s">
        <v>809</v>
      </c>
      <c r="F15" s="771">
        <f>19*12+3</f>
        <v>231</v>
      </c>
      <c r="G15" s="781"/>
    </row>
    <row r="16" spans="1:19" s="780" customFormat="1" ht="32.25" customHeight="1" x14ac:dyDescent="0.25">
      <c r="A16" s="896"/>
      <c r="B16" s="2412" t="s">
        <v>811</v>
      </c>
      <c r="C16" s="2413"/>
      <c r="D16" s="1122"/>
      <c r="E16" s="782">
        <v>65</v>
      </c>
      <c r="F16" s="1188">
        <f>SUM(F6:F15)</f>
        <v>1549</v>
      </c>
      <c r="G16" s="783"/>
    </row>
    <row r="17" spans="1:7" s="780" customFormat="1" ht="21" x14ac:dyDescent="0.25">
      <c r="A17" s="897" t="s">
        <v>527</v>
      </c>
      <c r="B17" s="839" t="s">
        <v>204</v>
      </c>
      <c r="C17" s="771" t="s">
        <v>507</v>
      </c>
      <c r="D17" s="777" t="s">
        <v>35</v>
      </c>
      <c r="E17" s="777">
        <v>10</v>
      </c>
      <c r="F17" s="777">
        <f>E17*12</f>
        <v>120</v>
      </c>
      <c r="G17" s="892" t="s">
        <v>189</v>
      </c>
    </row>
    <row r="18" spans="1:7" s="780" customFormat="1" x14ac:dyDescent="0.25">
      <c r="A18" s="897" t="s">
        <v>527</v>
      </c>
      <c r="B18" s="777" t="s">
        <v>204</v>
      </c>
      <c r="C18" s="771" t="s">
        <v>508</v>
      </c>
      <c r="D18" s="777" t="s">
        <v>37</v>
      </c>
      <c r="E18" s="777">
        <v>10</v>
      </c>
      <c r="F18" s="777">
        <f>E18*12</f>
        <v>120</v>
      </c>
      <c r="G18" s="784"/>
    </row>
    <row r="19" spans="1:7" s="780" customFormat="1" x14ac:dyDescent="0.25">
      <c r="A19" s="897" t="s">
        <v>527</v>
      </c>
      <c r="B19" s="777" t="s">
        <v>204</v>
      </c>
      <c r="C19" s="771" t="s">
        <v>509</v>
      </c>
      <c r="D19" s="777" t="s">
        <v>40</v>
      </c>
      <c r="E19" s="777">
        <v>10</v>
      </c>
      <c r="F19" s="777">
        <f>E19*12</f>
        <v>120</v>
      </c>
      <c r="G19" s="784"/>
    </row>
    <row r="20" spans="1:7" s="780" customFormat="1" x14ac:dyDescent="0.25">
      <c r="A20" s="897" t="s">
        <v>527</v>
      </c>
      <c r="B20" s="777" t="s">
        <v>204</v>
      </c>
      <c r="C20" s="771" t="s">
        <v>511</v>
      </c>
      <c r="D20" s="777" t="s">
        <v>41</v>
      </c>
      <c r="E20" s="777">
        <v>5</v>
      </c>
      <c r="F20" s="777">
        <f>E20*24</f>
        <v>120</v>
      </c>
      <c r="G20" s="784"/>
    </row>
    <row r="21" spans="1:7" s="780" customFormat="1" ht="32.25" customHeight="1" x14ac:dyDescent="0.25">
      <c r="A21" s="896"/>
      <c r="B21" s="2412" t="s">
        <v>812</v>
      </c>
      <c r="C21" s="2413"/>
      <c r="D21" s="1122"/>
      <c r="E21" s="782">
        <f>SUM(E17:E20)</f>
        <v>35</v>
      </c>
      <c r="F21" s="1188">
        <f>SUM(F17:F20)</f>
        <v>480</v>
      </c>
      <c r="G21" s="785"/>
    </row>
    <row r="22" spans="1:7" s="780" customFormat="1" ht="21" x14ac:dyDescent="0.25">
      <c r="A22" s="897" t="s">
        <v>500</v>
      </c>
      <c r="B22" s="839" t="s">
        <v>501</v>
      </c>
      <c r="C22" s="777" t="s">
        <v>504</v>
      </c>
      <c r="D22" s="777" t="s">
        <v>31</v>
      </c>
      <c r="E22" s="777">
        <v>5</v>
      </c>
      <c r="F22" s="777">
        <f>E22*24</f>
        <v>120</v>
      </c>
      <c r="G22" s="892" t="s">
        <v>189</v>
      </c>
    </row>
    <row r="23" spans="1:7" s="780" customFormat="1" x14ac:dyDescent="0.25">
      <c r="A23" s="897" t="s">
        <v>500</v>
      </c>
      <c r="B23" s="777" t="s">
        <v>501</v>
      </c>
      <c r="C23" s="771" t="s">
        <v>505</v>
      </c>
      <c r="D23" s="771" t="s">
        <v>34</v>
      </c>
      <c r="E23" s="771">
        <v>5</v>
      </c>
      <c r="F23" s="771">
        <f>E23*24</f>
        <v>120</v>
      </c>
      <c r="G23" s="778"/>
    </row>
    <row r="24" spans="1:7" s="780" customFormat="1" x14ac:dyDescent="0.25">
      <c r="A24" s="897" t="s">
        <v>500</v>
      </c>
      <c r="B24" s="777" t="s">
        <v>501</v>
      </c>
      <c r="C24" s="771" t="s">
        <v>506</v>
      </c>
      <c r="D24" s="771" t="s">
        <v>33</v>
      </c>
      <c r="E24" s="771">
        <v>10</v>
      </c>
      <c r="F24" s="771">
        <f>E24*12</f>
        <v>120</v>
      </c>
      <c r="G24" s="778"/>
    </row>
    <row r="25" spans="1:7" s="780" customFormat="1" x14ac:dyDescent="0.25">
      <c r="A25" s="897" t="s">
        <v>500</v>
      </c>
      <c r="B25" s="777" t="s">
        <v>501</v>
      </c>
      <c r="C25" s="771" t="s">
        <v>507</v>
      </c>
      <c r="D25" s="771" t="s">
        <v>35</v>
      </c>
      <c r="E25" s="771">
        <v>10</v>
      </c>
      <c r="F25" s="771">
        <f t="shared" ref="F25:F27" si="0">E25*12</f>
        <v>120</v>
      </c>
      <c r="G25" s="778"/>
    </row>
    <row r="26" spans="1:7" s="780" customFormat="1" x14ac:dyDescent="0.25">
      <c r="A26" s="897" t="s">
        <v>500</v>
      </c>
      <c r="B26" s="777" t="s">
        <v>501</v>
      </c>
      <c r="C26" s="771" t="s">
        <v>508</v>
      </c>
      <c r="D26" s="771" t="s">
        <v>37</v>
      </c>
      <c r="E26" s="771">
        <v>10</v>
      </c>
      <c r="F26" s="771">
        <f t="shared" si="0"/>
        <v>120</v>
      </c>
      <c r="G26" s="778"/>
    </row>
    <row r="27" spans="1:7" s="780" customFormat="1" x14ac:dyDescent="0.25">
      <c r="A27" s="897" t="s">
        <v>500</v>
      </c>
      <c r="B27" s="777" t="s">
        <v>501</v>
      </c>
      <c r="C27" s="771" t="s">
        <v>509</v>
      </c>
      <c r="D27" s="771" t="s">
        <v>40</v>
      </c>
      <c r="E27" s="771">
        <v>10</v>
      </c>
      <c r="F27" s="771">
        <f t="shared" si="0"/>
        <v>120</v>
      </c>
      <c r="G27" s="778"/>
    </row>
    <row r="28" spans="1:7" s="780" customFormat="1" x14ac:dyDescent="0.25">
      <c r="A28" s="897" t="s">
        <v>500</v>
      </c>
      <c r="B28" s="777" t="s">
        <v>501</v>
      </c>
      <c r="C28" s="771" t="s">
        <v>510</v>
      </c>
      <c r="D28" s="771" t="s">
        <v>60</v>
      </c>
      <c r="E28" s="771">
        <v>5</v>
      </c>
      <c r="F28" s="771">
        <f>E28*12</f>
        <v>60</v>
      </c>
      <c r="G28" s="778"/>
    </row>
    <row r="29" spans="1:7" s="780" customFormat="1" x14ac:dyDescent="0.25">
      <c r="A29" s="897" t="s">
        <v>500</v>
      </c>
      <c r="B29" s="777" t="s">
        <v>501</v>
      </c>
      <c r="C29" s="771" t="s">
        <v>511</v>
      </c>
      <c r="D29" s="771" t="s">
        <v>41</v>
      </c>
      <c r="E29" s="771">
        <v>5</v>
      </c>
      <c r="F29" s="771">
        <f>E29*24</f>
        <v>120</v>
      </c>
      <c r="G29" s="778"/>
    </row>
    <row r="30" spans="1:7" s="780" customFormat="1" x14ac:dyDescent="0.25">
      <c r="A30" s="897" t="s">
        <v>500</v>
      </c>
      <c r="B30" s="777" t="s">
        <v>501</v>
      </c>
      <c r="C30" s="771" t="s">
        <v>512</v>
      </c>
      <c r="D30" s="771" t="s">
        <v>42</v>
      </c>
      <c r="E30" s="771">
        <v>5</v>
      </c>
      <c r="F30" s="771">
        <f>E30*12</f>
        <v>60</v>
      </c>
      <c r="G30" s="778"/>
    </row>
    <row r="31" spans="1:7" s="780" customFormat="1" ht="27" customHeight="1" x14ac:dyDescent="0.25">
      <c r="A31" s="896"/>
      <c r="B31" s="2412" t="s">
        <v>813</v>
      </c>
      <c r="C31" s="2413"/>
      <c r="D31" s="1122"/>
      <c r="E31" s="782">
        <f>SUM(E22:E30)</f>
        <v>65</v>
      </c>
      <c r="F31" s="1188">
        <f>SUM(F22:F30)</f>
        <v>960</v>
      </c>
      <c r="G31" s="785"/>
    </row>
    <row r="32" spans="1:7" s="780" customFormat="1" ht="21" x14ac:dyDescent="0.25">
      <c r="A32" s="898" t="s">
        <v>634</v>
      </c>
      <c r="B32" s="839" t="s">
        <v>635</v>
      </c>
      <c r="C32" s="777" t="s">
        <v>802</v>
      </c>
      <c r="D32" s="777" t="s">
        <v>44</v>
      </c>
      <c r="E32" s="777">
        <v>20</v>
      </c>
      <c r="F32" s="777">
        <f>E32*12</f>
        <v>240</v>
      </c>
      <c r="G32" s="892" t="s">
        <v>189</v>
      </c>
    </row>
    <row r="33" spans="1:7" s="780" customFormat="1" x14ac:dyDescent="0.25">
      <c r="A33" s="898"/>
      <c r="B33" s="777"/>
      <c r="C33" s="771"/>
      <c r="D33" s="771"/>
      <c r="E33" s="771"/>
      <c r="F33" s="771"/>
      <c r="G33" s="784"/>
    </row>
    <row r="34" spans="1:7" s="780" customFormat="1" ht="30.75" customHeight="1" x14ac:dyDescent="0.25">
      <c r="A34" s="896"/>
      <c r="B34" s="2412" t="s">
        <v>814</v>
      </c>
      <c r="C34" s="2413"/>
      <c r="D34" s="1122"/>
      <c r="E34" s="782">
        <v>20</v>
      </c>
      <c r="F34" s="1188">
        <f>F32</f>
        <v>240</v>
      </c>
      <c r="G34" s="785"/>
    </row>
    <row r="35" spans="1:7" s="780" customFormat="1" ht="21" x14ac:dyDescent="0.25">
      <c r="A35" s="898" t="s">
        <v>792</v>
      </c>
      <c r="B35" s="839" t="s">
        <v>801</v>
      </c>
      <c r="C35" s="777" t="s">
        <v>506</v>
      </c>
      <c r="D35" s="777" t="s">
        <v>33</v>
      </c>
      <c r="E35" s="777">
        <v>20</v>
      </c>
      <c r="F35" s="777">
        <f>E35*12</f>
        <v>240</v>
      </c>
      <c r="G35" s="892" t="s">
        <v>189</v>
      </c>
    </row>
    <row r="36" spans="1:7" s="780" customFormat="1" x14ac:dyDescent="0.25">
      <c r="A36" s="898" t="s">
        <v>792</v>
      </c>
      <c r="B36" s="777" t="s">
        <v>801</v>
      </c>
      <c r="C36" s="771" t="s">
        <v>507</v>
      </c>
      <c r="D36" s="771" t="s">
        <v>35</v>
      </c>
      <c r="E36" s="771">
        <v>20</v>
      </c>
      <c r="F36" s="771">
        <f>E36*12</f>
        <v>240</v>
      </c>
      <c r="G36" s="784"/>
    </row>
    <row r="37" spans="1:7" s="780" customFormat="1" x14ac:dyDescent="0.25">
      <c r="A37" s="898" t="s">
        <v>792</v>
      </c>
      <c r="B37" s="777" t="s">
        <v>801</v>
      </c>
      <c r="C37" s="771" t="s">
        <v>508</v>
      </c>
      <c r="D37" s="771" t="s">
        <v>37</v>
      </c>
      <c r="E37" s="771">
        <v>10</v>
      </c>
      <c r="F37" s="771">
        <f>E37*12</f>
        <v>120</v>
      </c>
      <c r="G37" s="784"/>
    </row>
    <row r="38" spans="1:7" s="780" customFormat="1" x14ac:dyDescent="0.25">
      <c r="A38" s="898" t="s">
        <v>792</v>
      </c>
      <c r="B38" s="777" t="s">
        <v>801</v>
      </c>
      <c r="C38" s="771" t="s">
        <v>510</v>
      </c>
      <c r="D38" s="771" t="s">
        <v>60</v>
      </c>
      <c r="E38" s="771">
        <v>10</v>
      </c>
      <c r="F38" s="771">
        <f>E38*12</f>
        <v>120</v>
      </c>
      <c r="G38" s="784"/>
    </row>
    <row r="39" spans="1:7" s="780" customFormat="1" x14ac:dyDescent="0.25">
      <c r="A39" s="898" t="s">
        <v>792</v>
      </c>
      <c r="B39" s="777" t="s">
        <v>801</v>
      </c>
      <c r="C39" s="771" t="s">
        <v>509</v>
      </c>
      <c r="D39" s="771" t="s">
        <v>40</v>
      </c>
      <c r="E39" s="771">
        <v>30</v>
      </c>
      <c r="F39" s="771">
        <f>E39*12</f>
        <v>360</v>
      </c>
      <c r="G39" s="784"/>
    </row>
    <row r="40" spans="1:7" s="780" customFormat="1" x14ac:dyDescent="0.25">
      <c r="A40" s="898" t="s">
        <v>792</v>
      </c>
      <c r="B40" s="777" t="s">
        <v>801</v>
      </c>
      <c r="C40" s="771" t="s">
        <v>511</v>
      </c>
      <c r="D40" s="771" t="s">
        <v>41</v>
      </c>
      <c r="E40" s="771">
        <v>10</v>
      </c>
      <c r="F40" s="771">
        <f>E40*24</f>
        <v>240</v>
      </c>
      <c r="G40" s="784"/>
    </row>
    <row r="41" spans="1:7" s="780" customFormat="1" x14ac:dyDescent="0.25">
      <c r="A41" s="898" t="s">
        <v>792</v>
      </c>
      <c r="B41" s="777" t="s">
        <v>801</v>
      </c>
      <c r="C41" s="771" t="s">
        <v>512</v>
      </c>
      <c r="D41" s="771" t="s">
        <v>42</v>
      </c>
      <c r="E41" s="771">
        <v>10</v>
      </c>
      <c r="F41" s="771">
        <f>E41*12</f>
        <v>120</v>
      </c>
      <c r="G41" s="784"/>
    </row>
    <row r="42" spans="1:7" s="780" customFormat="1" x14ac:dyDescent="0.25">
      <c r="A42" s="898" t="s">
        <v>792</v>
      </c>
      <c r="B42" s="777" t="s">
        <v>801</v>
      </c>
      <c r="C42" s="786" t="s">
        <v>802</v>
      </c>
      <c r="D42" s="786" t="s">
        <v>44</v>
      </c>
      <c r="E42" s="787">
        <v>30</v>
      </c>
      <c r="F42" s="787">
        <f>E42*12</f>
        <v>360</v>
      </c>
      <c r="G42" s="788"/>
    </row>
    <row r="43" spans="1:7" s="780" customFormat="1" ht="18.75" customHeight="1" x14ac:dyDescent="0.25">
      <c r="A43" s="2414" t="s">
        <v>815</v>
      </c>
      <c r="B43" s="2415"/>
      <c r="C43" s="2415"/>
      <c r="D43" s="838"/>
      <c r="E43" s="782">
        <f>SUM(E35:E42)</f>
        <v>140</v>
      </c>
      <c r="F43" s="1188">
        <f>SUM(F35:F42)</f>
        <v>1800</v>
      </c>
      <c r="G43" s="785"/>
    </row>
    <row r="44" spans="1:7" s="780" customFormat="1" ht="18.75" customHeight="1" x14ac:dyDescent="0.25">
      <c r="A44" s="898" t="s">
        <v>952</v>
      </c>
      <c r="B44" s="839" t="s">
        <v>972</v>
      </c>
      <c r="C44" s="777" t="s">
        <v>522</v>
      </c>
      <c r="D44" s="777" t="s">
        <v>46</v>
      </c>
      <c r="E44" s="777"/>
      <c r="F44" s="777">
        <v>49</v>
      </c>
      <c r="G44" s="784"/>
    </row>
    <row r="45" spans="1:7" s="780" customFormat="1" ht="16.5" customHeight="1" x14ac:dyDescent="0.25">
      <c r="A45" s="2414" t="s">
        <v>973</v>
      </c>
      <c r="B45" s="2415"/>
      <c r="C45" s="2415"/>
      <c r="D45" s="838"/>
      <c r="E45" s="782">
        <f>SUM(E44:E44)</f>
        <v>0</v>
      </c>
      <c r="F45" s="1188">
        <f>SUM(F44:F44)</f>
        <v>49</v>
      </c>
      <c r="G45" s="785"/>
    </row>
    <row r="46" spans="1:7" s="780" customFormat="1" x14ac:dyDescent="0.25">
      <c r="A46" s="1181" t="s">
        <v>1252</v>
      </c>
      <c r="B46" s="839" t="s">
        <v>987</v>
      </c>
      <c r="C46" s="777" t="s">
        <v>506</v>
      </c>
      <c r="D46" s="777" t="s">
        <v>33</v>
      </c>
      <c r="E46" s="777">
        <v>20</v>
      </c>
      <c r="F46" s="777">
        <f>E46*12</f>
        <v>240</v>
      </c>
      <c r="G46" s="1185"/>
    </row>
    <row r="47" spans="1:7" s="780" customFormat="1" x14ac:dyDescent="0.25">
      <c r="A47" s="1182"/>
      <c r="B47" s="1177"/>
      <c r="C47" s="787" t="s">
        <v>507</v>
      </c>
      <c r="D47" s="787" t="s">
        <v>35</v>
      </c>
      <c r="E47" s="787">
        <v>20</v>
      </c>
      <c r="F47" s="786">
        <f t="shared" ref="F47:F50" si="1">E47*12</f>
        <v>240</v>
      </c>
      <c r="G47" s="1180"/>
    </row>
    <row r="48" spans="1:7" s="780" customFormat="1" x14ac:dyDescent="0.25">
      <c r="A48" s="1183"/>
      <c r="B48" s="1178"/>
      <c r="C48" s="771" t="s">
        <v>508</v>
      </c>
      <c r="D48" s="771" t="s">
        <v>37</v>
      </c>
      <c r="E48" s="771">
        <v>10</v>
      </c>
      <c r="F48" s="771">
        <f t="shared" si="1"/>
        <v>120</v>
      </c>
      <c r="G48" s="1180"/>
    </row>
    <row r="49" spans="1:7" s="780" customFormat="1" x14ac:dyDescent="0.25">
      <c r="A49" s="1183"/>
      <c r="B49" s="1178"/>
      <c r="C49" s="771" t="s">
        <v>509</v>
      </c>
      <c r="D49" s="771" t="s">
        <v>40</v>
      </c>
      <c r="E49" s="771">
        <v>10</v>
      </c>
      <c r="F49" s="771">
        <f t="shared" si="1"/>
        <v>120</v>
      </c>
      <c r="G49" s="1180"/>
    </row>
    <row r="50" spans="1:7" s="780" customFormat="1" x14ac:dyDescent="0.25">
      <c r="A50" s="1183"/>
      <c r="B50" s="1178"/>
      <c r="C50" s="628" t="s">
        <v>510</v>
      </c>
      <c r="D50" s="771" t="s">
        <v>60</v>
      </c>
      <c r="E50" s="771">
        <v>10</v>
      </c>
      <c r="F50" s="771">
        <f t="shared" si="1"/>
        <v>120</v>
      </c>
      <c r="G50" s="1180"/>
    </row>
    <row r="51" spans="1:7" s="780" customFormat="1" x14ac:dyDescent="0.25">
      <c r="A51" s="1183"/>
      <c r="B51" s="1178"/>
      <c r="C51" s="771" t="s">
        <v>511</v>
      </c>
      <c r="D51" s="771" t="s">
        <v>41</v>
      </c>
      <c r="E51" s="771">
        <v>6</v>
      </c>
      <c r="F51" s="771">
        <f>E51*24</f>
        <v>144</v>
      </c>
      <c r="G51" s="1180"/>
    </row>
    <row r="52" spans="1:7" s="780" customFormat="1" x14ac:dyDescent="0.25">
      <c r="A52" s="1183"/>
      <c r="B52" s="1178"/>
      <c r="C52" s="771" t="s">
        <v>802</v>
      </c>
      <c r="D52" s="771" t="s">
        <v>44</v>
      </c>
      <c r="E52" s="771">
        <v>12</v>
      </c>
      <c r="F52" s="771">
        <f>E52*12</f>
        <v>144</v>
      </c>
      <c r="G52" s="1180"/>
    </row>
    <row r="53" spans="1:7" s="780" customFormat="1" x14ac:dyDescent="0.25">
      <c r="A53" s="1183"/>
      <c r="B53" s="1178"/>
      <c r="C53" s="628" t="s">
        <v>512</v>
      </c>
      <c r="D53" s="771" t="s">
        <v>42</v>
      </c>
      <c r="E53" s="771">
        <v>10</v>
      </c>
      <c r="F53" s="771">
        <f>E53*12</f>
        <v>120</v>
      </c>
      <c r="G53" s="1180"/>
    </row>
    <row r="54" spans="1:7" s="780" customFormat="1" x14ac:dyDescent="0.25">
      <c r="A54" s="1183"/>
      <c r="B54" s="1178"/>
      <c r="C54" s="771" t="s">
        <v>504</v>
      </c>
      <c r="D54" s="771" t="s">
        <v>31</v>
      </c>
      <c r="E54" s="771">
        <v>10</v>
      </c>
      <c r="F54" s="771">
        <f>E54*24</f>
        <v>240</v>
      </c>
      <c r="G54" s="1180"/>
    </row>
    <row r="55" spans="1:7" s="780" customFormat="1" x14ac:dyDescent="0.25">
      <c r="A55" s="1801"/>
      <c r="B55" s="1802"/>
      <c r="C55" s="787" t="s">
        <v>505</v>
      </c>
      <c r="D55" s="787" t="s">
        <v>34</v>
      </c>
      <c r="E55" s="787">
        <v>5</v>
      </c>
      <c r="F55" s="787">
        <f>E55*24</f>
        <v>120</v>
      </c>
      <c r="G55" s="1800"/>
    </row>
    <row r="56" spans="1:7" s="780" customFormat="1" x14ac:dyDescent="0.25">
      <c r="A56" s="2406" t="s">
        <v>988</v>
      </c>
      <c r="B56" s="2407"/>
      <c r="C56" s="2407"/>
      <c r="D56" s="786"/>
      <c r="E56" s="786"/>
      <c r="F56" s="786">
        <f>SUM(F46:F55)</f>
        <v>1608</v>
      </c>
      <c r="G56" s="1812"/>
    </row>
    <row r="57" spans="1:7" s="780" customFormat="1" x14ac:dyDescent="0.25">
      <c r="A57" s="1805" t="s">
        <v>2061</v>
      </c>
      <c r="B57" s="1806" t="s">
        <v>2109</v>
      </c>
      <c r="C57" s="777" t="s">
        <v>506</v>
      </c>
      <c r="D57" s="777" t="s">
        <v>33</v>
      </c>
      <c r="E57" s="1807">
        <v>20</v>
      </c>
      <c r="F57" s="1807">
        <v>240</v>
      </c>
      <c r="G57" s="1808"/>
    </row>
    <row r="58" spans="1:7" s="780" customFormat="1" x14ac:dyDescent="0.25">
      <c r="A58" s="1809"/>
      <c r="B58" s="1799"/>
      <c r="C58" s="787" t="s">
        <v>507</v>
      </c>
      <c r="D58" s="787" t="s">
        <v>35</v>
      </c>
      <c r="E58" s="1807">
        <v>20</v>
      </c>
      <c r="F58" s="1807">
        <v>240</v>
      </c>
      <c r="G58" s="1810"/>
    </row>
    <row r="59" spans="1:7" s="780" customFormat="1" x14ac:dyDescent="0.25">
      <c r="A59" s="1809"/>
      <c r="B59" s="1799"/>
      <c r="C59" s="771" t="s">
        <v>508</v>
      </c>
      <c r="D59" s="771" t="s">
        <v>37</v>
      </c>
      <c r="E59" s="1807">
        <v>20</v>
      </c>
      <c r="F59" s="1807">
        <v>240</v>
      </c>
      <c r="G59" s="1810"/>
    </row>
    <row r="60" spans="1:7" s="780" customFormat="1" x14ac:dyDescent="0.25">
      <c r="A60" s="1809"/>
      <c r="B60" s="1799"/>
      <c r="C60" s="771" t="s">
        <v>509</v>
      </c>
      <c r="D60" s="771" t="s">
        <v>40</v>
      </c>
      <c r="E60" s="786">
        <v>20</v>
      </c>
      <c r="F60" s="787">
        <v>240</v>
      </c>
      <c r="G60" s="1810"/>
    </row>
    <row r="61" spans="1:7" s="780" customFormat="1" x14ac:dyDescent="0.25">
      <c r="A61" s="1809"/>
      <c r="B61" s="1799"/>
      <c r="C61" s="771" t="s">
        <v>802</v>
      </c>
      <c r="D61" s="771" t="s">
        <v>44</v>
      </c>
      <c r="E61" s="786">
        <v>30</v>
      </c>
      <c r="F61" s="787">
        <v>360</v>
      </c>
      <c r="G61" s="1810"/>
    </row>
    <row r="62" spans="1:7" s="780" customFormat="1" x14ac:dyDescent="0.25">
      <c r="A62" s="1785"/>
      <c r="B62" s="1784"/>
      <c r="C62" s="628" t="s">
        <v>512</v>
      </c>
      <c r="D62" s="771" t="s">
        <v>42</v>
      </c>
      <c r="E62" s="1175">
        <v>10</v>
      </c>
      <c r="F62" s="782">
        <v>120</v>
      </c>
      <c r="G62" s="1811"/>
    </row>
    <row r="63" spans="1:7" s="780" customFormat="1" ht="15" customHeight="1" x14ac:dyDescent="0.25">
      <c r="A63" s="2406" t="s">
        <v>1295</v>
      </c>
      <c r="B63" s="2407"/>
      <c r="C63" s="2407"/>
      <c r="D63" s="1174"/>
      <c r="E63" s="1175"/>
      <c r="F63" s="1803">
        <f>SUM(F57:F62)</f>
        <v>1440</v>
      </c>
      <c r="G63" s="1804"/>
    </row>
    <row r="64" spans="1:7" s="780" customFormat="1" ht="14.4" thickBot="1" x14ac:dyDescent="0.3">
      <c r="A64" s="2408"/>
      <c r="B64" s="2409"/>
      <c r="C64" s="2410"/>
      <c r="D64" s="1184"/>
      <c r="E64" s="1184"/>
      <c r="F64" s="1186">
        <f>F16+F21+F31+F34+F43+F45+F56+F63</f>
        <v>8126</v>
      </c>
      <c r="G64" s="1187"/>
    </row>
    <row r="65" spans="2:9" ht="14.4" thickTop="1" x14ac:dyDescent="0.25"/>
    <row r="66" spans="2:9" s="577" customFormat="1" ht="16.8" x14ac:dyDescent="0.2">
      <c r="B66" s="303" t="s">
        <v>904</v>
      </c>
      <c r="D66" s="304" t="s">
        <v>429</v>
      </c>
      <c r="G66" s="304" t="s">
        <v>303</v>
      </c>
      <c r="H66" s="304"/>
    </row>
    <row r="67" spans="2:9" s="577" customFormat="1" ht="16.8" x14ac:dyDescent="0.2">
      <c r="B67" s="471" t="s">
        <v>308</v>
      </c>
      <c r="D67" s="274" t="s">
        <v>243</v>
      </c>
      <c r="G67" s="274" t="s">
        <v>243</v>
      </c>
      <c r="H67" s="274"/>
    </row>
    <row r="68" spans="2:9" s="577" customFormat="1" ht="10.199999999999999" x14ac:dyDescent="0.2">
      <c r="F68" s="751"/>
      <c r="G68" s="751"/>
      <c r="H68" s="751"/>
      <c r="I68" s="751"/>
    </row>
  </sheetData>
  <mergeCells count="10">
    <mergeCell ref="A63:C63"/>
    <mergeCell ref="A64:C64"/>
    <mergeCell ref="A3:G3"/>
    <mergeCell ref="B16:C16"/>
    <mergeCell ref="B21:C21"/>
    <mergeCell ref="B31:C31"/>
    <mergeCell ref="B34:C34"/>
    <mergeCell ref="A43:C43"/>
    <mergeCell ref="A45:C45"/>
    <mergeCell ref="A56:C56"/>
  </mergeCells>
  <pageMargins left="0.70866141732283472" right="0" top="0" bottom="0" header="0.31496062992125984" footer="0.31496062992125984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topLeftCell="G3" zoomScaleNormal="100" workbookViewId="0">
      <selection activeCell="K28" sqref="K28"/>
    </sheetView>
  </sheetViews>
  <sheetFormatPr defaultColWidth="9" defaultRowHeight="10.199999999999999" x14ac:dyDescent="0.2"/>
  <cols>
    <col min="1" max="1" width="10.109375" style="751" customWidth="1"/>
    <col min="2" max="2" width="8.44140625" style="577" customWidth="1"/>
    <col min="3" max="3" width="10.109375" style="577" customWidth="1"/>
    <col min="4" max="4" width="8.44140625" style="577" customWidth="1"/>
    <col min="5" max="5" width="10.109375" style="577" customWidth="1"/>
    <col min="6" max="6" width="8.109375" style="577" customWidth="1"/>
    <col min="7" max="7" width="10.109375" style="577" customWidth="1"/>
    <col min="8" max="8" width="7.88671875" style="577" customWidth="1"/>
    <col min="9" max="9" width="10.109375" style="577" customWidth="1"/>
    <col min="10" max="10" width="8.109375" style="577" customWidth="1"/>
    <col min="11" max="11" width="11.6640625" style="577" customWidth="1"/>
    <col min="12" max="12" width="8.109375" style="577" customWidth="1"/>
    <col min="13" max="13" width="12.6640625" style="577" customWidth="1"/>
    <col min="14" max="14" width="8.109375" style="577" customWidth="1"/>
    <col min="15" max="15" width="23.44140625" style="577" customWidth="1"/>
    <col min="16" max="16384" width="9" style="577"/>
  </cols>
  <sheetData>
    <row r="1" spans="1:29" s="1" customFormat="1" ht="16.8" x14ac:dyDescent="0.3">
      <c r="A1" s="5" t="s">
        <v>3</v>
      </c>
      <c r="B1" s="5"/>
      <c r="C1" s="8"/>
      <c r="D1" s="8"/>
      <c r="E1" s="11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5"/>
      <c r="R1" s="95"/>
      <c r="X1" s="95"/>
      <c r="Y1" s="95"/>
      <c r="Z1" s="95"/>
      <c r="AA1" s="112"/>
      <c r="AB1" s="95"/>
      <c r="AC1" s="56"/>
    </row>
    <row r="2" spans="1:29" s="1" customFormat="1" ht="15.6" x14ac:dyDescent="0.25">
      <c r="A2" s="7" t="s">
        <v>5</v>
      </c>
      <c r="B2" s="7"/>
      <c r="C2" s="9"/>
      <c r="D2" s="9"/>
      <c r="E2" s="12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55"/>
      <c r="R2" s="1055"/>
      <c r="X2" s="1055"/>
      <c r="Y2" s="1055"/>
      <c r="Z2" s="1055"/>
      <c r="AA2" s="113"/>
      <c r="AB2" s="1055"/>
      <c r="AC2" s="57"/>
    </row>
    <row r="4" spans="1:29" ht="21" x14ac:dyDescent="0.4">
      <c r="A4" s="2416" t="s">
        <v>2312</v>
      </c>
      <c r="B4" s="2416"/>
      <c r="C4" s="2416"/>
      <c r="D4" s="2416"/>
      <c r="E4" s="2416"/>
      <c r="F4" s="2416"/>
      <c r="G4" s="2416"/>
      <c r="H4" s="2416"/>
      <c r="I4" s="2416"/>
      <c r="J4" s="2416"/>
      <c r="K4" s="2416"/>
      <c r="L4" s="2416"/>
      <c r="M4" s="2416"/>
      <c r="N4" s="2416"/>
      <c r="O4" s="2416"/>
    </row>
    <row r="6" spans="1:29" ht="10.8" thickBot="1" x14ac:dyDescent="0.25"/>
    <row r="7" spans="1:29" ht="15" customHeight="1" thickTop="1" x14ac:dyDescent="0.2">
      <c r="A7" s="2421" t="s">
        <v>1021</v>
      </c>
      <c r="B7" s="2418"/>
      <c r="C7" s="2417" t="s">
        <v>1022</v>
      </c>
      <c r="D7" s="2418"/>
      <c r="E7" s="2417" t="s">
        <v>1023</v>
      </c>
      <c r="F7" s="2418"/>
      <c r="G7" s="2417" t="s">
        <v>1024</v>
      </c>
      <c r="H7" s="2418"/>
      <c r="I7" s="2417" t="s">
        <v>1885</v>
      </c>
      <c r="J7" s="2418"/>
      <c r="K7" s="2417" t="s">
        <v>2107</v>
      </c>
      <c r="L7" s="2418"/>
      <c r="M7" s="2417" t="s">
        <v>2314</v>
      </c>
      <c r="N7" s="2418"/>
      <c r="O7" s="765" t="s">
        <v>2318</v>
      </c>
    </row>
    <row r="8" spans="1:29" x14ac:dyDescent="0.2">
      <c r="A8" s="766" t="s">
        <v>938</v>
      </c>
      <c r="B8" s="767" t="s">
        <v>177</v>
      </c>
      <c r="C8" s="769" t="s">
        <v>938</v>
      </c>
      <c r="D8" s="767" t="s">
        <v>177</v>
      </c>
      <c r="E8" s="769" t="s">
        <v>938</v>
      </c>
      <c r="F8" s="767" t="s">
        <v>177</v>
      </c>
      <c r="G8" s="769" t="s">
        <v>938</v>
      </c>
      <c r="H8" s="767" t="s">
        <v>177</v>
      </c>
      <c r="I8" s="769" t="s">
        <v>938</v>
      </c>
      <c r="J8" s="767" t="s">
        <v>177</v>
      </c>
      <c r="K8" s="769" t="s">
        <v>938</v>
      </c>
      <c r="L8" s="767" t="s">
        <v>177</v>
      </c>
      <c r="M8" s="769" t="s">
        <v>938</v>
      </c>
      <c r="N8" s="767" t="s">
        <v>177</v>
      </c>
      <c r="O8" s="768"/>
    </row>
    <row r="9" spans="1:29" x14ac:dyDescent="0.2">
      <c r="A9" s="759" t="s">
        <v>31</v>
      </c>
      <c r="B9" s="760"/>
      <c r="C9" s="761" t="s">
        <v>31</v>
      </c>
      <c r="D9" s="760"/>
      <c r="E9" s="578" t="s">
        <v>31</v>
      </c>
      <c r="F9" s="760">
        <v>83</v>
      </c>
      <c r="G9" s="761" t="s">
        <v>31</v>
      </c>
      <c r="H9" s="760">
        <v>13</v>
      </c>
      <c r="I9" s="761" t="s">
        <v>31</v>
      </c>
      <c r="J9" s="760">
        <v>94</v>
      </c>
      <c r="K9" s="578" t="s">
        <v>31</v>
      </c>
      <c r="L9" s="1795">
        <v>91</v>
      </c>
      <c r="M9" s="578" t="s">
        <v>31</v>
      </c>
      <c r="N9" s="1795">
        <v>78</v>
      </c>
      <c r="O9" s="899">
        <f>B9+D9+F9+H9+J9+L9+N9</f>
        <v>359</v>
      </c>
    </row>
    <row r="10" spans="1:29" x14ac:dyDescent="0.2">
      <c r="A10" s="756" t="s">
        <v>33</v>
      </c>
      <c r="B10" s="757">
        <v>1</v>
      </c>
      <c r="C10" s="752" t="s">
        <v>33</v>
      </c>
      <c r="D10" s="755"/>
      <c r="E10" s="752" t="s">
        <v>33</v>
      </c>
      <c r="F10" s="755">
        <v>100</v>
      </c>
      <c r="G10" s="758" t="s">
        <v>33</v>
      </c>
      <c r="H10" s="755">
        <v>142</v>
      </c>
      <c r="I10" s="758" t="s">
        <v>33</v>
      </c>
      <c r="J10" s="755">
        <v>196</v>
      </c>
      <c r="K10" s="752" t="s">
        <v>33</v>
      </c>
      <c r="L10" s="1795">
        <v>109</v>
      </c>
      <c r="M10" s="752" t="s">
        <v>33</v>
      </c>
      <c r="N10" s="1795">
        <v>272</v>
      </c>
      <c r="O10" s="899">
        <f t="shared" ref="O10:O22" si="0">B10+D10+F10+H10+J10+L10+N10</f>
        <v>820</v>
      </c>
    </row>
    <row r="11" spans="1:29" x14ac:dyDescent="0.2">
      <c r="A11" s="756" t="s">
        <v>34</v>
      </c>
      <c r="B11" s="755">
        <v>13</v>
      </c>
      <c r="C11" s="752" t="s">
        <v>34</v>
      </c>
      <c r="D11" s="755">
        <v>28</v>
      </c>
      <c r="E11" s="752" t="s">
        <v>34</v>
      </c>
      <c r="F11" s="755">
        <v>71</v>
      </c>
      <c r="G11" s="758" t="s">
        <v>34</v>
      </c>
      <c r="H11" s="755">
        <v>53</v>
      </c>
      <c r="I11" s="758" t="s">
        <v>34</v>
      </c>
      <c r="J11" s="755">
        <v>13</v>
      </c>
      <c r="K11" s="752" t="s">
        <v>34</v>
      </c>
      <c r="L11" s="1795">
        <v>28</v>
      </c>
      <c r="M11" s="752" t="s">
        <v>34</v>
      </c>
      <c r="N11" s="1795">
        <v>28</v>
      </c>
      <c r="O11" s="899">
        <f t="shared" si="0"/>
        <v>234</v>
      </c>
    </row>
    <row r="12" spans="1:29" x14ac:dyDescent="0.2">
      <c r="A12" s="754" t="s">
        <v>35</v>
      </c>
      <c r="B12" s="755">
        <v>29</v>
      </c>
      <c r="C12" s="753" t="s">
        <v>35</v>
      </c>
      <c r="D12" s="755">
        <v>82</v>
      </c>
      <c r="E12" s="753" t="s">
        <v>35</v>
      </c>
      <c r="F12" s="755">
        <v>130</v>
      </c>
      <c r="G12" s="753" t="s">
        <v>35</v>
      </c>
      <c r="H12" s="755">
        <v>121</v>
      </c>
      <c r="I12" s="753" t="s">
        <v>35</v>
      </c>
      <c r="J12" s="755">
        <v>152</v>
      </c>
      <c r="K12" s="753" t="s">
        <v>35</v>
      </c>
      <c r="L12" s="1795">
        <v>103</v>
      </c>
      <c r="M12" s="753" t="s">
        <v>35</v>
      </c>
      <c r="N12" s="1795">
        <v>274</v>
      </c>
      <c r="O12" s="899">
        <f t="shared" si="0"/>
        <v>891</v>
      </c>
    </row>
    <row r="13" spans="1:29" x14ac:dyDescent="0.2">
      <c r="A13" s="754" t="s">
        <v>36</v>
      </c>
      <c r="B13" s="755">
        <v>9</v>
      </c>
      <c r="C13" s="753" t="s">
        <v>36</v>
      </c>
      <c r="D13" s="755">
        <v>53</v>
      </c>
      <c r="E13" s="753" t="s">
        <v>36</v>
      </c>
      <c r="F13" s="755">
        <v>6</v>
      </c>
      <c r="G13" s="753" t="s">
        <v>36</v>
      </c>
      <c r="H13" s="755">
        <v>10</v>
      </c>
      <c r="I13" s="753" t="s">
        <v>36</v>
      </c>
      <c r="J13" s="755">
        <v>1</v>
      </c>
      <c r="K13" s="753" t="s">
        <v>36</v>
      </c>
      <c r="L13" s="1795">
        <v>1</v>
      </c>
      <c r="M13" s="753" t="s">
        <v>36</v>
      </c>
      <c r="N13" s="1795"/>
      <c r="O13" s="899">
        <f t="shared" si="0"/>
        <v>80</v>
      </c>
    </row>
    <row r="14" spans="1:29" s="770" customFormat="1" x14ac:dyDescent="0.2">
      <c r="A14" s="772" t="s">
        <v>37</v>
      </c>
      <c r="B14" s="773">
        <v>13</v>
      </c>
      <c r="C14" s="774" t="s">
        <v>37</v>
      </c>
      <c r="D14" s="773">
        <v>42</v>
      </c>
      <c r="E14" s="774" t="s">
        <v>37</v>
      </c>
      <c r="F14" s="773">
        <v>156</v>
      </c>
      <c r="G14" s="774" t="s">
        <v>37</v>
      </c>
      <c r="H14" s="773">
        <v>131</v>
      </c>
      <c r="I14" s="774" t="s">
        <v>37</v>
      </c>
      <c r="J14" s="773">
        <v>131</v>
      </c>
      <c r="K14" s="774" t="s">
        <v>37</v>
      </c>
      <c r="L14" s="1796">
        <v>29</v>
      </c>
      <c r="M14" s="774" t="s">
        <v>37</v>
      </c>
      <c r="N14" s="1796">
        <v>207</v>
      </c>
      <c r="O14" s="899">
        <f t="shared" si="0"/>
        <v>709</v>
      </c>
    </row>
    <row r="15" spans="1:29" x14ac:dyDescent="0.2">
      <c r="A15" s="754" t="s">
        <v>38</v>
      </c>
      <c r="B15" s="755">
        <v>5</v>
      </c>
      <c r="C15" s="753" t="s">
        <v>38</v>
      </c>
      <c r="D15" s="755">
        <v>41</v>
      </c>
      <c r="E15" s="753" t="s">
        <v>38</v>
      </c>
      <c r="F15" s="755">
        <v>9</v>
      </c>
      <c r="G15" s="753" t="s">
        <v>38</v>
      </c>
      <c r="H15" s="755">
        <v>21</v>
      </c>
      <c r="I15" s="753" t="s">
        <v>38</v>
      </c>
      <c r="J15" s="755"/>
      <c r="K15" s="753" t="s">
        <v>38</v>
      </c>
      <c r="L15" s="1795"/>
      <c r="M15" s="753" t="s">
        <v>38</v>
      </c>
      <c r="N15" s="1795"/>
      <c r="O15" s="899">
        <f t="shared" si="0"/>
        <v>76</v>
      </c>
    </row>
    <row r="16" spans="1:29" x14ac:dyDescent="0.2">
      <c r="A16" s="754" t="s">
        <v>60</v>
      </c>
      <c r="B16" s="755">
        <v>0</v>
      </c>
      <c r="C16" s="753" t="s">
        <v>60</v>
      </c>
      <c r="D16" s="755"/>
      <c r="E16" s="753" t="s">
        <v>60</v>
      </c>
      <c r="F16" s="755">
        <v>49</v>
      </c>
      <c r="G16" s="753" t="s">
        <v>60</v>
      </c>
      <c r="H16" s="755">
        <v>52</v>
      </c>
      <c r="I16" s="753" t="s">
        <v>60</v>
      </c>
      <c r="J16" s="755">
        <v>72</v>
      </c>
      <c r="K16" s="753" t="s">
        <v>60</v>
      </c>
      <c r="L16" s="1795">
        <v>60</v>
      </c>
      <c r="M16" s="753" t="s">
        <v>60</v>
      </c>
      <c r="N16" s="1795">
        <v>97</v>
      </c>
      <c r="O16" s="899">
        <f t="shared" si="0"/>
        <v>330</v>
      </c>
    </row>
    <row r="17" spans="1:17" s="770" customFormat="1" x14ac:dyDescent="0.2">
      <c r="A17" s="772" t="s">
        <v>44</v>
      </c>
      <c r="B17" s="773">
        <v>42</v>
      </c>
      <c r="C17" s="774" t="s">
        <v>44</v>
      </c>
      <c r="D17" s="773">
        <v>100</v>
      </c>
      <c r="E17" s="774" t="s">
        <v>44</v>
      </c>
      <c r="F17" s="773">
        <v>139</v>
      </c>
      <c r="G17" s="774" t="s">
        <v>44</v>
      </c>
      <c r="H17" s="773">
        <v>404</v>
      </c>
      <c r="I17" s="774" t="s">
        <v>44</v>
      </c>
      <c r="J17" s="773">
        <v>102</v>
      </c>
      <c r="K17" s="774" t="s">
        <v>44</v>
      </c>
      <c r="L17" s="1796">
        <v>48</v>
      </c>
      <c r="M17" s="774" t="s">
        <v>44</v>
      </c>
      <c r="N17" s="1796">
        <v>252</v>
      </c>
      <c r="O17" s="899">
        <f t="shared" si="0"/>
        <v>1087</v>
      </c>
    </row>
    <row r="18" spans="1:17" s="770" customFormat="1" x14ac:dyDescent="0.2">
      <c r="A18" s="772" t="s">
        <v>39</v>
      </c>
      <c r="B18" s="773">
        <v>10</v>
      </c>
      <c r="C18" s="774" t="s">
        <v>39</v>
      </c>
      <c r="D18" s="773">
        <v>70</v>
      </c>
      <c r="E18" s="774" t="s">
        <v>39</v>
      </c>
      <c r="F18" s="773">
        <v>9</v>
      </c>
      <c r="G18" s="774" t="s">
        <v>39</v>
      </c>
      <c r="H18" s="773">
        <v>18</v>
      </c>
      <c r="I18" s="774" t="s">
        <v>39</v>
      </c>
      <c r="J18" s="773"/>
      <c r="K18" s="774" t="s">
        <v>39</v>
      </c>
      <c r="L18" s="1796"/>
      <c r="M18" s="774" t="s">
        <v>39</v>
      </c>
      <c r="N18" s="1796"/>
      <c r="O18" s="899">
        <f t="shared" si="0"/>
        <v>107</v>
      </c>
    </row>
    <row r="19" spans="1:17" x14ac:dyDescent="0.2">
      <c r="A19" s="754" t="s">
        <v>40</v>
      </c>
      <c r="B19" s="755">
        <v>46</v>
      </c>
      <c r="C19" s="753" t="s">
        <v>40</v>
      </c>
      <c r="D19" s="755">
        <v>34</v>
      </c>
      <c r="E19" s="753" t="s">
        <v>40</v>
      </c>
      <c r="F19" s="755">
        <v>137</v>
      </c>
      <c r="G19" s="753" t="s">
        <v>40</v>
      </c>
      <c r="H19" s="755">
        <v>163</v>
      </c>
      <c r="I19" s="753" t="s">
        <v>40</v>
      </c>
      <c r="J19" s="755">
        <v>170</v>
      </c>
      <c r="K19" s="753" t="s">
        <v>40</v>
      </c>
      <c r="L19" s="1795">
        <v>91</v>
      </c>
      <c r="M19" s="753" t="s">
        <v>40</v>
      </c>
      <c r="N19" s="1795">
        <v>277</v>
      </c>
      <c r="O19" s="899">
        <f t="shared" si="0"/>
        <v>918</v>
      </c>
    </row>
    <row r="20" spans="1:17" x14ac:dyDescent="0.2">
      <c r="A20" s="754" t="s">
        <v>41</v>
      </c>
      <c r="B20" s="755">
        <v>0</v>
      </c>
      <c r="C20" s="753" t="s">
        <v>41</v>
      </c>
      <c r="D20" s="755">
        <v>61</v>
      </c>
      <c r="E20" s="753" t="s">
        <v>41</v>
      </c>
      <c r="F20" s="755">
        <v>109</v>
      </c>
      <c r="G20" s="753" t="s">
        <v>41</v>
      </c>
      <c r="H20" s="755">
        <v>141</v>
      </c>
      <c r="I20" s="753" t="s">
        <v>41</v>
      </c>
      <c r="J20" s="755">
        <v>177</v>
      </c>
      <c r="K20" s="753" t="s">
        <v>41</v>
      </c>
      <c r="L20" s="1795">
        <v>96</v>
      </c>
      <c r="M20" s="753" t="s">
        <v>41</v>
      </c>
      <c r="N20" s="1795">
        <v>125</v>
      </c>
      <c r="O20" s="899">
        <f t="shared" si="0"/>
        <v>709</v>
      </c>
    </row>
    <row r="21" spans="1:17" x14ac:dyDescent="0.2">
      <c r="A21" s="754" t="s">
        <v>46</v>
      </c>
      <c r="B21" s="755">
        <v>18</v>
      </c>
      <c r="C21" s="753" t="s">
        <v>46</v>
      </c>
      <c r="D21" s="755">
        <v>148</v>
      </c>
      <c r="E21" s="753" t="s">
        <v>46</v>
      </c>
      <c r="F21" s="755">
        <v>174</v>
      </c>
      <c r="G21" s="753" t="s">
        <v>46</v>
      </c>
      <c r="H21" s="755">
        <v>74</v>
      </c>
      <c r="I21" s="753" t="s">
        <v>46</v>
      </c>
      <c r="J21" s="755">
        <v>55</v>
      </c>
      <c r="K21" s="753" t="s">
        <v>46</v>
      </c>
      <c r="L21" s="1795">
        <v>21</v>
      </c>
      <c r="M21" s="753" t="s">
        <v>46</v>
      </c>
      <c r="N21" s="1795">
        <v>93</v>
      </c>
      <c r="O21" s="899">
        <f t="shared" si="0"/>
        <v>583</v>
      </c>
    </row>
    <row r="22" spans="1:17" x14ac:dyDescent="0.2">
      <c r="A22" s="762" t="s">
        <v>42</v>
      </c>
      <c r="B22" s="763">
        <v>27</v>
      </c>
      <c r="C22" s="764" t="s">
        <v>42</v>
      </c>
      <c r="D22" s="763">
        <v>55</v>
      </c>
      <c r="E22" s="764" t="s">
        <v>42</v>
      </c>
      <c r="F22" s="763">
        <v>62</v>
      </c>
      <c r="G22" s="764" t="s">
        <v>42</v>
      </c>
      <c r="H22" s="763">
        <v>90</v>
      </c>
      <c r="I22" s="764" t="s">
        <v>42</v>
      </c>
      <c r="J22" s="763">
        <v>156</v>
      </c>
      <c r="K22" s="764" t="s">
        <v>42</v>
      </c>
      <c r="L22" s="1797">
        <v>13</v>
      </c>
      <c r="M22" s="764" t="s">
        <v>42</v>
      </c>
      <c r="N22" s="1797">
        <v>133</v>
      </c>
      <c r="O22" s="899">
        <f t="shared" si="0"/>
        <v>536</v>
      </c>
    </row>
    <row r="23" spans="1:17" ht="10.8" thickBot="1" x14ac:dyDescent="0.25">
      <c r="A23" s="857" t="s">
        <v>933</v>
      </c>
      <c r="B23" s="858">
        <f>SUM(B10:B22)</f>
        <v>213</v>
      </c>
      <c r="C23" s="859" t="s">
        <v>932</v>
      </c>
      <c r="D23" s="1044">
        <f>SUM(D10:D22)</f>
        <v>714</v>
      </c>
      <c r="E23" s="1045" t="s">
        <v>935</v>
      </c>
      <c r="F23" s="1044">
        <f>SUM(F9:F22)</f>
        <v>1234</v>
      </c>
      <c r="G23" s="1045" t="s">
        <v>934</v>
      </c>
      <c r="H23" s="1044">
        <f>SUM(H9:H22)</f>
        <v>1433</v>
      </c>
      <c r="I23" s="1045" t="s">
        <v>2106</v>
      </c>
      <c r="J23" s="1044">
        <f>SUM(J9:J22)</f>
        <v>1319</v>
      </c>
      <c r="K23" s="1798" t="s">
        <v>2108</v>
      </c>
      <c r="L23" s="1798">
        <f>SUM(L9:L22)</f>
        <v>690</v>
      </c>
      <c r="M23" s="1798" t="s">
        <v>2313</v>
      </c>
      <c r="N23" s="1798">
        <f>SUM(N9:N22)</f>
        <v>1836</v>
      </c>
      <c r="O23" s="900">
        <f>SUM(O9:O22)</f>
        <v>7439</v>
      </c>
      <c r="P23" s="1043"/>
      <c r="Q23" s="1043"/>
    </row>
    <row r="24" spans="1:17" ht="10.8" thickTop="1" x14ac:dyDescent="0.2">
      <c r="A24" s="577"/>
      <c r="P24" s="1043"/>
    </row>
    <row r="25" spans="1:17" ht="16.8" x14ac:dyDescent="0.2">
      <c r="A25" s="577"/>
      <c r="B25" s="303" t="s">
        <v>904</v>
      </c>
      <c r="F25" s="2419" t="s">
        <v>429</v>
      </c>
      <c r="G25" s="2419"/>
      <c r="H25" s="2419"/>
      <c r="I25" s="2419"/>
      <c r="J25" s="2419"/>
      <c r="K25" s="304"/>
      <c r="L25" s="2419" t="s">
        <v>303</v>
      </c>
      <c r="M25" s="2419"/>
      <c r="N25" s="2419"/>
      <c r="O25" s="2419"/>
    </row>
    <row r="26" spans="1:17" ht="16.8" x14ac:dyDescent="0.2">
      <c r="A26" s="577"/>
      <c r="B26" s="1911" t="s">
        <v>308</v>
      </c>
      <c r="C26" s="1911"/>
      <c r="F26" s="2420" t="s">
        <v>243</v>
      </c>
      <c r="G26" s="2420"/>
      <c r="H26" s="2420"/>
      <c r="I26" s="2420"/>
      <c r="J26" s="2420"/>
      <c r="K26" s="1786"/>
      <c r="L26" s="2420" t="s">
        <v>243</v>
      </c>
      <c r="M26" s="2420"/>
      <c r="N26" s="2420"/>
      <c r="O26" s="2420"/>
    </row>
    <row r="27" spans="1:17" x14ac:dyDescent="0.2">
      <c r="A27" s="577"/>
      <c r="F27" s="751"/>
      <c r="G27" s="751"/>
      <c r="H27" s="751"/>
      <c r="I27" s="751"/>
      <c r="J27" s="751"/>
      <c r="K27" s="751"/>
      <c r="L27" s="751"/>
      <c r="M27" s="751"/>
      <c r="N27" s="751"/>
      <c r="O27" s="751"/>
    </row>
    <row r="28" spans="1:17" x14ac:dyDescent="0.2">
      <c r="A28" s="577"/>
    </row>
    <row r="29" spans="1:17" x14ac:dyDescent="0.2">
      <c r="A29" s="577"/>
    </row>
    <row r="30" spans="1:17" x14ac:dyDescent="0.2">
      <c r="A30" s="577"/>
    </row>
    <row r="31" spans="1:17" x14ac:dyDescent="0.2">
      <c r="A31" s="577"/>
    </row>
    <row r="32" spans="1:17" x14ac:dyDescent="0.2">
      <c r="A32" s="577"/>
    </row>
    <row r="33" spans="1:1" x14ac:dyDescent="0.2">
      <c r="A33" s="577"/>
    </row>
    <row r="34" spans="1:1" x14ac:dyDescent="0.2">
      <c r="A34" s="577"/>
    </row>
    <row r="35" spans="1:1" x14ac:dyDescent="0.2">
      <c r="A35" s="577"/>
    </row>
    <row r="36" spans="1:1" x14ac:dyDescent="0.2">
      <c r="A36" s="577"/>
    </row>
    <row r="37" spans="1:1" x14ac:dyDescent="0.2">
      <c r="A37" s="577"/>
    </row>
    <row r="38" spans="1:1" x14ac:dyDescent="0.2">
      <c r="A38" s="577"/>
    </row>
    <row r="39" spans="1:1" x14ac:dyDescent="0.2">
      <c r="A39" s="577"/>
    </row>
    <row r="40" spans="1:1" x14ac:dyDescent="0.2">
      <c r="A40" s="577"/>
    </row>
    <row r="41" spans="1:1" x14ac:dyDescent="0.2">
      <c r="A41" s="577"/>
    </row>
    <row r="42" spans="1:1" x14ac:dyDescent="0.2">
      <c r="A42" s="577"/>
    </row>
    <row r="43" spans="1:1" x14ac:dyDescent="0.2">
      <c r="A43" s="577"/>
    </row>
    <row r="44" spans="1:1" x14ac:dyDescent="0.2">
      <c r="A44" s="577"/>
    </row>
    <row r="45" spans="1:1" x14ac:dyDescent="0.2">
      <c r="A45" s="577"/>
    </row>
    <row r="46" spans="1:1" x14ac:dyDescent="0.2">
      <c r="A46" s="577"/>
    </row>
    <row r="47" spans="1:1" x14ac:dyDescent="0.2">
      <c r="A47" s="577"/>
    </row>
    <row r="48" spans="1:1" x14ac:dyDescent="0.2">
      <c r="A48" s="577"/>
    </row>
    <row r="49" spans="1:1" x14ac:dyDescent="0.2">
      <c r="A49" s="577"/>
    </row>
    <row r="50" spans="1:1" x14ac:dyDescent="0.2">
      <c r="A50" s="577"/>
    </row>
    <row r="51" spans="1:1" x14ac:dyDescent="0.2">
      <c r="A51" s="577"/>
    </row>
    <row r="52" spans="1:1" x14ac:dyDescent="0.2">
      <c r="A52" s="577"/>
    </row>
    <row r="53" spans="1:1" x14ac:dyDescent="0.2">
      <c r="A53" s="577"/>
    </row>
    <row r="54" spans="1:1" x14ac:dyDescent="0.2">
      <c r="A54" s="577"/>
    </row>
    <row r="55" spans="1:1" x14ac:dyDescent="0.2">
      <c r="A55" s="577"/>
    </row>
    <row r="56" spans="1:1" x14ac:dyDescent="0.2">
      <c r="A56" s="577"/>
    </row>
    <row r="57" spans="1:1" x14ac:dyDescent="0.2">
      <c r="A57" s="577"/>
    </row>
    <row r="58" spans="1:1" x14ac:dyDescent="0.2">
      <c r="A58" s="577"/>
    </row>
    <row r="59" spans="1:1" x14ac:dyDescent="0.2">
      <c r="A59" s="577"/>
    </row>
    <row r="60" spans="1:1" x14ac:dyDescent="0.2">
      <c r="A60" s="577"/>
    </row>
    <row r="61" spans="1:1" x14ac:dyDescent="0.2">
      <c r="A61" s="577"/>
    </row>
    <row r="62" spans="1:1" x14ac:dyDescent="0.2">
      <c r="A62" s="577"/>
    </row>
    <row r="63" spans="1:1" x14ac:dyDescent="0.2">
      <c r="A63" s="577"/>
    </row>
    <row r="64" spans="1:1" x14ac:dyDescent="0.2">
      <c r="A64" s="577"/>
    </row>
    <row r="65" spans="1:1" x14ac:dyDescent="0.2">
      <c r="A65" s="577"/>
    </row>
    <row r="66" spans="1:1" x14ac:dyDescent="0.2">
      <c r="A66" s="577"/>
    </row>
    <row r="67" spans="1:1" x14ac:dyDescent="0.2">
      <c r="A67" s="577"/>
    </row>
    <row r="68" spans="1:1" x14ac:dyDescent="0.2">
      <c r="A68" s="577"/>
    </row>
    <row r="69" spans="1:1" x14ac:dyDescent="0.2">
      <c r="A69" s="577"/>
    </row>
    <row r="70" spans="1:1" x14ac:dyDescent="0.2">
      <c r="A70" s="577"/>
    </row>
    <row r="71" spans="1:1" x14ac:dyDescent="0.2">
      <c r="A71" s="577"/>
    </row>
  </sheetData>
  <mergeCells count="12">
    <mergeCell ref="F26:J26"/>
    <mergeCell ref="L25:O25"/>
    <mergeCell ref="L26:O26"/>
    <mergeCell ref="A7:B7"/>
    <mergeCell ref="C7:D7"/>
    <mergeCell ref="E7:F7"/>
    <mergeCell ref="I7:J7"/>
    <mergeCell ref="A4:O4"/>
    <mergeCell ref="G7:H7"/>
    <mergeCell ref="K7:L7"/>
    <mergeCell ref="M7:N7"/>
    <mergeCell ref="F25:J25"/>
  </mergeCells>
  <pageMargins left="0.7" right="0.7" top="0.75" bottom="0.75" header="0.3" footer="0.3"/>
  <pageSetup paperSize="9" scale="45" orientation="landscape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7" workbookViewId="0">
      <selection activeCell="I16" sqref="I16"/>
    </sheetView>
  </sheetViews>
  <sheetFormatPr defaultColWidth="9" defaultRowHeight="10.199999999999999" x14ac:dyDescent="0.2"/>
  <cols>
    <col min="1" max="1" width="3.44140625" style="577" customWidth="1"/>
    <col min="2" max="2" width="14.109375" style="577" customWidth="1"/>
    <col min="3" max="3" width="6.88671875" style="577" customWidth="1"/>
    <col min="4" max="10" width="9.88671875" style="577" customWidth="1"/>
    <col min="11" max="11" width="26.44140625" style="577" customWidth="1"/>
    <col min="12" max="16384" width="9" style="577"/>
  </cols>
  <sheetData>
    <row r="1" spans="1:20" s="511" customFormat="1" ht="16.8" x14ac:dyDescent="0.3">
      <c r="A1" s="649" t="s">
        <v>3</v>
      </c>
      <c r="B1" s="649"/>
      <c r="C1" s="649"/>
      <c r="D1" s="736"/>
      <c r="K1" s="509" t="s">
        <v>4</v>
      </c>
      <c r="L1" s="653"/>
      <c r="M1" s="509"/>
      <c r="N1" s="650"/>
      <c r="S1" s="509"/>
      <c r="T1" s="509"/>
    </row>
    <row r="2" spans="1:20" s="511" customFormat="1" ht="15.6" x14ac:dyDescent="0.25">
      <c r="A2" s="654" t="s">
        <v>5</v>
      </c>
      <c r="B2" s="654"/>
      <c r="C2" s="654"/>
      <c r="D2" s="738"/>
      <c r="K2" s="510" t="s">
        <v>6</v>
      </c>
      <c r="L2" s="657"/>
      <c r="M2" s="510"/>
      <c r="N2" s="655"/>
      <c r="S2" s="510"/>
      <c r="T2" s="510"/>
    </row>
    <row r="4" spans="1:20" x14ac:dyDescent="0.2">
      <c r="F4" s="2423"/>
      <c r="G4" s="2423"/>
      <c r="H4" s="2423"/>
      <c r="I4" s="2423"/>
      <c r="J4" s="2423"/>
      <c r="K4" s="2423"/>
    </row>
    <row r="5" spans="1:20" ht="20.399999999999999" x14ac:dyDescent="0.2">
      <c r="A5" s="2422" t="s">
        <v>2315</v>
      </c>
      <c r="B5" s="2422"/>
      <c r="C5" s="2422"/>
      <c r="D5" s="2422"/>
      <c r="E5" s="2422"/>
      <c r="F5" s="2422"/>
      <c r="G5" s="2422"/>
      <c r="H5" s="2422"/>
      <c r="I5" s="2422"/>
      <c r="J5" s="2422"/>
      <c r="K5" s="2422"/>
      <c r="L5" s="789"/>
    </row>
    <row r="6" spans="1:20" ht="14.4" thickBot="1" x14ac:dyDescent="0.3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20" ht="49.5" customHeight="1" thickTop="1" x14ac:dyDescent="0.2">
      <c r="A7" s="846" t="s">
        <v>0</v>
      </c>
      <c r="B7" s="846" t="s">
        <v>937</v>
      </c>
      <c r="C7" s="847" t="s">
        <v>938</v>
      </c>
      <c r="D7" s="843" t="s">
        <v>2110</v>
      </c>
      <c r="E7" s="843" t="s">
        <v>2111</v>
      </c>
      <c r="F7" s="843" t="s">
        <v>957</v>
      </c>
      <c r="G7" s="844" t="s">
        <v>958</v>
      </c>
      <c r="H7" s="844" t="s">
        <v>959</v>
      </c>
      <c r="I7" s="844" t="s">
        <v>1146</v>
      </c>
      <c r="J7" s="845" t="s">
        <v>968</v>
      </c>
      <c r="K7" s="848" t="s">
        <v>1</v>
      </c>
    </row>
    <row r="8" spans="1:20" s="791" customFormat="1" ht="24" x14ac:dyDescent="0.25">
      <c r="A8" s="792">
        <v>1</v>
      </c>
      <c r="B8" s="793" t="s">
        <v>504</v>
      </c>
      <c r="C8" s="794" t="s">
        <v>31</v>
      </c>
      <c r="D8" s="793">
        <f>360</f>
        <v>360</v>
      </c>
      <c r="E8" s="793">
        <f>Xuất!O9</f>
        <v>359</v>
      </c>
      <c r="F8" s="795">
        <f t="shared" ref="F8:F21" si="0">D8-E8</f>
        <v>1</v>
      </c>
      <c r="G8" s="793"/>
      <c r="H8" s="793"/>
      <c r="I8" s="795"/>
      <c r="J8" s="974">
        <f>F8-G8-H8-I8</f>
        <v>1</v>
      </c>
      <c r="K8" s="793"/>
    </row>
    <row r="9" spans="1:20" s="791" customFormat="1" ht="24" x14ac:dyDescent="0.25">
      <c r="A9" s="796">
        <v>2</v>
      </c>
      <c r="B9" s="797" t="s">
        <v>506</v>
      </c>
      <c r="C9" s="798" t="s">
        <v>33</v>
      </c>
      <c r="D9" s="797">
        <f>840</f>
        <v>840</v>
      </c>
      <c r="E9" s="797">
        <f>Xuất!O10</f>
        <v>820</v>
      </c>
      <c r="F9" s="797">
        <f t="shared" si="0"/>
        <v>20</v>
      </c>
      <c r="G9" s="797"/>
      <c r="H9" s="797"/>
      <c r="I9" s="797"/>
      <c r="J9" s="975">
        <f t="shared" ref="J9:J21" si="1">F9-G9-H9-I9</f>
        <v>20</v>
      </c>
      <c r="K9" s="797"/>
    </row>
    <row r="10" spans="1:20" s="791" customFormat="1" ht="24" x14ac:dyDescent="0.25">
      <c r="A10" s="799">
        <v>3</v>
      </c>
      <c r="B10" s="840" t="s">
        <v>505</v>
      </c>
      <c r="C10" s="841" t="s">
        <v>34</v>
      </c>
      <c r="D10" s="840">
        <f>336</f>
        <v>336</v>
      </c>
      <c r="E10" s="840">
        <f>Xuất!O11</f>
        <v>234</v>
      </c>
      <c r="F10" s="797">
        <f t="shared" si="0"/>
        <v>102</v>
      </c>
      <c r="G10" s="840"/>
      <c r="H10" s="840"/>
      <c r="I10" s="840"/>
      <c r="J10" s="975">
        <f t="shared" si="1"/>
        <v>102</v>
      </c>
      <c r="K10" s="797"/>
    </row>
    <row r="11" spans="1:20" s="791" customFormat="1" ht="24" x14ac:dyDescent="0.25">
      <c r="A11" s="800">
        <v>4</v>
      </c>
      <c r="B11" s="797" t="s">
        <v>507</v>
      </c>
      <c r="C11" s="801" t="s">
        <v>35</v>
      </c>
      <c r="D11" s="797">
        <f>1080</f>
        <v>1080</v>
      </c>
      <c r="E11" s="797">
        <f>Xuất!O12</f>
        <v>891</v>
      </c>
      <c r="F11" s="797">
        <f t="shared" si="0"/>
        <v>189</v>
      </c>
      <c r="G11" s="797"/>
      <c r="H11" s="797"/>
      <c r="I11" s="797"/>
      <c r="J11" s="975">
        <f t="shared" si="1"/>
        <v>189</v>
      </c>
      <c r="K11" s="797"/>
    </row>
    <row r="12" spans="1:20" s="791" customFormat="1" ht="24" x14ac:dyDescent="0.25">
      <c r="A12" s="796">
        <v>5</v>
      </c>
      <c r="B12" s="797" t="s">
        <v>805</v>
      </c>
      <c r="C12" s="801" t="s">
        <v>36</v>
      </c>
      <c r="D12" s="797">
        <f>Nhập!F9</f>
        <v>96</v>
      </c>
      <c r="E12" s="797">
        <f>Xuất!O13</f>
        <v>80</v>
      </c>
      <c r="F12" s="797">
        <f t="shared" si="0"/>
        <v>16</v>
      </c>
      <c r="G12" s="797"/>
      <c r="H12" s="797"/>
      <c r="I12" s="797"/>
      <c r="J12" s="975">
        <f t="shared" si="1"/>
        <v>16</v>
      </c>
      <c r="K12" s="797"/>
    </row>
    <row r="13" spans="1:20" s="791" customFormat="1" ht="66" customHeight="1" x14ac:dyDescent="0.25">
      <c r="A13" s="800">
        <v>6</v>
      </c>
      <c r="B13" s="797" t="s">
        <v>508</v>
      </c>
      <c r="C13" s="801" t="s">
        <v>37</v>
      </c>
      <c r="D13" s="797">
        <f>780</f>
        <v>780</v>
      </c>
      <c r="E13" s="797">
        <f>Xuất!O14</f>
        <v>709</v>
      </c>
      <c r="F13" s="797">
        <f t="shared" si="0"/>
        <v>71</v>
      </c>
      <c r="G13" s="797"/>
      <c r="H13" s="797"/>
      <c r="I13" s="797">
        <v>9</v>
      </c>
      <c r="J13" s="975">
        <f t="shared" si="1"/>
        <v>62</v>
      </c>
      <c r="K13" s="797" t="s">
        <v>1144</v>
      </c>
      <c r="L13" s="797" t="s">
        <v>1148</v>
      </c>
    </row>
    <row r="14" spans="1:20" s="791" customFormat="1" ht="31.5" customHeight="1" x14ac:dyDescent="0.25">
      <c r="A14" s="796">
        <v>7</v>
      </c>
      <c r="B14" s="797" t="s">
        <v>806</v>
      </c>
      <c r="C14" s="801" t="s">
        <v>38</v>
      </c>
      <c r="D14" s="797">
        <f>Nhập!F13</f>
        <v>128</v>
      </c>
      <c r="E14" s="797">
        <f>Xuất!O15</f>
        <v>76</v>
      </c>
      <c r="F14" s="797">
        <f t="shared" si="0"/>
        <v>52</v>
      </c>
      <c r="G14" s="797"/>
      <c r="H14" s="797"/>
      <c r="I14" s="797">
        <v>2</v>
      </c>
      <c r="J14" s="975">
        <f t="shared" si="1"/>
        <v>50</v>
      </c>
      <c r="K14" s="797" t="s">
        <v>971</v>
      </c>
      <c r="L14" s="797" t="s">
        <v>1147</v>
      </c>
    </row>
    <row r="15" spans="1:20" s="791" customFormat="1" ht="12" x14ac:dyDescent="0.25">
      <c r="A15" s="800">
        <v>8</v>
      </c>
      <c r="B15" s="797" t="s">
        <v>510</v>
      </c>
      <c r="C15" s="801" t="s">
        <v>60</v>
      </c>
      <c r="D15" s="797">
        <v>300</v>
      </c>
      <c r="E15" s="797">
        <f>Xuất!O16</f>
        <v>330</v>
      </c>
      <c r="F15" s="797">
        <f t="shared" si="0"/>
        <v>-30</v>
      </c>
      <c r="G15" s="797"/>
      <c r="H15" s="797"/>
      <c r="I15" s="797"/>
      <c r="J15" s="975">
        <f t="shared" si="1"/>
        <v>-30</v>
      </c>
      <c r="K15" s="797" t="s">
        <v>1147</v>
      </c>
    </row>
    <row r="16" spans="1:20" s="791" customFormat="1" ht="24" x14ac:dyDescent="0.25">
      <c r="A16" s="796">
        <v>9</v>
      </c>
      <c r="B16" s="797" t="s">
        <v>802</v>
      </c>
      <c r="C16" s="801" t="s">
        <v>44</v>
      </c>
      <c r="D16" s="797">
        <f>1335</f>
        <v>1335</v>
      </c>
      <c r="E16" s="797">
        <f>Xuất!O17</f>
        <v>1087</v>
      </c>
      <c r="F16" s="797">
        <f t="shared" si="0"/>
        <v>248</v>
      </c>
      <c r="G16" s="797"/>
      <c r="H16" s="797"/>
      <c r="I16" s="797"/>
      <c r="J16" s="975">
        <f t="shared" si="1"/>
        <v>248</v>
      </c>
      <c r="K16" s="797" t="s">
        <v>1158</v>
      </c>
    </row>
    <row r="17" spans="1:12" s="791" customFormat="1" ht="12" x14ac:dyDescent="0.25">
      <c r="A17" s="800">
        <v>10</v>
      </c>
      <c r="B17" s="797" t="s">
        <v>939</v>
      </c>
      <c r="C17" s="801" t="s">
        <v>39</v>
      </c>
      <c r="D17" s="797">
        <f>Nhập!F11</f>
        <v>120</v>
      </c>
      <c r="E17" s="797">
        <f>Xuất!O18</f>
        <v>107</v>
      </c>
      <c r="F17" s="797">
        <f t="shared" si="0"/>
        <v>13</v>
      </c>
      <c r="G17" s="797"/>
      <c r="H17" s="797"/>
      <c r="I17" s="797"/>
      <c r="J17" s="975">
        <f t="shared" si="1"/>
        <v>13</v>
      </c>
      <c r="K17" s="797"/>
    </row>
    <row r="18" spans="1:12" s="791" customFormat="1" ht="12" x14ac:dyDescent="0.25">
      <c r="A18" s="796">
        <v>11</v>
      </c>
      <c r="B18" s="797" t="s">
        <v>509</v>
      </c>
      <c r="C18" s="801" t="s">
        <v>40</v>
      </c>
      <c r="D18" s="797">
        <f>1020</f>
        <v>1020</v>
      </c>
      <c r="E18" s="797">
        <f>Xuất!O19</f>
        <v>918</v>
      </c>
      <c r="F18" s="797">
        <f t="shared" si="0"/>
        <v>102</v>
      </c>
      <c r="G18" s="797"/>
      <c r="H18" s="797"/>
      <c r="I18" s="797"/>
      <c r="J18" s="975">
        <f t="shared" si="1"/>
        <v>102</v>
      </c>
      <c r="K18" s="797" t="s">
        <v>1147</v>
      </c>
    </row>
    <row r="19" spans="1:12" s="791" customFormat="1" ht="24" customHeight="1" x14ac:dyDescent="0.25">
      <c r="A19" s="800">
        <v>12</v>
      </c>
      <c r="B19" s="797" t="s">
        <v>511</v>
      </c>
      <c r="C19" s="801" t="s">
        <v>41</v>
      </c>
      <c r="D19" s="797">
        <f>624</f>
        <v>624</v>
      </c>
      <c r="E19" s="797">
        <f>Xuất!O20</f>
        <v>709</v>
      </c>
      <c r="F19" s="797">
        <f t="shared" si="0"/>
        <v>-85</v>
      </c>
      <c r="G19" s="797"/>
      <c r="H19" s="797"/>
      <c r="I19" s="797">
        <v>3</v>
      </c>
      <c r="J19" s="975">
        <f t="shared" si="1"/>
        <v>-88</v>
      </c>
      <c r="K19" s="797" t="s">
        <v>1149</v>
      </c>
      <c r="L19" s="791" t="s">
        <v>1147</v>
      </c>
    </row>
    <row r="20" spans="1:12" s="791" customFormat="1" ht="12" x14ac:dyDescent="0.25">
      <c r="A20" s="796">
        <v>13</v>
      </c>
      <c r="B20" s="802" t="s">
        <v>522</v>
      </c>
      <c r="C20" s="801" t="s">
        <v>46</v>
      </c>
      <c r="D20" s="797">
        <f>549</f>
        <v>549</v>
      </c>
      <c r="E20" s="797">
        <f>Xuất!O21</f>
        <v>583</v>
      </c>
      <c r="F20" s="797">
        <f t="shared" si="0"/>
        <v>-34</v>
      </c>
      <c r="G20" s="797"/>
      <c r="H20" s="797"/>
      <c r="I20" s="797"/>
      <c r="J20" s="975">
        <f t="shared" si="1"/>
        <v>-34</v>
      </c>
      <c r="K20" s="797"/>
    </row>
    <row r="21" spans="1:12" s="791" customFormat="1" ht="12" x14ac:dyDescent="0.25">
      <c r="A21" s="803">
        <v>14</v>
      </c>
      <c r="B21" s="840" t="s">
        <v>512</v>
      </c>
      <c r="C21" s="842" t="s">
        <v>42</v>
      </c>
      <c r="D21" s="840">
        <f>558</f>
        <v>558</v>
      </c>
      <c r="E21" s="840">
        <f>Xuất!O22</f>
        <v>536</v>
      </c>
      <c r="F21" s="856">
        <f t="shared" si="0"/>
        <v>22</v>
      </c>
      <c r="G21" s="840"/>
      <c r="H21" s="840"/>
      <c r="I21" s="840"/>
      <c r="J21" s="1046">
        <f t="shared" si="1"/>
        <v>22</v>
      </c>
      <c r="K21" s="797"/>
    </row>
    <row r="22" spans="1:12" s="791" customFormat="1" ht="14.25" customHeight="1" x14ac:dyDescent="0.2">
      <c r="A22" s="2424" t="s">
        <v>2</v>
      </c>
      <c r="B22" s="2425"/>
      <c r="C22" s="2426"/>
      <c r="D22" s="804">
        <f>SUM(D8:D21)</f>
        <v>8126</v>
      </c>
      <c r="E22" s="804">
        <f t="shared" ref="E22:J22" si="2">SUM(E8:E21)</f>
        <v>7439</v>
      </c>
      <c r="F22" s="804">
        <f t="shared" si="2"/>
        <v>687</v>
      </c>
      <c r="G22" s="804">
        <f t="shared" si="2"/>
        <v>0</v>
      </c>
      <c r="H22" s="804">
        <f t="shared" si="2"/>
        <v>0</v>
      </c>
      <c r="I22" s="804"/>
      <c r="J22" s="805">
        <f t="shared" si="2"/>
        <v>673</v>
      </c>
      <c r="K22" s="805"/>
    </row>
    <row r="23" spans="1:12" x14ac:dyDescent="0.2">
      <c r="F23" s="751"/>
      <c r="G23" s="751"/>
      <c r="H23" s="751"/>
      <c r="I23" s="751"/>
      <c r="J23" s="751"/>
    </row>
    <row r="24" spans="1:12" ht="16.8" x14ac:dyDescent="0.2">
      <c r="B24" s="303" t="s">
        <v>904</v>
      </c>
      <c r="E24" s="304" t="s">
        <v>429</v>
      </c>
      <c r="G24" s="304"/>
      <c r="H24" s="304"/>
      <c r="I24" s="304"/>
      <c r="J24" s="304" t="s">
        <v>303</v>
      </c>
    </row>
    <row r="25" spans="1:12" ht="16.8" x14ac:dyDescent="0.2">
      <c r="B25" s="471" t="s">
        <v>308</v>
      </c>
      <c r="E25" s="274" t="s">
        <v>243</v>
      </c>
      <c r="G25" s="274"/>
      <c r="H25" s="274"/>
      <c r="I25" s="1036"/>
      <c r="J25" s="274" t="s">
        <v>243</v>
      </c>
    </row>
    <row r="26" spans="1:12" x14ac:dyDescent="0.2">
      <c r="F26" s="751"/>
      <c r="G26" s="751"/>
      <c r="H26" s="751"/>
      <c r="I26" s="751"/>
      <c r="J26" s="751"/>
    </row>
    <row r="27" spans="1:12" x14ac:dyDescent="0.2">
      <c r="F27" s="751"/>
      <c r="G27" s="751"/>
      <c r="H27" s="751"/>
      <c r="I27" s="751"/>
      <c r="J27" s="751"/>
    </row>
    <row r="28" spans="1:12" x14ac:dyDescent="0.2">
      <c r="F28" s="751"/>
      <c r="G28" s="751"/>
      <c r="H28" s="751"/>
      <c r="I28" s="751"/>
      <c r="J28" s="751"/>
    </row>
  </sheetData>
  <mergeCells count="3">
    <mergeCell ref="A5:K5"/>
    <mergeCell ref="F4:K4"/>
    <mergeCell ref="A22:C22"/>
  </mergeCells>
  <pageMargins left="0.31496062992125984" right="0" top="0" bottom="0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A7" workbookViewId="0">
      <selection activeCell="C17" sqref="C17"/>
    </sheetView>
  </sheetViews>
  <sheetFormatPr defaultColWidth="8.88671875" defaultRowHeight="13.8" x14ac:dyDescent="0.25"/>
  <cols>
    <col min="1" max="1" width="6.5546875" style="1" customWidth="1"/>
    <col min="2" max="2" width="22" style="1" customWidth="1"/>
    <col min="3" max="3" width="26.109375" style="1" customWidth="1"/>
    <col min="4" max="4" width="19.44140625" style="1" customWidth="1"/>
    <col min="5" max="6" width="23.44140625" style="1" customWidth="1"/>
    <col min="7" max="7" width="25.109375" style="1" customWidth="1"/>
    <col min="8" max="16384" width="8.88671875" style="1"/>
  </cols>
  <sheetData>
    <row r="1" spans="1:16" ht="16.8" x14ac:dyDescent="0.3">
      <c r="A1" s="5" t="s">
        <v>3</v>
      </c>
      <c r="B1" s="5"/>
      <c r="C1" s="11"/>
      <c r="E1" s="95" t="s">
        <v>4</v>
      </c>
      <c r="F1" s="95"/>
      <c r="G1" s="95"/>
      <c r="H1" s="95"/>
      <c r="I1" s="95"/>
    </row>
    <row r="2" spans="1:16" ht="15.6" x14ac:dyDescent="0.25">
      <c r="A2" s="7" t="s">
        <v>5</v>
      </c>
      <c r="B2" s="7"/>
      <c r="C2" s="12"/>
      <c r="E2" s="174" t="s">
        <v>6</v>
      </c>
      <c r="F2" s="174"/>
      <c r="G2" s="174"/>
      <c r="H2" s="174"/>
      <c r="I2" s="174"/>
    </row>
    <row r="3" spans="1:16" x14ac:dyDescent="0.25">
      <c r="A3" s="7" t="s">
        <v>7</v>
      </c>
      <c r="C3" s="13"/>
    </row>
    <row r="4" spans="1:16" x14ac:dyDescent="0.25">
      <c r="A4" s="7" t="s">
        <v>8</v>
      </c>
      <c r="C4" s="13"/>
    </row>
    <row r="5" spans="1:16" x14ac:dyDescent="0.25">
      <c r="A5" s="2" t="s">
        <v>9</v>
      </c>
      <c r="C5" s="13"/>
    </row>
    <row r="6" spans="1:16" x14ac:dyDescent="0.25">
      <c r="A6" s="20" t="s">
        <v>98</v>
      </c>
      <c r="C6" s="13"/>
      <c r="D6" s="13"/>
      <c r="J6" s="2101"/>
      <c r="K6" s="2101"/>
      <c r="L6" s="2101"/>
      <c r="M6" s="168"/>
      <c r="N6" s="168"/>
      <c r="O6" s="168"/>
      <c r="P6" s="168"/>
    </row>
    <row r="7" spans="1:16" ht="36" customHeight="1" thickBot="1" x14ac:dyDescent="0.3">
      <c r="A7" s="2104" t="s">
        <v>244</v>
      </c>
      <c r="B7" s="2104"/>
      <c r="C7" s="2104"/>
      <c r="D7" s="2104"/>
      <c r="E7" s="2104"/>
      <c r="F7" s="2104"/>
      <c r="G7" s="2104"/>
    </row>
    <row r="8" spans="1:16" ht="30.9" customHeight="1" thickTop="1" x14ac:dyDescent="0.25">
      <c r="A8" s="53" t="s">
        <v>0</v>
      </c>
      <c r="B8" s="179" t="s">
        <v>245</v>
      </c>
      <c r="C8" s="169" t="s">
        <v>246</v>
      </c>
      <c r="D8" s="169" t="s">
        <v>25</v>
      </c>
      <c r="E8" s="169" t="s">
        <v>247</v>
      </c>
      <c r="F8" s="55" t="s">
        <v>248</v>
      </c>
      <c r="G8" s="55" t="s">
        <v>1</v>
      </c>
    </row>
    <row r="9" spans="1:16" ht="62.25" customHeight="1" x14ac:dyDescent="0.25">
      <c r="A9" s="178">
        <v>1</v>
      </c>
      <c r="B9" s="177" t="s">
        <v>249</v>
      </c>
      <c r="C9" s="176" t="s">
        <v>1325</v>
      </c>
      <c r="D9" s="170"/>
      <c r="E9" s="51"/>
      <c r="F9" s="426" t="s">
        <v>1255</v>
      </c>
      <c r="G9" s="52"/>
    </row>
    <row r="10" spans="1:16" ht="17.25" customHeight="1" x14ac:dyDescent="0.25">
      <c r="A10" s="182">
        <v>2</v>
      </c>
      <c r="B10" s="172" t="s">
        <v>250</v>
      </c>
      <c r="C10" s="171" t="s">
        <v>251</v>
      </c>
      <c r="D10" s="171"/>
      <c r="E10" s="173"/>
      <c r="F10" s="181"/>
      <c r="G10" s="37"/>
    </row>
    <row r="11" spans="1:16" ht="17.25" customHeight="1" x14ac:dyDescent="0.25">
      <c r="A11" s="182">
        <v>3</v>
      </c>
      <c r="B11" s="172" t="s">
        <v>255</v>
      </c>
      <c r="C11" s="194" t="s">
        <v>256</v>
      </c>
      <c r="D11" s="171"/>
      <c r="E11" s="173"/>
      <c r="F11" s="181"/>
      <c r="G11" s="37"/>
    </row>
    <row r="12" spans="1:16" ht="27.75" customHeight="1" x14ac:dyDescent="0.25">
      <c r="A12" s="182">
        <v>4</v>
      </c>
      <c r="B12" s="172" t="s">
        <v>766</v>
      </c>
      <c r="C12" s="194" t="s">
        <v>768</v>
      </c>
      <c r="D12" s="171" t="s">
        <v>767</v>
      </c>
      <c r="E12" s="173"/>
      <c r="F12" s="181"/>
      <c r="G12" s="37" t="s">
        <v>770</v>
      </c>
    </row>
    <row r="13" spans="1:16" ht="17.25" customHeight="1" x14ac:dyDescent="0.25">
      <c r="A13" s="182">
        <v>5</v>
      </c>
      <c r="B13" s="172" t="s">
        <v>771</v>
      </c>
      <c r="C13" s="171" t="s">
        <v>772</v>
      </c>
      <c r="D13" s="171" t="s">
        <v>773</v>
      </c>
      <c r="E13" s="173"/>
      <c r="F13" s="181"/>
      <c r="G13" s="37" t="s">
        <v>774</v>
      </c>
    </row>
    <row r="14" spans="1:16" ht="17.25" customHeight="1" x14ac:dyDescent="0.25">
      <c r="A14" s="182">
        <v>6</v>
      </c>
      <c r="B14" s="172" t="s">
        <v>1151</v>
      </c>
      <c r="C14" s="171" t="s">
        <v>1152</v>
      </c>
      <c r="D14" s="194" t="s">
        <v>1156</v>
      </c>
      <c r="E14" s="173"/>
      <c r="F14" s="181"/>
      <c r="G14" s="37"/>
    </row>
    <row r="15" spans="1:16" ht="17.25" customHeight="1" x14ac:dyDescent="0.25">
      <c r="A15" s="182">
        <v>7</v>
      </c>
      <c r="B15" s="172" t="s">
        <v>1153</v>
      </c>
      <c r="C15" s="171" t="s">
        <v>1154</v>
      </c>
      <c r="D15" s="194" t="s">
        <v>1155</v>
      </c>
      <c r="E15" s="173"/>
      <c r="F15" s="181"/>
      <c r="G15" s="37"/>
    </row>
    <row r="16" spans="1:16" ht="35.25" customHeight="1" x14ac:dyDescent="0.25">
      <c r="A16" s="182">
        <v>8</v>
      </c>
      <c r="B16" s="172" t="s">
        <v>1485</v>
      </c>
      <c r="C16" s="194" t="s">
        <v>1486</v>
      </c>
      <c r="D16" s="171" t="s">
        <v>1487</v>
      </c>
      <c r="E16" s="173"/>
      <c r="F16" s="181"/>
      <c r="G16" s="37"/>
    </row>
    <row r="17" spans="1:3" x14ac:dyDescent="0.25">
      <c r="A17" s="1">
        <v>9</v>
      </c>
      <c r="B17" s="1" t="s">
        <v>1529</v>
      </c>
      <c r="C17" s="1" t="s">
        <v>1528</v>
      </c>
    </row>
  </sheetData>
  <mergeCells count="2">
    <mergeCell ref="J6:L6"/>
    <mergeCell ref="A7:G7"/>
  </mergeCell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37" zoomScaleNormal="100" workbookViewId="0">
      <selection activeCell="A31" sqref="A31:XFD31"/>
    </sheetView>
  </sheetViews>
  <sheetFormatPr defaultColWidth="9.109375" defaultRowHeight="13.8" x14ac:dyDescent="0.25"/>
  <cols>
    <col min="1" max="1" width="3.109375" style="1" customWidth="1"/>
    <col min="2" max="2" width="4.5546875" style="1" customWidth="1"/>
    <col min="3" max="3" width="5.5546875" style="1" customWidth="1"/>
    <col min="4" max="4" width="5.88671875" style="13" customWidth="1"/>
    <col min="5" max="5" width="10.5546875" style="13" customWidth="1"/>
    <col min="6" max="6" width="7.44140625" style="13" customWidth="1"/>
    <col min="7" max="7" width="6.44140625" style="1" customWidth="1"/>
    <col min="8" max="8" width="9.44140625" style="1" customWidth="1"/>
    <col min="9" max="9" width="5.5546875" style="1" customWidth="1"/>
    <col min="10" max="10" width="5.88671875" style="1" customWidth="1"/>
    <col min="11" max="11" width="8.109375" style="1" customWidth="1"/>
    <col min="12" max="12" width="4.44140625" style="114" customWidth="1"/>
    <col min="13" max="13" width="11.88671875" style="1" customWidth="1"/>
    <col min="14" max="14" width="38.88671875" style="1" customWidth="1"/>
    <col min="15" max="16384" width="9.109375" style="1"/>
  </cols>
  <sheetData>
    <row r="1" spans="1:14" ht="16.8" x14ac:dyDescent="0.3">
      <c r="A1" s="5" t="s">
        <v>3</v>
      </c>
      <c r="B1" s="5"/>
      <c r="C1" s="8"/>
      <c r="D1" s="11"/>
      <c r="E1" s="11"/>
      <c r="F1" s="11"/>
      <c r="G1" s="8"/>
      <c r="H1" s="8"/>
      <c r="K1" s="95"/>
      <c r="L1" s="112"/>
      <c r="M1" s="95"/>
      <c r="N1" s="95"/>
    </row>
    <row r="2" spans="1:14" ht="15.6" x14ac:dyDescent="0.25">
      <c r="A2" s="7" t="s">
        <v>5</v>
      </c>
      <c r="B2" s="7"/>
      <c r="C2" s="9"/>
      <c r="D2" s="12"/>
      <c r="E2" s="12"/>
      <c r="F2" s="12"/>
      <c r="G2" s="9"/>
      <c r="H2" s="9"/>
      <c r="K2" s="163"/>
      <c r="L2" s="113"/>
      <c r="M2" s="163"/>
      <c r="N2" s="163"/>
    </row>
    <row r="3" spans="1:14" ht="20.399999999999999" x14ac:dyDescent="0.35">
      <c r="A3" s="2124" t="s">
        <v>240</v>
      </c>
      <c r="B3" s="2124"/>
      <c r="C3" s="2124"/>
      <c r="D3" s="2124"/>
      <c r="E3" s="2124"/>
      <c r="F3" s="2124"/>
      <c r="G3" s="2124"/>
      <c r="H3" s="2124"/>
      <c r="I3" s="2124"/>
      <c r="J3" s="2124"/>
      <c r="K3" s="2124"/>
      <c r="L3" s="2427"/>
      <c r="M3" s="2124"/>
      <c r="N3" s="2124"/>
    </row>
    <row r="4" spans="1:14" x14ac:dyDescent="0.25">
      <c r="A4" s="2101" t="s">
        <v>2323</v>
      </c>
      <c r="B4" s="2101"/>
      <c r="C4" s="2101"/>
      <c r="D4" s="2101"/>
      <c r="E4" s="2101"/>
      <c r="F4" s="2101"/>
      <c r="G4" s="2101"/>
      <c r="H4" s="2101"/>
      <c r="I4" s="2101"/>
      <c r="J4" s="2101"/>
      <c r="K4" s="2101"/>
      <c r="L4" s="2428"/>
      <c r="M4" s="2101"/>
      <c r="N4" s="2101"/>
    </row>
    <row r="5" spans="1:14" ht="14.4" thickBot="1" x14ac:dyDescent="0.3"/>
    <row r="6" spans="1:14" s="146" customFormat="1" ht="11.25" customHeight="1" thickTop="1" x14ac:dyDescent="0.15">
      <c r="A6" s="2191" t="s">
        <v>0</v>
      </c>
      <c r="B6" s="2193" t="s">
        <v>103</v>
      </c>
      <c r="C6" s="2193" t="s">
        <v>104</v>
      </c>
      <c r="D6" s="2193" t="s">
        <v>105</v>
      </c>
      <c r="E6" s="2193"/>
      <c r="F6" s="2193"/>
      <c r="G6" s="2429" t="s">
        <v>106</v>
      </c>
      <c r="H6" s="2429"/>
      <c r="I6" s="2195" t="s">
        <v>130</v>
      </c>
      <c r="J6" s="2196"/>
      <c r="K6" s="2196"/>
      <c r="L6" s="2430"/>
      <c r="M6" s="2126" t="s">
        <v>151</v>
      </c>
      <c r="N6" s="2431" t="s">
        <v>1</v>
      </c>
    </row>
    <row r="7" spans="1:14" s="146" customFormat="1" ht="25.2" x14ac:dyDescent="0.15">
      <c r="A7" s="2192"/>
      <c r="B7" s="2194"/>
      <c r="C7" s="2194"/>
      <c r="D7" s="147" t="s">
        <v>23</v>
      </c>
      <c r="E7" s="164" t="s">
        <v>25</v>
      </c>
      <c r="F7" s="164" t="s">
        <v>27</v>
      </c>
      <c r="G7" s="164" t="s">
        <v>65</v>
      </c>
      <c r="H7" s="164" t="s">
        <v>108</v>
      </c>
      <c r="I7" s="164" t="s">
        <v>29</v>
      </c>
      <c r="J7" s="164" t="s">
        <v>87</v>
      </c>
      <c r="K7" s="164" t="s">
        <v>49</v>
      </c>
      <c r="L7" s="148" t="s">
        <v>22</v>
      </c>
      <c r="M7" s="2121"/>
      <c r="N7" s="2432"/>
    </row>
    <row r="8" spans="1:14" s="146" customFormat="1" ht="8.4" x14ac:dyDescent="0.15">
      <c r="A8" s="432">
        <v>1</v>
      </c>
      <c r="B8" s="861" t="s">
        <v>241</v>
      </c>
      <c r="C8" s="433" t="s">
        <v>61</v>
      </c>
      <c r="D8" s="434" t="s">
        <v>242</v>
      </c>
      <c r="E8" s="434"/>
      <c r="F8" s="433"/>
      <c r="G8" s="434"/>
      <c r="H8" s="434"/>
      <c r="I8" s="435" t="s">
        <v>37</v>
      </c>
      <c r="J8" s="435">
        <v>1</v>
      </c>
      <c r="K8" s="436">
        <v>475000</v>
      </c>
      <c r="L8" s="437">
        <v>0.41</v>
      </c>
      <c r="M8" s="436">
        <f>J8*K8*(1-L8)</f>
        <v>280250.00000000006</v>
      </c>
      <c r="N8" s="862"/>
    </row>
    <row r="9" spans="1:14" s="146" customFormat="1" ht="8.4" x14ac:dyDescent="0.15">
      <c r="A9" s="432">
        <v>2</v>
      </c>
      <c r="B9" s="861" t="s">
        <v>419</v>
      </c>
      <c r="C9" s="433" t="s">
        <v>12</v>
      </c>
      <c r="D9" s="434"/>
      <c r="E9" s="434"/>
      <c r="F9" s="433"/>
      <c r="G9" s="434"/>
      <c r="H9" s="434"/>
      <c r="I9" s="435" t="s">
        <v>38</v>
      </c>
      <c r="J9" s="435">
        <v>1</v>
      </c>
      <c r="K9" s="436">
        <v>285000</v>
      </c>
      <c r="L9" s="437">
        <v>0.41</v>
      </c>
      <c r="M9" s="436">
        <f t="shared" ref="M9:M63" si="0">J9*K9*(1-L9)</f>
        <v>168150.00000000003</v>
      </c>
      <c r="N9" s="862" t="s">
        <v>482</v>
      </c>
    </row>
    <row r="10" spans="1:14" s="146" customFormat="1" ht="25.2" x14ac:dyDescent="0.15">
      <c r="A10" s="432">
        <v>3</v>
      </c>
      <c r="B10" s="861" t="s">
        <v>570</v>
      </c>
      <c r="C10" s="433" t="s">
        <v>12</v>
      </c>
      <c r="D10" s="434" t="s">
        <v>586</v>
      </c>
      <c r="E10" s="434" t="s">
        <v>587</v>
      </c>
      <c r="F10" s="433"/>
      <c r="G10" s="434"/>
      <c r="H10" s="434" t="s">
        <v>588</v>
      </c>
      <c r="I10" s="435" t="s">
        <v>38</v>
      </c>
      <c r="J10" s="435">
        <v>12</v>
      </c>
      <c r="K10" s="436">
        <v>285000</v>
      </c>
      <c r="L10" s="437">
        <v>0.41</v>
      </c>
      <c r="M10" s="436">
        <f t="shared" si="0"/>
        <v>2017800.0000000002</v>
      </c>
      <c r="N10" s="442" t="s">
        <v>749</v>
      </c>
    </row>
    <row r="11" spans="1:14" s="146" customFormat="1" ht="16.8" x14ac:dyDescent="0.15">
      <c r="A11" s="119">
        <v>4</v>
      </c>
      <c r="B11" s="167" t="s">
        <v>718</v>
      </c>
      <c r="C11" s="120" t="s">
        <v>12</v>
      </c>
      <c r="D11" s="139" t="s">
        <v>746</v>
      </c>
      <c r="E11" s="139" t="s">
        <v>747</v>
      </c>
      <c r="F11" s="120"/>
      <c r="G11" s="139"/>
      <c r="H11" s="139"/>
      <c r="I11" s="122" t="s">
        <v>44</v>
      </c>
      <c r="J11" s="122">
        <v>5</v>
      </c>
      <c r="K11" s="141">
        <v>455000</v>
      </c>
      <c r="L11" s="121">
        <v>0.41</v>
      </c>
      <c r="M11" s="141">
        <f t="shared" si="0"/>
        <v>1342250.0000000002</v>
      </c>
      <c r="N11" s="149" t="s">
        <v>748</v>
      </c>
    </row>
    <row r="12" spans="1:14" s="146" customFormat="1" ht="16.8" x14ac:dyDescent="0.15">
      <c r="A12" s="126"/>
      <c r="B12" s="167" t="s">
        <v>718</v>
      </c>
      <c r="C12" s="127" t="s">
        <v>12</v>
      </c>
      <c r="D12" s="142" t="s">
        <v>746</v>
      </c>
      <c r="E12" s="142" t="s">
        <v>747</v>
      </c>
      <c r="F12" s="143"/>
      <c r="G12" s="142"/>
      <c r="H12" s="142"/>
      <c r="I12" s="129" t="s">
        <v>34</v>
      </c>
      <c r="J12" s="129">
        <v>5</v>
      </c>
      <c r="K12" s="144">
        <v>265000</v>
      </c>
      <c r="L12" s="128">
        <v>0.41</v>
      </c>
      <c r="M12" s="141">
        <f t="shared" si="0"/>
        <v>781750.00000000012</v>
      </c>
      <c r="N12" s="150"/>
    </row>
    <row r="13" spans="1:14" s="146" customFormat="1" ht="16.8" x14ac:dyDescent="0.15">
      <c r="A13" s="126"/>
      <c r="B13" s="167" t="s">
        <v>718</v>
      </c>
      <c r="C13" s="127" t="s">
        <v>12</v>
      </c>
      <c r="D13" s="142" t="s">
        <v>746</v>
      </c>
      <c r="E13" s="142" t="s">
        <v>747</v>
      </c>
      <c r="F13" s="143"/>
      <c r="G13" s="142"/>
      <c r="H13" s="142"/>
      <c r="I13" s="129" t="s">
        <v>35</v>
      </c>
      <c r="J13" s="129">
        <v>8</v>
      </c>
      <c r="K13" s="144">
        <v>465000</v>
      </c>
      <c r="L13" s="128">
        <v>0.41</v>
      </c>
      <c r="M13" s="141">
        <f t="shared" si="0"/>
        <v>2194800.0000000005</v>
      </c>
      <c r="N13" s="150"/>
    </row>
    <row r="14" spans="1:14" s="146" customFormat="1" ht="16.8" x14ac:dyDescent="0.15">
      <c r="A14" s="126"/>
      <c r="B14" s="167" t="s">
        <v>718</v>
      </c>
      <c r="C14" s="127" t="s">
        <v>12</v>
      </c>
      <c r="D14" s="142" t="s">
        <v>746</v>
      </c>
      <c r="E14" s="142" t="s">
        <v>747</v>
      </c>
      <c r="F14" s="143"/>
      <c r="G14" s="142"/>
      <c r="H14" s="142"/>
      <c r="I14" s="129" t="s">
        <v>39</v>
      </c>
      <c r="J14" s="129">
        <v>2</v>
      </c>
      <c r="K14" s="144">
        <v>285000</v>
      </c>
      <c r="L14" s="128">
        <v>0.41</v>
      </c>
      <c r="M14" s="141">
        <f t="shared" si="0"/>
        <v>336300.00000000006</v>
      </c>
      <c r="N14" s="150"/>
    </row>
    <row r="15" spans="1:14" s="146" customFormat="1" ht="16.8" x14ac:dyDescent="0.15">
      <c r="A15" s="126"/>
      <c r="B15" s="167" t="s">
        <v>718</v>
      </c>
      <c r="C15" s="127" t="s">
        <v>12</v>
      </c>
      <c r="D15" s="142" t="s">
        <v>746</v>
      </c>
      <c r="E15" s="142" t="s">
        <v>747</v>
      </c>
      <c r="F15" s="143"/>
      <c r="G15" s="142"/>
      <c r="H15" s="142"/>
      <c r="I15" s="129" t="s">
        <v>40</v>
      </c>
      <c r="J15" s="129">
        <v>2</v>
      </c>
      <c r="K15" s="144">
        <v>485000</v>
      </c>
      <c r="L15" s="128">
        <v>0.41</v>
      </c>
      <c r="M15" s="141">
        <f t="shared" si="0"/>
        <v>572300.00000000012</v>
      </c>
      <c r="N15" s="150"/>
    </row>
    <row r="16" spans="1:14" s="146" customFormat="1" ht="16.8" x14ac:dyDescent="0.15">
      <c r="A16" s="126"/>
      <c r="B16" s="167" t="s">
        <v>718</v>
      </c>
      <c r="C16" s="127" t="s">
        <v>12</v>
      </c>
      <c r="D16" s="142" t="s">
        <v>746</v>
      </c>
      <c r="E16" s="142" t="s">
        <v>747</v>
      </c>
      <c r="F16" s="143"/>
      <c r="G16" s="142"/>
      <c r="H16" s="142"/>
      <c r="I16" s="129" t="s">
        <v>38</v>
      </c>
      <c r="J16" s="129">
        <v>5</v>
      </c>
      <c r="K16" s="144">
        <v>285000</v>
      </c>
      <c r="L16" s="128">
        <v>0.41</v>
      </c>
      <c r="M16" s="141">
        <f t="shared" ref="M16:M62" si="1">J16*K16*(1-L16)</f>
        <v>840750.00000000012</v>
      </c>
      <c r="N16" s="150"/>
    </row>
    <row r="17" spans="1:14" s="146" customFormat="1" ht="16.8" x14ac:dyDescent="0.15">
      <c r="A17" s="126"/>
      <c r="B17" s="167" t="s">
        <v>718</v>
      </c>
      <c r="C17" s="127" t="s">
        <v>12</v>
      </c>
      <c r="D17" s="142" t="s">
        <v>746</v>
      </c>
      <c r="E17" s="142" t="s">
        <v>747</v>
      </c>
      <c r="F17" s="143"/>
      <c r="G17" s="142"/>
      <c r="H17" s="142"/>
      <c r="I17" s="129" t="s">
        <v>41</v>
      </c>
      <c r="J17" s="129">
        <v>2</v>
      </c>
      <c r="K17" s="144">
        <v>550000</v>
      </c>
      <c r="L17" s="128">
        <v>0.41</v>
      </c>
      <c r="M17" s="141">
        <f t="shared" si="1"/>
        <v>649000.00000000012</v>
      </c>
      <c r="N17" s="150"/>
    </row>
    <row r="18" spans="1:14" s="146" customFormat="1" ht="16.8" x14ac:dyDescent="0.15">
      <c r="A18" s="427"/>
      <c r="B18" s="863" t="s">
        <v>718</v>
      </c>
      <c r="C18" s="438" t="s">
        <v>12</v>
      </c>
      <c r="D18" s="428" t="s">
        <v>746</v>
      </c>
      <c r="E18" s="428" t="s">
        <v>747</v>
      </c>
      <c r="F18" s="429"/>
      <c r="G18" s="428"/>
      <c r="H18" s="428"/>
      <c r="I18" s="135" t="s">
        <v>42</v>
      </c>
      <c r="J18" s="135">
        <v>9</v>
      </c>
      <c r="K18" s="430">
        <v>455000</v>
      </c>
      <c r="L18" s="431">
        <v>0.41</v>
      </c>
      <c r="M18" s="430">
        <f t="shared" si="1"/>
        <v>2416050.0000000005</v>
      </c>
      <c r="N18" s="864"/>
    </row>
    <row r="19" spans="1:14" s="146" customFormat="1" ht="16.8" x14ac:dyDescent="0.15">
      <c r="A19" s="432">
        <v>5</v>
      </c>
      <c r="B19" s="861" t="s">
        <v>761</v>
      </c>
      <c r="C19" s="433" t="s">
        <v>12</v>
      </c>
      <c r="D19" s="434" t="s">
        <v>659</v>
      </c>
      <c r="E19" s="434"/>
      <c r="F19" s="439"/>
      <c r="G19" s="434"/>
      <c r="H19" s="434"/>
      <c r="I19" s="435" t="s">
        <v>44</v>
      </c>
      <c r="J19" s="435">
        <v>4</v>
      </c>
      <c r="K19" s="436">
        <v>455000</v>
      </c>
      <c r="L19" s="437">
        <v>0.3</v>
      </c>
      <c r="M19" s="436">
        <f t="shared" si="1"/>
        <v>1274000</v>
      </c>
      <c r="N19" s="862"/>
    </row>
    <row r="20" spans="1:14" s="146" customFormat="1" ht="42" x14ac:dyDescent="0.15">
      <c r="A20" s="432">
        <v>6</v>
      </c>
      <c r="B20" s="861" t="s">
        <v>765</v>
      </c>
      <c r="C20" s="433" t="s">
        <v>12</v>
      </c>
      <c r="D20" s="434" t="s">
        <v>799</v>
      </c>
      <c r="E20" s="434"/>
      <c r="F20" s="439"/>
      <c r="G20" s="434"/>
      <c r="H20" s="434"/>
      <c r="I20" s="435" t="s">
        <v>31</v>
      </c>
      <c r="J20" s="435">
        <v>7</v>
      </c>
      <c r="K20" s="436">
        <v>255000</v>
      </c>
      <c r="L20" s="437">
        <v>0.5</v>
      </c>
      <c r="M20" s="436">
        <f t="shared" si="1"/>
        <v>892500</v>
      </c>
      <c r="N20" s="862"/>
    </row>
    <row r="21" spans="1:14" s="146" customFormat="1" ht="33.6" x14ac:dyDescent="0.15">
      <c r="A21" s="119">
        <v>7</v>
      </c>
      <c r="B21" s="167"/>
      <c r="C21" s="120" t="s">
        <v>12</v>
      </c>
      <c r="D21" s="139" t="s">
        <v>825</v>
      </c>
      <c r="E21" s="139"/>
      <c r="F21" s="140"/>
      <c r="G21" s="139"/>
      <c r="H21" s="139"/>
      <c r="I21" s="122" t="s">
        <v>35</v>
      </c>
      <c r="J21" s="122">
        <v>1</v>
      </c>
      <c r="K21" s="141">
        <v>465000</v>
      </c>
      <c r="L21" s="121">
        <v>0.41</v>
      </c>
      <c r="M21" s="141">
        <f t="shared" si="1"/>
        <v>274350.00000000006</v>
      </c>
      <c r="N21" s="149"/>
    </row>
    <row r="22" spans="1:14" s="146" customFormat="1" ht="33.6" x14ac:dyDescent="0.15">
      <c r="A22" s="126"/>
      <c r="B22" s="151"/>
      <c r="C22" s="127" t="s">
        <v>12</v>
      </c>
      <c r="D22" s="142" t="s">
        <v>825</v>
      </c>
      <c r="E22" s="142"/>
      <c r="F22" s="143"/>
      <c r="G22" s="142"/>
      <c r="H22" s="142"/>
      <c r="I22" s="129" t="s">
        <v>36</v>
      </c>
      <c r="J22" s="129">
        <v>2</v>
      </c>
      <c r="K22" s="144">
        <v>275000</v>
      </c>
      <c r="L22" s="128">
        <v>0.41</v>
      </c>
      <c r="M22" s="141">
        <f t="shared" si="1"/>
        <v>324500.00000000006</v>
      </c>
      <c r="N22" s="150"/>
    </row>
    <row r="23" spans="1:14" s="146" customFormat="1" ht="33.6" x14ac:dyDescent="0.15">
      <c r="A23" s="126"/>
      <c r="B23" s="151"/>
      <c r="C23" s="127" t="s">
        <v>12</v>
      </c>
      <c r="D23" s="142" t="s">
        <v>825</v>
      </c>
      <c r="E23" s="142"/>
      <c r="F23" s="143"/>
      <c r="G23" s="142"/>
      <c r="H23" s="142"/>
      <c r="I23" s="860" t="s">
        <v>37</v>
      </c>
      <c r="J23" s="129">
        <v>1</v>
      </c>
      <c r="K23" s="144">
        <v>475000</v>
      </c>
      <c r="L23" s="128">
        <v>0.41</v>
      </c>
      <c r="M23" s="141">
        <f t="shared" si="1"/>
        <v>280250.00000000006</v>
      </c>
      <c r="N23" s="150" t="s">
        <v>826</v>
      </c>
    </row>
    <row r="24" spans="1:14" s="146" customFormat="1" ht="33.6" x14ac:dyDescent="0.15">
      <c r="A24" s="126"/>
      <c r="B24" s="151"/>
      <c r="C24" s="127" t="s">
        <v>12</v>
      </c>
      <c r="D24" s="142" t="s">
        <v>825</v>
      </c>
      <c r="E24" s="142"/>
      <c r="F24" s="143"/>
      <c r="G24" s="142"/>
      <c r="H24" s="142"/>
      <c r="I24" s="860" t="s">
        <v>38</v>
      </c>
      <c r="J24" s="129">
        <v>2</v>
      </c>
      <c r="K24" s="144">
        <v>285000</v>
      </c>
      <c r="L24" s="128">
        <v>0.41</v>
      </c>
      <c r="M24" s="141">
        <f t="shared" si="1"/>
        <v>336300.00000000006</v>
      </c>
      <c r="N24" s="150" t="s">
        <v>826</v>
      </c>
    </row>
    <row r="25" spans="1:14" s="146" customFormat="1" ht="33.6" x14ac:dyDescent="0.15">
      <c r="A25" s="126"/>
      <c r="B25" s="151"/>
      <c r="C25" s="127" t="s">
        <v>12</v>
      </c>
      <c r="D25" s="142" t="s">
        <v>825</v>
      </c>
      <c r="E25" s="142"/>
      <c r="F25" s="143"/>
      <c r="G25" s="142"/>
      <c r="H25" s="142"/>
      <c r="I25" s="860" t="s">
        <v>41</v>
      </c>
      <c r="J25" s="129">
        <v>3</v>
      </c>
      <c r="K25" s="144">
        <v>550000</v>
      </c>
      <c r="L25" s="128">
        <v>0.41</v>
      </c>
      <c r="M25" s="144">
        <f t="shared" si="1"/>
        <v>973500.00000000012</v>
      </c>
      <c r="N25" s="150"/>
    </row>
    <row r="26" spans="1:14" s="146" customFormat="1" ht="33.6" x14ac:dyDescent="0.15">
      <c r="A26" s="427"/>
      <c r="B26" s="863"/>
      <c r="C26" s="438" t="s">
        <v>12</v>
      </c>
      <c r="D26" s="428" t="s">
        <v>825</v>
      </c>
      <c r="E26" s="428"/>
      <c r="F26" s="429"/>
      <c r="G26" s="428"/>
      <c r="H26" s="428"/>
      <c r="I26" s="135" t="s">
        <v>42</v>
      </c>
      <c r="J26" s="135">
        <v>1</v>
      </c>
      <c r="K26" s="430">
        <v>455000</v>
      </c>
      <c r="L26" s="431">
        <v>0.41</v>
      </c>
      <c r="M26" s="850">
        <f t="shared" si="1"/>
        <v>268450.00000000006</v>
      </c>
      <c r="N26" s="864"/>
    </row>
    <row r="27" spans="1:14" s="146" customFormat="1" ht="16.8" x14ac:dyDescent="0.15">
      <c r="A27" s="119">
        <v>8</v>
      </c>
      <c r="B27" s="167" t="s">
        <v>864</v>
      </c>
      <c r="C27" s="120"/>
      <c r="D27" s="139" t="s">
        <v>890</v>
      </c>
      <c r="E27" s="139" t="s">
        <v>146</v>
      </c>
      <c r="F27" s="140"/>
      <c r="G27" s="139"/>
      <c r="H27" s="139"/>
      <c r="I27" s="122" t="s">
        <v>38</v>
      </c>
      <c r="J27" s="122">
        <v>18</v>
      </c>
      <c r="K27" s="141">
        <v>285000</v>
      </c>
      <c r="L27" s="121">
        <v>0.35</v>
      </c>
      <c r="M27" s="141">
        <f t="shared" si="1"/>
        <v>3334500</v>
      </c>
      <c r="N27" s="149"/>
    </row>
    <row r="28" spans="1:14" s="146" customFormat="1" ht="8.4" x14ac:dyDescent="0.15">
      <c r="A28" s="427"/>
      <c r="B28" s="863"/>
      <c r="C28" s="438"/>
      <c r="D28" s="428"/>
      <c r="E28" s="428"/>
      <c r="F28" s="429"/>
      <c r="G28" s="428"/>
      <c r="H28" s="428"/>
      <c r="I28" s="135" t="s">
        <v>60</v>
      </c>
      <c r="J28" s="135">
        <v>2</v>
      </c>
      <c r="K28" s="430">
        <v>485000</v>
      </c>
      <c r="L28" s="431">
        <v>0.35</v>
      </c>
      <c r="M28" s="430">
        <f t="shared" si="1"/>
        <v>630500</v>
      </c>
      <c r="N28" s="864"/>
    </row>
    <row r="29" spans="1:14" s="146" customFormat="1" ht="16.8" x14ac:dyDescent="0.15">
      <c r="A29" s="432">
        <v>9</v>
      </c>
      <c r="B29" s="861" t="s">
        <v>875</v>
      </c>
      <c r="C29" s="433"/>
      <c r="D29" s="434" t="s">
        <v>890</v>
      </c>
      <c r="E29" s="434" t="s">
        <v>146</v>
      </c>
      <c r="F29" s="439"/>
      <c r="G29" s="434"/>
      <c r="H29" s="434"/>
      <c r="I29" s="435" t="s">
        <v>39</v>
      </c>
      <c r="J29" s="435">
        <v>5</v>
      </c>
      <c r="K29" s="436">
        <v>285000</v>
      </c>
      <c r="L29" s="437">
        <v>0.35</v>
      </c>
      <c r="M29" s="436">
        <f t="shared" si="1"/>
        <v>926250</v>
      </c>
      <c r="N29" s="862"/>
    </row>
    <row r="30" spans="1:14" s="146" customFormat="1" ht="16.8" x14ac:dyDescent="0.15">
      <c r="A30" s="432">
        <v>10</v>
      </c>
      <c r="B30" s="861"/>
      <c r="C30" s="433"/>
      <c r="D30" s="434" t="s">
        <v>729</v>
      </c>
      <c r="E30" s="434"/>
      <c r="F30" s="439"/>
      <c r="G30" s="434"/>
      <c r="H30" s="434"/>
      <c r="I30" s="435" t="s">
        <v>60</v>
      </c>
      <c r="J30" s="435">
        <v>12</v>
      </c>
      <c r="K30" s="436">
        <v>485000</v>
      </c>
      <c r="L30" s="437">
        <v>0.5</v>
      </c>
      <c r="M30" s="436">
        <f t="shared" si="1"/>
        <v>2910000</v>
      </c>
      <c r="N30" s="862"/>
    </row>
    <row r="31" spans="1:14" s="146" customFormat="1" ht="16.8" x14ac:dyDescent="0.15">
      <c r="A31" s="1017">
        <v>11</v>
      </c>
      <c r="B31" s="1018" t="s">
        <v>984</v>
      </c>
      <c r="C31" s="1019"/>
      <c r="D31" s="1020" t="s">
        <v>817</v>
      </c>
      <c r="E31" s="1020" t="s">
        <v>653</v>
      </c>
      <c r="F31" s="1021"/>
      <c r="G31" s="1020"/>
      <c r="H31" s="1020"/>
      <c r="I31" s="1022" t="s">
        <v>44</v>
      </c>
      <c r="J31" s="1022">
        <v>12</v>
      </c>
      <c r="K31" s="1023">
        <v>455000</v>
      </c>
      <c r="L31" s="1024"/>
      <c r="M31" s="1023">
        <f t="shared" ref="M31:M61" si="2">J31*K31*(1-L31)</f>
        <v>5460000</v>
      </c>
      <c r="N31" s="1025" t="s">
        <v>1103</v>
      </c>
    </row>
    <row r="32" spans="1:14" s="146" customFormat="1" ht="16.8" x14ac:dyDescent="0.15">
      <c r="A32" s="433">
        <v>12</v>
      </c>
      <c r="B32" s="861" t="s">
        <v>984</v>
      </c>
      <c r="C32" s="433"/>
      <c r="D32" s="434" t="s">
        <v>1102</v>
      </c>
      <c r="E32" s="434"/>
      <c r="F32" s="439"/>
      <c r="G32" s="434"/>
      <c r="H32" s="434"/>
      <c r="I32" s="435" t="s">
        <v>44</v>
      </c>
      <c r="J32" s="435">
        <v>12</v>
      </c>
      <c r="K32" s="436">
        <v>455000</v>
      </c>
      <c r="L32" s="437"/>
      <c r="M32" s="436">
        <f t="shared" si="2"/>
        <v>5460000</v>
      </c>
      <c r="N32" s="1034" t="s">
        <v>1104</v>
      </c>
    </row>
    <row r="33" spans="1:14" s="146" customFormat="1" ht="16.8" x14ac:dyDescent="0.15">
      <c r="A33" s="119">
        <v>13</v>
      </c>
      <c r="B33" s="167" t="s">
        <v>1107</v>
      </c>
      <c r="C33" s="120"/>
      <c r="D33" s="139" t="s">
        <v>919</v>
      </c>
      <c r="E33" s="139" t="s">
        <v>1108</v>
      </c>
      <c r="F33" s="140"/>
      <c r="G33" s="139"/>
      <c r="H33" s="139"/>
      <c r="I33" s="122" t="s">
        <v>33</v>
      </c>
      <c r="J33" s="122">
        <v>12</v>
      </c>
      <c r="K33" s="141"/>
      <c r="L33" s="121"/>
      <c r="M33" s="141">
        <f t="shared" si="2"/>
        <v>0</v>
      </c>
      <c r="N33" s="149" t="s">
        <v>1137</v>
      </c>
    </row>
    <row r="34" spans="1:14" s="146" customFormat="1" ht="8.4" x14ac:dyDescent="0.15">
      <c r="A34" s="126"/>
      <c r="B34" s="151"/>
      <c r="C34" s="127"/>
      <c r="D34" s="142"/>
      <c r="E34" s="142"/>
      <c r="F34" s="143"/>
      <c r="G34" s="142"/>
      <c r="H34" s="142"/>
      <c r="I34" s="129" t="s">
        <v>35</v>
      </c>
      <c r="J34" s="129">
        <v>18</v>
      </c>
      <c r="K34" s="144"/>
      <c r="L34" s="128"/>
      <c r="M34" s="141">
        <f t="shared" si="2"/>
        <v>0</v>
      </c>
      <c r="N34" s="150" t="s">
        <v>1138</v>
      </c>
    </row>
    <row r="35" spans="1:14" s="146" customFormat="1" ht="8.4" x14ac:dyDescent="0.15">
      <c r="A35" s="119"/>
      <c r="B35" s="167"/>
      <c r="C35" s="120"/>
      <c r="D35" s="139"/>
      <c r="E35" s="139"/>
      <c r="F35" s="140"/>
      <c r="G35" s="139"/>
      <c r="H35" s="139"/>
      <c r="I35" s="122" t="s">
        <v>37</v>
      </c>
      <c r="J35" s="122">
        <v>20</v>
      </c>
      <c r="K35" s="141"/>
      <c r="L35" s="121"/>
      <c r="M35" s="141">
        <f t="shared" si="2"/>
        <v>0</v>
      </c>
      <c r="N35" s="149" t="s">
        <v>1139</v>
      </c>
    </row>
    <row r="36" spans="1:14" s="146" customFormat="1" ht="8.4" x14ac:dyDescent="0.15">
      <c r="A36" s="126"/>
      <c r="B36" s="151"/>
      <c r="C36" s="127"/>
      <c r="D36" s="142"/>
      <c r="E36" s="142"/>
      <c r="F36" s="143"/>
      <c r="G36" s="142"/>
      <c r="H36" s="142"/>
      <c r="I36" s="129" t="s">
        <v>39</v>
      </c>
      <c r="J36" s="129">
        <v>5</v>
      </c>
      <c r="K36" s="144"/>
      <c r="L36" s="128"/>
      <c r="M36" s="141">
        <f t="shared" si="2"/>
        <v>0</v>
      </c>
      <c r="N36" s="150" t="s">
        <v>1140</v>
      </c>
    </row>
    <row r="37" spans="1:14" s="146" customFormat="1" ht="8.4" x14ac:dyDescent="0.15">
      <c r="A37" s="119"/>
      <c r="B37" s="167"/>
      <c r="C37" s="120"/>
      <c r="D37" s="139"/>
      <c r="E37" s="139"/>
      <c r="F37" s="140"/>
      <c r="G37" s="139"/>
      <c r="H37" s="139"/>
      <c r="I37" s="122" t="s">
        <v>40</v>
      </c>
      <c r="J37" s="122">
        <v>17</v>
      </c>
      <c r="K37" s="141"/>
      <c r="L37" s="121"/>
      <c r="M37" s="141">
        <f t="shared" ref="M37:M40" si="3">J37*K37*(1-L37)</f>
        <v>0</v>
      </c>
      <c r="N37" s="149" t="s">
        <v>1141</v>
      </c>
    </row>
    <row r="38" spans="1:14" s="146" customFormat="1" ht="8.4" x14ac:dyDescent="0.15">
      <c r="A38" s="126"/>
      <c r="B38" s="151"/>
      <c r="C38" s="127"/>
      <c r="D38" s="142"/>
      <c r="E38" s="142"/>
      <c r="F38" s="143"/>
      <c r="G38" s="142"/>
      <c r="H38" s="142"/>
      <c r="I38" s="129" t="s">
        <v>41</v>
      </c>
      <c r="J38" s="129">
        <v>16</v>
      </c>
      <c r="K38" s="144"/>
      <c r="L38" s="128"/>
      <c r="M38" s="144">
        <f t="shared" si="3"/>
        <v>0</v>
      </c>
      <c r="N38" s="150" t="s">
        <v>1142</v>
      </c>
    </row>
    <row r="39" spans="1:14" s="146" customFormat="1" ht="8.4" x14ac:dyDescent="0.15">
      <c r="A39" s="1026"/>
      <c r="B39" s="1027"/>
      <c r="C39" s="1028"/>
      <c r="D39" s="1029"/>
      <c r="E39" s="1029"/>
      <c r="F39" s="1030"/>
      <c r="G39" s="1029"/>
      <c r="H39" s="1029"/>
      <c r="I39" s="1031" t="s">
        <v>42</v>
      </c>
      <c r="J39" s="1031">
        <v>4</v>
      </c>
      <c r="K39" s="850"/>
      <c r="L39" s="1032"/>
      <c r="M39" s="850">
        <f t="shared" si="3"/>
        <v>0</v>
      </c>
      <c r="N39" s="1033" t="s">
        <v>1143</v>
      </c>
    </row>
    <row r="40" spans="1:14" s="146" customFormat="1" ht="16.8" x14ac:dyDescent="0.15">
      <c r="A40" s="1062">
        <v>14</v>
      </c>
      <c r="B40" s="1063" t="s">
        <v>1202</v>
      </c>
      <c r="C40" s="1064"/>
      <c r="D40" s="1065" t="s">
        <v>659</v>
      </c>
      <c r="E40" s="1065"/>
      <c r="F40" s="1066"/>
      <c r="G40" s="1065"/>
      <c r="H40" s="1065"/>
      <c r="I40" s="1067" t="s">
        <v>31</v>
      </c>
      <c r="J40" s="1067">
        <v>19</v>
      </c>
      <c r="K40" s="1068"/>
      <c r="L40" s="1069"/>
      <c r="M40" s="1068">
        <f t="shared" si="3"/>
        <v>0</v>
      </c>
      <c r="N40" s="1070" t="s">
        <v>2378</v>
      </c>
    </row>
    <row r="41" spans="1:14" s="146" customFormat="1" ht="8.4" x14ac:dyDescent="0.15">
      <c r="A41" s="1026"/>
      <c r="B41" s="1027"/>
      <c r="C41" s="1028"/>
      <c r="D41" s="1029"/>
      <c r="E41" s="1029"/>
      <c r="F41" s="1030"/>
      <c r="G41" s="1029"/>
      <c r="H41" s="1029"/>
      <c r="I41" s="1031" t="s">
        <v>44</v>
      </c>
      <c r="J41" s="1031">
        <v>7</v>
      </c>
      <c r="K41" s="850"/>
      <c r="L41" s="1032"/>
      <c r="M41" s="850">
        <f t="shared" ref="M41:M59" si="4">J41*K41*(1-L41)</f>
        <v>0</v>
      </c>
      <c r="N41" s="1033"/>
    </row>
    <row r="42" spans="1:14" s="146" customFormat="1" ht="16.8" x14ac:dyDescent="0.15">
      <c r="A42" s="119">
        <v>15</v>
      </c>
      <c r="B42" s="167" t="s">
        <v>1243</v>
      </c>
      <c r="C42" s="120"/>
      <c r="D42" s="139" t="s">
        <v>729</v>
      </c>
      <c r="E42" s="139"/>
      <c r="F42" s="140"/>
      <c r="G42" s="139"/>
      <c r="H42" s="139"/>
      <c r="I42" s="122" t="s">
        <v>46</v>
      </c>
      <c r="J42" s="122">
        <v>50</v>
      </c>
      <c r="K42" s="141"/>
      <c r="L42" s="121"/>
      <c r="M42" s="141">
        <f t="shared" si="4"/>
        <v>0</v>
      </c>
      <c r="N42" s="149" t="s">
        <v>1362</v>
      </c>
    </row>
    <row r="43" spans="1:14" s="146" customFormat="1" ht="8.4" x14ac:dyDescent="0.15">
      <c r="A43" s="119"/>
      <c r="B43" s="167"/>
      <c r="C43" s="120"/>
      <c r="D43" s="139"/>
      <c r="E43" s="139"/>
      <c r="F43" s="140"/>
      <c r="G43" s="139"/>
      <c r="H43" s="139"/>
      <c r="I43" s="122" t="s">
        <v>44</v>
      </c>
      <c r="J43" s="122">
        <v>12</v>
      </c>
      <c r="K43" s="141"/>
      <c r="L43" s="121"/>
      <c r="M43" s="141">
        <f t="shared" si="4"/>
        <v>0</v>
      </c>
      <c r="N43" s="149"/>
    </row>
    <row r="44" spans="1:14" s="146" customFormat="1" ht="8.4" x14ac:dyDescent="0.15">
      <c r="A44" s="427"/>
      <c r="B44" s="863"/>
      <c r="C44" s="438"/>
      <c r="D44" s="428"/>
      <c r="E44" s="428"/>
      <c r="F44" s="429"/>
      <c r="G44" s="428"/>
      <c r="H44" s="428"/>
      <c r="I44" s="135" t="s">
        <v>42</v>
      </c>
      <c r="J44" s="135">
        <v>12</v>
      </c>
      <c r="K44" s="430"/>
      <c r="L44" s="431"/>
      <c r="M44" s="430">
        <f t="shared" si="4"/>
        <v>0</v>
      </c>
      <c r="N44" s="864"/>
    </row>
    <row r="45" spans="1:14" s="146" customFormat="1" ht="16.8" x14ac:dyDescent="0.15">
      <c r="A45" s="433"/>
      <c r="B45" s="1919" t="s">
        <v>1998</v>
      </c>
      <c r="C45" s="433"/>
      <c r="D45" s="434" t="s">
        <v>817</v>
      </c>
      <c r="E45" s="434" t="s">
        <v>653</v>
      </c>
      <c r="F45" s="439"/>
      <c r="G45" s="434"/>
      <c r="H45" s="434"/>
      <c r="I45" s="435" t="s">
        <v>46</v>
      </c>
      <c r="J45" s="435">
        <v>35</v>
      </c>
      <c r="K45" s="436">
        <v>450000</v>
      </c>
      <c r="L45" s="437"/>
      <c r="M45" s="436">
        <f t="shared" ref="M45:M55" si="5">J45*K45*(1-L45)</f>
        <v>15750000</v>
      </c>
      <c r="N45" s="1034" t="s">
        <v>2353</v>
      </c>
    </row>
    <row r="46" spans="1:14" s="146" customFormat="1" ht="25.2" x14ac:dyDescent="0.15">
      <c r="A46" s="1062"/>
      <c r="B46" s="1921">
        <v>44166</v>
      </c>
      <c r="C46" s="1064"/>
      <c r="D46" s="1065" t="s">
        <v>1355</v>
      </c>
      <c r="E46" s="1065"/>
      <c r="F46" s="1066"/>
      <c r="G46" s="1065"/>
      <c r="H46" s="1065"/>
      <c r="I46" s="1067" t="s">
        <v>35</v>
      </c>
      <c r="J46" s="1067">
        <v>12</v>
      </c>
      <c r="K46" s="1068">
        <v>465000</v>
      </c>
      <c r="L46" s="1069"/>
      <c r="M46" s="1068">
        <f t="shared" si="5"/>
        <v>5580000</v>
      </c>
      <c r="N46" s="1070" t="s">
        <v>2373</v>
      </c>
    </row>
    <row r="47" spans="1:14" s="146" customFormat="1" ht="15" customHeight="1" x14ac:dyDescent="0.15">
      <c r="A47" s="119"/>
      <c r="B47" s="1918"/>
      <c r="C47" s="120"/>
      <c r="D47" s="139"/>
      <c r="E47" s="139"/>
      <c r="F47" s="140"/>
      <c r="G47" s="139"/>
      <c r="H47" s="139"/>
      <c r="I47" s="122" t="s">
        <v>44</v>
      </c>
      <c r="J47" s="122">
        <v>12</v>
      </c>
      <c r="K47" s="141">
        <v>455000</v>
      </c>
      <c r="L47" s="121"/>
      <c r="M47" s="141">
        <f t="shared" si="5"/>
        <v>5460000</v>
      </c>
      <c r="N47" s="149"/>
    </row>
    <row r="48" spans="1:14" s="146" customFormat="1" ht="15" customHeight="1" x14ac:dyDescent="0.15">
      <c r="A48" s="427"/>
      <c r="B48" s="1922"/>
      <c r="C48" s="438"/>
      <c r="D48" s="428"/>
      <c r="E48" s="428"/>
      <c r="F48" s="429"/>
      <c r="G48" s="428"/>
      <c r="H48" s="428"/>
      <c r="I48" s="135" t="s">
        <v>42</v>
      </c>
      <c r="J48" s="135">
        <v>12</v>
      </c>
      <c r="K48" s="430">
        <v>455000</v>
      </c>
      <c r="L48" s="431"/>
      <c r="M48" s="850">
        <f t="shared" si="5"/>
        <v>5460000</v>
      </c>
      <c r="N48" s="864"/>
    </row>
    <row r="49" spans="1:14" s="146" customFormat="1" ht="25.2" x14ac:dyDescent="0.15">
      <c r="A49" s="1062"/>
      <c r="B49" s="1921">
        <v>44166</v>
      </c>
      <c r="C49" s="1064"/>
      <c r="D49" s="1065" t="s">
        <v>2324</v>
      </c>
      <c r="E49" s="1065"/>
      <c r="F49" s="1066"/>
      <c r="G49" s="1065"/>
      <c r="H49" s="1065"/>
      <c r="I49" s="1067" t="s">
        <v>41</v>
      </c>
      <c r="J49" s="1067">
        <v>12</v>
      </c>
      <c r="K49" s="1068">
        <v>550000</v>
      </c>
      <c r="L49" s="1069"/>
      <c r="M49" s="1068">
        <f t="shared" si="5"/>
        <v>6600000</v>
      </c>
      <c r="N49" s="1070" t="s">
        <v>2374</v>
      </c>
    </row>
    <row r="50" spans="1:14" s="146" customFormat="1" ht="8.4" x14ac:dyDescent="0.15">
      <c r="A50" s="131"/>
      <c r="B50" s="1923"/>
      <c r="C50" s="132"/>
      <c r="D50" s="1924"/>
      <c r="E50" s="1924"/>
      <c r="F50" s="1925"/>
      <c r="G50" s="1924"/>
      <c r="H50" s="1924"/>
      <c r="I50" s="1926" t="s">
        <v>46</v>
      </c>
      <c r="J50" s="1926">
        <v>24</v>
      </c>
      <c r="K50" s="1927">
        <v>450000</v>
      </c>
      <c r="L50" s="133"/>
      <c r="M50" s="1023">
        <f t="shared" si="5"/>
        <v>10800000</v>
      </c>
      <c r="N50" s="1928"/>
    </row>
    <row r="51" spans="1:14" s="146" customFormat="1" ht="8.4" x14ac:dyDescent="0.15">
      <c r="A51" s="1937">
        <v>356</v>
      </c>
      <c r="B51" s="1951" t="s">
        <v>2124</v>
      </c>
      <c r="C51" s="1937"/>
      <c r="D51" s="1938" t="s">
        <v>2328</v>
      </c>
      <c r="E51" s="1938" t="s">
        <v>584</v>
      </c>
      <c r="F51" s="1939"/>
      <c r="G51" s="1938"/>
      <c r="H51" s="1938"/>
      <c r="I51" s="1940" t="s">
        <v>35</v>
      </c>
      <c r="J51" s="1940">
        <v>24</v>
      </c>
      <c r="K51" s="1941">
        <v>465000</v>
      </c>
      <c r="L51" s="1942"/>
      <c r="M51" s="1941">
        <f t="shared" si="5"/>
        <v>11160000</v>
      </c>
      <c r="N51" s="1830"/>
    </row>
    <row r="52" spans="1:14" s="146" customFormat="1" ht="8.4" x14ac:dyDescent="0.15">
      <c r="A52" s="1930"/>
      <c r="B52" s="1931"/>
      <c r="C52" s="1930"/>
      <c r="D52" s="1932"/>
      <c r="E52" s="1932"/>
      <c r="F52" s="1933"/>
      <c r="G52" s="1932"/>
      <c r="H52" s="1932"/>
      <c r="I52" s="1934" t="s">
        <v>37</v>
      </c>
      <c r="J52" s="1934">
        <v>48</v>
      </c>
      <c r="K52" s="1935">
        <v>475000</v>
      </c>
      <c r="L52" s="1936"/>
      <c r="M52" s="1935">
        <f t="shared" si="5"/>
        <v>22800000</v>
      </c>
      <c r="N52" s="1831" t="s">
        <v>2377</v>
      </c>
    </row>
    <row r="53" spans="1:14" s="146" customFormat="1" ht="8.4" x14ac:dyDescent="0.15">
      <c r="A53" s="1930"/>
      <c r="B53" s="1931"/>
      <c r="C53" s="1930"/>
      <c r="D53" s="1932"/>
      <c r="E53" s="1932"/>
      <c r="F53" s="1933"/>
      <c r="G53" s="1932"/>
      <c r="H53" s="1932"/>
      <c r="I53" s="1934" t="s">
        <v>40</v>
      </c>
      <c r="J53" s="1934">
        <v>24</v>
      </c>
      <c r="K53" s="1935">
        <v>485000</v>
      </c>
      <c r="L53" s="1936"/>
      <c r="M53" s="1935">
        <f t="shared" si="5"/>
        <v>11640000</v>
      </c>
      <c r="N53" s="1831"/>
    </row>
    <row r="54" spans="1:14" s="146" customFormat="1" ht="8.4" x14ac:dyDescent="0.15">
      <c r="A54" s="1930"/>
      <c r="B54" s="1931"/>
      <c r="C54" s="1930"/>
      <c r="D54" s="1932"/>
      <c r="E54" s="1932"/>
      <c r="F54" s="1933"/>
      <c r="G54" s="1932"/>
      <c r="H54" s="1932"/>
      <c r="I54" s="1934" t="s">
        <v>44</v>
      </c>
      <c r="J54" s="1934">
        <v>48</v>
      </c>
      <c r="K54" s="1935">
        <v>455000</v>
      </c>
      <c r="L54" s="1936"/>
      <c r="M54" s="1935">
        <f t="shared" si="5"/>
        <v>21840000</v>
      </c>
      <c r="N54" s="1831"/>
    </row>
    <row r="55" spans="1:14" s="146" customFormat="1" ht="8.4" x14ac:dyDescent="0.15">
      <c r="A55" s="1944"/>
      <c r="B55" s="1943"/>
      <c r="C55" s="1944"/>
      <c r="D55" s="1945"/>
      <c r="E55" s="1945"/>
      <c r="F55" s="1946"/>
      <c r="G55" s="1945"/>
      <c r="H55" s="1945"/>
      <c r="I55" s="1947" t="s">
        <v>42</v>
      </c>
      <c r="J55" s="1947">
        <v>12</v>
      </c>
      <c r="K55" s="1948">
        <v>455000</v>
      </c>
      <c r="L55" s="1949"/>
      <c r="M55" s="1948">
        <f t="shared" si="5"/>
        <v>5460000</v>
      </c>
      <c r="N55" s="1950"/>
    </row>
    <row r="56" spans="1:14" s="146" customFormat="1" ht="16.8" x14ac:dyDescent="0.15">
      <c r="A56" s="1026">
        <v>365</v>
      </c>
      <c r="B56" s="1929" t="s">
        <v>2135</v>
      </c>
      <c r="C56" s="1028"/>
      <c r="D56" s="1029" t="s">
        <v>2325</v>
      </c>
      <c r="E56" s="139" t="s">
        <v>1367</v>
      </c>
      <c r="F56" s="1030"/>
      <c r="G56" s="1029"/>
      <c r="H56" s="1029"/>
      <c r="I56" s="1031" t="s">
        <v>2326</v>
      </c>
      <c r="J56" s="1031">
        <v>24</v>
      </c>
      <c r="K56" s="850">
        <v>485000</v>
      </c>
      <c r="L56" s="1032"/>
      <c r="M56" s="850">
        <f t="shared" si="4"/>
        <v>11640000</v>
      </c>
      <c r="N56" s="1033" t="s">
        <v>2375</v>
      </c>
    </row>
    <row r="57" spans="1:14" s="146" customFormat="1" ht="16.8" x14ac:dyDescent="0.15">
      <c r="A57" s="432">
        <v>362</v>
      </c>
      <c r="B57" s="1920"/>
      <c r="C57" s="433"/>
      <c r="D57" s="434" t="s">
        <v>180</v>
      </c>
      <c r="E57" s="434" t="s">
        <v>2327</v>
      </c>
      <c r="F57" s="439"/>
      <c r="G57" s="434"/>
      <c r="H57" s="434"/>
      <c r="I57" s="435" t="s">
        <v>46</v>
      </c>
      <c r="J57" s="435">
        <v>3</v>
      </c>
      <c r="K57" s="436">
        <v>450000</v>
      </c>
      <c r="L57" s="437"/>
      <c r="M57" s="436">
        <f t="shared" si="4"/>
        <v>1350000</v>
      </c>
      <c r="N57" s="862"/>
    </row>
    <row r="58" spans="1:14" s="146" customFormat="1" ht="16.8" x14ac:dyDescent="0.15">
      <c r="A58" s="1062">
        <v>1001</v>
      </c>
      <c r="B58" s="2099" t="s">
        <v>2204</v>
      </c>
      <c r="C58" s="1064"/>
      <c r="D58" s="1065" t="s">
        <v>2325</v>
      </c>
      <c r="E58" s="1065" t="s">
        <v>1367</v>
      </c>
      <c r="F58" s="1066"/>
      <c r="G58" s="1065"/>
      <c r="H58" s="1065"/>
      <c r="I58" s="1067" t="s">
        <v>33</v>
      </c>
      <c r="J58" s="1067">
        <v>22</v>
      </c>
      <c r="K58" s="1068">
        <v>455000</v>
      </c>
      <c r="L58" s="1069"/>
      <c r="M58" s="1068">
        <f t="shared" si="4"/>
        <v>10010000</v>
      </c>
      <c r="N58" s="1070" t="s">
        <v>2376</v>
      </c>
    </row>
    <row r="59" spans="1:14" s="146" customFormat="1" ht="8.4" x14ac:dyDescent="0.15">
      <c r="A59" s="427"/>
      <c r="B59" s="1922"/>
      <c r="C59" s="438"/>
      <c r="D59" s="428"/>
      <c r="E59" s="428"/>
      <c r="F59" s="429"/>
      <c r="G59" s="428"/>
      <c r="H59" s="428"/>
      <c r="I59" s="135" t="s">
        <v>34</v>
      </c>
      <c r="J59" s="135">
        <v>48</v>
      </c>
      <c r="K59" s="430">
        <v>265000</v>
      </c>
      <c r="L59" s="431"/>
      <c r="M59" s="850">
        <f t="shared" si="4"/>
        <v>12720000</v>
      </c>
      <c r="N59" s="864"/>
    </row>
    <row r="60" spans="1:14" s="146" customFormat="1" ht="8.4" x14ac:dyDescent="0.15">
      <c r="A60" s="119"/>
      <c r="B60" s="1918"/>
      <c r="C60" s="120"/>
      <c r="D60" s="139"/>
      <c r="E60" s="139"/>
      <c r="F60" s="140"/>
      <c r="G60" s="139"/>
      <c r="H60" s="139"/>
      <c r="I60" s="122"/>
      <c r="J60" s="122"/>
      <c r="K60" s="141"/>
      <c r="L60" s="121"/>
      <c r="M60" s="141">
        <f t="shared" si="2"/>
        <v>0</v>
      </c>
      <c r="N60" s="149"/>
    </row>
    <row r="61" spans="1:14" s="146" customFormat="1" ht="8.4" x14ac:dyDescent="0.15">
      <c r="A61" s="126"/>
      <c r="B61" s="1917"/>
      <c r="C61" s="127"/>
      <c r="D61" s="142"/>
      <c r="E61" s="142"/>
      <c r="F61" s="143"/>
      <c r="G61" s="142"/>
      <c r="H61" s="142"/>
      <c r="I61" s="129"/>
      <c r="J61" s="129"/>
      <c r="K61" s="144"/>
      <c r="L61" s="128"/>
      <c r="M61" s="141">
        <f t="shared" si="2"/>
        <v>0</v>
      </c>
      <c r="N61" s="150"/>
    </row>
    <row r="62" spans="1:14" s="146" customFormat="1" ht="8.4" x14ac:dyDescent="0.15">
      <c r="A62" s="119"/>
      <c r="B62" s="1918"/>
      <c r="C62" s="120"/>
      <c r="D62" s="139"/>
      <c r="E62" s="139"/>
      <c r="F62" s="140"/>
      <c r="G62" s="139"/>
      <c r="H62" s="139"/>
      <c r="I62" s="122"/>
      <c r="J62" s="122"/>
      <c r="K62" s="141"/>
      <c r="L62" s="121"/>
      <c r="M62" s="141">
        <f t="shared" si="1"/>
        <v>0</v>
      </c>
      <c r="N62" s="149"/>
    </row>
    <row r="63" spans="1:14" s="146" customFormat="1" ht="8.4" x14ac:dyDescent="0.15">
      <c r="A63" s="126"/>
      <c r="B63" s="1917"/>
      <c r="C63" s="127"/>
      <c r="D63" s="142"/>
      <c r="E63" s="142"/>
      <c r="F63" s="143"/>
      <c r="G63" s="142"/>
      <c r="H63" s="142"/>
      <c r="I63" s="129"/>
      <c r="J63" s="129"/>
      <c r="K63" s="144"/>
      <c r="L63" s="128"/>
      <c r="M63" s="141">
        <f t="shared" si="0"/>
        <v>0</v>
      </c>
      <c r="N63" s="150"/>
    </row>
    <row r="64" spans="1:14" s="153" customFormat="1" ht="8.4" x14ac:dyDescent="0.3">
      <c r="A64" s="2433" t="s">
        <v>2</v>
      </c>
      <c r="B64" s="2434"/>
      <c r="C64" s="2434"/>
      <c r="D64" s="2434"/>
      <c r="E64" s="2434"/>
      <c r="F64" s="2434"/>
      <c r="G64" s="2434"/>
      <c r="H64" s="2434"/>
      <c r="I64" s="2434"/>
      <c r="J64" s="145">
        <f>SUM(J8:J63)</f>
        <v>686</v>
      </c>
      <c r="K64" s="166"/>
      <c r="L64" s="166"/>
      <c r="M64" s="145">
        <f>SUM(M8:M63)</f>
        <v>193214500</v>
      </c>
      <c r="N64" s="152"/>
    </row>
    <row r="65" spans="1:14" s="153" customFormat="1" ht="8.4" x14ac:dyDescent="0.3">
      <c r="A65" s="2435"/>
      <c r="B65" s="2436"/>
      <c r="C65" s="2436"/>
      <c r="D65" s="2436"/>
      <c r="E65" s="2436"/>
      <c r="F65" s="2436"/>
      <c r="G65" s="2436"/>
      <c r="H65" s="2436"/>
      <c r="I65" s="2436"/>
      <c r="J65" s="154"/>
      <c r="K65" s="155"/>
      <c r="L65" s="155"/>
      <c r="M65" s="154"/>
      <c r="N65" s="156"/>
    </row>
    <row r="66" spans="1:14" s="153" customFormat="1" ht="8.4" x14ac:dyDescent="0.3">
      <c r="A66" s="2435"/>
      <c r="B66" s="2436"/>
      <c r="C66" s="2436"/>
      <c r="D66" s="2436"/>
      <c r="E66" s="2436"/>
      <c r="F66" s="2436"/>
      <c r="G66" s="2436"/>
      <c r="H66" s="2436"/>
      <c r="I66" s="2436"/>
      <c r="J66" s="154"/>
      <c r="K66" s="155"/>
      <c r="L66" s="155"/>
      <c r="M66" s="154"/>
      <c r="N66" s="156"/>
    </row>
    <row r="67" spans="1:14" x14ac:dyDescent="0.25">
      <c r="C67" s="2200"/>
      <c r="D67" s="2200"/>
      <c r="E67" s="2200"/>
      <c r="F67" s="165"/>
      <c r="G67" s="165"/>
      <c r="H67" s="2"/>
      <c r="I67" s="2"/>
      <c r="K67" s="2"/>
      <c r="L67" s="165"/>
      <c r="M67" s="2"/>
      <c r="N67" s="115"/>
    </row>
    <row r="75" spans="1:14" x14ac:dyDescent="0.25">
      <c r="D75" s="1"/>
      <c r="E75" s="1"/>
      <c r="F75" s="1"/>
    </row>
    <row r="76" spans="1:14" x14ac:dyDescent="0.25">
      <c r="D76" s="1"/>
      <c r="E76" s="1"/>
      <c r="F76" s="1"/>
    </row>
    <row r="77" spans="1:14" x14ac:dyDescent="0.25">
      <c r="D77" s="1"/>
      <c r="E77" s="1"/>
      <c r="F77" s="1"/>
      <c r="L77" s="1"/>
    </row>
    <row r="78" spans="1:14" x14ac:dyDescent="0.25">
      <c r="D78" s="1"/>
      <c r="E78" s="1"/>
      <c r="F78" s="1"/>
      <c r="L78" s="1"/>
    </row>
    <row r="79" spans="1:14" x14ac:dyDescent="0.25">
      <c r="D79" s="1"/>
      <c r="E79" s="1"/>
      <c r="F79" s="1"/>
      <c r="L79" s="1"/>
    </row>
    <row r="80" spans="1:14" x14ac:dyDescent="0.25">
      <c r="D80" s="1"/>
      <c r="E80" s="1"/>
      <c r="F80" s="1"/>
      <c r="L80" s="1"/>
    </row>
    <row r="81" spans="4:12" x14ac:dyDescent="0.25">
      <c r="D81" s="1"/>
      <c r="E81" s="1"/>
      <c r="F81" s="1"/>
      <c r="L81" s="1"/>
    </row>
    <row r="82" spans="4:12" x14ac:dyDescent="0.25">
      <c r="D82" s="1"/>
      <c r="E82" s="1"/>
      <c r="F82" s="1"/>
      <c r="L82" s="1"/>
    </row>
    <row r="83" spans="4:12" x14ac:dyDescent="0.25">
      <c r="D83" s="1"/>
      <c r="E83" s="1"/>
      <c r="F83" s="1"/>
      <c r="L83" s="1"/>
    </row>
    <row r="84" spans="4:12" x14ac:dyDescent="0.25">
      <c r="D84" s="1"/>
      <c r="E84" s="1"/>
      <c r="F84" s="1"/>
      <c r="L84" s="1"/>
    </row>
    <row r="85" spans="4:12" x14ac:dyDescent="0.25">
      <c r="D85" s="1"/>
      <c r="E85" s="1"/>
      <c r="F85" s="1"/>
      <c r="L85" s="1"/>
    </row>
    <row r="86" spans="4:12" x14ac:dyDescent="0.25">
      <c r="D86" s="1"/>
      <c r="E86" s="1"/>
      <c r="F86" s="1"/>
      <c r="L86" s="1"/>
    </row>
    <row r="87" spans="4:12" x14ac:dyDescent="0.25">
      <c r="D87" s="1"/>
      <c r="E87" s="1"/>
      <c r="F87" s="1"/>
      <c r="L87" s="1"/>
    </row>
    <row r="88" spans="4:12" x14ac:dyDescent="0.25">
      <c r="D88" s="1"/>
      <c r="E88" s="1"/>
      <c r="F88" s="1"/>
      <c r="L88" s="1"/>
    </row>
    <row r="89" spans="4:12" x14ac:dyDescent="0.25">
      <c r="D89" s="1"/>
      <c r="E89" s="1"/>
      <c r="F89" s="1"/>
      <c r="L89" s="1"/>
    </row>
    <row r="90" spans="4:12" x14ac:dyDescent="0.25">
      <c r="D90" s="1"/>
      <c r="E90" s="1"/>
      <c r="F90" s="1"/>
      <c r="L90" s="1"/>
    </row>
    <row r="91" spans="4:12" x14ac:dyDescent="0.25">
      <c r="D91" s="1"/>
      <c r="E91" s="1"/>
      <c r="F91" s="1"/>
      <c r="L91" s="1"/>
    </row>
    <row r="92" spans="4:12" x14ac:dyDescent="0.25">
      <c r="D92" s="1"/>
      <c r="E92" s="1"/>
      <c r="F92" s="1"/>
      <c r="L92" s="1"/>
    </row>
    <row r="93" spans="4:12" x14ac:dyDescent="0.25">
      <c r="D93" s="1"/>
      <c r="E93" s="1"/>
      <c r="F93" s="1"/>
      <c r="L93" s="1"/>
    </row>
    <row r="94" spans="4:12" x14ac:dyDescent="0.25">
      <c r="D94" s="1"/>
      <c r="E94" s="1"/>
      <c r="F94" s="1"/>
      <c r="L94" s="1"/>
    </row>
    <row r="95" spans="4:12" x14ac:dyDescent="0.25">
      <c r="D95" s="1"/>
      <c r="E95" s="1"/>
      <c r="F95" s="1"/>
      <c r="L95" s="1"/>
    </row>
    <row r="96" spans="4:12" x14ac:dyDescent="0.25">
      <c r="D96" s="1"/>
      <c r="E96" s="1"/>
      <c r="F96" s="1"/>
      <c r="L96" s="1"/>
    </row>
    <row r="97" spans="4:12" x14ac:dyDescent="0.25">
      <c r="D97" s="1"/>
      <c r="E97" s="1"/>
      <c r="F97" s="1"/>
      <c r="L97" s="1"/>
    </row>
    <row r="98" spans="4:12" x14ac:dyDescent="0.25">
      <c r="D98" s="1"/>
      <c r="E98" s="1"/>
      <c r="F98" s="1"/>
      <c r="L98" s="1"/>
    </row>
    <row r="99" spans="4:12" x14ac:dyDescent="0.25">
      <c r="D99" s="1"/>
      <c r="E99" s="1"/>
      <c r="F99" s="1"/>
      <c r="L99" s="1"/>
    </row>
    <row r="100" spans="4:12" x14ac:dyDescent="0.25">
      <c r="D100" s="1"/>
      <c r="E100" s="1"/>
      <c r="F100" s="1"/>
      <c r="L100" s="1"/>
    </row>
    <row r="101" spans="4:12" x14ac:dyDescent="0.25">
      <c r="D101" s="1"/>
      <c r="E101" s="1"/>
      <c r="F101" s="1"/>
      <c r="L101" s="1"/>
    </row>
    <row r="102" spans="4:12" x14ac:dyDescent="0.25">
      <c r="D102" s="1"/>
      <c r="E102" s="1"/>
      <c r="F102" s="1"/>
      <c r="L102" s="1"/>
    </row>
    <row r="103" spans="4:12" x14ac:dyDescent="0.25">
      <c r="D103" s="1"/>
      <c r="E103" s="1"/>
      <c r="F103" s="1"/>
      <c r="L103" s="1"/>
    </row>
    <row r="104" spans="4:12" x14ac:dyDescent="0.25">
      <c r="D104" s="1"/>
      <c r="E104" s="1"/>
      <c r="F104" s="1"/>
      <c r="L104" s="1"/>
    </row>
    <row r="105" spans="4:12" x14ac:dyDescent="0.25">
      <c r="D105" s="1"/>
      <c r="E105" s="1"/>
      <c r="F105" s="1"/>
      <c r="L105" s="1"/>
    </row>
    <row r="106" spans="4:12" x14ac:dyDescent="0.25">
      <c r="D106" s="1"/>
      <c r="E106" s="1"/>
      <c r="F106" s="1"/>
      <c r="L106" s="1"/>
    </row>
    <row r="107" spans="4:12" x14ac:dyDescent="0.25">
      <c r="D107" s="1"/>
      <c r="E107" s="1"/>
      <c r="F107" s="1"/>
      <c r="L107" s="1"/>
    </row>
    <row r="108" spans="4:12" x14ac:dyDescent="0.25">
      <c r="D108" s="1"/>
      <c r="E108" s="1"/>
      <c r="F108" s="1"/>
      <c r="L108" s="1"/>
    </row>
    <row r="109" spans="4:12" x14ac:dyDescent="0.25">
      <c r="D109" s="1"/>
      <c r="E109" s="1"/>
      <c r="F109" s="1"/>
      <c r="L109" s="1"/>
    </row>
    <row r="110" spans="4:12" x14ac:dyDescent="0.25">
      <c r="D110" s="1"/>
      <c r="E110" s="1"/>
      <c r="F110" s="1"/>
      <c r="L110" s="1"/>
    </row>
    <row r="111" spans="4:12" x14ac:dyDescent="0.25">
      <c r="D111" s="1"/>
      <c r="E111" s="1"/>
      <c r="F111" s="1"/>
      <c r="L111" s="1"/>
    </row>
  </sheetData>
  <mergeCells count="14">
    <mergeCell ref="C67:E67"/>
    <mergeCell ref="N6:N7"/>
    <mergeCell ref="A64:I64"/>
    <mergeCell ref="A65:I65"/>
    <mergeCell ref="A66:I66"/>
    <mergeCell ref="A3:N3"/>
    <mergeCell ref="A4:N4"/>
    <mergeCell ref="A6:A7"/>
    <mergeCell ref="B6:B7"/>
    <mergeCell ref="C6:C7"/>
    <mergeCell ref="D6:F6"/>
    <mergeCell ref="G6:H6"/>
    <mergeCell ref="I6:L6"/>
    <mergeCell ref="M6:M7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N19" sqref="N19"/>
    </sheetView>
  </sheetViews>
  <sheetFormatPr defaultColWidth="8.88671875" defaultRowHeight="14.4" x14ac:dyDescent="0.3"/>
  <cols>
    <col min="1" max="1" width="4.109375" customWidth="1"/>
    <col min="2" max="2" width="5.44140625" customWidth="1"/>
    <col min="3" max="3" width="5.109375" customWidth="1"/>
    <col min="4" max="5" width="6.5546875" customWidth="1"/>
    <col min="6" max="7" width="6" customWidth="1"/>
    <col min="8" max="8" width="5" customWidth="1"/>
    <col min="9" max="9" width="6" customWidth="1"/>
    <col min="10" max="10" width="7.44140625" customWidth="1"/>
    <col min="11" max="11" width="4.5546875" customWidth="1"/>
    <col min="12" max="13" width="6.109375" customWidth="1"/>
    <col min="14" max="14" width="8.44140625" customWidth="1"/>
    <col min="15" max="16" width="6.109375" customWidth="1"/>
    <col min="18" max="18" width="10.109375" bestFit="1" customWidth="1"/>
  </cols>
  <sheetData>
    <row r="1" spans="1:24" s="511" customFormat="1" ht="16.8" x14ac:dyDescent="0.3">
      <c r="A1" s="649" t="s">
        <v>3</v>
      </c>
      <c r="B1" s="736"/>
      <c r="C1" s="737"/>
      <c r="D1" s="651"/>
      <c r="E1" s="651"/>
      <c r="F1" s="651"/>
      <c r="I1" s="509"/>
      <c r="J1" s="509"/>
      <c r="K1" s="653"/>
      <c r="L1" s="509"/>
      <c r="M1" s="509"/>
      <c r="N1" s="509"/>
      <c r="O1" s="650"/>
      <c r="R1" s="509"/>
      <c r="S1" s="653"/>
      <c r="T1" s="509"/>
      <c r="U1" s="509"/>
      <c r="V1" s="509"/>
      <c r="W1" s="509"/>
      <c r="X1" s="509"/>
    </row>
    <row r="2" spans="1:24" s="511" customFormat="1" ht="15.6" x14ac:dyDescent="0.25">
      <c r="A2" s="654" t="s">
        <v>5</v>
      </c>
      <c r="B2" s="738"/>
      <c r="C2" s="739"/>
      <c r="D2" s="656"/>
      <c r="E2" s="656"/>
      <c r="F2" s="656"/>
      <c r="I2" s="510"/>
      <c r="J2" s="510"/>
      <c r="K2" s="657"/>
      <c r="L2" s="510"/>
      <c r="M2" s="510"/>
      <c r="N2" s="510"/>
      <c r="O2" s="655"/>
      <c r="R2" s="510"/>
      <c r="S2" s="657"/>
      <c r="T2" s="510"/>
      <c r="U2" s="510"/>
      <c r="V2" s="510"/>
      <c r="W2" s="510"/>
      <c r="X2" s="510"/>
    </row>
    <row r="5" spans="1:24" x14ac:dyDescent="0.3">
      <c r="A5" s="2440" t="s">
        <v>1098</v>
      </c>
      <c r="B5" s="2440"/>
      <c r="C5" s="2440"/>
      <c r="D5" s="2440"/>
      <c r="E5" s="2440"/>
      <c r="F5" s="2440"/>
      <c r="G5" s="2440"/>
      <c r="H5" s="2440"/>
      <c r="I5" s="2440"/>
      <c r="J5" s="2440"/>
      <c r="K5" s="2440"/>
      <c r="L5" s="2440"/>
      <c r="M5" s="2440"/>
      <c r="N5" s="2440"/>
      <c r="O5" s="2440"/>
      <c r="P5" s="2440"/>
      <c r="Q5" s="2440"/>
      <c r="R5" s="2440"/>
    </row>
    <row r="6" spans="1:24" ht="15" thickBot="1" x14ac:dyDescent="0.35"/>
    <row r="7" spans="1:24" s="197" customFormat="1" ht="39" customHeight="1" thickTop="1" x14ac:dyDescent="0.15">
      <c r="A7" s="2224" t="s">
        <v>0</v>
      </c>
      <c r="B7" s="2244" t="s">
        <v>103</v>
      </c>
      <c r="C7" s="2246" t="s">
        <v>613</v>
      </c>
      <c r="D7" s="2226" t="s">
        <v>105</v>
      </c>
      <c r="E7" s="2226"/>
      <c r="F7" s="2226"/>
      <c r="G7" s="2248" t="s">
        <v>130</v>
      </c>
      <c r="H7" s="2248"/>
      <c r="I7" s="2248"/>
      <c r="J7" s="2248"/>
      <c r="K7" s="2249"/>
      <c r="L7" s="2126" t="s">
        <v>966</v>
      </c>
      <c r="M7" s="2248" t="s">
        <v>182</v>
      </c>
      <c r="N7" s="2248"/>
      <c r="O7" s="2248"/>
      <c r="P7" s="2248"/>
      <c r="Q7" s="2248"/>
      <c r="R7" s="2248"/>
    </row>
    <row r="8" spans="1:24" s="197" customFormat="1" ht="31.5" customHeight="1" x14ac:dyDescent="0.15">
      <c r="A8" s="2225"/>
      <c r="B8" s="2245"/>
      <c r="C8" s="2247"/>
      <c r="D8" s="662" t="s">
        <v>23</v>
      </c>
      <c r="E8" s="982" t="s">
        <v>25</v>
      </c>
      <c r="F8" s="982" t="s">
        <v>27</v>
      </c>
      <c r="G8" s="982" t="s">
        <v>29</v>
      </c>
      <c r="H8" s="982" t="s">
        <v>87</v>
      </c>
      <c r="I8" s="982" t="s">
        <v>49</v>
      </c>
      <c r="J8" s="981" t="s">
        <v>209</v>
      </c>
      <c r="K8" s="663" t="s">
        <v>22</v>
      </c>
      <c r="L8" s="2121"/>
      <c r="M8" s="982" t="s">
        <v>131</v>
      </c>
      <c r="N8" s="982" t="s">
        <v>149</v>
      </c>
      <c r="O8" s="982" t="s">
        <v>132</v>
      </c>
      <c r="P8" s="982" t="s">
        <v>149</v>
      </c>
      <c r="Q8" s="982" t="s">
        <v>133</v>
      </c>
      <c r="R8" s="982" t="s">
        <v>149</v>
      </c>
    </row>
    <row r="9" spans="1:24" s="197" customFormat="1" ht="8.4" x14ac:dyDescent="0.15">
      <c r="A9" s="557">
        <v>27</v>
      </c>
      <c r="B9" s="583" t="s">
        <v>651</v>
      </c>
      <c r="C9" s="676" t="s">
        <v>186</v>
      </c>
      <c r="D9" s="559" t="s">
        <v>127</v>
      </c>
      <c r="E9" s="559"/>
      <c r="F9" s="560"/>
      <c r="G9" s="561" t="s">
        <v>44</v>
      </c>
      <c r="H9" s="561">
        <v>1</v>
      </c>
      <c r="I9" s="517">
        <v>455000</v>
      </c>
      <c r="J9" s="517">
        <v>455000</v>
      </c>
      <c r="K9" s="562">
        <v>0.41</v>
      </c>
      <c r="L9" s="517">
        <v>268450.00000000006</v>
      </c>
      <c r="M9" s="517"/>
      <c r="N9" s="517"/>
      <c r="O9" s="517"/>
      <c r="P9" s="517"/>
      <c r="Q9" s="517"/>
      <c r="R9" s="517">
        <v>268450.00000000006</v>
      </c>
    </row>
    <row r="10" spans="1:24" s="197" customFormat="1" ht="8.4" x14ac:dyDescent="0.15">
      <c r="A10" s="557"/>
      <c r="B10" s="583" t="s">
        <v>651</v>
      </c>
      <c r="C10" s="676" t="s">
        <v>186</v>
      </c>
      <c r="D10" s="559" t="s">
        <v>127</v>
      </c>
      <c r="E10" s="559"/>
      <c r="F10" s="560"/>
      <c r="G10" s="561" t="s">
        <v>40</v>
      </c>
      <c r="H10" s="561">
        <v>1</v>
      </c>
      <c r="I10" s="517">
        <v>485000</v>
      </c>
      <c r="J10" s="517">
        <v>485000</v>
      </c>
      <c r="K10" s="562">
        <v>0.41</v>
      </c>
      <c r="L10" s="517">
        <f>J10*(1-K10)</f>
        <v>286150.00000000006</v>
      </c>
      <c r="M10" s="517"/>
      <c r="N10" s="517"/>
      <c r="O10" s="517"/>
      <c r="P10" s="517"/>
      <c r="Q10" s="517"/>
      <c r="R10" s="517">
        <v>286150</v>
      </c>
    </row>
    <row r="11" spans="1:24" s="197" customFormat="1" ht="8.4" x14ac:dyDescent="0.15">
      <c r="A11" s="557">
        <v>33</v>
      </c>
      <c r="B11" s="583" t="s">
        <v>700</v>
      </c>
      <c r="C11" s="676" t="s">
        <v>186</v>
      </c>
      <c r="D11" s="559" t="s">
        <v>127</v>
      </c>
      <c r="E11" s="559"/>
      <c r="F11" s="560"/>
      <c r="G11" s="561" t="s">
        <v>44</v>
      </c>
      <c r="H11" s="561">
        <v>1</v>
      </c>
      <c r="I11" s="517">
        <v>455000</v>
      </c>
      <c r="J11" s="517">
        <v>455000</v>
      </c>
      <c r="K11" s="562">
        <v>0.41</v>
      </c>
      <c r="L11" s="517">
        <v>268450.00000000006</v>
      </c>
      <c r="M11" s="517"/>
      <c r="N11" s="517"/>
      <c r="O11" s="517"/>
      <c r="P11" s="517"/>
      <c r="Q11" s="517"/>
      <c r="R11" s="517">
        <v>268450.00000000006</v>
      </c>
    </row>
    <row r="12" spans="1:24" s="1009" customFormat="1" x14ac:dyDescent="0.3">
      <c r="A12" s="1007"/>
      <c r="B12" s="2437" t="s">
        <v>2</v>
      </c>
      <c r="C12" s="2438"/>
      <c r="D12" s="2438"/>
      <c r="E12" s="2438"/>
      <c r="F12" s="2439"/>
      <c r="G12" s="1007"/>
      <c r="H12" s="1007"/>
      <c r="I12" s="1007"/>
      <c r="J12" s="1007"/>
      <c r="K12" s="1007"/>
      <c r="L12" s="1007"/>
      <c r="M12" s="1007"/>
      <c r="N12" s="1008">
        <f>SUM(N9:N11)</f>
        <v>0</v>
      </c>
      <c r="O12" s="1007"/>
      <c r="P12" s="1007"/>
      <c r="Q12" s="1007"/>
      <c r="R12" s="1008">
        <f>SUM(R9:R11)</f>
        <v>823050</v>
      </c>
    </row>
    <row r="14" spans="1:24" ht="15" thickBot="1" x14ac:dyDescent="0.35">
      <c r="A14" s="2440" t="s">
        <v>1099</v>
      </c>
      <c r="B14" s="2440"/>
      <c r="C14" s="2440"/>
      <c r="D14" s="2440"/>
      <c r="E14" s="2440"/>
      <c r="F14" s="2440"/>
      <c r="G14" s="2440"/>
      <c r="H14" s="2440"/>
      <c r="I14" s="2440"/>
      <c r="J14" s="2440"/>
      <c r="K14" s="2440"/>
      <c r="L14" s="2440"/>
      <c r="M14" s="2440"/>
      <c r="N14" s="2440"/>
      <c r="O14" s="2440"/>
      <c r="P14" s="2440"/>
      <c r="Q14" s="2440"/>
      <c r="R14" s="2440"/>
    </row>
    <row r="15" spans="1:24" s="197" customFormat="1" ht="31.5" customHeight="1" thickTop="1" x14ac:dyDescent="0.15">
      <c r="A15" s="2224" t="s">
        <v>0</v>
      </c>
      <c r="B15" s="2244" t="s">
        <v>103</v>
      </c>
      <c r="C15" s="2226" t="s">
        <v>613</v>
      </c>
      <c r="D15" s="2226" t="s">
        <v>105</v>
      </c>
      <c r="E15" s="2226"/>
      <c r="F15" s="2226"/>
      <c r="G15" s="2248" t="s">
        <v>130</v>
      </c>
      <c r="H15" s="2248"/>
      <c r="I15" s="2248"/>
      <c r="J15" s="2248"/>
      <c r="K15" s="2249"/>
      <c r="L15" s="2126" t="s">
        <v>966</v>
      </c>
      <c r="M15" s="2248" t="s">
        <v>182</v>
      </c>
      <c r="N15" s="2248"/>
      <c r="O15" s="2248"/>
      <c r="P15" s="2248"/>
      <c r="Q15" s="2248"/>
      <c r="R15" s="2248"/>
    </row>
    <row r="16" spans="1:24" s="197" customFormat="1" ht="31.5" customHeight="1" x14ac:dyDescent="0.15">
      <c r="A16" s="2225"/>
      <c r="B16" s="2245"/>
      <c r="C16" s="2227"/>
      <c r="D16" s="662" t="s">
        <v>23</v>
      </c>
      <c r="E16" s="982" t="s">
        <v>25</v>
      </c>
      <c r="F16" s="982" t="s">
        <v>27</v>
      </c>
      <c r="G16" s="982" t="s">
        <v>29</v>
      </c>
      <c r="H16" s="982" t="s">
        <v>87</v>
      </c>
      <c r="I16" s="982" t="s">
        <v>49</v>
      </c>
      <c r="J16" s="981" t="s">
        <v>209</v>
      </c>
      <c r="K16" s="663" t="s">
        <v>22</v>
      </c>
      <c r="L16" s="2121"/>
      <c r="M16" s="982" t="s">
        <v>131</v>
      </c>
      <c r="N16" s="982" t="s">
        <v>149</v>
      </c>
      <c r="O16" s="982" t="s">
        <v>132</v>
      </c>
      <c r="P16" s="982" t="s">
        <v>149</v>
      </c>
      <c r="Q16" s="982" t="s">
        <v>133</v>
      </c>
      <c r="R16" s="982" t="s">
        <v>149</v>
      </c>
    </row>
    <row r="17" spans="1:18" s="924" customFormat="1" ht="8.4" x14ac:dyDescent="0.15">
      <c r="A17" s="677">
        <v>2</v>
      </c>
      <c r="B17" s="583" t="s">
        <v>783</v>
      </c>
      <c r="C17" s="678" t="s">
        <v>186</v>
      </c>
      <c r="D17" s="679" t="s">
        <v>127</v>
      </c>
      <c r="E17" s="679"/>
      <c r="F17" s="888"/>
      <c r="G17" s="680" t="s">
        <v>44</v>
      </c>
      <c r="H17" s="680">
        <v>1</v>
      </c>
      <c r="I17" s="446">
        <v>455000</v>
      </c>
      <c r="J17" s="446">
        <v>455000</v>
      </c>
      <c r="K17" s="681">
        <v>0.41</v>
      </c>
      <c r="L17" s="446">
        <v>268450.00000000006</v>
      </c>
      <c r="M17" s="446"/>
      <c r="N17" s="446"/>
      <c r="O17" s="446"/>
      <c r="P17" s="446"/>
      <c r="Q17" s="446">
        <v>131</v>
      </c>
      <c r="R17" s="446">
        <v>268450.00000000006</v>
      </c>
    </row>
    <row r="18" spans="1:18" s="924" customFormat="1" ht="8.4" x14ac:dyDescent="0.15">
      <c r="A18" s="677">
        <v>14</v>
      </c>
      <c r="B18" s="583" t="s">
        <v>792</v>
      </c>
      <c r="C18" s="678" t="s">
        <v>186</v>
      </c>
      <c r="D18" s="679" t="s">
        <v>127</v>
      </c>
      <c r="E18" s="679"/>
      <c r="F18" s="888"/>
      <c r="G18" s="680" t="s">
        <v>44</v>
      </c>
      <c r="H18" s="680">
        <v>1</v>
      </c>
      <c r="I18" s="446">
        <v>455000</v>
      </c>
      <c r="J18" s="446">
        <v>455000</v>
      </c>
      <c r="K18" s="681">
        <v>0.41</v>
      </c>
      <c r="L18" s="446">
        <v>268450.00000000006</v>
      </c>
      <c r="M18" s="446"/>
      <c r="N18" s="446"/>
      <c r="O18" s="446"/>
      <c r="P18" s="446"/>
      <c r="Q18" s="446">
        <v>131</v>
      </c>
      <c r="R18" s="446">
        <v>268450.00000000006</v>
      </c>
    </row>
    <row r="19" spans="1:18" s="924" customFormat="1" ht="8.4" x14ac:dyDescent="0.15">
      <c r="A19" s="885">
        <v>28</v>
      </c>
      <c r="B19" s="585" t="s">
        <v>765</v>
      </c>
      <c r="C19" s="939" t="s">
        <v>186</v>
      </c>
      <c r="D19" s="711" t="s">
        <v>127</v>
      </c>
      <c r="E19" s="710"/>
      <c r="F19" s="886"/>
      <c r="G19" s="887" t="s">
        <v>34</v>
      </c>
      <c r="H19" s="887">
        <v>1</v>
      </c>
      <c r="I19" s="444">
        <v>265000</v>
      </c>
      <c r="J19" s="443">
        <v>265000</v>
      </c>
      <c r="K19" s="934">
        <v>0.41</v>
      </c>
      <c r="L19" s="940">
        <v>156350.00000000003</v>
      </c>
      <c r="M19" s="444"/>
      <c r="N19" s="444"/>
      <c r="O19" s="444"/>
      <c r="P19" s="444"/>
      <c r="Q19" s="444">
        <v>131</v>
      </c>
      <c r="R19" s="444">
        <v>480850.00000000012</v>
      </c>
    </row>
    <row r="20" spans="1:18" s="924" customFormat="1" ht="8.4" x14ac:dyDescent="0.15">
      <c r="A20" s="699"/>
      <c r="B20" s="582" t="s">
        <v>765</v>
      </c>
      <c r="C20" s="931" t="s">
        <v>186</v>
      </c>
      <c r="D20" s="701" t="s">
        <v>127</v>
      </c>
      <c r="E20" s="700"/>
      <c r="F20" s="927"/>
      <c r="G20" s="702" t="s">
        <v>41</v>
      </c>
      <c r="H20" s="702">
        <v>1</v>
      </c>
      <c r="I20" s="445">
        <v>550000</v>
      </c>
      <c r="J20" s="445">
        <v>550000</v>
      </c>
      <c r="K20" s="703">
        <v>0.41</v>
      </c>
      <c r="L20" s="445">
        <v>324500.00000000006</v>
      </c>
      <c r="M20" s="445"/>
      <c r="N20" s="445"/>
      <c r="O20" s="445"/>
      <c r="P20" s="445"/>
      <c r="Q20" s="445"/>
      <c r="R20" s="445"/>
    </row>
    <row r="21" spans="1:18" s="1009" customFormat="1" x14ac:dyDescent="0.3">
      <c r="A21" s="1007"/>
      <c r="B21" s="2437" t="s">
        <v>2</v>
      </c>
      <c r="C21" s="2438"/>
      <c r="D21" s="2438"/>
      <c r="E21" s="2438"/>
      <c r="F21" s="2439"/>
      <c r="G21" s="1007"/>
      <c r="H21" s="1007"/>
      <c r="I21" s="1007"/>
      <c r="J21" s="1007"/>
      <c r="K21" s="1007"/>
      <c r="L21" s="1007"/>
      <c r="M21" s="1007"/>
      <c r="N21" s="1008">
        <f>SUM(N18:N20)</f>
        <v>0</v>
      </c>
      <c r="O21" s="1007"/>
      <c r="P21" s="1007"/>
      <c r="Q21" s="1007"/>
      <c r="R21" s="1008">
        <f>SUM(R17:R19)</f>
        <v>1017750.0000000002</v>
      </c>
    </row>
    <row r="23" spans="1:18" ht="16.8" x14ac:dyDescent="0.3">
      <c r="C23" s="303" t="s">
        <v>904</v>
      </c>
      <c r="N23" s="304" t="s">
        <v>303</v>
      </c>
    </row>
    <row r="24" spans="1:18" ht="16.8" x14ac:dyDescent="0.3">
      <c r="C24" s="471" t="s">
        <v>308</v>
      </c>
      <c r="N24" s="983" t="s">
        <v>243</v>
      </c>
    </row>
  </sheetData>
  <mergeCells count="18">
    <mergeCell ref="B21:F21"/>
    <mergeCell ref="A5:R5"/>
    <mergeCell ref="A14:R14"/>
    <mergeCell ref="M7:R7"/>
    <mergeCell ref="A15:A16"/>
    <mergeCell ref="B15:B16"/>
    <mergeCell ref="C15:C16"/>
    <mergeCell ref="D15:F15"/>
    <mergeCell ref="G15:K15"/>
    <mergeCell ref="L15:L16"/>
    <mergeCell ref="M15:R15"/>
    <mergeCell ref="A7:A8"/>
    <mergeCell ref="B7:B8"/>
    <mergeCell ref="C7:C8"/>
    <mergeCell ref="D7:F7"/>
    <mergeCell ref="G7:K7"/>
    <mergeCell ref="L7:L8"/>
    <mergeCell ref="B12:F12"/>
  </mergeCells>
  <pageMargins left="0.7" right="0.7" top="0.75" bottom="0.75" header="0.3" footer="0.3"/>
  <pageSetup paperSize="256" orientation="landscape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28" workbookViewId="0">
      <selection activeCell="Q44" sqref="Q44"/>
    </sheetView>
  </sheetViews>
  <sheetFormatPr defaultColWidth="8.88671875" defaultRowHeight="14.4" x14ac:dyDescent="0.3"/>
  <cols>
    <col min="1" max="1" width="3.44140625" customWidth="1"/>
    <col min="2" max="2" width="4.44140625" customWidth="1"/>
    <col min="3" max="3" width="5.109375" customWidth="1"/>
    <col min="5" max="5" width="5.44140625" customWidth="1"/>
    <col min="6" max="6" width="4.88671875" customWidth="1"/>
    <col min="7" max="7" width="5.5546875" customWidth="1"/>
    <col min="8" max="8" width="5.109375" customWidth="1"/>
    <col min="9" max="9" width="5.88671875" customWidth="1"/>
    <col min="10" max="10" width="6.109375" customWidth="1"/>
    <col min="11" max="11" width="4.44140625" customWidth="1"/>
    <col min="12" max="12" width="7.44140625" customWidth="1"/>
    <col min="13" max="13" width="5.88671875" customWidth="1"/>
    <col min="14" max="14" width="7.109375" customWidth="1"/>
    <col min="15" max="16" width="5.88671875" customWidth="1"/>
    <col min="17" max="17" width="7.44140625" customWidth="1"/>
    <col min="18" max="18" width="11.88671875" customWidth="1"/>
  </cols>
  <sheetData>
    <row r="1" spans="1:24" s="511" customFormat="1" ht="16.8" x14ac:dyDescent="0.3">
      <c r="A1" s="649" t="s">
        <v>3</v>
      </c>
      <c r="B1" s="736"/>
      <c r="C1" s="737"/>
      <c r="D1" s="651"/>
      <c r="E1" s="651"/>
      <c r="F1" s="651"/>
      <c r="I1" s="509"/>
      <c r="J1" s="509"/>
      <c r="K1" s="653"/>
      <c r="L1" s="509"/>
      <c r="M1" s="509"/>
      <c r="N1" s="509"/>
      <c r="O1" s="650"/>
      <c r="R1" s="509"/>
      <c r="S1" s="653"/>
      <c r="T1" s="509"/>
      <c r="U1" s="509"/>
      <c r="V1" s="509"/>
      <c r="W1" s="509"/>
      <c r="X1" s="509"/>
    </row>
    <row r="2" spans="1:24" s="511" customFormat="1" ht="15.6" x14ac:dyDescent="0.25">
      <c r="A2" s="654" t="s">
        <v>5</v>
      </c>
      <c r="B2" s="738"/>
      <c r="C2" s="739"/>
      <c r="D2" s="656"/>
      <c r="E2" s="656"/>
      <c r="F2" s="656"/>
      <c r="I2" s="510"/>
      <c r="J2" s="510"/>
      <c r="K2" s="657"/>
      <c r="L2" s="510"/>
      <c r="M2" s="510"/>
      <c r="N2" s="510"/>
      <c r="O2" s="655"/>
      <c r="R2" s="510"/>
      <c r="S2" s="657"/>
      <c r="T2" s="510"/>
      <c r="U2" s="510"/>
      <c r="V2" s="510"/>
      <c r="W2" s="510"/>
      <c r="X2" s="510"/>
    </row>
    <row r="4" spans="1:24" x14ac:dyDescent="0.3">
      <c r="A4" s="2440" t="s">
        <v>1096</v>
      </c>
      <c r="B4" s="2440"/>
      <c r="C4" s="2440"/>
      <c r="D4" s="2440"/>
      <c r="E4" s="2440"/>
      <c r="F4" s="2440"/>
      <c r="G4" s="2440"/>
      <c r="H4" s="2440"/>
      <c r="I4" s="2440"/>
      <c r="J4" s="2440"/>
      <c r="K4" s="2440"/>
      <c r="L4" s="2440"/>
      <c r="M4" s="2440"/>
      <c r="N4" s="2440"/>
      <c r="O4" s="2440"/>
      <c r="P4" s="2440"/>
      <c r="Q4" s="2440"/>
      <c r="R4" s="2440"/>
    </row>
    <row r="5" spans="1:24" ht="15" thickBot="1" x14ac:dyDescent="0.35"/>
    <row r="6" spans="1:24" s="197" customFormat="1" ht="39" customHeight="1" thickTop="1" x14ac:dyDescent="0.15">
      <c r="A6" s="2224" t="s">
        <v>0</v>
      </c>
      <c r="B6" s="2244" t="s">
        <v>103</v>
      </c>
      <c r="C6" s="2246" t="s">
        <v>613</v>
      </c>
      <c r="D6" s="2226" t="s">
        <v>105</v>
      </c>
      <c r="E6" s="2226"/>
      <c r="F6" s="2226"/>
      <c r="G6" s="2248" t="s">
        <v>130</v>
      </c>
      <c r="H6" s="2248"/>
      <c r="I6" s="2248"/>
      <c r="J6" s="2248"/>
      <c r="K6" s="2249"/>
      <c r="L6" s="2126" t="s">
        <v>966</v>
      </c>
      <c r="M6" s="2248" t="s">
        <v>182</v>
      </c>
      <c r="N6" s="2248"/>
      <c r="O6" s="2248"/>
      <c r="P6" s="2248"/>
      <c r="Q6" s="2248"/>
      <c r="R6" s="2248"/>
    </row>
    <row r="7" spans="1:24" s="197" customFormat="1" ht="31.5" customHeight="1" x14ac:dyDescent="0.15">
      <c r="A7" s="2225"/>
      <c r="B7" s="2245"/>
      <c r="C7" s="2247"/>
      <c r="D7" s="662" t="s">
        <v>23</v>
      </c>
      <c r="E7" s="979" t="s">
        <v>25</v>
      </c>
      <c r="F7" s="979" t="s">
        <v>27</v>
      </c>
      <c r="G7" s="979" t="s">
        <v>29</v>
      </c>
      <c r="H7" s="979" t="s">
        <v>87</v>
      </c>
      <c r="I7" s="979" t="s">
        <v>49</v>
      </c>
      <c r="J7" s="977" t="s">
        <v>209</v>
      </c>
      <c r="K7" s="663" t="s">
        <v>22</v>
      </c>
      <c r="L7" s="2121"/>
      <c r="M7" s="979" t="s">
        <v>131</v>
      </c>
      <c r="N7" s="979" t="s">
        <v>149</v>
      </c>
      <c r="O7" s="979" t="s">
        <v>132</v>
      </c>
      <c r="P7" s="979" t="s">
        <v>149</v>
      </c>
      <c r="Q7" s="979" t="s">
        <v>133</v>
      </c>
      <c r="R7" s="979" t="s">
        <v>149</v>
      </c>
    </row>
    <row r="8" spans="1:24" s="197" customFormat="1" ht="8.4" x14ac:dyDescent="0.15">
      <c r="A8" s="565">
        <v>7</v>
      </c>
      <c r="B8" s="708" t="s">
        <v>541</v>
      </c>
      <c r="C8" s="949" t="s">
        <v>61</v>
      </c>
      <c r="D8" s="574" t="s">
        <v>127</v>
      </c>
      <c r="E8" s="566"/>
      <c r="F8" s="567"/>
      <c r="G8" s="568" t="s">
        <v>36</v>
      </c>
      <c r="H8" s="568">
        <v>1</v>
      </c>
      <c r="I8" s="518">
        <v>275000</v>
      </c>
      <c r="J8" s="532">
        <v>275000</v>
      </c>
      <c r="K8" s="569">
        <v>0.41</v>
      </c>
      <c r="L8" s="518">
        <v>162250.00000000003</v>
      </c>
      <c r="M8" s="518"/>
      <c r="N8" s="518"/>
      <c r="O8" s="518"/>
      <c r="P8" s="518"/>
      <c r="Q8" s="518">
        <v>131</v>
      </c>
      <c r="R8" s="518">
        <v>427750</v>
      </c>
    </row>
    <row r="9" spans="1:24" s="197" customFormat="1" ht="8.4" x14ac:dyDescent="0.15">
      <c r="A9" s="638"/>
      <c r="B9" s="582" t="s">
        <v>541</v>
      </c>
      <c r="C9" s="918" t="s">
        <v>61</v>
      </c>
      <c r="D9" s="546" t="s">
        <v>127</v>
      </c>
      <c r="E9" s="554"/>
      <c r="F9" s="639"/>
      <c r="G9" s="640" t="s">
        <v>46</v>
      </c>
      <c r="H9" s="640">
        <v>1</v>
      </c>
      <c r="I9" s="549">
        <v>450000</v>
      </c>
      <c r="J9" s="513">
        <v>450000</v>
      </c>
      <c r="K9" s="643">
        <v>0.41</v>
      </c>
      <c r="L9" s="549">
        <v>265500.00000000006</v>
      </c>
      <c r="M9" s="549"/>
      <c r="N9" s="549"/>
      <c r="O9" s="549"/>
      <c r="P9" s="549"/>
      <c r="Q9" s="549"/>
      <c r="R9" s="549"/>
    </row>
    <row r="10" spans="1:24" s="197" customFormat="1" ht="25.2" x14ac:dyDescent="0.15">
      <c r="A10" s="565">
        <v>9</v>
      </c>
      <c r="B10" s="708" t="s">
        <v>495</v>
      </c>
      <c r="C10" s="950" t="s">
        <v>61</v>
      </c>
      <c r="D10" s="574" t="s">
        <v>583</v>
      </c>
      <c r="E10" s="566"/>
      <c r="F10" s="567"/>
      <c r="G10" s="568" t="s">
        <v>34</v>
      </c>
      <c r="H10" s="568">
        <v>1</v>
      </c>
      <c r="I10" s="518">
        <v>265000</v>
      </c>
      <c r="J10" s="532">
        <v>265000</v>
      </c>
      <c r="K10" s="569">
        <v>0.41</v>
      </c>
      <c r="L10" s="518">
        <v>156350.00000000003</v>
      </c>
      <c r="M10" s="518"/>
      <c r="N10" s="518"/>
      <c r="O10" s="518"/>
      <c r="P10" s="518"/>
      <c r="Q10" s="518">
        <v>131</v>
      </c>
      <c r="R10" s="518">
        <v>430000</v>
      </c>
    </row>
    <row r="11" spans="1:24" s="197" customFormat="1" ht="25.2" x14ac:dyDescent="0.15">
      <c r="A11" s="544"/>
      <c r="B11" s="582" t="s">
        <v>495</v>
      </c>
      <c r="C11" s="951" t="s">
        <v>61</v>
      </c>
      <c r="D11" s="546" t="s">
        <v>583</v>
      </c>
      <c r="E11" s="546"/>
      <c r="F11" s="555"/>
      <c r="G11" s="547" t="s">
        <v>37</v>
      </c>
      <c r="H11" s="547">
        <v>1</v>
      </c>
      <c r="I11" s="513">
        <v>475000</v>
      </c>
      <c r="J11" s="513">
        <v>475000</v>
      </c>
      <c r="K11" s="548">
        <v>0.41</v>
      </c>
      <c r="L11" s="549">
        <v>280250.00000000006</v>
      </c>
      <c r="M11" s="513"/>
      <c r="N11" s="513"/>
      <c r="O11" s="513"/>
      <c r="P11" s="513"/>
      <c r="Q11" s="513"/>
      <c r="R11" s="513"/>
    </row>
    <row r="12" spans="1:24" s="197" customFormat="1" ht="8.4" x14ac:dyDescent="0.15">
      <c r="A12" s="565"/>
      <c r="B12" s="708" t="s">
        <v>570</v>
      </c>
      <c r="C12" s="743" t="s">
        <v>61</v>
      </c>
      <c r="D12" s="566" t="s">
        <v>127</v>
      </c>
      <c r="E12" s="566"/>
      <c r="F12" s="567"/>
      <c r="G12" s="568" t="s">
        <v>37</v>
      </c>
      <c r="H12" s="568">
        <v>1</v>
      </c>
      <c r="I12" s="518">
        <v>475000</v>
      </c>
      <c r="J12" s="532">
        <v>475000</v>
      </c>
      <c r="K12" s="569">
        <v>0.41</v>
      </c>
      <c r="L12" s="518">
        <v>280250.00000000006</v>
      </c>
      <c r="M12" s="518"/>
      <c r="N12" s="518"/>
      <c r="O12" s="518"/>
      <c r="P12" s="518"/>
      <c r="Q12" s="518">
        <v>131</v>
      </c>
      <c r="R12" s="518">
        <v>566400</v>
      </c>
    </row>
    <row r="13" spans="1:24" s="197" customFormat="1" ht="8.4" x14ac:dyDescent="0.15">
      <c r="A13" s="544"/>
      <c r="B13" s="582"/>
      <c r="C13" s="743" t="s">
        <v>61</v>
      </c>
      <c r="D13" s="566" t="s">
        <v>127</v>
      </c>
      <c r="E13" s="529"/>
      <c r="F13" s="555"/>
      <c r="G13" s="547" t="s">
        <v>40</v>
      </c>
      <c r="H13" s="547">
        <v>1</v>
      </c>
      <c r="I13" s="513">
        <v>485000</v>
      </c>
      <c r="J13" s="513">
        <v>485000</v>
      </c>
      <c r="K13" s="548">
        <v>0.41</v>
      </c>
      <c r="L13" s="549">
        <v>286150.00000000006</v>
      </c>
      <c r="M13" s="513"/>
      <c r="N13" s="513"/>
      <c r="O13" s="513"/>
      <c r="P13" s="513"/>
      <c r="Q13" s="513"/>
      <c r="R13" s="513"/>
    </row>
    <row r="14" spans="1:24" s="197" customFormat="1" ht="25.2" x14ac:dyDescent="0.15">
      <c r="A14" s="557">
        <v>17</v>
      </c>
      <c r="B14" s="583" t="s">
        <v>576</v>
      </c>
      <c r="C14" s="676" t="s">
        <v>61</v>
      </c>
      <c r="D14" s="559" t="s">
        <v>593</v>
      </c>
      <c r="E14" s="559"/>
      <c r="F14" s="560"/>
      <c r="G14" s="561" t="s">
        <v>31</v>
      </c>
      <c r="H14" s="561">
        <v>1</v>
      </c>
      <c r="I14" s="517">
        <v>255000</v>
      </c>
      <c r="J14" s="517">
        <v>255000</v>
      </c>
      <c r="K14" s="562">
        <v>0.41</v>
      </c>
      <c r="L14" s="517">
        <v>150450.00000000003</v>
      </c>
      <c r="M14" s="517"/>
      <c r="N14" s="517"/>
      <c r="O14" s="517"/>
      <c r="P14" s="517"/>
      <c r="Q14" s="517">
        <v>131</v>
      </c>
      <c r="R14" s="517">
        <v>142000</v>
      </c>
    </row>
    <row r="15" spans="1:24" s="197" customFormat="1" ht="16.8" x14ac:dyDescent="0.15">
      <c r="A15" s="527">
        <v>36</v>
      </c>
      <c r="B15" s="580" t="s">
        <v>700</v>
      </c>
      <c r="C15" s="740" t="s">
        <v>61</v>
      </c>
      <c r="D15" s="529" t="s">
        <v>722</v>
      </c>
      <c r="E15" s="529"/>
      <c r="F15" s="552"/>
      <c r="G15" s="530" t="s">
        <v>34</v>
      </c>
      <c r="H15" s="530">
        <v>5</v>
      </c>
      <c r="I15" s="512">
        <v>265000</v>
      </c>
      <c r="J15" s="532">
        <v>1325000</v>
      </c>
      <c r="K15" s="531">
        <v>0.41</v>
      </c>
      <c r="L15" s="512">
        <v>781750.00000000012</v>
      </c>
      <c r="M15" s="512"/>
      <c r="N15" s="512"/>
      <c r="O15" s="512"/>
      <c r="P15" s="512"/>
      <c r="Q15" s="512">
        <v>131</v>
      </c>
      <c r="R15" s="512">
        <v>8584500</v>
      </c>
    </row>
    <row r="16" spans="1:24" s="197" customFormat="1" ht="16.8" x14ac:dyDescent="0.15">
      <c r="A16" s="535"/>
      <c r="B16" s="580" t="s">
        <v>700</v>
      </c>
      <c r="C16" s="740" t="s">
        <v>61</v>
      </c>
      <c r="D16" s="529" t="s">
        <v>722</v>
      </c>
      <c r="E16" s="542"/>
      <c r="F16" s="540"/>
      <c r="G16" s="526" t="s">
        <v>35</v>
      </c>
      <c r="H16" s="878">
        <v>7</v>
      </c>
      <c r="I16" s="507">
        <v>465000</v>
      </c>
      <c r="J16" s="507">
        <v>3255000</v>
      </c>
      <c r="K16" s="537">
        <v>0.41</v>
      </c>
      <c r="L16" s="512">
        <v>1920450.0000000002</v>
      </c>
      <c r="M16" s="507"/>
      <c r="N16" s="507"/>
      <c r="O16" s="507"/>
      <c r="P16" s="507"/>
      <c r="Q16" s="507"/>
      <c r="R16" s="507"/>
    </row>
    <row r="17" spans="1:18" s="197" customFormat="1" ht="16.8" x14ac:dyDescent="0.15">
      <c r="A17" s="535"/>
      <c r="B17" s="580" t="s">
        <v>700</v>
      </c>
      <c r="C17" s="740" t="s">
        <v>61</v>
      </c>
      <c r="D17" s="529" t="s">
        <v>722</v>
      </c>
      <c r="E17" s="542"/>
      <c r="F17" s="540"/>
      <c r="G17" s="526" t="s">
        <v>39</v>
      </c>
      <c r="H17" s="878">
        <v>4</v>
      </c>
      <c r="I17" s="507">
        <v>285000</v>
      </c>
      <c r="J17" s="507">
        <v>1140000</v>
      </c>
      <c r="K17" s="537">
        <v>0.41</v>
      </c>
      <c r="L17" s="512">
        <v>672600.00000000012</v>
      </c>
      <c r="M17" s="507"/>
      <c r="N17" s="507"/>
      <c r="O17" s="507"/>
      <c r="P17" s="507"/>
      <c r="Q17" s="507"/>
      <c r="R17" s="507"/>
    </row>
    <row r="18" spans="1:18" s="197" customFormat="1" ht="16.8" x14ac:dyDescent="0.15">
      <c r="A18" s="535"/>
      <c r="B18" s="580" t="s">
        <v>700</v>
      </c>
      <c r="C18" s="740" t="s">
        <v>61</v>
      </c>
      <c r="D18" s="529" t="s">
        <v>722</v>
      </c>
      <c r="E18" s="542"/>
      <c r="F18" s="540"/>
      <c r="G18" s="526" t="s">
        <v>40</v>
      </c>
      <c r="H18" s="526">
        <v>7</v>
      </c>
      <c r="I18" s="507">
        <v>485000</v>
      </c>
      <c r="J18" s="507">
        <v>3395000</v>
      </c>
      <c r="K18" s="537">
        <v>0.41</v>
      </c>
      <c r="L18" s="512">
        <v>2003050.0000000002</v>
      </c>
      <c r="M18" s="507"/>
      <c r="N18" s="507"/>
      <c r="O18" s="507"/>
      <c r="P18" s="507"/>
      <c r="Q18" s="507"/>
      <c r="R18" s="507"/>
    </row>
    <row r="19" spans="1:18" s="197" customFormat="1" ht="16.8" x14ac:dyDescent="0.15">
      <c r="A19" s="535"/>
      <c r="B19" s="580" t="s">
        <v>700</v>
      </c>
      <c r="C19" s="740" t="s">
        <v>61</v>
      </c>
      <c r="D19" s="529" t="s">
        <v>722</v>
      </c>
      <c r="E19" s="542"/>
      <c r="F19" s="540"/>
      <c r="G19" s="526" t="s">
        <v>46</v>
      </c>
      <c r="H19" s="526">
        <v>5</v>
      </c>
      <c r="I19" s="507">
        <v>450000</v>
      </c>
      <c r="J19" s="507">
        <v>2250000</v>
      </c>
      <c r="K19" s="537">
        <v>0.41</v>
      </c>
      <c r="L19" s="512">
        <v>1327500.0000000002</v>
      </c>
      <c r="M19" s="507"/>
      <c r="N19" s="507"/>
      <c r="O19" s="507"/>
      <c r="P19" s="507"/>
      <c r="Q19" s="507"/>
      <c r="R19" s="507"/>
    </row>
    <row r="20" spans="1:18" s="197" customFormat="1" ht="16.8" x14ac:dyDescent="0.15">
      <c r="A20" s="544"/>
      <c r="B20" s="582" t="s">
        <v>700</v>
      </c>
      <c r="C20" s="918" t="s">
        <v>61</v>
      </c>
      <c r="D20" s="546" t="s">
        <v>722</v>
      </c>
      <c r="E20" s="546"/>
      <c r="F20" s="555"/>
      <c r="G20" s="547" t="s">
        <v>42</v>
      </c>
      <c r="H20" s="547">
        <v>7</v>
      </c>
      <c r="I20" s="513">
        <v>455000</v>
      </c>
      <c r="J20" s="549">
        <v>3185000</v>
      </c>
      <c r="K20" s="548">
        <v>0.41</v>
      </c>
      <c r="L20" s="513">
        <v>1879150.0000000002</v>
      </c>
      <c r="M20" s="513"/>
      <c r="N20" s="513"/>
      <c r="O20" s="513"/>
      <c r="P20" s="513"/>
      <c r="Q20" s="513"/>
      <c r="R20" s="513"/>
    </row>
    <row r="21" spans="1:18" s="1009" customFormat="1" x14ac:dyDescent="0.3">
      <c r="A21" s="2437" t="s">
        <v>2</v>
      </c>
      <c r="B21" s="2438"/>
      <c r="C21" s="2438"/>
      <c r="D21" s="2438"/>
      <c r="E21" s="2438"/>
      <c r="F21" s="2439"/>
      <c r="G21" s="1007"/>
      <c r="H21" s="1007"/>
      <c r="I21" s="1007"/>
      <c r="J21" s="1007"/>
      <c r="K21" s="1007"/>
      <c r="L21" s="1007"/>
      <c r="M21" s="1007"/>
      <c r="N21" s="1007"/>
      <c r="O21" s="1007"/>
      <c r="P21" s="1007"/>
      <c r="Q21" s="1007"/>
      <c r="R21" s="1008">
        <f>SUM(R8:R20)</f>
        <v>10150650</v>
      </c>
    </row>
    <row r="22" spans="1:18" s="1009" customFormat="1" x14ac:dyDescent="0.3">
      <c r="A22" s="2437" t="s">
        <v>1094</v>
      </c>
      <c r="B22" s="2438"/>
      <c r="C22" s="2438"/>
      <c r="D22" s="2438"/>
      <c r="E22" s="2438"/>
      <c r="F22" s="2439"/>
      <c r="G22" s="1007"/>
      <c r="H22" s="1007"/>
      <c r="I22" s="1007"/>
      <c r="J22" s="1007"/>
      <c r="K22" s="1007"/>
      <c r="L22" s="1007"/>
      <c r="M22" s="1007"/>
      <c r="N22" s="1007"/>
      <c r="O22" s="1007"/>
      <c r="P22" s="1007"/>
      <c r="Q22" s="1007"/>
      <c r="R22" s="1008">
        <v>10000000</v>
      </c>
    </row>
    <row r="23" spans="1:18" s="1009" customFormat="1" x14ac:dyDescent="0.3">
      <c r="A23" s="2437" t="s">
        <v>1095</v>
      </c>
      <c r="B23" s="2438"/>
      <c r="C23" s="2438"/>
      <c r="D23" s="2438"/>
      <c r="E23" s="2438"/>
      <c r="F23" s="2439"/>
      <c r="G23" s="1007"/>
      <c r="H23" s="1007"/>
      <c r="I23" s="1007"/>
      <c r="J23" s="1007"/>
      <c r="K23" s="1007"/>
      <c r="L23" s="1007"/>
      <c r="M23" s="1007"/>
      <c r="N23" s="1007"/>
      <c r="O23" s="1007"/>
      <c r="P23" s="1007"/>
      <c r="Q23" s="1007"/>
      <c r="R23" s="1008">
        <f>R21-R22</f>
        <v>150650</v>
      </c>
    </row>
    <row r="24" spans="1:18" s="1009" customFormat="1" x14ac:dyDescent="0.3">
      <c r="A24" s="1013"/>
      <c r="B24" s="1013"/>
      <c r="C24" s="1013"/>
      <c r="D24" s="1013"/>
      <c r="E24" s="1013"/>
      <c r="F24" s="1013"/>
      <c r="G24" s="1014"/>
      <c r="H24" s="1014"/>
      <c r="I24" s="1014"/>
      <c r="J24" s="1014"/>
      <c r="K24" s="1014"/>
      <c r="L24" s="1014"/>
      <c r="M24" s="1014"/>
      <c r="N24" s="1014"/>
      <c r="O24" s="1014"/>
      <c r="P24" s="1014"/>
      <c r="Q24" s="1014"/>
      <c r="R24" s="1015"/>
    </row>
    <row r="25" spans="1:18" s="1009" customFormat="1" x14ac:dyDescent="0.3">
      <c r="A25" s="1013"/>
      <c r="B25" s="1013"/>
      <c r="C25" s="1013"/>
      <c r="D25" s="1013"/>
      <c r="E25" s="1013"/>
      <c r="F25" s="1013"/>
      <c r="G25" s="1014"/>
      <c r="H25" s="1014"/>
      <c r="I25" s="1014"/>
      <c r="J25" s="1014"/>
      <c r="K25" s="1014"/>
      <c r="L25" s="1014"/>
      <c r="M25" s="1014"/>
      <c r="N25" s="1014"/>
      <c r="O25" s="1014"/>
      <c r="P25" s="1014"/>
      <c r="Q25" s="1014"/>
      <c r="R25" s="1015"/>
    </row>
    <row r="26" spans="1:18" s="1009" customFormat="1" x14ac:dyDescent="0.3">
      <c r="A26" s="1013"/>
      <c r="B26" s="1013"/>
      <c r="C26" s="1013"/>
      <c r="D26" s="1013"/>
      <c r="E26" s="1013"/>
      <c r="F26" s="1013"/>
      <c r="G26" s="1014"/>
      <c r="H26" s="1014"/>
      <c r="I26" s="1014"/>
      <c r="J26" s="1014"/>
      <c r="K26" s="1014"/>
      <c r="L26" s="1014"/>
      <c r="M26" s="1014"/>
      <c r="N26" s="1014"/>
      <c r="O26" s="1014"/>
      <c r="P26" s="1014"/>
      <c r="Q26" s="1014"/>
      <c r="R26" s="1015"/>
    </row>
    <row r="27" spans="1:18" s="1009" customFormat="1" x14ac:dyDescent="0.3">
      <c r="A27" s="1013"/>
      <c r="B27" s="1013"/>
      <c r="C27" s="1013"/>
      <c r="D27" s="1013"/>
      <c r="E27" s="1013"/>
      <c r="F27" s="1013"/>
      <c r="G27" s="1014"/>
      <c r="H27" s="1014"/>
      <c r="I27" s="1014"/>
      <c r="J27" s="1014"/>
      <c r="K27" s="1014"/>
      <c r="L27" s="1014"/>
      <c r="M27" s="1014"/>
      <c r="N27" s="1014"/>
      <c r="O27" s="1014"/>
      <c r="P27" s="1014"/>
      <c r="Q27" s="1014"/>
      <c r="R27" s="1015"/>
    </row>
    <row r="28" spans="1:18" s="1009" customFormat="1" x14ac:dyDescent="0.3">
      <c r="A28" s="1013"/>
      <c r="B28" s="1013"/>
      <c r="C28" s="1013"/>
      <c r="D28" s="1013"/>
      <c r="E28" s="1013"/>
      <c r="F28" s="1013"/>
      <c r="G28" s="1014"/>
      <c r="H28" s="1014"/>
      <c r="I28" s="1014"/>
      <c r="J28" s="1014"/>
      <c r="K28" s="1014"/>
      <c r="L28" s="1014"/>
      <c r="M28" s="1014"/>
      <c r="N28" s="1014"/>
      <c r="O28" s="1014"/>
      <c r="P28" s="1014"/>
      <c r="Q28" s="1014"/>
      <c r="R28" s="1015"/>
    </row>
    <row r="29" spans="1:18" s="1009" customFormat="1" x14ac:dyDescent="0.3">
      <c r="A29" s="1013"/>
      <c r="B29" s="1013"/>
      <c r="C29" s="1013"/>
      <c r="D29" s="1013"/>
      <c r="E29" s="1013"/>
      <c r="F29" s="1013"/>
      <c r="G29" s="1014"/>
      <c r="H29" s="1014"/>
      <c r="I29" s="1014"/>
      <c r="J29" s="1014"/>
      <c r="K29" s="1014"/>
      <c r="L29" s="1014"/>
      <c r="M29" s="1014"/>
      <c r="N29" s="1014"/>
      <c r="O29" s="1014"/>
      <c r="P29" s="1014"/>
      <c r="Q29" s="1014"/>
      <c r="R29" s="1015"/>
    </row>
    <row r="30" spans="1:18" s="1009" customFormat="1" x14ac:dyDescent="0.3">
      <c r="A30" s="1013"/>
      <c r="B30" s="1013"/>
      <c r="C30" s="1013"/>
      <c r="D30" s="1013"/>
      <c r="E30" s="1013"/>
      <c r="F30" s="1013"/>
      <c r="G30" s="1014"/>
      <c r="H30" s="1014"/>
      <c r="I30" s="1014"/>
      <c r="J30" s="1014"/>
      <c r="K30" s="1014"/>
      <c r="L30" s="1014"/>
      <c r="M30" s="1014"/>
      <c r="N30" s="1014"/>
      <c r="O30" s="1014"/>
      <c r="P30" s="1014"/>
      <c r="Q30" s="1014"/>
      <c r="R30" s="1015"/>
    </row>
    <row r="31" spans="1:18" ht="15" thickBot="1" x14ac:dyDescent="0.35">
      <c r="A31" s="2440" t="s">
        <v>1097</v>
      </c>
      <c r="B31" s="2440"/>
      <c r="C31" s="2440"/>
      <c r="D31" s="2440"/>
      <c r="E31" s="2440"/>
      <c r="F31" s="2440"/>
      <c r="G31" s="2440"/>
      <c r="H31" s="2440"/>
      <c r="I31" s="2440"/>
      <c r="J31" s="2440"/>
      <c r="K31" s="2440"/>
      <c r="L31" s="2440"/>
      <c r="M31" s="2440"/>
      <c r="N31" s="2440"/>
      <c r="O31" s="2440"/>
      <c r="P31" s="2440"/>
      <c r="Q31" s="2440"/>
      <c r="R31" s="2440"/>
    </row>
    <row r="32" spans="1:18" s="197" customFormat="1" ht="31.5" customHeight="1" thickTop="1" x14ac:dyDescent="0.15">
      <c r="A32" s="2224" t="s">
        <v>0</v>
      </c>
      <c r="B32" s="2244" t="s">
        <v>103</v>
      </c>
      <c r="C32" s="2226" t="s">
        <v>613</v>
      </c>
      <c r="D32" s="2226" t="s">
        <v>105</v>
      </c>
      <c r="E32" s="2226"/>
      <c r="F32" s="2226"/>
      <c r="G32" s="2248" t="s">
        <v>130</v>
      </c>
      <c r="H32" s="2248"/>
      <c r="I32" s="2248"/>
      <c r="J32" s="2248"/>
      <c r="K32" s="2249"/>
      <c r="L32" s="2126" t="s">
        <v>966</v>
      </c>
      <c r="M32" s="2248" t="s">
        <v>182</v>
      </c>
      <c r="N32" s="2248"/>
      <c r="O32" s="2248"/>
      <c r="P32" s="2248"/>
      <c r="Q32" s="2248"/>
      <c r="R32" s="2248"/>
    </row>
    <row r="33" spans="1:18" s="197" customFormat="1" ht="31.5" customHeight="1" x14ac:dyDescent="0.15">
      <c r="A33" s="2225"/>
      <c r="B33" s="2245"/>
      <c r="C33" s="2227"/>
      <c r="D33" s="662" t="s">
        <v>23</v>
      </c>
      <c r="E33" s="979" t="s">
        <v>25</v>
      </c>
      <c r="F33" s="979" t="s">
        <v>27</v>
      </c>
      <c r="G33" s="979" t="s">
        <v>29</v>
      </c>
      <c r="H33" s="979" t="s">
        <v>87</v>
      </c>
      <c r="I33" s="979" t="s">
        <v>49</v>
      </c>
      <c r="J33" s="977" t="s">
        <v>209</v>
      </c>
      <c r="K33" s="663" t="s">
        <v>22</v>
      </c>
      <c r="L33" s="2121"/>
      <c r="M33" s="979" t="s">
        <v>131</v>
      </c>
      <c r="N33" s="979" t="s">
        <v>149</v>
      </c>
      <c r="O33" s="979" t="s">
        <v>132</v>
      </c>
      <c r="P33" s="979" t="s">
        <v>149</v>
      </c>
      <c r="Q33" s="979" t="s">
        <v>133</v>
      </c>
      <c r="R33" s="979" t="s">
        <v>149</v>
      </c>
    </row>
    <row r="34" spans="1:18" s="924" customFormat="1" ht="8.4" x14ac:dyDescent="0.15">
      <c r="A34" s="677">
        <v>6</v>
      </c>
      <c r="B34" s="583" t="s">
        <v>742</v>
      </c>
      <c r="C34" s="678" t="s">
        <v>61</v>
      </c>
      <c r="D34" s="679" t="s">
        <v>127</v>
      </c>
      <c r="E34" s="679"/>
      <c r="F34" s="888"/>
      <c r="G34" s="680" t="s">
        <v>40</v>
      </c>
      <c r="H34" s="680">
        <v>6</v>
      </c>
      <c r="I34" s="446">
        <v>485000</v>
      </c>
      <c r="J34" s="446">
        <v>2910000</v>
      </c>
      <c r="K34" s="681">
        <v>0.41</v>
      </c>
      <c r="L34" s="446">
        <v>1716900.0000000002</v>
      </c>
      <c r="M34" s="446">
        <v>111</v>
      </c>
      <c r="N34" s="446">
        <v>1700000</v>
      </c>
      <c r="O34" s="446"/>
      <c r="P34" s="446"/>
      <c r="Q34" s="446"/>
      <c r="R34" s="446"/>
    </row>
    <row r="35" spans="1:18" s="924" customFormat="1" ht="16.8" x14ac:dyDescent="0.15">
      <c r="A35" s="677">
        <v>7</v>
      </c>
      <c r="B35" s="583" t="s">
        <v>742</v>
      </c>
      <c r="C35" s="678" t="s">
        <v>61</v>
      </c>
      <c r="D35" s="679" t="s">
        <v>785</v>
      </c>
      <c r="E35" s="679" t="s">
        <v>786</v>
      </c>
      <c r="F35" s="888"/>
      <c r="G35" s="680" t="s">
        <v>39</v>
      </c>
      <c r="H35" s="680">
        <v>1</v>
      </c>
      <c r="I35" s="446">
        <v>285000</v>
      </c>
      <c r="J35" s="446">
        <v>285000</v>
      </c>
      <c r="K35" s="681">
        <v>1</v>
      </c>
      <c r="L35" s="446">
        <v>0</v>
      </c>
      <c r="M35" s="446"/>
      <c r="N35" s="446"/>
      <c r="O35" s="446"/>
      <c r="P35" s="446"/>
      <c r="Q35" s="446"/>
      <c r="R35" s="446"/>
    </row>
    <row r="36" spans="1:18" s="924" customFormat="1" ht="16.8" x14ac:dyDescent="0.15">
      <c r="A36" s="677">
        <v>17</v>
      </c>
      <c r="B36" s="583" t="s">
        <v>792</v>
      </c>
      <c r="C36" s="932" t="s">
        <v>61</v>
      </c>
      <c r="D36" s="679" t="s">
        <v>127</v>
      </c>
      <c r="E36" s="679"/>
      <c r="F36" s="888"/>
      <c r="G36" s="680" t="s">
        <v>31</v>
      </c>
      <c r="H36" s="680">
        <v>1</v>
      </c>
      <c r="I36" s="446">
        <v>255000</v>
      </c>
      <c r="J36" s="446">
        <v>255000</v>
      </c>
      <c r="K36" s="681">
        <v>0.41</v>
      </c>
      <c r="L36" s="446">
        <v>150450.00000000003</v>
      </c>
      <c r="M36" s="446"/>
      <c r="N36" s="446"/>
      <c r="O36" s="446"/>
      <c r="P36" s="446"/>
      <c r="Q36" s="446">
        <v>131</v>
      </c>
      <c r="R36" s="446">
        <v>150450.00000000003</v>
      </c>
    </row>
    <row r="37" spans="1:18" s="924" customFormat="1" ht="16.8" x14ac:dyDescent="0.15">
      <c r="A37" s="677">
        <v>19</v>
      </c>
      <c r="B37" s="583" t="s">
        <v>792</v>
      </c>
      <c r="C37" s="932" t="s">
        <v>61</v>
      </c>
      <c r="D37" s="679" t="s">
        <v>127</v>
      </c>
      <c r="E37" s="679"/>
      <c r="F37" s="888"/>
      <c r="G37" s="680" t="s">
        <v>46</v>
      </c>
      <c r="H37" s="680">
        <v>1</v>
      </c>
      <c r="I37" s="446">
        <v>450000</v>
      </c>
      <c r="J37" s="446">
        <v>450000</v>
      </c>
      <c r="K37" s="681">
        <v>0.41</v>
      </c>
      <c r="L37" s="446">
        <v>265500.00000000006</v>
      </c>
      <c r="M37" s="446"/>
      <c r="N37" s="446"/>
      <c r="O37" s="446"/>
      <c r="P37" s="446"/>
      <c r="Q37" s="446">
        <v>131</v>
      </c>
      <c r="R37" s="446">
        <v>265500.00000000006</v>
      </c>
    </row>
    <row r="38" spans="1:18" s="924" customFormat="1" ht="16.8" x14ac:dyDescent="0.15">
      <c r="A38" s="920">
        <v>22</v>
      </c>
      <c r="B38" s="580" t="s">
        <v>795</v>
      </c>
      <c r="C38" s="889" t="s">
        <v>61</v>
      </c>
      <c r="D38" s="718" t="s">
        <v>127</v>
      </c>
      <c r="E38" s="718"/>
      <c r="F38" s="929"/>
      <c r="G38" s="921" t="s">
        <v>34</v>
      </c>
      <c r="H38" s="921">
        <v>1</v>
      </c>
      <c r="I38" s="443">
        <v>265000</v>
      </c>
      <c r="J38" s="443">
        <v>265000</v>
      </c>
      <c r="K38" s="922">
        <v>0.41</v>
      </c>
      <c r="L38" s="443">
        <v>156350.00000000003</v>
      </c>
      <c r="M38" s="443"/>
      <c r="N38" s="443"/>
      <c r="O38" s="443"/>
      <c r="P38" s="443"/>
      <c r="Q38" s="443">
        <v>131</v>
      </c>
      <c r="R38" s="443">
        <v>728650.00000000012</v>
      </c>
    </row>
    <row r="39" spans="1:18" s="924" customFormat="1" ht="16.8" x14ac:dyDescent="0.15">
      <c r="A39" s="699"/>
      <c r="B39" s="582" t="s">
        <v>795</v>
      </c>
      <c r="C39" s="931" t="s">
        <v>61</v>
      </c>
      <c r="D39" s="701" t="s">
        <v>127</v>
      </c>
      <c r="E39" s="701"/>
      <c r="F39" s="927"/>
      <c r="G39" s="702" t="s">
        <v>40</v>
      </c>
      <c r="H39" s="702">
        <v>2</v>
      </c>
      <c r="I39" s="445">
        <v>485000</v>
      </c>
      <c r="J39" s="445">
        <v>970000</v>
      </c>
      <c r="K39" s="703">
        <v>0.41</v>
      </c>
      <c r="L39" s="445">
        <v>572300.00000000012</v>
      </c>
      <c r="M39" s="445"/>
      <c r="N39" s="445"/>
      <c r="O39" s="445"/>
      <c r="P39" s="445"/>
      <c r="Q39" s="445"/>
      <c r="R39" s="445"/>
    </row>
    <row r="40" spans="1:18" s="924" customFormat="1" ht="16.8" x14ac:dyDescent="0.15">
      <c r="A40" s="699">
        <v>33</v>
      </c>
      <c r="B40" s="744" t="s">
        <v>846</v>
      </c>
      <c r="C40" s="879" t="s">
        <v>61</v>
      </c>
      <c r="D40" s="700" t="s">
        <v>127</v>
      </c>
      <c r="E40" s="700" t="s">
        <v>584</v>
      </c>
      <c r="F40" s="927"/>
      <c r="G40" s="702" t="s">
        <v>46</v>
      </c>
      <c r="H40" s="702">
        <v>4</v>
      </c>
      <c r="I40" s="445">
        <v>450000</v>
      </c>
      <c r="J40" s="446">
        <v>1800000</v>
      </c>
      <c r="K40" s="681">
        <v>0.41</v>
      </c>
      <c r="L40" s="445">
        <v>1062000.0000000002</v>
      </c>
      <c r="M40" s="445"/>
      <c r="N40" s="445"/>
      <c r="O40" s="445"/>
      <c r="P40" s="445"/>
      <c r="Q40" s="445">
        <v>131</v>
      </c>
      <c r="R40" s="445">
        <v>1062000.0000000002</v>
      </c>
    </row>
    <row r="41" spans="1:18" s="924" customFormat="1" ht="25.2" x14ac:dyDescent="0.15">
      <c r="A41" s="852">
        <v>36</v>
      </c>
      <c r="B41" s="744" t="s">
        <v>846</v>
      </c>
      <c r="C41" s="879" t="s">
        <v>61</v>
      </c>
      <c r="D41" s="700" t="s">
        <v>915</v>
      </c>
      <c r="E41" s="700"/>
      <c r="F41" s="880"/>
      <c r="G41" s="881" t="s">
        <v>41</v>
      </c>
      <c r="H41" s="881">
        <v>1</v>
      </c>
      <c r="I41" s="936">
        <v>550000</v>
      </c>
      <c r="J41" s="446">
        <v>550000</v>
      </c>
      <c r="K41" s="688">
        <v>1</v>
      </c>
      <c r="L41" s="936">
        <v>0</v>
      </c>
      <c r="M41" s="936"/>
      <c r="N41" s="936"/>
      <c r="O41" s="936"/>
      <c r="P41" s="936"/>
      <c r="Q41" s="936"/>
      <c r="R41" s="936"/>
    </row>
    <row r="42" spans="1:18" s="924" customFormat="1" ht="16.8" x14ac:dyDescent="0.15">
      <c r="A42" s="677">
        <v>50</v>
      </c>
      <c r="B42" s="583" t="s">
        <v>891</v>
      </c>
      <c r="C42" s="932" t="s">
        <v>61</v>
      </c>
      <c r="D42" s="679" t="s">
        <v>127</v>
      </c>
      <c r="E42" s="679"/>
      <c r="F42" s="888"/>
      <c r="G42" s="680" t="s">
        <v>36</v>
      </c>
      <c r="H42" s="680">
        <v>1</v>
      </c>
      <c r="I42" s="446">
        <v>275000</v>
      </c>
      <c r="J42" s="446">
        <v>275000</v>
      </c>
      <c r="K42" s="681">
        <v>0.41</v>
      </c>
      <c r="L42" s="446">
        <v>162250.00000000003</v>
      </c>
      <c r="M42" s="446"/>
      <c r="N42" s="446"/>
      <c r="O42" s="446"/>
      <c r="P42" s="446"/>
      <c r="Q42" s="446">
        <v>131</v>
      </c>
      <c r="R42" s="446">
        <v>162250.00000000003</v>
      </c>
    </row>
    <row r="43" spans="1:18" s="924" customFormat="1" ht="33.6" x14ac:dyDescent="0.15">
      <c r="A43" s="677">
        <v>54</v>
      </c>
      <c r="B43" s="583" t="s">
        <v>952</v>
      </c>
      <c r="C43" s="932" t="s">
        <v>61</v>
      </c>
      <c r="D43" s="679" t="s">
        <v>953</v>
      </c>
      <c r="E43" s="679" t="s">
        <v>954</v>
      </c>
      <c r="F43" s="888"/>
      <c r="G43" s="680" t="s">
        <v>44</v>
      </c>
      <c r="H43" s="680">
        <v>1</v>
      </c>
      <c r="I43" s="446">
        <v>455000</v>
      </c>
      <c r="J43" s="446">
        <v>455000</v>
      </c>
      <c r="K43" s="681">
        <v>0.41</v>
      </c>
      <c r="L43" s="446">
        <v>268450.00000000006</v>
      </c>
      <c r="M43" s="446"/>
      <c r="N43" s="446"/>
      <c r="O43" s="446"/>
      <c r="P43" s="446"/>
      <c r="Q43" s="446">
        <v>131</v>
      </c>
      <c r="R43" s="446">
        <v>268450.00000000006</v>
      </c>
    </row>
    <row r="44" spans="1:18" x14ac:dyDescent="0.3">
      <c r="A44" s="2437" t="s">
        <v>2</v>
      </c>
      <c r="B44" s="2438"/>
      <c r="C44" s="2438"/>
      <c r="D44" s="2438"/>
      <c r="E44" s="2438"/>
      <c r="F44" s="2439"/>
      <c r="G44" s="1007"/>
      <c r="H44" s="1007"/>
      <c r="I44" s="1007"/>
      <c r="J44" s="1007"/>
      <c r="K44" s="1007"/>
      <c r="L44" s="1007"/>
      <c r="M44" s="1007"/>
      <c r="N44" s="1007"/>
      <c r="O44" s="1007"/>
      <c r="P44" s="1007"/>
      <c r="Q44" s="1007"/>
      <c r="R44" s="1008">
        <f>SUM(R36:R43)</f>
        <v>2637300.0000000005</v>
      </c>
    </row>
    <row r="45" spans="1:18" x14ac:dyDescent="0.3">
      <c r="A45" s="454"/>
      <c r="B45" s="454"/>
      <c r="C45" s="454"/>
      <c r="D45" s="454"/>
      <c r="E45" s="454"/>
      <c r="F45" s="454"/>
      <c r="G45" s="454"/>
      <c r="H45" s="454"/>
      <c r="I45" s="454"/>
      <c r="J45" s="454"/>
      <c r="K45" s="454"/>
      <c r="L45" s="454"/>
      <c r="M45" s="454"/>
      <c r="N45" s="454"/>
      <c r="O45" s="454"/>
      <c r="P45" s="454"/>
      <c r="Q45" s="454"/>
      <c r="R45" s="454"/>
    </row>
    <row r="46" spans="1:18" ht="16.8" x14ac:dyDescent="0.3">
      <c r="D46" s="303" t="s">
        <v>904</v>
      </c>
      <c r="N46" s="304" t="s">
        <v>303</v>
      </c>
    </row>
    <row r="47" spans="1:18" ht="16.8" x14ac:dyDescent="0.3">
      <c r="D47" s="471" t="s">
        <v>308</v>
      </c>
      <c r="N47" s="983" t="s">
        <v>243</v>
      </c>
    </row>
  </sheetData>
  <mergeCells count="20">
    <mergeCell ref="D6:F6"/>
    <mergeCell ref="G6:K6"/>
    <mergeCell ref="L6:L7"/>
    <mergeCell ref="A22:F22"/>
    <mergeCell ref="A23:F23"/>
    <mergeCell ref="A4:R4"/>
    <mergeCell ref="A31:R31"/>
    <mergeCell ref="A21:F21"/>
    <mergeCell ref="A44:F44"/>
    <mergeCell ref="M6:R6"/>
    <mergeCell ref="A32:A33"/>
    <mergeCell ref="B32:B33"/>
    <mergeCell ref="C32:C33"/>
    <mergeCell ref="D32:F32"/>
    <mergeCell ref="G32:K32"/>
    <mergeCell ref="L32:L33"/>
    <mergeCell ref="M32:R32"/>
    <mergeCell ref="A6:A7"/>
    <mergeCell ref="B6:B7"/>
    <mergeCell ref="C6:C7"/>
  </mergeCells>
  <pageMargins left="0.7" right="0.7" top="0.75" bottom="0.75" header="0.3" footer="0.3"/>
  <pageSetup paperSize="256" orientation="landscape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10" workbookViewId="0">
      <selection activeCell="D22" sqref="D22:N23"/>
    </sheetView>
  </sheetViews>
  <sheetFormatPr defaultColWidth="8.88671875" defaultRowHeight="14.4" x14ac:dyDescent="0.3"/>
  <cols>
    <col min="1" max="1" width="4.88671875" customWidth="1"/>
    <col min="2" max="2" width="5.5546875" customWidth="1"/>
    <col min="3" max="3" width="6.109375" customWidth="1"/>
    <col min="4" max="4" width="7" customWidth="1"/>
    <col min="7" max="7" width="6.44140625" customWidth="1"/>
    <col min="8" max="8" width="6" customWidth="1"/>
    <col min="9" max="9" width="6.88671875" customWidth="1"/>
    <col min="10" max="10" width="6.5546875" customWidth="1"/>
    <col min="11" max="11" width="5.5546875" customWidth="1"/>
    <col min="12" max="12" width="6.44140625" customWidth="1"/>
    <col min="13" max="17" width="6.109375" customWidth="1"/>
  </cols>
  <sheetData>
    <row r="1" spans="1:18" s="1" customFormat="1" ht="16.8" x14ac:dyDescent="0.3">
      <c r="A1" s="5" t="s">
        <v>3</v>
      </c>
      <c r="B1" s="5"/>
      <c r="C1" s="8"/>
      <c r="D1" s="11"/>
      <c r="E1" s="8"/>
      <c r="F1" s="8"/>
      <c r="J1" s="95"/>
      <c r="K1" s="95"/>
      <c r="L1" s="95"/>
      <c r="M1" s="95"/>
      <c r="N1" s="95"/>
      <c r="O1" s="509"/>
    </row>
    <row r="2" spans="1:18" s="1" customFormat="1" ht="15.6" x14ac:dyDescent="0.25">
      <c r="A2" s="7" t="s">
        <v>5</v>
      </c>
      <c r="B2" s="7"/>
      <c r="C2" s="9"/>
      <c r="D2" s="12"/>
      <c r="E2" s="9"/>
      <c r="F2" s="9"/>
      <c r="J2" s="976"/>
      <c r="K2" s="976"/>
      <c r="L2" s="976"/>
      <c r="M2" s="976"/>
      <c r="N2" s="976"/>
      <c r="O2" s="510"/>
    </row>
    <row r="5" spans="1:18" x14ac:dyDescent="0.3">
      <c r="A5" s="2440" t="s">
        <v>1092</v>
      </c>
      <c r="B5" s="2440"/>
      <c r="C5" s="2440"/>
      <c r="D5" s="2440"/>
      <c r="E5" s="2440"/>
      <c r="F5" s="2440"/>
      <c r="G5" s="2440"/>
      <c r="H5" s="2440"/>
      <c r="I5" s="2440"/>
      <c r="J5" s="2440"/>
      <c r="K5" s="2440"/>
      <c r="L5" s="2440"/>
      <c r="M5" s="2440"/>
      <c r="N5" s="2440"/>
      <c r="O5" s="2440"/>
      <c r="P5" s="2440"/>
      <c r="Q5" s="2440"/>
      <c r="R5" s="2440"/>
    </row>
    <row r="6" spans="1:18" ht="15" thickBot="1" x14ac:dyDescent="0.35"/>
    <row r="7" spans="1:18" s="197" customFormat="1" ht="39" customHeight="1" thickTop="1" x14ac:dyDescent="0.15">
      <c r="A7" s="2224" t="s">
        <v>0</v>
      </c>
      <c r="B7" s="2244" t="s">
        <v>103</v>
      </c>
      <c r="C7" s="2246" t="s">
        <v>613</v>
      </c>
      <c r="D7" s="2226" t="s">
        <v>105</v>
      </c>
      <c r="E7" s="2226"/>
      <c r="F7" s="2226"/>
      <c r="G7" s="2248" t="s">
        <v>130</v>
      </c>
      <c r="H7" s="2248"/>
      <c r="I7" s="2248"/>
      <c r="J7" s="2248"/>
      <c r="K7" s="2249"/>
      <c r="L7" s="2126" t="s">
        <v>966</v>
      </c>
      <c r="M7" s="2248" t="s">
        <v>182</v>
      </c>
      <c r="N7" s="2248"/>
      <c r="O7" s="2248"/>
      <c r="P7" s="2248"/>
      <c r="Q7" s="2248"/>
      <c r="R7" s="2441"/>
    </row>
    <row r="8" spans="1:18" s="197" customFormat="1" ht="31.5" customHeight="1" x14ac:dyDescent="0.15">
      <c r="A8" s="2225"/>
      <c r="B8" s="2245"/>
      <c r="C8" s="2247"/>
      <c r="D8" s="662" t="s">
        <v>23</v>
      </c>
      <c r="E8" s="979" t="s">
        <v>25</v>
      </c>
      <c r="F8" s="979" t="s">
        <v>27</v>
      </c>
      <c r="G8" s="979" t="s">
        <v>29</v>
      </c>
      <c r="H8" s="979" t="s">
        <v>87</v>
      </c>
      <c r="I8" s="979" t="s">
        <v>49</v>
      </c>
      <c r="J8" s="977" t="s">
        <v>209</v>
      </c>
      <c r="K8" s="663" t="s">
        <v>22</v>
      </c>
      <c r="L8" s="2121"/>
      <c r="M8" s="979" t="s">
        <v>131</v>
      </c>
      <c r="N8" s="979" t="s">
        <v>149</v>
      </c>
      <c r="O8" s="979" t="s">
        <v>132</v>
      </c>
      <c r="P8" s="979" t="s">
        <v>149</v>
      </c>
      <c r="Q8" s="979" t="s">
        <v>133</v>
      </c>
      <c r="R8" s="978" t="s">
        <v>149</v>
      </c>
    </row>
    <row r="9" spans="1:18" s="197" customFormat="1" ht="9" thickBot="1" x14ac:dyDescent="0.2">
      <c r="A9" s="993">
        <v>3</v>
      </c>
      <c r="B9" s="994" t="s">
        <v>419</v>
      </c>
      <c r="C9" s="995" t="s">
        <v>17</v>
      </c>
      <c r="D9" s="996" t="s">
        <v>127</v>
      </c>
      <c r="E9" s="996"/>
      <c r="F9" s="997"/>
      <c r="G9" s="998" t="s">
        <v>40</v>
      </c>
      <c r="H9" s="998">
        <v>1</v>
      </c>
      <c r="I9" s="999">
        <v>485000</v>
      </c>
      <c r="J9" s="999">
        <v>485000</v>
      </c>
      <c r="K9" s="1000">
        <v>0.41</v>
      </c>
      <c r="L9" s="999">
        <v>286150.00000000006</v>
      </c>
      <c r="M9" s="999"/>
      <c r="N9" s="999"/>
      <c r="O9" s="999"/>
      <c r="P9" s="999"/>
      <c r="Q9" s="999">
        <v>131</v>
      </c>
      <c r="R9" s="1001">
        <v>287000</v>
      </c>
    </row>
    <row r="10" spans="1:18" s="197" customFormat="1" ht="15.75" customHeight="1" thickTop="1" thickBot="1" x14ac:dyDescent="0.25">
      <c r="A10" s="993"/>
      <c r="B10" s="994"/>
      <c r="C10" s="2442" t="s">
        <v>2</v>
      </c>
      <c r="D10" s="2443"/>
      <c r="E10" s="2444"/>
      <c r="F10" s="1002"/>
      <c r="G10" s="1003"/>
      <c r="H10" s="1003"/>
      <c r="I10" s="1004"/>
      <c r="J10" s="1004"/>
      <c r="K10" s="1005"/>
      <c r="L10" s="1004"/>
      <c r="M10" s="1004"/>
      <c r="N10" s="1004"/>
      <c r="O10" s="999"/>
      <c r="P10" s="999"/>
      <c r="Q10" s="999"/>
      <c r="R10" s="1006">
        <f>R9</f>
        <v>287000</v>
      </c>
    </row>
    <row r="11" spans="1:18" ht="15" thickTop="1" x14ac:dyDescent="0.3">
      <c r="A11" s="992"/>
      <c r="B11" s="992"/>
      <c r="C11" s="992"/>
      <c r="D11" s="992"/>
      <c r="E11" s="992"/>
      <c r="F11" s="992"/>
      <c r="G11" s="992"/>
      <c r="H11" s="992"/>
      <c r="I11" s="992"/>
      <c r="J11" s="992"/>
      <c r="K11" s="992"/>
      <c r="L11" s="992"/>
      <c r="M11" s="992"/>
      <c r="N11" s="992"/>
      <c r="O11" s="992"/>
      <c r="P11" s="992"/>
      <c r="Q11" s="992"/>
      <c r="R11" s="992"/>
    </row>
    <row r="12" spans="1:18" x14ac:dyDescent="0.3">
      <c r="A12" s="2440" t="s">
        <v>1093</v>
      </c>
      <c r="B12" s="2440"/>
      <c r="C12" s="2440"/>
      <c r="D12" s="2440"/>
      <c r="E12" s="2440"/>
      <c r="F12" s="2440"/>
      <c r="G12" s="2440"/>
      <c r="H12" s="2440"/>
      <c r="I12" s="2440"/>
      <c r="J12" s="2440"/>
      <c r="K12" s="2440"/>
      <c r="L12" s="2440"/>
      <c r="M12" s="2440"/>
      <c r="N12" s="2440"/>
      <c r="O12" s="2440"/>
      <c r="P12" s="2440"/>
      <c r="Q12" s="2440"/>
      <c r="R12" s="2440"/>
    </row>
    <row r="13" spans="1:18" ht="15" thickBot="1" x14ac:dyDescent="0.35"/>
    <row r="14" spans="1:18" s="197" customFormat="1" ht="31.5" customHeight="1" thickTop="1" x14ac:dyDescent="0.15">
      <c r="A14" s="2224" t="s">
        <v>0</v>
      </c>
      <c r="B14" s="2244" t="s">
        <v>103</v>
      </c>
      <c r="C14" s="2226" t="s">
        <v>613</v>
      </c>
      <c r="D14" s="2226" t="s">
        <v>105</v>
      </c>
      <c r="E14" s="2226"/>
      <c r="F14" s="2226"/>
      <c r="G14" s="2248" t="s">
        <v>130</v>
      </c>
      <c r="H14" s="2248"/>
      <c r="I14" s="2248"/>
      <c r="J14" s="2248"/>
      <c r="K14" s="2249"/>
      <c r="L14" s="2126" t="s">
        <v>966</v>
      </c>
      <c r="M14" s="2248" t="s">
        <v>182</v>
      </c>
      <c r="N14" s="2248"/>
      <c r="O14" s="2248"/>
      <c r="P14" s="2248"/>
      <c r="Q14" s="2248"/>
      <c r="R14" s="2441"/>
    </row>
    <row r="15" spans="1:18" s="197" customFormat="1" ht="31.5" customHeight="1" x14ac:dyDescent="0.15">
      <c r="A15" s="2225"/>
      <c r="B15" s="2245"/>
      <c r="C15" s="2227"/>
      <c r="D15" s="662" t="s">
        <v>23</v>
      </c>
      <c r="E15" s="979" t="s">
        <v>25</v>
      </c>
      <c r="F15" s="979" t="s">
        <v>27</v>
      </c>
      <c r="G15" s="979" t="s">
        <v>29</v>
      </c>
      <c r="H15" s="979" t="s">
        <v>87</v>
      </c>
      <c r="I15" s="979" t="s">
        <v>49</v>
      </c>
      <c r="J15" s="977" t="s">
        <v>209</v>
      </c>
      <c r="K15" s="663" t="s">
        <v>22</v>
      </c>
      <c r="L15" s="2121"/>
      <c r="M15" s="979" t="s">
        <v>131</v>
      </c>
      <c r="N15" s="979" t="s">
        <v>149</v>
      </c>
      <c r="O15" s="979" t="s">
        <v>132</v>
      </c>
      <c r="P15" s="979" t="s">
        <v>149</v>
      </c>
      <c r="Q15" s="979" t="s">
        <v>133</v>
      </c>
      <c r="R15" s="978" t="s">
        <v>149</v>
      </c>
    </row>
    <row r="16" spans="1:18" s="924" customFormat="1" ht="8.4" x14ac:dyDescent="0.15">
      <c r="A16" s="684">
        <v>51</v>
      </c>
      <c r="B16" s="584" t="s">
        <v>891</v>
      </c>
      <c r="C16" s="882" t="s">
        <v>17</v>
      </c>
      <c r="D16" s="685" t="s">
        <v>947</v>
      </c>
      <c r="E16" s="685" t="s">
        <v>948</v>
      </c>
      <c r="F16" s="883"/>
      <c r="G16" s="686" t="s">
        <v>35</v>
      </c>
      <c r="H16" s="686">
        <v>1</v>
      </c>
      <c r="I16" s="687">
        <v>465000</v>
      </c>
      <c r="J16" s="687">
        <v>465000</v>
      </c>
      <c r="K16" s="688">
        <v>0.41</v>
      </c>
      <c r="L16" s="687">
        <v>274350.00000000006</v>
      </c>
      <c r="M16" s="687"/>
      <c r="N16" s="687"/>
      <c r="O16" s="687"/>
      <c r="P16" s="687"/>
      <c r="Q16" s="687">
        <v>131</v>
      </c>
      <c r="R16" s="687">
        <v>828950.00000000023</v>
      </c>
    </row>
    <row r="17" spans="1:18" s="924" customFormat="1" ht="8.4" x14ac:dyDescent="0.15">
      <c r="A17" s="853"/>
      <c r="B17" s="453" t="s">
        <v>891</v>
      </c>
      <c r="C17" s="943" t="s">
        <v>17</v>
      </c>
      <c r="D17" s="720" t="s">
        <v>947</v>
      </c>
      <c r="E17" s="720" t="s">
        <v>948</v>
      </c>
      <c r="F17" s="884"/>
      <c r="G17" s="878" t="s">
        <v>40</v>
      </c>
      <c r="H17" s="878">
        <v>1</v>
      </c>
      <c r="I17" s="332">
        <v>485000</v>
      </c>
      <c r="J17" s="332">
        <v>485000</v>
      </c>
      <c r="K17" s="930">
        <v>0.41</v>
      </c>
      <c r="L17" s="332">
        <v>286150.00000000006</v>
      </c>
      <c r="M17" s="332"/>
      <c r="N17" s="332"/>
      <c r="O17" s="332"/>
      <c r="P17" s="332"/>
      <c r="Q17" s="332"/>
      <c r="R17" s="332"/>
    </row>
    <row r="18" spans="1:18" s="924" customFormat="1" ht="8.4" x14ac:dyDescent="0.15">
      <c r="A18" s="684"/>
      <c r="B18" s="584" t="s">
        <v>891</v>
      </c>
      <c r="C18" s="931" t="s">
        <v>17</v>
      </c>
      <c r="D18" s="701" t="s">
        <v>947</v>
      </c>
      <c r="E18" s="685" t="s">
        <v>948</v>
      </c>
      <c r="F18" s="883"/>
      <c r="G18" s="686" t="s">
        <v>44</v>
      </c>
      <c r="H18" s="686">
        <v>1</v>
      </c>
      <c r="I18" s="687">
        <v>455000</v>
      </c>
      <c r="J18" s="443">
        <v>455000</v>
      </c>
      <c r="K18" s="688">
        <v>0.41</v>
      </c>
      <c r="L18" s="687">
        <v>268450.00000000006</v>
      </c>
      <c r="M18" s="687"/>
      <c r="N18" s="687"/>
      <c r="O18" s="687"/>
      <c r="P18" s="687"/>
      <c r="Q18" s="687"/>
      <c r="R18" s="687"/>
    </row>
    <row r="19" spans="1:18" s="924" customFormat="1" ht="8.4" x14ac:dyDescent="0.15">
      <c r="A19" s="885">
        <v>57</v>
      </c>
      <c r="B19" s="585" t="s">
        <v>983</v>
      </c>
      <c r="C19" s="889" t="s">
        <v>17</v>
      </c>
      <c r="D19" s="718" t="s">
        <v>484</v>
      </c>
      <c r="E19" s="710"/>
      <c r="F19" s="886"/>
      <c r="G19" s="887" t="s">
        <v>37</v>
      </c>
      <c r="H19" s="887">
        <v>1</v>
      </c>
      <c r="I19" s="444">
        <v>475000</v>
      </c>
      <c r="J19" s="444">
        <v>475000</v>
      </c>
      <c r="K19" s="934">
        <v>1</v>
      </c>
      <c r="L19" s="444">
        <v>0</v>
      </c>
      <c r="M19" s="444"/>
      <c r="N19" s="444"/>
      <c r="O19" s="444"/>
      <c r="P19" s="444"/>
      <c r="Q19" s="444"/>
      <c r="R19" s="444"/>
    </row>
    <row r="20" spans="1:18" s="924" customFormat="1" ht="9" thickBot="1" x14ac:dyDescent="0.2">
      <c r="A20" s="852"/>
      <c r="B20" s="582" t="s">
        <v>983</v>
      </c>
      <c r="C20" s="931" t="s">
        <v>17</v>
      </c>
      <c r="D20" s="701" t="s">
        <v>484</v>
      </c>
      <c r="E20" s="700"/>
      <c r="F20" s="880"/>
      <c r="G20" s="881" t="s">
        <v>41</v>
      </c>
      <c r="H20" s="881">
        <v>1</v>
      </c>
      <c r="I20" s="936">
        <v>550000</v>
      </c>
      <c r="J20" s="936">
        <v>550000</v>
      </c>
      <c r="K20" s="945">
        <v>1</v>
      </c>
      <c r="L20" s="936">
        <v>0</v>
      </c>
      <c r="M20" s="936"/>
      <c r="N20" s="936"/>
      <c r="O20" s="936"/>
      <c r="P20" s="936"/>
      <c r="Q20" s="936"/>
      <c r="R20" s="936"/>
    </row>
    <row r="21" spans="1:18" s="924" customFormat="1" ht="14.25" customHeight="1" thickTop="1" thickBot="1" x14ac:dyDescent="0.25">
      <c r="A21" s="993"/>
      <c r="B21" s="994"/>
      <c r="C21" s="2442" t="s">
        <v>2</v>
      </c>
      <c r="D21" s="2443"/>
      <c r="E21" s="2444"/>
      <c r="F21" s="1002"/>
      <c r="G21" s="1003"/>
      <c r="H21" s="1003"/>
      <c r="I21" s="1004"/>
      <c r="J21" s="1004"/>
      <c r="K21" s="1005"/>
      <c r="L21" s="1004"/>
      <c r="M21" s="1004"/>
      <c r="N21" s="1004"/>
      <c r="O21" s="999"/>
      <c r="P21" s="999"/>
      <c r="Q21" s="999"/>
      <c r="R21" s="1006">
        <f>R16</f>
        <v>828950.00000000023</v>
      </c>
    </row>
    <row r="22" spans="1:18" ht="17.399999999999999" thickTop="1" x14ac:dyDescent="0.3">
      <c r="D22" s="303" t="s">
        <v>904</v>
      </c>
      <c r="M22" s="304" t="s">
        <v>303</v>
      </c>
    </row>
    <row r="23" spans="1:18" ht="16.8" x14ac:dyDescent="0.3">
      <c r="D23" s="471" t="s">
        <v>308</v>
      </c>
      <c r="M23" s="983" t="s">
        <v>243</v>
      </c>
    </row>
  </sheetData>
  <mergeCells count="18">
    <mergeCell ref="D14:F14"/>
    <mergeCell ref="G14:K14"/>
    <mergeCell ref="L14:L15"/>
    <mergeCell ref="L7:L8"/>
    <mergeCell ref="M7:R7"/>
    <mergeCell ref="C21:E21"/>
    <mergeCell ref="A5:R5"/>
    <mergeCell ref="A12:R12"/>
    <mergeCell ref="C10:E10"/>
    <mergeCell ref="M14:R14"/>
    <mergeCell ref="A7:A8"/>
    <mergeCell ref="B7:B8"/>
    <mergeCell ref="C7:C8"/>
    <mergeCell ref="D7:F7"/>
    <mergeCell ref="G7:K7"/>
    <mergeCell ref="A14:A15"/>
    <mergeCell ref="B14:B15"/>
    <mergeCell ref="C14:C15"/>
  </mergeCells>
  <pageMargins left="0.7" right="0.7" top="0.75" bottom="0.75" header="0.3" footer="0.3"/>
  <pageSetup paperSize="9" orientation="landscape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19" workbookViewId="0">
      <selection activeCell="L23" sqref="L23:L29"/>
    </sheetView>
  </sheetViews>
  <sheetFormatPr defaultColWidth="8.88671875" defaultRowHeight="14.4" x14ac:dyDescent="0.3"/>
  <cols>
    <col min="1" max="1" width="3" customWidth="1"/>
    <col min="2" max="2" width="3.5546875" customWidth="1"/>
    <col min="3" max="3" width="7.5546875" customWidth="1"/>
    <col min="5" max="5" width="6.109375" customWidth="1"/>
    <col min="6" max="6" width="6.44140625" customWidth="1"/>
    <col min="7" max="8" width="5.109375" customWidth="1"/>
    <col min="9" max="9" width="6.109375" customWidth="1"/>
    <col min="10" max="10" width="8" customWidth="1"/>
    <col min="11" max="11" width="4.44140625" customWidth="1"/>
    <col min="12" max="12" width="6.88671875" customWidth="1"/>
    <col min="13" max="14" width="4.109375" customWidth="1"/>
    <col min="15" max="15" width="4.88671875" customWidth="1"/>
    <col min="16" max="16" width="4.109375" customWidth="1"/>
    <col min="17" max="17" width="4.88671875" customWidth="1"/>
    <col min="18" max="18" width="10.109375" customWidth="1"/>
  </cols>
  <sheetData>
    <row r="1" spans="1:19" s="1" customFormat="1" ht="16.8" x14ac:dyDescent="0.3">
      <c r="A1" s="5" t="s">
        <v>3</v>
      </c>
      <c r="B1" s="5"/>
      <c r="C1" s="8"/>
      <c r="D1" s="11"/>
      <c r="E1" s="8"/>
      <c r="F1" s="8"/>
      <c r="J1" s="95"/>
      <c r="K1" s="95"/>
      <c r="L1" s="95"/>
      <c r="M1" s="95"/>
      <c r="N1" s="95"/>
      <c r="O1" s="509"/>
    </row>
    <row r="2" spans="1:19" s="1" customFormat="1" ht="15.6" x14ac:dyDescent="0.25">
      <c r="A2" s="7" t="s">
        <v>5</v>
      </c>
      <c r="B2" s="7"/>
      <c r="C2" s="9"/>
      <c r="D2" s="12"/>
      <c r="E2" s="9"/>
      <c r="F2" s="9"/>
      <c r="J2" s="1658"/>
      <c r="K2" s="1658"/>
      <c r="L2" s="1658"/>
      <c r="M2" s="1658"/>
      <c r="N2" s="1658"/>
      <c r="O2" s="510"/>
    </row>
    <row r="3" spans="1:19" ht="23.25" customHeight="1" thickBot="1" x14ac:dyDescent="0.35">
      <c r="A3" s="2446" t="s">
        <v>1892</v>
      </c>
      <c r="B3" s="2446"/>
      <c r="C3" s="2446"/>
      <c r="D3" s="2446"/>
      <c r="E3" s="2446"/>
      <c r="F3" s="2446"/>
      <c r="G3" s="2446"/>
      <c r="H3" s="2446"/>
      <c r="I3" s="2446"/>
      <c r="J3" s="2446"/>
      <c r="K3" s="2446"/>
      <c r="L3" s="2446"/>
      <c r="M3" s="2446"/>
      <c r="N3" s="2446"/>
      <c r="O3" s="2446"/>
      <c r="P3" s="2446"/>
      <c r="Q3" s="2446"/>
      <c r="R3" s="2446"/>
      <c r="S3" s="2446"/>
    </row>
    <row r="4" spans="1:19" s="197" customFormat="1" ht="31.5" customHeight="1" thickTop="1" x14ac:dyDescent="0.15">
      <c r="A4" s="2224" t="s">
        <v>0</v>
      </c>
      <c r="B4" s="2244" t="s">
        <v>103</v>
      </c>
      <c r="C4" s="2226" t="s">
        <v>613</v>
      </c>
      <c r="D4" s="2226" t="s">
        <v>105</v>
      </c>
      <c r="E4" s="2226"/>
      <c r="F4" s="2226"/>
      <c r="G4" s="2248" t="s">
        <v>130</v>
      </c>
      <c r="H4" s="2248"/>
      <c r="I4" s="2248"/>
      <c r="J4" s="2248"/>
      <c r="K4" s="2249"/>
      <c r="L4" s="2126" t="s">
        <v>966</v>
      </c>
      <c r="M4" s="2248" t="s">
        <v>182</v>
      </c>
      <c r="N4" s="2248"/>
      <c r="O4" s="2248"/>
      <c r="P4" s="2248"/>
      <c r="Q4" s="2248"/>
      <c r="R4" s="2248"/>
      <c r="S4" s="2218" t="s">
        <v>1</v>
      </c>
    </row>
    <row r="5" spans="1:19" s="197" customFormat="1" ht="31.5" customHeight="1" x14ac:dyDescent="0.15">
      <c r="A5" s="2225"/>
      <c r="B5" s="2245"/>
      <c r="C5" s="2227"/>
      <c r="D5" s="662" t="s">
        <v>23</v>
      </c>
      <c r="E5" s="1660" t="s">
        <v>25</v>
      </c>
      <c r="F5" s="1660" t="s">
        <v>27</v>
      </c>
      <c r="G5" s="1660" t="s">
        <v>29</v>
      </c>
      <c r="H5" s="1660" t="s">
        <v>87</v>
      </c>
      <c r="I5" s="1660" t="s">
        <v>49</v>
      </c>
      <c r="J5" s="1659" t="s">
        <v>209</v>
      </c>
      <c r="K5" s="663" t="s">
        <v>22</v>
      </c>
      <c r="L5" s="2121"/>
      <c r="M5" s="1660" t="s">
        <v>131</v>
      </c>
      <c r="N5" s="1660" t="s">
        <v>149</v>
      </c>
      <c r="O5" s="1660" t="s">
        <v>132</v>
      </c>
      <c r="P5" s="1660" t="s">
        <v>149</v>
      </c>
      <c r="Q5" s="1660" t="s">
        <v>133</v>
      </c>
      <c r="R5" s="1660" t="s">
        <v>149</v>
      </c>
      <c r="S5" s="2219"/>
    </row>
    <row r="6" spans="1:19" s="924" customFormat="1" ht="8.4" x14ac:dyDescent="0.15">
      <c r="A6" s="677">
        <v>1</v>
      </c>
      <c r="B6" s="583" t="s">
        <v>1105</v>
      </c>
      <c r="C6" s="678" t="s">
        <v>17</v>
      </c>
      <c r="D6" s="679" t="s">
        <v>127</v>
      </c>
      <c r="E6" s="679"/>
      <c r="F6" s="678"/>
      <c r="G6" s="680" t="s">
        <v>60</v>
      </c>
      <c r="H6" s="680">
        <v>1</v>
      </c>
      <c r="I6" s="446">
        <v>485000</v>
      </c>
      <c r="J6" s="446">
        <v>485000</v>
      </c>
      <c r="K6" s="681">
        <v>0.41</v>
      </c>
      <c r="L6" s="446">
        <v>286150.00000000006</v>
      </c>
      <c r="M6" s="446"/>
      <c r="N6" s="446"/>
      <c r="O6" s="446"/>
      <c r="P6" s="446"/>
      <c r="Q6" s="446">
        <v>131</v>
      </c>
      <c r="R6" s="446">
        <v>286150.00000000006</v>
      </c>
      <c r="S6" s="683"/>
    </row>
    <row r="7" spans="1:19" s="924" customFormat="1" ht="33.6" x14ac:dyDescent="0.15">
      <c r="A7" s="677">
        <v>4</v>
      </c>
      <c r="B7" s="583" t="s">
        <v>1889</v>
      </c>
      <c r="C7" s="678" t="s">
        <v>17</v>
      </c>
      <c r="D7" s="679" t="s">
        <v>1890</v>
      </c>
      <c r="E7" s="679"/>
      <c r="F7" s="888"/>
      <c r="G7" s="680" t="s">
        <v>44</v>
      </c>
      <c r="H7" s="680">
        <v>3</v>
      </c>
      <c r="I7" s="446">
        <v>455000</v>
      </c>
      <c r="J7" s="446">
        <v>1365000</v>
      </c>
      <c r="K7" s="681">
        <v>1</v>
      </c>
      <c r="L7" s="446">
        <v>0</v>
      </c>
      <c r="M7" s="446"/>
      <c r="N7" s="446"/>
      <c r="O7" s="446"/>
      <c r="P7" s="446"/>
      <c r="Q7" s="446"/>
      <c r="R7" s="446"/>
      <c r="S7" s="724" t="s">
        <v>1891</v>
      </c>
    </row>
    <row r="8" spans="1:19" s="924" customFormat="1" ht="8.4" x14ac:dyDescent="0.15">
      <c r="A8" s="852">
        <v>18</v>
      </c>
      <c r="B8" s="744" t="s">
        <v>1166</v>
      </c>
      <c r="C8" s="673" t="s">
        <v>1200</v>
      </c>
      <c r="D8" s="700" t="s">
        <v>127</v>
      </c>
      <c r="E8" s="700"/>
      <c r="F8" s="880"/>
      <c r="G8" s="881" t="s">
        <v>33</v>
      </c>
      <c r="H8" s="881">
        <v>2</v>
      </c>
      <c r="I8" s="936">
        <v>455000</v>
      </c>
      <c r="J8" s="936">
        <v>910000</v>
      </c>
      <c r="K8" s="945">
        <v>0.41</v>
      </c>
      <c r="L8" s="936">
        <v>536900.00000000012</v>
      </c>
      <c r="M8" s="936"/>
      <c r="N8" s="936"/>
      <c r="O8" s="936"/>
      <c r="P8" s="936"/>
      <c r="Q8" s="936">
        <v>131</v>
      </c>
      <c r="R8" s="936">
        <v>536900.00000000012</v>
      </c>
      <c r="S8" s="944"/>
    </row>
    <row r="9" spans="1:19" s="577" customFormat="1" ht="10.8" thickBot="1" x14ac:dyDescent="0.25">
      <c r="A9" s="1679"/>
      <c r="B9" s="1680"/>
      <c r="C9" s="1680"/>
      <c r="D9" s="2445" t="s">
        <v>2</v>
      </c>
      <c r="E9" s="2445"/>
      <c r="F9" s="2445"/>
      <c r="G9" s="1681"/>
      <c r="H9" s="1681"/>
      <c r="I9" s="1681"/>
      <c r="J9" s="1681"/>
      <c r="K9" s="1681"/>
      <c r="L9" s="1681"/>
      <c r="M9" s="1681"/>
      <c r="N9" s="1681"/>
      <c r="O9" s="1681"/>
      <c r="P9" s="1681"/>
      <c r="Q9" s="1681"/>
      <c r="R9" s="1682">
        <f>SUM(R6:R8)</f>
        <v>823050.00000000023</v>
      </c>
      <c r="S9" s="1683"/>
    </row>
    <row r="10" spans="1:19" s="577" customFormat="1" ht="10.8" thickTop="1" x14ac:dyDescent="0.2">
      <c r="A10" s="1674"/>
      <c r="B10" s="1674"/>
      <c r="C10" s="1674"/>
      <c r="D10" s="1675"/>
      <c r="E10" s="1675"/>
      <c r="F10" s="1675"/>
      <c r="G10" s="1676"/>
      <c r="H10" s="1676"/>
      <c r="I10" s="1676"/>
      <c r="J10" s="1676"/>
      <c r="K10" s="1676"/>
      <c r="L10" s="1676"/>
      <c r="M10" s="1676"/>
      <c r="N10" s="1676"/>
      <c r="O10" s="1676"/>
      <c r="P10" s="1676"/>
      <c r="Q10" s="1676"/>
      <c r="R10" s="1677"/>
      <c r="S10" s="1678"/>
    </row>
    <row r="11" spans="1:19" ht="15" thickBot="1" x14ac:dyDescent="0.35">
      <c r="A11" s="2446" t="s">
        <v>1893</v>
      </c>
      <c r="B11" s="2446"/>
      <c r="C11" s="2446"/>
      <c r="D11" s="2446"/>
      <c r="E11" s="2446"/>
      <c r="F11" s="2446"/>
      <c r="G11" s="2446"/>
      <c r="H11" s="2446"/>
      <c r="I11" s="2446"/>
      <c r="J11" s="2446"/>
      <c r="K11" s="2446"/>
      <c r="L11" s="2446"/>
      <c r="M11" s="2446"/>
      <c r="N11" s="2446"/>
      <c r="O11" s="2446"/>
      <c r="P11" s="2446"/>
      <c r="Q11" s="2446"/>
      <c r="R11" s="2446"/>
      <c r="S11" s="2446"/>
    </row>
    <row r="12" spans="1:19" s="197" customFormat="1" ht="31.5" customHeight="1" thickTop="1" x14ac:dyDescent="0.15">
      <c r="A12" s="2224" t="s">
        <v>0</v>
      </c>
      <c r="B12" s="2244" t="s">
        <v>103</v>
      </c>
      <c r="C12" s="2226" t="s">
        <v>613</v>
      </c>
      <c r="D12" s="2226" t="s">
        <v>105</v>
      </c>
      <c r="E12" s="2226"/>
      <c r="F12" s="2226"/>
      <c r="G12" s="2248" t="s">
        <v>130</v>
      </c>
      <c r="H12" s="2248"/>
      <c r="I12" s="2248"/>
      <c r="J12" s="2248"/>
      <c r="K12" s="2249"/>
      <c r="L12" s="2126" t="s">
        <v>966</v>
      </c>
      <c r="M12" s="2248" t="s">
        <v>182</v>
      </c>
      <c r="N12" s="2248"/>
      <c r="O12" s="2248"/>
      <c r="P12" s="2248"/>
      <c r="Q12" s="2248"/>
      <c r="R12" s="2248"/>
      <c r="S12" s="2218" t="s">
        <v>1</v>
      </c>
    </row>
    <row r="13" spans="1:19" s="197" customFormat="1" ht="31.5" customHeight="1" x14ac:dyDescent="0.15">
      <c r="A13" s="2225"/>
      <c r="B13" s="2245"/>
      <c r="C13" s="2227"/>
      <c r="D13" s="662" t="s">
        <v>23</v>
      </c>
      <c r="E13" s="1660" t="s">
        <v>25</v>
      </c>
      <c r="F13" s="1660" t="s">
        <v>27</v>
      </c>
      <c r="G13" s="1660" t="s">
        <v>29</v>
      </c>
      <c r="H13" s="1660" t="s">
        <v>87</v>
      </c>
      <c r="I13" s="1660" t="s">
        <v>49</v>
      </c>
      <c r="J13" s="1659" t="s">
        <v>209</v>
      </c>
      <c r="K13" s="663" t="s">
        <v>22</v>
      </c>
      <c r="L13" s="2121"/>
      <c r="M13" s="1660" t="s">
        <v>131</v>
      </c>
      <c r="N13" s="1660" t="s">
        <v>149</v>
      </c>
      <c r="O13" s="1660" t="s">
        <v>132</v>
      </c>
      <c r="P13" s="1660" t="s">
        <v>149</v>
      </c>
      <c r="Q13" s="1660" t="s">
        <v>133</v>
      </c>
      <c r="R13" s="1660" t="s">
        <v>149</v>
      </c>
      <c r="S13" s="2219"/>
    </row>
    <row r="14" spans="1:19" s="924" customFormat="1" ht="16.8" x14ac:dyDescent="0.15">
      <c r="A14" s="885">
        <v>7</v>
      </c>
      <c r="B14" s="585" t="s">
        <v>1030</v>
      </c>
      <c r="C14" s="709" t="s">
        <v>1124</v>
      </c>
      <c r="D14" s="710" t="s">
        <v>1125</v>
      </c>
      <c r="E14" s="710" t="s">
        <v>747</v>
      </c>
      <c r="F14" s="886"/>
      <c r="G14" s="887" t="s">
        <v>35</v>
      </c>
      <c r="H14" s="887">
        <v>1</v>
      </c>
      <c r="I14" s="444">
        <v>465000</v>
      </c>
      <c r="J14" s="444">
        <v>465000</v>
      </c>
      <c r="K14" s="934">
        <v>0.41</v>
      </c>
      <c r="L14" s="444">
        <v>274350.00000000006</v>
      </c>
      <c r="M14" s="444"/>
      <c r="N14" s="444"/>
      <c r="O14" s="444"/>
      <c r="P14" s="444"/>
      <c r="Q14" s="444">
        <v>131</v>
      </c>
      <c r="R14" s="444">
        <v>811250.00000000023</v>
      </c>
      <c r="S14" s="935"/>
    </row>
    <row r="15" spans="1:19" s="924" customFormat="1" ht="16.8" x14ac:dyDescent="0.15">
      <c r="A15" s="699"/>
      <c r="B15" s="582" t="s">
        <v>1030</v>
      </c>
      <c r="C15" s="717" t="s">
        <v>1124</v>
      </c>
      <c r="D15" s="701" t="s">
        <v>1125</v>
      </c>
      <c r="E15" s="701" t="s">
        <v>747</v>
      </c>
      <c r="F15" s="927"/>
      <c r="G15" s="702" t="s">
        <v>44</v>
      </c>
      <c r="H15" s="702">
        <v>2</v>
      </c>
      <c r="I15" s="445">
        <v>455000</v>
      </c>
      <c r="J15" s="445">
        <v>910000</v>
      </c>
      <c r="K15" s="703">
        <v>0.41</v>
      </c>
      <c r="L15" s="445">
        <v>536900.00000000012</v>
      </c>
      <c r="M15" s="445"/>
      <c r="N15" s="445"/>
      <c r="O15" s="445"/>
      <c r="P15" s="445"/>
      <c r="Q15" s="445"/>
      <c r="R15" s="445"/>
      <c r="S15" s="705"/>
    </row>
    <row r="16" spans="1:19" s="924" customFormat="1" ht="8.4" x14ac:dyDescent="0.15">
      <c r="A16" s="885">
        <v>26</v>
      </c>
      <c r="B16" s="585" t="s">
        <v>1164</v>
      </c>
      <c r="C16" s="709" t="s">
        <v>1124</v>
      </c>
      <c r="D16" s="710" t="s">
        <v>127</v>
      </c>
      <c r="E16" s="710"/>
      <c r="F16" s="886"/>
      <c r="G16" s="887" t="s">
        <v>37</v>
      </c>
      <c r="H16" s="887">
        <v>1</v>
      </c>
      <c r="I16" s="444">
        <v>475000</v>
      </c>
      <c r="J16" s="444">
        <v>475000</v>
      </c>
      <c r="K16" s="934">
        <v>0.41</v>
      </c>
      <c r="L16" s="444">
        <v>280250.00000000006</v>
      </c>
      <c r="M16" s="444"/>
      <c r="N16" s="444"/>
      <c r="O16" s="444"/>
      <c r="P16" s="444"/>
      <c r="Q16" s="444">
        <v>131</v>
      </c>
      <c r="R16" s="444">
        <v>566400.00000000012</v>
      </c>
      <c r="S16" s="935"/>
    </row>
    <row r="17" spans="1:19" s="924" customFormat="1" ht="8.4" x14ac:dyDescent="0.15">
      <c r="A17" s="684"/>
      <c r="B17" s="584"/>
      <c r="C17" s="672" t="s">
        <v>1124</v>
      </c>
      <c r="D17" s="685" t="s">
        <v>127</v>
      </c>
      <c r="E17" s="685"/>
      <c r="F17" s="883"/>
      <c r="G17" s="686" t="s">
        <v>40</v>
      </c>
      <c r="H17" s="686">
        <v>1</v>
      </c>
      <c r="I17" s="687">
        <v>485000</v>
      </c>
      <c r="J17" s="687">
        <v>485000</v>
      </c>
      <c r="K17" s="688">
        <v>0.41</v>
      </c>
      <c r="L17" s="687">
        <v>286150.00000000006</v>
      </c>
      <c r="M17" s="687"/>
      <c r="N17" s="687"/>
      <c r="O17" s="687"/>
      <c r="P17" s="687"/>
      <c r="Q17" s="687"/>
      <c r="R17" s="687"/>
      <c r="S17" s="690"/>
    </row>
    <row r="18" spans="1:19" s="1673" customFormat="1" ht="10.8" thickBot="1" x14ac:dyDescent="0.25">
      <c r="A18" s="1684"/>
      <c r="B18" s="1685"/>
      <c r="C18" s="1685"/>
      <c r="D18" s="2445" t="s">
        <v>2</v>
      </c>
      <c r="E18" s="2445"/>
      <c r="F18" s="2445"/>
      <c r="G18" s="1686"/>
      <c r="H18" s="1686"/>
      <c r="I18" s="1686"/>
      <c r="J18" s="1686"/>
      <c r="K18" s="1686"/>
      <c r="L18" s="1686"/>
      <c r="M18" s="1686"/>
      <c r="N18" s="1686"/>
      <c r="O18" s="1686"/>
      <c r="P18" s="1686"/>
      <c r="Q18" s="1686"/>
      <c r="R18" s="1687">
        <f>SUM(R14:R17)</f>
        <v>1377650.0000000005</v>
      </c>
      <c r="S18" s="1688"/>
    </row>
    <row r="19" spans="1:19" ht="15" thickTop="1" x14ac:dyDescent="0.3"/>
    <row r="20" spans="1:19" ht="15" thickBot="1" x14ac:dyDescent="0.35">
      <c r="A20" s="2446" t="s">
        <v>1894</v>
      </c>
      <c r="B20" s="2446"/>
      <c r="C20" s="2446"/>
      <c r="D20" s="2446"/>
      <c r="E20" s="2446"/>
      <c r="F20" s="2446"/>
      <c r="G20" s="2446"/>
      <c r="H20" s="2446"/>
      <c r="I20" s="2446"/>
      <c r="J20" s="2446"/>
      <c r="K20" s="2446"/>
      <c r="L20" s="2446"/>
      <c r="M20" s="2446"/>
      <c r="N20" s="2446"/>
      <c r="O20" s="2446"/>
      <c r="P20" s="2446"/>
      <c r="Q20" s="2446"/>
      <c r="R20" s="2446"/>
      <c r="S20" s="2446"/>
    </row>
    <row r="21" spans="1:19" s="197" customFormat="1" ht="31.5" customHeight="1" thickTop="1" x14ac:dyDescent="0.15">
      <c r="A21" s="2224" t="s">
        <v>0</v>
      </c>
      <c r="B21" s="2244" t="s">
        <v>103</v>
      </c>
      <c r="C21" s="2226" t="s">
        <v>613</v>
      </c>
      <c r="D21" s="2226" t="s">
        <v>105</v>
      </c>
      <c r="E21" s="2226"/>
      <c r="F21" s="2226"/>
      <c r="G21" s="2248" t="s">
        <v>130</v>
      </c>
      <c r="H21" s="2248"/>
      <c r="I21" s="2248"/>
      <c r="J21" s="2248"/>
      <c r="K21" s="2249"/>
      <c r="L21" s="2126" t="s">
        <v>966</v>
      </c>
      <c r="M21" s="2248" t="s">
        <v>182</v>
      </c>
      <c r="N21" s="2248"/>
      <c r="O21" s="2248"/>
      <c r="P21" s="2248"/>
      <c r="Q21" s="2248"/>
      <c r="R21" s="2248"/>
      <c r="S21" s="2218" t="s">
        <v>1</v>
      </c>
    </row>
    <row r="22" spans="1:19" s="197" customFormat="1" ht="31.5" customHeight="1" x14ac:dyDescent="0.15">
      <c r="A22" s="2225"/>
      <c r="B22" s="2245"/>
      <c r="C22" s="2227"/>
      <c r="D22" s="662" t="s">
        <v>23</v>
      </c>
      <c r="E22" s="1660" t="s">
        <v>25</v>
      </c>
      <c r="F22" s="1660" t="s">
        <v>27</v>
      </c>
      <c r="G22" s="1660" t="s">
        <v>29</v>
      </c>
      <c r="H22" s="1660" t="s">
        <v>87</v>
      </c>
      <c r="I22" s="1660" t="s">
        <v>49</v>
      </c>
      <c r="J22" s="1659" t="s">
        <v>209</v>
      </c>
      <c r="K22" s="663" t="s">
        <v>22</v>
      </c>
      <c r="L22" s="2121"/>
      <c r="M22" s="1660" t="s">
        <v>131</v>
      </c>
      <c r="N22" s="1660" t="s">
        <v>149</v>
      </c>
      <c r="O22" s="1660" t="s">
        <v>132</v>
      </c>
      <c r="P22" s="1660" t="s">
        <v>149</v>
      </c>
      <c r="Q22" s="1660" t="s">
        <v>133</v>
      </c>
      <c r="R22" s="1660" t="s">
        <v>149</v>
      </c>
      <c r="S22" s="2219"/>
    </row>
    <row r="23" spans="1:19" s="924" customFormat="1" ht="12.75" customHeight="1" x14ac:dyDescent="0.15">
      <c r="A23" s="852">
        <v>8</v>
      </c>
      <c r="B23" s="583" t="s">
        <v>1030</v>
      </c>
      <c r="C23" s="879" t="s">
        <v>61</v>
      </c>
      <c r="D23" s="700" t="s">
        <v>127</v>
      </c>
      <c r="E23" s="700"/>
      <c r="F23" s="880"/>
      <c r="G23" s="881" t="s">
        <v>40</v>
      </c>
      <c r="H23" s="881">
        <v>1</v>
      </c>
      <c r="I23" s="936">
        <v>485000</v>
      </c>
      <c r="J23" s="936">
        <v>485000</v>
      </c>
      <c r="K23" s="945">
        <v>0.41</v>
      </c>
      <c r="L23" s="443">
        <v>286150.00000000006</v>
      </c>
      <c r="M23" s="936"/>
      <c r="N23" s="936"/>
      <c r="O23" s="936"/>
      <c r="P23" s="936"/>
      <c r="Q23" s="936">
        <v>131</v>
      </c>
      <c r="R23" s="936">
        <v>286150.00000000006</v>
      </c>
      <c r="S23" s="944"/>
    </row>
    <row r="24" spans="1:19" s="924" customFormat="1" ht="8.4" x14ac:dyDescent="0.15">
      <c r="A24" s="677">
        <v>11</v>
      </c>
      <c r="B24" s="583" t="s">
        <v>1126</v>
      </c>
      <c r="C24" s="678" t="s">
        <v>1130</v>
      </c>
      <c r="D24" s="679" t="s">
        <v>953</v>
      </c>
      <c r="E24" s="679" t="s">
        <v>1131</v>
      </c>
      <c r="F24" s="888" t="s">
        <v>1132</v>
      </c>
      <c r="G24" s="680" t="s">
        <v>44</v>
      </c>
      <c r="H24" s="680">
        <v>2</v>
      </c>
      <c r="I24" s="446">
        <v>455000</v>
      </c>
      <c r="J24" s="446">
        <v>910000</v>
      </c>
      <c r="K24" s="681">
        <v>0.41</v>
      </c>
      <c r="L24" s="446">
        <v>536900.00000000012</v>
      </c>
      <c r="M24" s="446"/>
      <c r="N24" s="446"/>
      <c r="O24" s="446"/>
      <c r="P24" s="446"/>
      <c r="Q24" s="446">
        <v>131</v>
      </c>
      <c r="R24" s="446">
        <v>536900.00000000012</v>
      </c>
      <c r="S24" s="683"/>
    </row>
    <row r="25" spans="1:19" s="924" customFormat="1" ht="8.4" x14ac:dyDescent="0.15">
      <c r="A25" s="677">
        <v>13</v>
      </c>
      <c r="B25" s="583" t="s">
        <v>1107</v>
      </c>
      <c r="C25" s="678" t="s">
        <v>61</v>
      </c>
      <c r="D25" s="679" t="s">
        <v>127</v>
      </c>
      <c r="E25" s="679"/>
      <c r="F25" s="888"/>
      <c r="G25" s="680" t="s">
        <v>40</v>
      </c>
      <c r="H25" s="680">
        <v>3</v>
      </c>
      <c r="I25" s="446">
        <v>485000</v>
      </c>
      <c r="J25" s="446">
        <v>1455000</v>
      </c>
      <c r="K25" s="681">
        <v>0.41</v>
      </c>
      <c r="L25" s="446">
        <v>858450.00000000012</v>
      </c>
      <c r="M25" s="446"/>
      <c r="N25" s="446"/>
      <c r="O25" s="446"/>
      <c r="P25" s="446"/>
      <c r="Q25" s="446">
        <v>131</v>
      </c>
      <c r="R25" s="446">
        <v>858450.00000000012</v>
      </c>
      <c r="S25" s="683"/>
    </row>
    <row r="26" spans="1:19" s="924" customFormat="1" ht="8.4" x14ac:dyDescent="0.15">
      <c r="A26" s="677">
        <v>25</v>
      </c>
      <c r="B26" s="583" t="s">
        <v>1188</v>
      </c>
      <c r="C26" s="678" t="s">
        <v>61</v>
      </c>
      <c r="D26" s="679" t="s">
        <v>127</v>
      </c>
      <c r="E26" s="679"/>
      <c r="F26" s="888"/>
      <c r="G26" s="680" t="s">
        <v>34</v>
      </c>
      <c r="H26" s="680">
        <v>1</v>
      </c>
      <c r="I26" s="446">
        <v>265000</v>
      </c>
      <c r="J26" s="446">
        <v>265000</v>
      </c>
      <c r="K26" s="681">
        <v>0.41</v>
      </c>
      <c r="L26" s="446">
        <v>156350.00000000003</v>
      </c>
      <c r="M26" s="446"/>
      <c r="N26" s="446"/>
      <c r="O26" s="446"/>
      <c r="P26" s="446"/>
      <c r="Q26" s="446">
        <v>131</v>
      </c>
      <c r="R26" s="446">
        <v>156350.00000000003</v>
      </c>
      <c r="S26" s="944"/>
    </row>
    <row r="27" spans="1:19" s="924" customFormat="1" ht="8.4" x14ac:dyDescent="0.15">
      <c r="A27" s="852">
        <v>28</v>
      </c>
      <c r="B27" s="583" t="s">
        <v>1202</v>
      </c>
      <c r="C27" s="678" t="s">
        <v>61</v>
      </c>
      <c r="D27" s="679" t="s">
        <v>127</v>
      </c>
      <c r="E27" s="679"/>
      <c r="F27" s="888"/>
      <c r="G27" s="680" t="s">
        <v>37</v>
      </c>
      <c r="H27" s="680">
        <v>1</v>
      </c>
      <c r="I27" s="446">
        <v>475000</v>
      </c>
      <c r="J27" s="446">
        <v>475000</v>
      </c>
      <c r="K27" s="681">
        <v>0.41</v>
      </c>
      <c r="L27" s="446">
        <v>280250.00000000006</v>
      </c>
      <c r="M27" s="446"/>
      <c r="N27" s="446"/>
      <c r="O27" s="446"/>
      <c r="P27" s="446"/>
      <c r="Q27" s="446">
        <v>131</v>
      </c>
      <c r="R27" s="446">
        <v>280250.00000000006</v>
      </c>
      <c r="S27" s="683"/>
    </row>
    <row r="28" spans="1:19" s="924" customFormat="1" ht="16.8" x14ac:dyDescent="0.15">
      <c r="A28" s="852">
        <v>41</v>
      </c>
      <c r="B28" s="744" t="s">
        <v>1301</v>
      </c>
      <c r="C28" s="673" t="s">
        <v>61</v>
      </c>
      <c r="D28" s="700" t="s">
        <v>1530</v>
      </c>
      <c r="E28" s="700"/>
      <c r="F28" s="880"/>
      <c r="G28" s="881" t="s">
        <v>44</v>
      </c>
      <c r="H28" s="881">
        <v>1</v>
      </c>
      <c r="I28" s="936">
        <v>455000</v>
      </c>
      <c r="J28" s="936">
        <v>455000</v>
      </c>
      <c r="K28" s="945">
        <v>0.41</v>
      </c>
      <c r="L28" s="936">
        <v>268450.00000000006</v>
      </c>
      <c r="M28" s="936"/>
      <c r="N28" s="936"/>
      <c r="O28" s="936"/>
      <c r="P28" s="936"/>
      <c r="Q28" s="936">
        <v>131</v>
      </c>
      <c r="R28" s="936">
        <v>268450.00000000006</v>
      </c>
      <c r="S28" s="1038"/>
    </row>
    <row r="29" spans="1:19" s="924" customFormat="1" ht="8.4" x14ac:dyDescent="0.15">
      <c r="A29" s="677">
        <v>48</v>
      </c>
      <c r="B29" s="583" t="s">
        <v>1370</v>
      </c>
      <c r="C29" s="678" t="s">
        <v>61</v>
      </c>
      <c r="D29" s="679" t="s">
        <v>127</v>
      </c>
      <c r="E29" s="679"/>
      <c r="F29" s="888"/>
      <c r="G29" s="680" t="s">
        <v>37</v>
      </c>
      <c r="H29" s="680">
        <v>2</v>
      </c>
      <c r="I29" s="446">
        <v>475000</v>
      </c>
      <c r="J29" s="446">
        <v>950000</v>
      </c>
      <c r="K29" s="681">
        <v>0.41</v>
      </c>
      <c r="L29" s="446">
        <v>560500.00000000012</v>
      </c>
      <c r="M29" s="446"/>
      <c r="N29" s="446"/>
      <c r="O29" s="446"/>
      <c r="P29" s="446"/>
      <c r="Q29" s="446">
        <v>131</v>
      </c>
      <c r="R29" s="446">
        <v>560500.00000000012</v>
      </c>
      <c r="S29" s="724"/>
    </row>
    <row r="30" spans="1:19" s="1673" customFormat="1" ht="10.8" thickBot="1" x14ac:dyDescent="0.25">
      <c r="A30" s="1684"/>
      <c r="B30" s="1686"/>
      <c r="C30" s="1686"/>
      <c r="D30" s="2445" t="s">
        <v>2</v>
      </c>
      <c r="E30" s="2445"/>
      <c r="F30" s="2445"/>
      <c r="G30" s="1686"/>
      <c r="H30" s="1686"/>
      <c r="I30" s="1686"/>
      <c r="J30" s="1686"/>
      <c r="K30" s="1686"/>
      <c r="L30" s="1686"/>
      <c r="M30" s="1686"/>
      <c r="N30" s="1686"/>
      <c r="O30" s="1686"/>
      <c r="P30" s="1686"/>
      <c r="Q30" s="1686"/>
      <c r="R30" s="1687">
        <f>SUM(R23:R29)</f>
        <v>2947050.0000000005</v>
      </c>
      <c r="S30" s="1688"/>
    </row>
    <row r="31" spans="1:19" ht="15" thickTop="1" x14ac:dyDescent="0.3"/>
    <row r="32" spans="1:19" ht="16.8" x14ac:dyDescent="0.3">
      <c r="D32" s="303" t="s">
        <v>904</v>
      </c>
      <c r="M32" s="304" t="s">
        <v>303</v>
      </c>
    </row>
    <row r="33" spans="4:13" ht="16.8" x14ac:dyDescent="0.3">
      <c r="D33" s="471" t="s">
        <v>308</v>
      </c>
      <c r="M33" s="1662" t="s">
        <v>243</v>
      </c>
    </row>
  </sheetData>
  <mergeCells count="30">
    <mergeCell ref="A3:S3"/>
    <mergeCell ref="S4:S5"/>
    <mergeCell ref="A12:A13"/>
    <mergeCell ref="B12:B13"/>
    <mergeCell ref="C12:C13"/>
    <mergeCell ref="D12:F12"/>
    <mergeCell ref="G12:K12"/>
    <mergeCell ref="L12:L13"/>
    <mergeCell ref="M12:R12"/>
    <mergeCell ref="S12:S13"/>
    <mergeCell ref="A4:A5"/>
    <mergeCell ref="B4:B5"/>
    <mergeCell ref="C4:C5"/>
    <mergeCell ref="D4:F4"/>
    <mergeCell ref="G4:K4"/>
    <mergeCell ref="L4:L5"/>
    <mergeCell ref="M4:R4"/>
    <mergeCell ref="M21:R21"/>
    <mergeCell ref="S21:S22"/>
    <mergeCell ref="D9:F9"/>
    <mergeCell ref="D18:F18"/>
    <mergeCell ref="D30:F30"/>
    <mergeCell ref="A11:S11"/>
    <mergeCell ref="A20:S20"/>
    <mergeCell ref="A21:A22"/>
    <mergeCell ref="B21:B22"/>
    <mergeCell ref="C21:C22"/>
    <mergeCell ref="D21:F21"/>
    <mergeCell ref="G21:K21"/>
    <mergeCell ref="L21:L22"/>
  </mergeCells>
  <pageMargins left="0.70866141732283472" right="0" top="0" bottom="0" header="0.31496062992125984" footer="0.31496062992125984"/>
  <pageSetup paperSize="256" orientation="landscape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opLeftCell="E1" zoomScaleNormal="100" workbookViewId="0">
      <selection activeCell="G18" sqref="G18"/>
    </sheetView>
  </sheetViews>
  <sheetFormatPr defaultRowHeight="14.4" x14ac:dyDescent="0.3"/>
  <cols>
    <col min="1" max="1" width="4.5546875" customWidth="1"/>
    <col min="6" max="6" width="7.5546875" customWidth="1"/>
    <col min="7" max="7" width="7" customWidth="1"/>
    <col min="8" max="8" width="5.44140625" customWidth="1"/>
    <col min="11" max="11" width="5.44140625" customWidth="1"/>
    <col min="12" max="12" width="12.5546875" customWidth="1"/>
    <col min="13" max="13" width="7" customWidth="1"/>
    <col min="18" max="18" width="10.109375" customWidth="1"/>
  </cols>
  <sheetData>
    <row r="1" spans="1:20" ht="16.8" x14ac:dyDescent="0.3">
      <c r="A1" s="5" t="s">
        <v>3</v>
      </c>
      <c r="B1" s="5"/>
      <c r="C1" s="8"/>
      <c r="D1" s="11"/>
      <c r="E1" s="8"/>
      <c r="F1" s="8"/>
      <c r="G1" s="1"/>
      <c r="H1" s="1"/>
      <c r="I1" s="1"/>
      <c r="J1" s="95"/>
      <c r="K1" s="95"/>
      <c r="L1" s="95"/>
      <c r="M1" s="95"/>
      <c r="N1" s="95"/>
      <c r="O1" s="509"/>
      <c r="P1" s="1"/>
      <c r="Q1" s="1"/>
      <c r="R1" s="1"/>
      <c r="S1" s="1"/>
    </row>
    <row r="2" spans="1:20" ht="15.6" x14ac:dyDescent="0.3">
      <c r="A2" s="7" t="s">
        <v>5</v>
      </c>
      <c r="B2" s="7"/>
      <c r="C2" s="9"/>
      <c r="D2" s="12"/>
      <c r="E2" s="9"/>
      <c r="F2" s="9"/>
      <c r="G2" s="1"/>
      <c r="H2" s="1"/>
      <c r="I2" s="1"/>
      <c r="J2" s="1725"/>
      <c r="K2" s="1725"/>
      <c r="L2" s="1725"/>
      <c r="M2" s="1725"/>
      <c r="N2" s="1725"/>
      <c r="O2" s="510"/>
      <c r="P2" s="1"/>
      <c r="Q2" s="1"/>
      <c r="R2" s="1"/>
      <c r="S2" s="1"/>
    </row>
    <row r="3" spans="1:20" ht="15" thickBot="1" x14ac:dyDescent="0.35">
      <c r="A3" s="2446" t="s">
        <v>2002</v>
      </c>
      <c r="B3" s="2446"/>
      <c r="C3" s="2446"/>
      <c r="D3" s="2446"/>
      <c r="E3" s="2446"/>
      <c r="F3" s="2446"/>
      <c r="G3" s="2446"/>
      <c r="H3" s="2446"/>
      <c r="I3" s="2446"/>
      <c r="J3" s="2446"/>
      <c r="K3" s="2446"/>
      <c r="L3" s="2446"/>
      <c r="M3" s="2446"/>
      <c r="N3" s="2446"/>
      <c r="O3" s="2446"/>
      <c r="P3" s="2446"/>
      <c r="Q3" s="2446"/>
      <c r="R3" s="2446"/>
      <c r="S3" s="2446"/>
    </row>
    <row r="4" spans="1:20" ht="15" thickTop="1" x14ac:dyDescent="0.3">
      <c r="A4" s="2224" t="s">
        <v>0</v>
      </c>
      <c r="B4" s="2244" t="s">
        <v>103</v>
      </c>
      <c r="C4" s="2226" t="s">
        <v>613</v>
      </c>
      <c r="D4" s="2226" t="s">
        <v>105</v>
      </c>
      <c r="E4" s="2226"/>
      <c r="F4" s="2226"/>
      <c r="G4" s="2248" t="s">
        <v>130</v>
      </c>
      <c r="H4" s="2248"/>
      <c r="I4" s="2248"/>
      <c r="J4" s="2248"/>
      <c r="K4" s="2249"/>
      <c r="L4" s="2126" t="s">
        <v>966</v>
      </c>
      <c r="M4" s="2248" t="s">
        <v>182</v>
      </c>
      <c r="N4" s="2248"/>
      <c r="O4" s="2248"/>
      <c r="P4" s="2248"/>
      <c r="Q4" s="2248"/>
      <c r="R4" s="2248"/>
      <c r="S4" s="2218" t="s">
        <v>1</v>
      </c>
    </row>
    <row r="5" spans="1:20" ht="25.2" x14ac:dyDescent="0.3">
      <c r="A5" s="2225"/>
      <c r="B5" s="2245"/>
      <c r="C5" s="2227"/>
      <c r="D5" s="662" t="s">
        <v>23</v>
      </c>
      <c r="E5" s="1727" t="s">
        <v>25</v>
      </c>
      <c r="F5" s="1727" t="s">
        <v>27</v>
      </c>
      <c r="G5" s="1727" t="s">
        <v>29</v>
      </c>
      <c r="H5" s="1727" t="s">
        <v>87</v>
      </c>
      <c r="I5" s="1727" t="s">
        <v>49</v>
      </c>
      <c r="J5" s="1726" t="s">
        <v>209</v>
      </c>
      <c r="K5" s="663" t="s">
        <v>22</v>
      </c>
      <c r="L5" s="2121"/>
      <c r="M5" s="1727" t="s">
        <v>131</v>
      </c>
      <c r="N5" s="1727" t="s">
        <v>149</v>
      </c>
      <c r="O5" s="1727" t="s">
        <v>132</v>
      </c>
      <c r="P5" s="1727" t="s">
        <v>149</v>
      </c>
      <c r="Q5" s="1727" t="s">
        <v>133</v>
      </c>
      <c r="R5" s="1727" t="s">
        <v>149</v>
      </c>
      <c r="S5" s="2219"/>
    </row>
    <row r="6" spans="1:20" x14ac:dyDescent="0.3">
      <c r="A6" s="1711">
        <v>265</v>
      </c>
      <c r="B6" s="1778">
        <v>43597</v>
      </c>
      <c r="C6" s="1708" t="s">
        <v>1130</v>
      </c>
      <c r="D6" s="1710" t="s">
        <v>1929</v>
      </c>
      <c r="E6" s="1773" t="s">
        <v>1128</v>
      </c>
      <c r="F6" s="1708"/>
      <c r="G6" s="1711" t="s">
        <v>44</v>
      </c>
      <c r="H6" s="1711">
        <v>2</v>
      </c>
      <c r="I6" s="1712">
        <v>455000</v>
      </c>
      <c r="J6" s="1774">
        <v>910000</v>
      </c>
      <c r="K6" s="1732">
        <v>0.41</v>
      </c>
      <c r="L6" s="1774">
        <v>536900.00000000012</v>
      </c>
      <c r="M6" s="1708"/>
      <c r="N6" s="1734">
        <v>536900.00000000012</v>
      </c>
      <c r="O6" s="1708"/>
      <c r="P6" s="1708"/>
      <c r="Q6" s="1708"/>
      <c r="R6" s="1734">
        <f>L6-N6-P6</f>
        <v>0</v>
      </c>
      <c r="S6" s="1708"/>
    </row>
    <row r="7" spans="1:20" x14ac:dyDescent="0.3">
      <c r="A7" s="1711">
        <v>266</v>
      </c>
      <c r="B7" s="1778">
        <v>43628</v>
      </c>
      <c r="C7" s="1708" t="s">
        <v>61</v>
      </c>
      <c r="D7" s="1709" t="s">
        <v>1931</v>
      </c>
      <c r="E7" s="1773" t="s">
        <v>1932</v>
      </c>
      <c r="F7" s="1708"/>
      <c r="G7" s="1711" t="s">
        <v>44</v>
      </c>
      <c r="H7" s="1711">
        <v>5</v>
      </c>
      <c r="I7" s="1712">
        <v>455000</v>
      </c>
      <c r="J7" s="1774">
        <v>2275000</v>
      </c>
      <c r="K7" s="1713">
        <v>0.3</v>
      </c>
      <c r="L7" s="1774">
        <v>1592500</v>
      </c>
      <c r="M7" s="1708"/>
      <c r="N7" s="1734">
        <v>1592500</v>
      </c>
      <c r="O7" s="1708"/>
      <c r="P7" s="1708"/>
      <c r="Q7" s="1708"/>
      <c r="R7" s="1734">
        <f t="shared" ref="R7:R12" si="0">L7-N7-P7</f>
        <v>0</v>
      </c>
      <c r="S7" s="1708"/>
    </row>
    <row r="8" spans="1:20" x14ac:dyDescent="0.3">
      <c r="A8" s="1711">
        <v>285</v>
      </c>
      <c r="B8" s="1778" t="s">
        <v>1939</v>
      </c>
      <c r="C8" s="1708" t="s">
        <v>61</v>
      </c>
      <c r="D8" s="1708" t="s">
        <v>1929</v>
      </c>
      <c r="E8" s="1773"/>
      <c r="F8" s="1708"/>
      <c r="G8" s="1714" t="s">
        <v>35</v>
      </c>
      <c r="H8" s="1714">
        <v>3</v>
      </c>
      <c r="I8" s="1715">
        <v>465000</v>
      </c>
      <c r="J8" s="1775">
        <v>1395000</v>
      </c>
      <c r="K8" s="1713">
        <v>0.41</v>
      </c>
      <c r="L8" s="1774">
        <v>823050.00000000012</v>
      </c>
      <c r="M8" s="1708"/>
      <c r="N8" s="1734">
        <v>823050.00000000012</v>
      </c>
      <c r="O8" s="1708"/>
      <c r="P8" s="1708"/>
      <c r="Q8" s="1708"/>
      <c r="R8" s="1734">
        <f t="shared" si="0"/>
        <v>0</v>
      </c>
      <c r="S8" s="1708"/>
    </row>
    <row r="9" spans="1:20" ht="20.399999999999999" x14ac:dyDescent="0.3">
      <c r="A9" s="1711">
        <v>287</v>
      </c>
      <c r="B9" s="1778" t="s">
        <v>1939</v>
      </c>
      <c r="C9" s="1708" t="s">
        <v>61</v>
      </c>
      <c r="D9" s="1708" t="s">
        <v>1941</v>
      </c>
      <c r="E9" s="1709" t="s">
        <v>1954</v>
      </c>
      <c r="F9" s="1708"/>
      <c r="G9" s="1714" t="s">
        <v>40</v>
      </c>
      <c r="H9" s="1714">
        <v>1</v>
      </c>
      <c r="I9" s="1715">
        <v>485000</v>
      </c>
      <c r="J9" s="1775">
        <v>485000</v>
      </c>
      <c r="K9" s="1713">
        <v>0.41</v>
      </c>
      <c r="L9" s="1774">
        <v>286150.00000000006</v>
      </c>
      <c r="M9" s="1708"/>
      <c r="N9" s="1734">
        <v>286150.00000000006</v>
      </c>
      <c r="O9" s="1708"/>
      <c r="P9" s="1708"/>
      <c r="Q9" s="1708"/>
      <c r="R9" s="1734">
        <f t="shared" si="0"/>
        <v>0</v>
      </c>
      <c r="S9" s="1708"/>
    </row>
    <row r="10" spans="1:20" ht="20.399999999999999" x14ac:dyDescent="0.3">
      <c r="A10" s="1711">
        <v>288</v>
      </c>
      <c r="B10" s="1778" t="s">
        <v>1942</v>
      </c>
      <c r="C10" s="1708" t="s">
        <v>61</v>
      </c>
      <c r="D10" s="1708" t="s">
        <v>1943</v>
      </c>
      <c r="E10" s="1709" t="s">
        <v>1944</v>
      </c>
      <c r="F10" s="1708"/>
      <c r="G10" s="1714" t="s">
        <v>41</v>
      </c>
      <c r="H10" s="1714">
        <v>1</v>
      </c>
      <c r="I10" s="1715">
        <v>550000</v>
      </c>
      <c r="J10" s="1775">
        <v>550000</v>
      </c>
      <c r="K10" s="1713">
        <v>0.41</v>
      </c>
      <c r="L10" s="1774">
        <v>324500.00000000006</v>
      </c>
      <c r="M10" s="1708"/>
      <c r="N10" s="1734">
        <v>324500.00000000006</v>
      </c>
      <c r="O10" s="1708"/>
      <c r="P10" s="1708"/>
      <c r="Q10" s="1708"/>
      <c r="R10" s="1734">
        <f t="shared" si="0"/>
        <v>0</v>
      </c>
      <c r="S10" s="1708"/>
    </row>
    <row r="11" spans="1:20" ht="20.399999999999999" x14ac:dyDescent="0.3">
      <c r="A11" s="1711">
        <v>290</v>
      </c>
      <c r="B11" s="1778" t="s">
        <v>1946</v>
      </c>
      <c r="C11" s="1708" t="s">
        <v>61</v>
      </c>
      <c r="D11" s="1708" t="s">
        <v>1947</v>
      </c>
      <c r="E11" s="1709" t="s">
        <v>1948</v>
      </c>
      <c r="F11" s="1708"/>
      <c r="G11" s="1714" t="s">
        <v>35</v>
      </c>
      <c r="H11" s="1714">
        <v>1</v>
      </c>
      <c r="I11" s="1715">
        <v>465000</v>
      </c>
      <c r="J11" s="1775">
        <v>465000</v>
      </c>
      <c r="K11" s="1713">
        <v>0.41</v>
      </c>
      <c r="L11" s="1774">
        <v>274350.00000000006</v>
      </c>
      <c r="M11" s="1708"/>
      <c r="N11" s="1734">
        <v>811250.00000000023</v>
      </c>
      <c r="O11" s="1708"/>
      <c r="P11" s="1708"/>
      <c r="Q11" s="1708"/>
      <c r="R11" s="1734">
        <f t="shared" si="0"/>
        <v>-536900.00000000023</v>
      </c>
      <c r="S11" s="1708"/>
    </row>
    <row r="12" spans="1:20" ht="20.399999999999999" x14ac:dyDescent="0.3">
      <c r="A12" s="1711"/>
      <c r="B12" s="1778"/>
      <c r="C12" s="1708" t="s">
        <v>61</v>
      </c>
      <c r="D12" s="1708" t="s">
        <v>1947</v>
      </c>
      <c r="E12" s="1709" t="s">
        <v>1948</v>
      </c>
      <c r="F12" s="1708"/>
      <c r="G12" s="1714" t="s">
        <v>44</v>
      </c>
      <c r="H12" s="1714">
        <v>2</v>
      </c>
      <c r="I12" s="1715">
        <v>455000</v>
      </c>
      <c r="J12" s="1775">
        <v>910000</v>
      </c>
      <c r="K12" s="1713">
        <v>0.41</v>
      </c>
      <c r="L12" s="1774">
        <v>536900.00000000012</v>
      </c>
      <c r="M12" s="1708"/>
      <c r="N12" s="1708"/>
      <c r="O12" s="1708"/>
      <c r="P12" s="1708"/>
      <c r="Q12" s="1708"/>
      <c r="R12" s="1734">
        <f t="shared" si="0"/>
        <v>536900.00000000012</v>
      </c>
      <c r="S12" s="1708"/>
      <c r="T12" s="24"/>
    </row>
    <row r="13" spans="1:20" x14ac:dyDescent="0.3">
      <c r="A13" s="1863">
        <v>293</v>
      </c>
      <c r="B13" s="1864" t="s">
        <v>1955</v>
      </c>
      <c r="C13" s="1865" t="s">
        <v>61</v>
      </c>
      <c r="D13" s="1865"/>
      <c r="E13" s="1866"/>
      <c r="F13" s="1865"/>
      <c r="G13" s="1867" t="s">
        <v>46</v>
      </c>
      <c r="H13" s="1867">
        <v>1</v>
      </c>
      <c r="I13" s="1868">
        <v>450000</v>
      </c>
      <c r="J13" s="1869">
        <v>450000</v>
      </c>
      <c r="K13" s="1870">
        <v>0.41</v>
      </c>
      <c r="L13" s="1871">
        <v>265500.00000000006</v>
      </c>
      <c r="M13" s="1865"/>
      <c r="N13" s="1872">
        <v>533950.00000000012</v>
      </c>
      <c r="O13" s="1873"/>
      <c r="P13" s="1873"/>
      <c r="Q13" s="1873"/>
      <c r="R13" s="1874">
        <f>SUM(R6:R12)</f>
        <v>0</v>
      </c>
      <c r="S13" s="1875"/>
      <c r="T13" s="24"/>
    </row>
    <row r="14" spans="1:20" x14ac:dyDescent="0.3">
      <c r="A14" s="1711"/>
      <c r="B14" s="1778"/>
      <c r="C14" s="1708" t="s">
        <v>61</v>
      </c>
      <c r="D14" s="1708"/>
      <c r="E14" s="1773"/>
      <c r="F14" s="1708"/>
      <c r="G14" s="1714" t="s">
        <v>44</v>
      </c>
      <c r="H14" s="1714">
        <v>1</v>
      </c>
      <c r="I14" s="1715">
        <v>455000</v>
      </c>
      <c r="J14" s="1775">
        <v>455000</v>
      </c>
      <c r="K14" s="1713">
        <v>0.41</v>
      </c>
      <c r="L14" s="1774">
        <v>268450.00000000006</v>
      </c>
      <c r="M14" s="1708"/>
      <c r="N14" s="1708"/>
      <c r="O14" s="1717"/>
      <c r="P14" s="1717"/>
      <c r="Q14" s="1717"/>
      <c r="R14" s="1717"/>
      <c r="S14" s="1717"/>
      <c r="T14" s="24"/>
    </row>
    <row r="15" spans="1:20" x14ac:dyDescent="0.3">
      <c r="A15" s="1717"/>
      <c r="B15" s="1717"/>
      <c r="C15" s="1717"/>
      <c r="D15" s="1717"/>
      <c r="E15" s="1717"/>
      <c r="F15" s="1717"/>
      <c r="G15" s="1717"/>
      <c r="H15" s="1717"/>
      <c r="I15" s="1717"/>
      <c r="J15" s="1717"/>
      <c r="K15" s="1717"/>
      <c r="L15" s="1858">
        <f>SUM(L6:L14)</f>
        <v>4908300</v>
      </c>
      <c r="M15" s="1717"/>
      <c r="N15" s="1717"/>
      <c r="O15" s="1717"/>
      <c r="P15" s="1717"/>
      <c r="Q15" s="1717"/>
      <c r="R15" s="1717"/>
      <c r="S15" s="1717"/>
      <c r="T15" s="24"/>
    </row>
    <row r="16" spans="1:20" x14ac:dyDescent="0.3">
      <c r="T16" s="24"/>
    </row>
    <row r="17" spans="20:20" x14ac:dyDescent="0.3">
      <c r="T17" s="24"/>
    </row>
    <row r="18" spans="20:20" x14ac:dyDescent="0.3">
      <c r="T18" s="24"/>
    </row>
  </sheetData>
  <mergeCells count="9">
    <mergeCell ref="A3:S3"/>
    <mergeCell ref="A4:A5"/>
    <mergeCell ref="B4:B5"/>
    <mergeCell ref="C4:C5"/>
    <mergeCell ref="D4:F4"/>
    <mergeCell ref="G4:K4"/>
    <mergeCell ref="L4:L5"/>
    <mergeCell ref="M4:R4"/>
    <mergeCell ref="S4:S5"/>
  </mergeCells>
  <pageMargins left="0.7" right="0.7" top="0.75" bottom="0.75" header="0.3" footer="0.3"/>
  <pageSetup paperSize="9" scale="54"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31" workbookViewId="0">
      <selection activeCell="E41" sqref="E41"/>
    </sheetView>
  </sheetViews>
  <sheetFormatPr defaultColWidth="9" defaultRowHeight="13.8" x14ac:dyDescent="0.25"/>
  <cols>
    <col min="1" max="1" width="5.109375" style="24" customWidth="1"/>
    <col min="2" max="2" width="47.44140625" style="24" customWidth="1"/>
    <col min="3" max="3" width="14.109375" style="24" customWidth="1"/>
    <col min="4" max="16384" width="9" style="24"/>
  </cols>
  <sheetData>
    <row r="1" spans="1:20" ht="16.8" x14ac:dyDescent="0.3">
      <c r="A1" s="22" t="s">
        <v>3</v>
      </c>
      <c r="B1" s="22"/>
      <c r="C1" s="473"/>
      <c r="D1" s="474"/>
      <c r="E1" s="474"/>
      <c r="F1" s="474"/>
      <c r="I1" s="866"/>
      <c r="J1" s="475"/>
      <c r="K1" s="866"/>
      <c r="L1" s="866"/>
      <c r="M1" s="866"/>
      <c r="N1" s="473"/>
      <c r="Q1" s="866" t="s">
        <v>4</v>
      </c>
      <c r="R1" s="475"/>
      <c r="S1" s="866"/>
      <c r="T1" s="866"/>
    </row>
    <row r="2" spans="1:20" ht="15.6" x14ac:dyDescent="0.25">
      <c r="A2" s="26" t="s">
        <v>5</v>
      </c>
      <c r="B2" s="26"/>
      <c r="C2" s="476"/>
      <c r="D2" s="477"/>
      <c r="E2" s="477"/>
      <c r="F2" s="477"/>
      <c r="I2" s="867"/>
      <c r="J2" s="478"/>
      <c r="K2" s="867"/>
      <c r="L2" s="867"/>
      <c r="M2" s="867"/>
      <c r="N2" s="476"/>
      <c r="Q2" s="867" t="s">
        <v>6</v>
      </c>
      <c r="R2" s="478"/>
      <c r="S2" s="867"/>
      <c r="T2" s="867"/>
    </row>
    <row r="3" spans="1:20" x14ac:dyDescent="0.25">
      <c r="A3" s="984"/>
      <c r="B3" s="985"/>
      <c r="C3" s="986"/>
      <c r="D3" s="971"/>
    </row>
    <row r="4" spans="1:20" x14ac:dyDescent="0.25">
      <c r="A4" s="2448" t="s">
        <v>1037</v>
      </c>
      <c r="B4" s="2448"/>
      <c r="C4" s="2448"/>
    </row>
    <row r="5" spans="1:20" x14ac:dyDescent="0.25">
      <c r="A5" s="491" t="s">
        <v>764</v>
      </c>
      <c r="B5" s="492" t="s">
        <v>1066</v>
      </c>
      <c r="C5" s="493">
        <v>350000</v>
      </c>
    </row>
    <row r="6" spans="1:20" x14ac:dyDescent="0.25">
      <c r="A6" s="491" t="s">
        <v>852</v>
      </c>
      <c r="B6" s="492" t="s">
        <v>1063</v>
      </c>
      <c r="C6" s="493">
        <v>52000</v>
      </c>
    </row>
    <row r="7" spans="1:20" x14ac:dyDescent="0.25">
      <c r="A7" s="491" t="s">
        <v>1015</v>
      </c>
      <c r="B7" s="492" t="s">
        <v>1064</v>
      </c>
      <c r="C7" s="493">
        <v>40000</v>
      </c>
    </row>
    <row r="8" spans="1:20" x14ac:dyDescent="0.25">
      <c r="A8" s="491" t="s">
        <v>761</v>
      </c>
      <c r="B8" s="492" t="s">
        <v>1065</v>
      </c>
      <c r="C8" s="493">
        <v>55000</v>
      </c>
    </row>
    <row r="9" spans="1:20" x14ac:dyDescent="0.25">
      <c r="A9" s="491" t="s">
        <v>1017</v>
      </c>
      <c r="B9" s="492" t="s">
        <v>1067</v>
      </c>
      <c r="C9" s="493">
        <v>145000</v>
      </c>
    </row>
    <row r="10" spans="1:20" x14ac:dyDescent="0.25">
      <c r="A10" s="491" t="s">
        <v>847</v>
      </c>
      <c r="B10" s="492" t="s">
        <v>1039</v>
      </c>
      <c r="C10" s="493">
        <v>80000</v>
      </c>
    </row>
    <row r="11" spans="1:20" x14ac:dyDescent="0.25">
      <c r="A11" s="491" t="s">
        <v>981</v>
      </c>
      <c r="B11" s="492" t="s">
        <v>1070</v>
      </c>
      <c r="C11" s="493">
        <f>45000+25000+20000+35000+22000+42000</f>
        <v>189000</v>
      </c>
    </row>
    <row r="12" spans="1:20" x14ac:dyDescent="0.25">
      <c r="A12" s="491" t="s">
        <v>1006</v>
      </c>
      <c r="B12" s="492" t="s">
        <v>1068</v>
      </c>
      <c r="C12" s="493">
        <v>80000</v>
      </c>
    </row>
    <row r="13" spans="1:20" x14ac:dyDescent="0.25">
      <c r="A13" s="491" t="s">
        <v>983</v>
      </c>
      <c r="B13" s="492" t="s">
        <v>1039</v>
      </c>
      <c r="C13" s="493">
        <v>53000</v>
      </c>
    </row>
    <row r="14" spans="1:20" x14ac:dyDescent="0.25">
      <c r="A14" s="491" t="s">
        <v>984</v>
      </c>
      <c r="B14" s="492" t="s">
        <v>1039</v>
      </c>
      <c r="C14" s="493">
        <v>82000</v>
      </c>
    </row>
    <row r="15" spans="1:20" x14ac:dyDescent="0.25">
      <c r="A15" s="972" t="s">
        <v>902</v>
      </c>
      <c r="B15" s="973" t="s">
        <v>1074</v>
      </c>
      <c r="C15" s="493">
        <v>110000</v>
      </c>
    </row>
    <row r="16" spans="1:20" x14ac:dyDescent="0.25">
      <c r="A16" s="972" t="s">
        <v>984</v>
      </c>
      <c r="B16" s="973" t="s">
        <v>1074</v>
      </c>
      <c r="C16" s="493">
        <v>70000</v>
      </c>
    </row>
    <row r="17" spans="1:3" x14ac:dyDescent="0.25">
      <c r="A17" s="2449" t="s">
        <v>1059</v>
      </c>
      <c r="B17" s="2450"/>
      <c r="C17" s="493">
        <f>SUM(C5:C16)</f>
        <v>1306000</v>
      </c>
    </row>
    <row r="18" spans="1:3" x14ac:dyDescent="0.25">
      <c r="A18" s="491" t="s">
        <v>981</v>
      </c>
      <c r="B18" s="492" t="s">
        <v>1060</v>
      </c>
      <c r="C18" s="493">
        <v>400000</v>
      </c>
    </row>
    <row r="19" spans="1:3" x14ac:dyDescent="0.25">
      <c r="A19" s="2319" t="s">
        <v>1069</v>
      </c>
      <c r="B19" s="2319"/>
      <c r="C19" s="481">
        <f>C17-C18</f>
        <v>906000</v>
      </c>
    </row>
    <row r="21" spans="1:3" x14ac:dyDescent="0.25">
      <c r="A21" s="2447" t="s">
        <v>1011</v>
      </c>
      <c r="B21" s="2447"/>
      <c r="C21" s="2447"/>
    </row>
    <row r="22" spans="1:3" x14ac:dyDescent="0.25">
      <c r="A22" s="865" t="s">
        <v>0</v>
      </c>
      <c r="B22" s="865" t="s">
        <v>721</v>
      </c>
      <c r="C22" s="865" t="s">
        <v>149</v>
      </c>
    </row>
    <row r="23" spans="1:3" x14ac:dyDescent="0.25">
      <c r="A23" s="491" t="s">
        <v>783</v>
      </c>
      <c r="B23" s="492" t="s">
        <v>1014</v>
      </c>
      <c r="C23" s="493">
        <v>27000</v>
      </c>
    </row>
    <row r="24" spans="1:3" x14ac:dyDescent="0.25">
      <c r="A24" s="491" t="s">
        <v>1015</v>
      </c>
      <c r="B24" s="492" t="s">
        <v>1016</v>
      </c>
      <c r="C24" s="493">
        <v>20000</v>
      </c>
    </row>
    <row r="25" spans="1:3" x14ac:dyDescent="0.25">
      <c r="A25" s="491" t="s">
        <v>792</v>
      </c>
      <c r="B25" s="492" t="s">
        <v>1013</v>
      </c>
      <c r="C25" s="493">
        <v>75000</v>
      </c>
    </row>
    <row r="26" spans="1:3" x14ac:dyDescent="0.25">
      <c r="A26" s="491" t="s">
        <v>1017</v>
      </c>
      <c r="B26" s="492" t="s">
        <v>1071</v>
      </c>
      <c r="C26" s="493">
        <f>28000+14000</f>
        <v>42000</v>
      </c>
    </row>
    <row r="27" spans="1:3" x14ac:dyDescent="0.25">
      <c r="A27" s="491" t="s">
        <v>823</v>
      </c>
      <c r="B27" s="492" t="s">
        <v>1012</v>
      </c>
      <c r="C27" s="493">
        <v>27000</v>
      </c>
    </row>
    <row r="28" spans="1:3" x14ac:dyDescent="0.25">
      <c r="A28" s="491" t="s">
        <v>964</v>
      </c>
      <c r="B28" s="492" t="s">
        <v>1012</v>
      </c>
      <c r="C28" s="493">
        <v>55000</v>
      </c>
    </row>
    <row r="29" spans="1:3" ht="26.4" x14ac:dyDescent="0.25">
      <c r="A29" s="491" t="s">
        <v>952</v>
      </c>
      <c r="B29" s="492" t="s">
        <v>1072</v>
      </c>
      <c r="C29" s="493">
        <v>110000</v>
      </c>
    </row>
    <row r="30" spans="1:3" x14ac:dyDescent="0.25">
      <c r="A30" s="491" t="s">
        <v>1006</v>
      </c>
      <c r="B30" s="492" t="s">
        <v>1073</v>
      </c>
      <c r="C30" s="493">
        <v>180000</v>
      </c>
    </row>
    <row r="31" spans="1:3" x14ac:dyDescent="0.25">
      <c r="A31" s="2319" t="s">
        <v>728</v>
      </c>
      <c r="B31" s="2319"/>
      <c r="C31" s="481">
        <f>SUM(C23:C30)</f>
        <v>536000</v>
      </c>
    </row>
    <row r="33" spans="1:3" ht="24" customHeight="1" x14ac:dyDescent="0.25">
      <c r="A33" s="2447" t="s">
        <v>1010</v>
      </c>
      <c r="B33" s="2447"/>
      <c r="C33" s="2447"/>
    </row>
    <row r="34" spans="1:3" x14ac:dyDescent="0.25">
      <c r="A34" s="865" t="s">
        <v>0</v>
      </c>
      <c r="B34" s="865" t="s">
        <v>721</v>
      </c>
      <c r="C34" s="865" t="s">
        <v>149</v>
      </c>
    </row>
    <row r="35" spans="1:3" ht="26.4" x14ac:dyDescent="0.25">
      <c r="A35" s="611" t="s">
        <v>852</v>
      </c>
      <c r="B35" s="36" t="s">
        <v>855</v>
      </c>
      <c r="C35" s="594">
        <v>85000</v>
      </c>
    </row>
    <row r="36" spans="1:3" ht="26.4" x14ac:dyDescent="0.25">
      <c r="A36" s="611" t="s">
        <v>852</v>
      </c>
      <c r="B36" s="36" t="s">
        <v>857</v>
      </c>
      <c r="C36" s="594">
        <v>180000</v>
      </c>
    </row>
    <row r="37" spans="1:3" ht="26.4" x14ac:dyDescent="0.25">
      <c r="A37" s="611" t="s">
        <v>852</v>
      </c>
      <c r="B37" s="36" t="s">
        <v>859</v>
      </c>
      <c r="C37" s="594">
        <v>1500000</v>
      </c>
    </row>
    <row r="38" spans="1:3" x14ac:dyDescent="0.25">
      <c r="A38" s="611" t="s">
        <v>792</v>
      </c>
      <c r="B38" s="36" t="s">
        <v>860</v>
      </c>
      <c r="C38" s="594">
        <v>70000</v>
      </c>
    </row>
    <row r="39" spans="1:3" ht="26.4" x14ac:dyDescent="0.25">
      <c r="A39" s="611" t="s">
        <v>792</v>
      </c>
      <c r="B39" s="36" t="s">
        <v>861</v>
      </c>
      <c r="C39" s="594">
        <v>75000</v>
      </c>
    </row>
    <row r="40" spans="1:3" x14ac:dyDescent="0.25">
      <c r="A40" s="611" t="s">
        <v>792</v>
      </c>
      <c r="B40" s="36" t="s">
        <v>862</v>
      </c>
      <c r="C40" s="594">
        <v>500000</v>
      </c>
    </row>
    <row r="41" spans="1:3" ht="26.4" x14ac:dyDescent="0.25">
      <c r="A41" s="611" t="s">
        <v>837</v>
      </c>
      <c r="B41" s="36" t="s">
        <v>1009</v>
      </c>
      <c r="C41" s="594">
        <v>1000000</v>
      </c>
    </row>
    <row r="42" spans="1:3" x14ac:dyDescent="0.25">
      <c r="A42" s="611" t="s">
        <v>1006</v>
      </c>
      <c r="B42" s="36" t="s">
        <v>1007</v>
      </c>
      <c r="C42" s="594">
        <v>120000</v>
      </c>
    </row>
    <row r="43" spans="1:3" x14ac:dyDescent="0.25">
      <c r="A43" s="611" t="s">
        <v>1006</v>
      </c>
      <c r="B43" s="36" t="s">
        <v>1008</v>
      </c>
      <c r="C43" s="594">
        <v>500000</v>
      </c>
    </row>
    <row r="44" spans="1:3" ht="24" customHeight="1" x14ac:dyDescent="0.25">
      <c r="A44" s="2320" t="s">
        <v>720</v>
      </c>
      <c r="B44" s="2321"/>
      <c r="C44" s="481">
        <f>SUM(C35:C43)</f>
        <v>4030000</v>
      </c>
    </row>
    <row r="46" spans="1:3" ht="16.8" x14ac:dyDescent="0.25">
      <c r="A46" s="302"/>
      <c r="B46" s="303" t="s">
        <v>904</v>
      </c>
      <c r="C46" s="304" t="s">
        <v>303</v>
      </c>
    </row>
    <row r="47" spans="1:3" ht="16.8" x14ac:dyDescent="0.25">
      <c r="A47" s="271"/>
      <c r="B47" s="471" t="s">
        <v>308</v>
      </c>
      <c r="C47" s="954" t="s">
        <v>243</v>
      </c>
    </row>
  </sheetData>
  <mergeCells count="7">
    <mergeCell ref="A44:B44"/>
    <mergeCell ref="A21:C21"/>
    <mergeCell ref="A31:B31"/>
    <mergeCell ref="A19:B19"/>
    <mergeCell ref="A4:C4"/>
    <mergeCell ref="A17:B17"/>
    <mergeCell ref="A33:C33"/>
  </mergeCells>
  <pageMargins left="0.9055118110236221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topLeftCell="A43" workbookViewId="0">
      <selection activeCell="F57" sqref="F57"/>
    </sheetView>
  </sheetViews>
  <sheetFormatPr defaultColWidth="9" defaultRowHeight="13.8" x14ac:dyDescent="0.25"/>
  <cols>
    <col min="1" max="1" width="5.109375" style="24" customWidth="1"/>
    <col min="2" max="2" width="47.44140625" style="24" customWidth="1"/>
    <col min="3" max="3" width="14.109375" style="24" customWidth="1"/>
    <col min="4" max="16384" width="9" style="24"/>
  </cols>
  <sheetData>
    <row r="1" spans="1:20" ht="16.8" x14ac:dyDescent="0.3">
      <c r="A1" s="22" t="s">
        <v>3</v>
      </c>
      <c r="B1" s="22"/>
      <c r="C1" s="473"/>
      <c r="D1" s="474"/>
      <c r="E1" s="474"/>
      <c r="F1" s="474"/>
      <c r="I1" s="467"/>
      <c r="J1" s="475"/>
      <c r="K1" s="467"/>
      <c r="L1" s="467"/>
      <c r="M1" s="467"/>
      <c r="N1" s="473"/>
      <c r="Q1" s="467" t="s">
        <v>4</v>
      </c>
      <c r="R1" s="475"/>
      <c r="S1" s="467"/>
      <c r="T1" s="467"/>
    </row>
    <row r="2" spans="1:20" ht="15.6" x14ac:dyDescent="0.25">
      <c r="A2" s="26" t="s">
        <v>5</v>
      </c>
      <c r="B2" s="26"/>
      <c r="C2" s="476"/>
      <c r="D2" s="477"/>
      <c r="E2" s="477"/>
      <c r="F2" s="477"/>
      <c r="I2" s="468"/>
      <c r="J2" s="478"/>
      <c r="K2" s="468"/>
      <c r="L2" s="468"/>
      <c r="M2" s="468"/>
      <c r="N2" s="476"/>
      <c r="Q2" s="468" t="s">
        <v>6</v>
      </c>
      <c r="R2" s="478"/>
      <c r="S2" s="468"/>
      <c r="T2" s="468"/>
    </row>
    <row r="4" spans="1:20" ht="43.5" customHeight="1" x14ac:dyDescent="0.25">
      <c r="A4" s="2448" t="s">
        <v>1061</v>
      </c>
      <c r="B4" s="2448"/>
      <c r="C4" s="2448"/>
    </row>
    <row r="5" spans="1:20" x14ac:dyDescent="0.25">
      <c r="A5" s="953" t="s">
        <v>0</v>
      </c>
      <c r="B5" s="953" t="s">
        <v>721</v>
      </c>
      <c r="C5" s="953" t="s">
        <v>149</v>
      </c>
    </row>
    <row r="6" spans="1:20" x14ac:dyDescent="0.25">
      <c r="A6" s="491" t="s">
        <v>570</v>
      </c>
      <c r="B6" s="492" t="s">
        <v>1040</v>
      </c>
      <c r="C6" s="493">
        <v>117000</v>
      </c>
    </row>
    <row r="7" spans="1:20" x14ac:dyDescent="0.25">
      <c r="A7" s="491" t="s">
        <v>565</v>
      </c>
      <c r="B7" s="492" t="s">
        <v>1038</v>
      </c>
      <c r="C7" s="493">
        <v>95000</v>
      </c>
    </row>
    <row r="8" spans="1:20" x14ac:dyDescent="0.25">
      <c r="A8" s="491" t="s">
        <v>576</v>
      </c>
      <c r="B8" s="492" t="s">
        <v>1041</v>
      </c>
      <c r="C8" s="493">
        <v>42000</v>
      </c>
    </row>
    <row r="9" spans="1:20" x14ac:dyDescent="0.25">
      <c r="A9" s="491" t="s">
        <v>553</v>
      </c>
      <c r="B9" s="492" t="s">
        <v>1042</v>
      </c>
      <c r="C9" s="493">
        <v>70000</v>
      </c>
    </row>
    <row r="10" spans="1:20" x14ac:dyDescent="0.25">
      <c r="A10" s="491" t="s">
        <v>554</v>
      </c>
      <c r="B10" s="492" t="s">
        <v>1043</v>
      </c>
      <c r="C10" s="493">
        <v>47000</v>
      </c>
    </row>
    <row r="11" spans="1:20" x14ac:dyDescent="0.25">
      <c r="A11" s="491" t="s">
        <v>579</v>
      </c>
      <c r="B11" s="492" t="s">
        <v>1044</v>
      </c>
      <c r="C11" s="493">
        <v>83000</v>
      </c>
    </row>
    <row r="12" spans="1:20" x14ac:dyDescent="0.25">
      <c r="A12" s="491" t="s">
        <v>1045</v>
      </c>
      <c r="B12" s="492" t="s">
        <v>1046</v>
      </c>
      <c r="C12" s="493">
        <v>54000</v>
      </c>
    </row>
    <row r="13" spans="1:20" x14ac:dyDescent="0.25">
      <c r="A13" s="491" t="s">
        <v>602</v>
      </c>
      <c r="B13" s="492" t="s">
        <v>1046</v>
      </c>
      <c r="C13" s="493">
        <v>33000</v>
      </c>
    </row>
    <row r="14" spans="1:20" x14ac:dyDescent="0.25">
      <c r="A14" s="491" t="s">
        <v>623</v>
      </c>
      <c r="B14" s="492" t="s">
        <v>1047</v>
      </c>
      <c r="C14" s="493">
        <v>65000</v>
      </c>
    </row>
    <row r="15" spans="1:20" x14ac:dyDescent="0.25">
      <c r="A15" s="491" t="s">
        <v>633</v>
      </c>
      <c r="B15" s="492" t="s">
        <v>1048</v>
      </c>
      <c r="C15" s="493">
        <v>87000</v>
      </c>
    </row>
    <row r="16" spans="1:20" x14ac:dyDescent="0.25">
      <c r="A16" s="1270" t="s">
        <v>633</v>
      </c>
      <c r="B16" s="91" t="s">
        <v>694</v>
      </c>
      <c r="C16" s="397">
        <v>350000</v>
      </c>
    </row>
    <row r="17" spans="1:3" x14ac:dyDescent="0.25">
      <c r="A17" s="1270" t="s">
        <v>633</v>
      </c>
      <c r="B17" s="42" t="s">
        <v>695</v>
      </c>
      <c r="C17" s="402">
        <v>50000</v>
      </c>
    </row>
    <row r="18" spans="1:3" x14ac:dyDescent="0.25">
      <c r="A18" s="1270" t="s">
        <v>633</v>
      </c>
      <c r="B18" s="42" t="s">
        <v>696</v>
      </c>
      <c r="C18" s="402">
        <v>65000</v>
      </c>
    </row>
    <row r="19" spans="1:3" x14ac:dyDescent="0.25">
      <c r="A19" s="1270" t="s">
        <v>633</v>
      </c>
      <c r="B19" s="42" t="s">
        <v>697</v>
      </c>
      <c r="C19" s="402">
        <v>35000</v>
      </c>
    </row>
    <row r="20" spans="1:3" x14ac:dyDescent="0.25">
      <c r="A20" s="491" t="s">
        <v>655</v>
      </c>
      <c r="B20" s="492" t="s">
        <v>1046</v>
      </c>
      <c r="C20" s="493">
        <v>11000</v>
      </c>
    </row>
    <row r="21" spans="1:3" x14ac:dyDescent="0.25">
      <c r="A21" s="491" t="s">
        <v>658</v>
      </c>
      <c r="B21" s="492" t="s">
        <v>1049</v>
      </c>
      <c r="C21" s="493">
        <v>25000</v>
      </c>
    </row>
    <row r="22" spans="1:3" x14ac:dyDescent="0.25">
      <c r="A22" s="491" t="s">
        <v>634</v>
      </c>
      <c r="B22" s="492" t="s">
        <v>1046</v>
      </c>
      <c r="C22" s="493">
        <v>42000</v>
      </c>
    </row>
    <row r="23" spans="1:3" x14ac:dyDescent="0.25">
      <c r="A23" s="491" t="s">
        <v>651</v>
      </c>
      <c r="B23" s="492" t="s">
        <v>1046</v>
      </c>
      <c r="C23" s="493">
        <v>50000</v>
      </c>
    </row>
    <row r="24" spans="1:3" x14ac:dyDescent="0.25">
      <c r="A24" s="491" t="s">
        <v>649</v>
      </c>
      <c r="B24" s="492" t="s">
        <v>1050</v>
      </c>
      <c r="C24" s="493">
        <v>99000</v>
      </c>
    </row>
    <row r="25" spans="1:3" x14ac:dyDescent="0.25">
      <c r="A25" s="491" t="s">
        <v>718</v>
      </c>
      <c r="B25" s="492" t="s">
        <v>1051</v>
      </c>
      <c r="C25" s="493">
        <v>150000</v>
      </c>
    </row>
    <row r="26" spans="1:3" x14ac:dyDescent="0.25">
      <c r="A26" s="491" t="s">
        <v>718</v>
      </c>
      <c r="B26" s="492" t="s">
        <v>1052</v>
      </c>
      <c r="C26" s="493">
        <v>135000</v>
      </c>
    </row>
    <row r="27" spans="1:3" x14ac:dyDescent="0.25">
      <c r="A27" s="491" t="s">
        <v>718</v>
      </c>
      <c r="B27" s="492" t="s">
        <v>1053</v>
      </c>
      <c r="C27" s="493">
        <v>55000</v>
      </c>
    </row>
    <row r="28" spans="1:3" x14ac:dyDescent="0.25">
      <c r="A28" s="491" t="s">
        <v>680</v>
      </c>
      <c r="B28" s="492" t="s">
        <v>1054</v>
      </c>
      <c r="C28" s="493">
        <v>200000</v>
      </c>
    </row>
    <row r="29" spans="1:3" x14ac:dyDescent="0.25">
      <c r="A29" s="491" t="s">
        <v>700</v>
      </c>
      <c r="B29" s="492" t="s">
        <v>1055</v>
      </c>
      <c r="C29" s="493">
        <v>40000</v>
      </c>
    </row>
    <row r="30" spans="1:3" x14ac:dyDescent="0.25">
      <c r="A30" s="491"/>
      <c r="B30" s="492" t="s">
        <v>1056</v>
      </c>
      <c r="C30" s="493">
        <v>150000</v>
      </c>
    </row>
    <row r="31" spans="1:3" x14ac:dyDescent="0.25">
      <c r="A31" s="491"/>
      <c r="B31" s="492" t="s">
        <v>1057</v>
      </c>
      <c r="C31" s="493">
        <v>600000</v>
      </c>
    </row>
    <row r="32" spans="1:3" x14ac:dyDescent="0.25">
      <c r="A32" s="491"/>
      <c r="B32" s="492" t="s">
        <v>1058</v>
      </c>
      <c r="C32" s="493">
        <v>332000</v>
      </c>
    </row>
    <row r="33" spans="1:3" x14ac:dyDescent="0.25">
      <c r="A33" s="2449" t="s">
        <v>1059</v>
      </c>
      <c r="B33" s="2450"/>
      <c r="C33" s="493">
        <f>SUM(C6:C32)</f>
        <v>3082000</v>
      </c>
    </row>
    <row r="34" spans="1:3" x14ac:dyDescent="0.25">
      <c r="A34" s="491" t="s">
        <v>623</v>
      </c>
      <c r="B34" s="492" t="s">
        <v>1060</v>
      </c>
      <c r="C34" s="493">
        <v>500000</v>
      </c>
    </row>
    <row r="35" spans="1:3" x14ac:dyDescent="0.25">
      <c r="A35" s="491" t="s">
        <v>649</v>
      </c>
      <c r="B35" s="492" t="s">
        <v>1060</v>
      </c>
      <c r="C35" s="493">
        <v>500000</v>
      </c>
    </row>
    <row r="36" spans="1:3" x14ac:dyDescent="0.25">
      <c r="A36" s="491"/>
      <c r="B36" s="615" t="s">
        <v>1062</v>
      </c>
      <c r="C36" s="616">
        <f>C33-C34-C35</f>
        <v>2082000</v>
      </c>
    </row>
    <row r="39" spans="1:3" ht="24" customHeight="1" x14ac:dyDescent="0.25">
      <c r="A39" s="2447" t="s">
        <v>738</v>
      </c>
      <c r="B39" s="2447"/>
      <c r="C39" s="2447"/>
    </row>
    <row r="40" spans="1:3" x14ac:dyDescent="0.25">
      <c r="A40" s="482" t="s">
        <v>0</v>
      </c>
      <c r="B40" s="482" t="s">
        <v>721</v>
      </c>
      <c r="C40" s="482" t="s">
        <v>149</v>
      </c>
    </row>
    <row r="41" spans="1:3" x14ac:dyDescent="0.25">
      <c r="A41" s="479" t="s">
        <v>633</v>
      </c>
      <c r="B41" s="366" t="s">
        <v>647</v>
      </c>
      <c r="C41" s="480">
        <v>120000</v>
      </c>
    </row>
    <row r="42" spans="1:3" ht="26.4" x14ac:dyDescent="0.25">
      <c r="A42" s="479" t="s">
        <v>700</v>
      </c>
      <c r="B42" s="366" t="s">
        <v>704</v>
      </c>
      <c r="C42" s="480">
        <v>75000</v>
      </c>
    </row>
    <row r="43" spans="1:3" ht="26.4" x14ac:dyDescent="0.25">
      <c r="A43" s="479" t="s">
        <v>700</v>
      </c>
      <c r="B43" s="366" t="s">
        <v>707</v>
      </c>
      <c r="C43" s="480">
        <v>1000000</v>
      </c>
    </row>
    <row r="44" spans="1:3" ht="39.6" x14ac:dyDescent="0.25">
      <c r="A44" s="479" t="s">
        <v>700</v>
      </c>
      <c r="B44" s="366" t="s">
        <v>708</v>
      </c>
      <c r="C44" s="480">
        <v>1000000</v>
      </c>
    </row>
    <row r="45" spans="1:3" ht="26.4" x14ac:dyDescent="0.25">
      <c r="A45" s="479" t="s">
        <v>700</v>
      </c>
      <c r="B45" s="366" t="s">
        <v>709</v>
      </c>
      <c r="C45" s="480">
        <v>150000</v>
      </c>
    </row>
    <row r="46" spans="1:3" ht="26.4" x14ac:dyDescent="0.25">
      <c r="A46" s="479" t="s">
        <v>700</v>
      </c>
      <c r="B46" s="366" t="s">
        <v>710</v>
      </c>
      <c r="C46" s="480">
        <v>70000</v>
      </c>
    </row>
    <row r="47" spans="1:3" ht="24" customHeight="1" x14ac:dyDescent="0.25">
      <c r="A47" s="2319" t="s">
        <v>720</v>
      </c>
      <c r="B47" s="2319"/>
      <c r="C47" s="481">
        <f>SUM(C41:C46)</f>
        <v>2415000</v>
      </c>
    </row>
    <row r="48" spans="1:3" ht="24" customHeight="1" x14ac:dyDescent="0.25">
      <c r="A48" s="504"/>
      <c r="B48" s="504"/>
      <c r="C48" s="505"/>
    </row>
    <row r="50" spans="1:10" x14ac:dyDescent="0.25">
      <c r="A50" s="2447" t="s">
        <v>739</v>
      </c>
      <c r="B50" s="2447"/>
      <c r="C50" s="2447"/>
    </row>
    <row r="51" spans="1:10" x14ac:dyDescent="0.25">
      <c r="A51" s="482" t="s">
        <v>0</v>
      </c>
      <c r="B51" s="482" t="s">
        <v>721</v>
      </c>
      <c r="C51" s="482" t="s">
        <v>149</v>
      </c>
    </row>
    <row r="52" spans="1:10" x14ac:dyDescent="0.25">
      <c r="A52" s="491" t="s">
        <v>700</v>
      </c>
      <c r="B52" s="492" t="s">
        <v>1374</v>
      </c>
      <c r="C52" s="493">
        <v>320000</v>
      </c>
    </row>
    <row r="53" spans="1:10" ht="39.6" x14ac:dyDescent="0.25">
      <c r="A53" s="491" t="s">
        <v>700</v>
      </c>
      <c r="B53" s="492" t="s">
        <v>702</v>
      </c>
      <c r="C53" s="493">
        <v>50000</v>
      </c>
    </row>
    <row r="54" spans="1:10" x14ac:dyDescent="0.25">
      <c r="A54" s="2319" t="s">
        <v>728</v>
      </c>
      <c r="B54" s="2319"/>
      <c r="C54" s="481">
        <f>SUM(C52:C53)</f>
        <v>370000</v>
      </c>
    </row>
    <row r="56" spans="1:10" s="303" customFormat="1" ht="16.8" x14ac:dyDescent="0.3">
      <c r="A56" s="302"/>
      <c r="B56" s="303" t="s">
        <v>904</v>
      </c>
      <c r="C56" s="304" t="s">
        <v>303</v>
      </c>
      <c r="E56" s="304"/>
      <c r="F56" s="304"/>
      <c r="J56" s="305"/>
    </row>
    <row r="57" spans="1:10" s="267" customFormat="1" ht="16.8" x14ac:dyDescent="0.3">
      <c r="A57" s="271"/>
      <c r="B57" s="471" t="s">
        <v>308</v>
      </c>
      <c r="C57" s="274" t="s">
        <v>243</v>
      </c>
      <c r="E57" s="274"/>
      <c r="F57" s="274"/>
      <c r="J57" s="275"/>
    </row>
  </sheetData>
  <mergeCells count="6">
    <mergeCell ref="A47:B47"/>
    <mergeCell ref="A39:C39"/>
    <mergeCell ref="A50:C50"/>
    <mergeCell ref="A54:B54"/>
    <mergeCell ref="A4:C4"/>
    <mergeCell ref="A33:B33"/>
  </mergeCells>
  <pageMargins left="0.9055118110236221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A4" workbookViewId="0">
      <selection activeCell="F11" sqref="F11"/>
    </sheetView>
  </sheetViews>
  <sheetFormatPr defaultColWidth="8.88671875" defaultRowHeight="14.4" x14ac:dyDescent="0.3"/>
  <cols>
    <col min="1" max="1" width="4.109375" customWidth="1"/>
    <col min="2" max="2" width="5.5546875" customWidth="1"/>
    <col min="3" max="3" width="7" customWidth="1"/>
    <col min="5" max="5" width="7.5546875" customWidth="1"/>
    <col min="6" max="6" width="6.109375" customWidth="1"/>
    <col min="7" max="7" width="6" customWidth="1"/>
    <col min="8" max="8" width="5.109375" customWidth="1"/>
    <col min="11" max="11" width="4.44140625" customWidth="1"/>
    <col min="13" max="13" width="4.44140625" customWidth="1"/>
    <col min="14" max="14" width="5.5546875" customWidth="1"/>
    <col min="15" max="16" width="5.109375" customWidth="1"/>
    <col min="17" max="17" width="4.109375" customWidth="1"/>
    <col min="18" max="18" width="10.109375" customWidth="1"/>
  </cols>
  <sheetData>
    <row r="1" spans="1:19" s="1" customFormat="1" ht="16.8" x14ac:dyDescent="0.3">
      <c r="A1" s="5" t="s">
        <v>3</v>
      </c>
      <c r="B1" s="5"/>
      <c r="C1" s="8"/>
      <c r="D1" s="11"/>
      <c r="E1" s="8"/>
      <c r="F1" s="8"/>
      <c r="K1" s="95"/>
      <c r="L1" s="95"/>
      <c r="M1" s="95"/>
      <c r="N1" s="95"/>
      <c r="O1" s="95"/>
      <c r="P1" s="95" t="s">
        <v>4</v>
      </c>
      <c r="Q1" s="95"/>
      <c r="R1" s="509"/>
      <c r="S1" s="56"/>
    </row>
    <row r="2" spans="1:19" s="1" customFormat="1" ht="15.6" x14ac:dyDescent="0.25">
      <c r="A2" s="7" t="s">
        <v>5</v>
      </c>
      <c r="B2" s="7"/>
      <c r="C2" s="9"/>
      <c r="D2" s="12"/>
      <c r="E2" s="9"/>
      <c r="F2" s="9"/>
      <c r="K2" s="1035"/>
      <c r="L2" s="1035"/>
      <c r="M2" s="1035"/>
      <c r="N2" s="1035"/>
      <c r="O2" s="1035"/>
      <c r="P2" s="1035" t="s">
        <v>6</v>
      </c>
      <c r="Q2" s="1035"/>
      <c r="R2" s="510"/>
      <c r="S2" s="57"/>
    </row>
    <row r="3" spans="1:19" s="1" customFormat="1" ht="15.6" x14ac:dyDescent="0.25">
      <c r="A3" s="7"/>
      <c r="B3" s="7"/>
      <c r="C3" s="9"/>
      <c r="D3" s="12"/>
      <c r="E3" s="9"/>
      <c r="F3" s="9"/>
      <c r="K3" s="1035"/>
      <c r="L3" s="1035"/>
      <c r="M3" s="1035"/>
      <c r="N3" s="1035"/>
      <c r="O3" s="1035"/>
      <c r="P3" s="1035"/>
      <c r="Q3" s="1035"/>
      <c r="R3" s="510"/>
      <c r="S3" s="57"/>
    </row>
    <row r="4" spans="1:19" s="1" customFormat="1" ht="20.399999999999999" x14ac:dyDescent="0.35">
      <c r="A4" s="2124" t="s">
        <v>1250</v>
      </c>
      <c r="B4" s="2124"/>
      <c r="C4" s="2124"/>
      <c r="D4" s="2124"/>
      <c r="E4" s="2124"/>
      <c r="F4" s="2124"/>
      <c r="G4" s="2124"/>
      <c r="H4" s="2124"/>
      <c r="I4" s="2124"/>
      <c r="J4" s="2124"/>
      <c r="K4" s="2124"/>
      <c r="L4" s="2124"/>
      <c r="M4" s="2124"/>
      <c r="N4" s="2124"/>
      <c r="O4" s="2124"/>
      <c r="P4" s="2124"/>
      <c r="Q4" s="2124"/>
      <c r="R4" s="2124"/>
      <c r="S4" s="2124"/>
    </row>
    <row r="5" spans="1:19" s="1" customFormat="1" ht="15" customHeight="1" x14ac:dyDescent="0.25">
      <c r="A5" s="2190" t="s">
        <v>1251</v>
      </c>
      <c r="B5" s="2190"/>
      <c r="C5" s="2190"/>
      <c r="D5" s="2190"/>
      <c r="E5" s="2190"/>
      <c r="F5" s="2190"/>
      <c r="G5" s="2190"/>
      <c r="H5" s="2190"/>
      <c r="I5" s="2190"/>
      <c r="J5" s="2190"/>
      <c r="K5" s="2190"/>
      <c r="L5" s="2190"/>
      <c r="M5" s="2190"/>
      <c r="N5" s="2190"/>
      <c r="O5" s="2190"/>
      <c r="P5" s="2190"/>
      <c r="Q5" s="2190"/>
      <c r="R5" s="2190"/>
      <c r="S5" s="2190"/>
    </row>
    <row r="6" spans="1:19" s="1" customFormat="1" thickBot="1" x14ac:dyDescent="0.3">
      <c r="D6" s="13"/>
      <c r="R6" s="511"/>
      <c r="S6" s="13"/>
    </row>
    <row r="7" spans="1:19" s="31" customFormat="1" ht="42" customHeight="1" thickTop="1" x14ac:dyDescent="0.3">
      <c r="A7" s="2191" t="s">
        <v>0</v>
      </c>
      <c r="B7" s="2193" t="s">
        <v>103</v>
      </c>
      <c r="C7" s="2193" t="s">
        <v>613</v>
      </c>
      <c r="D7" s="2193" t="s">
        <v>105</v>
      </c>
      <c r="E7" s="2193"/>
      <c r="F7" s="2193"/>
      <c r="G7" s="2195" t="s">
        <v>107</v>
      </c>
      <c r="H7" s="2196"/>
      <c r="I7" s="2196"/>
      <c r="J7" s="2196"/>
      <c r="K7" s="2197"/>
      <c r="L7" s="2126" t="s">
        <v>967</v>
      </c>
      <c r="M7" s="2198" t="s">
        <v>182</v>
      </c>
      <c r="N7" s="2199"/>
      <c r="O7" s="2199"/>
      <c r="P7" s="2199"/>
      <c r="Q7" s="2199"/>
      <c r="R7" s="2122"/>
      <c r="S7" s="2201" t="s">
        <v>1</v>
      </c>
    </row>
    <row r="8" spans="1:19" s="31" customFormat="1" ht="42" customHeight="1" x14ac:dyDescent="0.3">
      <c r="A8" s="2192"/>
      <c r="B8" s="2194"/>
      <c r="C8" s="2194"/>
      <c r="D8" s="1091" t="s">
        <v>23</v>
      </c>
      <c r="E8" s="1091" t="s">
        <v>25</v>
      </c>
      <c r="F8" s="1091" t="s">
        <v>27</v>
      </c>
      <c r="G8" s="1091" t="s">
        <v>29</v>
      </c>
      <c r="H8" s="1091" t="s">
        <v>87</v>
      </c>
      <c r="I8" s="1091" t="s">
        <v>49</v>
      </c>
      <c r="J8" s="1091" t="s">
        <v>209</v>
      </c>
      <c r="K8" s="1091" t="s">
        <v>22</v>
      </c>
      <c r="L8" s="2121"/>
      <c r="M8" s="1091" t="s">
        <v>101</v>
      </c>
      <c r="N8" s="1091" t="s">
        <v>149</v>
      </c>
      <c r="O8" s="1091" t="s">
        <v>102</v>
      </c>
      <c r="P8" s="1091" t="s">
        <v>149</v>
      </c>
      <c r="Q8" s="1091" t="s">
        <v>133</v>
      </c>
      <c r="R8" s="1092" t="s">
        <v>149</v>
      </c>
      <c r="S8" s="2202"/>
    </row>
    <row r="9" spans="1:19" s="629" customFormat="1" ht="10.199999999999999" x14ac:dyDescent="0.2">
      <c r="A9" s="557">
        <v>17</v>
      </c>
      <c r="B9" s="560" t="s">
        <v>222</v>
      </c>
      <c r="C9" s="558" t="s">
        <v>750</v>
      </c>
      <c r="D9" s="559" t="s">
        <v>127</v>
      </c>
      <c r="E9" s="559"/>
      <c r="F9" s="572"/>
      <c r="G9" s="561" t="s">
        <v>40</v>
      </c>
      <c r="H9" s="561">
        <v>1</v>
      </c>
      <c r="I9" s="517">
        <v>485000</v>
      </c>
      <c r="J9" s="517">
        <v>485000</v>
      </c>
      <c r="K9" s="562">
        <v>0.21</v>
      </c>
      <c r="L9" s="517">
        <v>383150</v>
      </c>
      <c r="M9" s="517"/>
      <c r="N9" s="517"/>
      <c r="O9" s="517"/>
      <c r="P9" s="517"/>
      <c r="Q9" s="517">
        <v>131</v>
      </c>
      <c r="R9" s="517">
        <v>383150</v>
      </c>
      <c r="S9" s="573"/>
    </row>
    <row r="10" spans="1:19" s="629" customFormat="1" ht="10.199999999999999" x14ac:dyDescent="0.2">
      <c r="A10" s="557">
        <v>19</v>
      </c>
      <c r="B10" s="916" t="s">
        <v>224</v>
      </c>
      <c r="C10" s="558" t="s">
        <v>750</v>
      </c>
      <c r="D10" s="559" t="s">
        <v>79</v>
      </c>
      <c r="E10" s="559"/>
      <c r="F10" s="572"/>
      <c r="G10" s="561" t="s">
        <v>44</v>
      </c>
      <c r="H10" s="561">
        <v>1</v>
      </c>
      <c r="I10" s="517">
        <v>455000</v>
      </c>
      <c r="J10" s="519">
        <v>455000</v>
      </c>
      <c r="K10" s="562">
        <v>0.41</v>
      </c>
      <c r="L10" s="517">
        <v>268450.00000000006</v>
      </c>
      <c r="M10" s="517">
        <v>111</v>
      </c>
      <c r="N10" s="517">
        <v>268450.00000000006</v>
      </c>
      <c r="O10" s="517"/>
      <c r="P10" s="517"/>
      <c r="Q10" s="517"/>
      <c r="R10" s="517"/>
      <c r="S10" s="573"/>
    </row>
    <row r="11" spans="1:19" s="197" customFormat="1" ht="8.4" x14ac:dyDescent="0.15">
      <c r="A11" s="527">
        <v>10</v>
      </c>
      <c r="B11" s="666" t="s">
        <v>233</v>
      </c>
      <c r="C11" s="672" t="s">
        <v>753</v>
      </c>
      <c r="D11" s="529" t="s">
        <v>127</v>
      </c>
      <c r="E11" s="529"/>
      <c r="F11" s="528"/>
      <c r="G11" s="530" t="s">
        <v>39</v>
      </c>
      <c r="H11" s="921">
        <v>1</v>
      </c>
      <c r="I11" s="512">
        <v>285000</v>
      </c>
      <c r="J11" s="518">
        <v>285000</v>
      </c>
      <c r="K11" s="531">
        <v>0.21</v>
      </c>
      <c r="L11" s="512">
        <v>225150</v>
      </c>
      <c r="M11" s="512"/>
      <c r="N11" s="512"/>
      <c r="O11" s="512"/>
      <c r="P11" s="512"/>
      <c r="Q11" s="512">
        <v>131</v>
      </c>
      <c r="R11" s="667">
        <v>584600</v>
      </c>
      <c r="S11" s="534"/>
    </row>
    <row r="12" spans="1:19" s="197" customFormat="1" ht="8.4" x14ac:dyDescent="0.15">
      <c r="A12" s="544"/>
      <c r="B12" s="669"/>
      <c r="C12" s="673" t="s">
        <v>753</v>
      </c>
      <c r="D12" s="554" t="s">
        <v>127</v>
      </c>
      <c r="E12" s="554"/>
      <c r="F12" s="545"/>
      <c r="G12" s="547" t="s">
        <v>42</v>
      </c>
      <c r="H12" s="547">
        <v>1</v>
      </c>
      <c r="I12" s="513">
        <v>455000</v>
      </c>
      <c r="J12" s="513">
        <v>455000</v>
      </c>
      <c r="K12" s="548">
        <v>0.21</v>
      </c>
      <c r="L12" s="513">
        <v>359450</v>
      </c>
      <c r="M12" s="513"/>
      <c r="N12" s="513"/>
      <c r="O12" s="513"/>
      <c r="P12" s="513"/>
      <c r="Q12" s="513"/>
      <c r="R12" s="670"/>
      <c r="S12" s="551"/>
    </row>
    <row r="13" spans="1:19" s="197" customFormat="1" ht="8.4" x14ac:dyDescent="0.15">
      <c r="A13" s="677">
        <v>26</v>
      </c>
      <c r="B13" s="583" t="s">
        <v>266</v>
      </c>
      <c r="C13" s="678" t="s">
        <v>753</v>
      </c>
      <c r="D13" s="679" t="s">
        <v>127</v>
      </c>
      <c r="E13" s="679"/>
      <c r="F13" s="679"/>
      <c r="G13" s="680" t="s">
        <v>40</v>
      </c>
      <c r="H13" s="680">
        <v>1</v>
      </c>
      <c r="I13" s="446">
        <v>485000</v>
      </c>
      <c r="J13" s="517">
        <v>485000</v>
      </c>
      <c r="K13" s="681">
        <v>0.41</v>
      </c>
      <c r="L13" s="446">
        <v>286150.00000000006</v>
      </c>
      <c r="M13" s="446"/>
      <c r="N13" s="446"/>
      <c r="O13" s="446"/>
      <c r="P13" s="446"/>
      <c r="Q13" s="446">
        <v>131</v>
      </c>
      <c r="R13" s="682">
        <v>286150.00000000006</v>
      </c>
      <c r="S13" s="683"/>
    </row>
    <row r="14" spans="1:19" s="197" customFormat="1" ht="8.4" x14ac:dyDescent="0.15">
      <c r="A14" s="557">
        <v>5</v>
      </c>
      <c r="B14" s="583" t="s">
        <v>432</v>
      </c>
      <c r="C14" s="558" t="s">
        <v>756</v>
      </c>
      <c r="D14" s="559" t="s">
        <v>127</v>
      </c>
      <c r="E14" s="559"/>
      <c r="F14" s="560"/>
      <c r="G14" s="561" t="s">
        <v>38</v>
      </c>
      <c r="H14" s="561">
        <v>6</v>
      </c>
      <c r="I14" s="517">
        <v>285000</v>
      </c>
      <c r="J14" s="517">
        <v>1710000</v>
      </c>
      <c r="K14" s="562">
        <v>0.41</v>
      </c>
      <c r="L14" s="517">
        <v>1008900.0000000001</v>
      </c>
      <c r="M14" s="517"/>
      <c r="N14" s="517"/>
      <c r="O14" s="517"/>
      <c r="P14" s="517"/>
      <c r="Q14" s="517">
        <v>131</v>
      </c>
      <c r="R14" s="517">
        <v>1000000</v>
      </c>
      <c r="S14" s="1101"/>
    </row>
    <row r="15" spans="1:19" s="197" customFormat="1" ht="8.4" x14ac:dyDescent="0.15">
      <c r="A15" s="557">
        <v>29</v>
      </c>
      <c r="B15" s="583" t="s">
        <v>579</v>
      </c>
      <c r="C15" s="558" t="s">
        <v>756</v>
      </c>
      <c r="D15" s="559" t="s">
        <v>666</v>
      </c>
      <c r="E15" s="559"/>
      <c r="F15" s="560"/>
      <c r="G15" s="561" t="s">
        <v>39</v>
      </c>
      <c r="H15" s="680">
        <v>2</v>
      </c>
      <c r="I15" s="517">
        <v>285000</v>
      </c>
      <c r="J15" s="517">
        <v>570000</v>
      </c>
      <c r="K15" s="562">
        <v>1</v>
      </c>
      <c r="L15" s="517">
        <v>0</v>
      </c>
      <c r="M15" s="517"/>
      <c r="N15" s="517"/>
      <c r="O15" s="517"/>
      <c r="P15" s="517"/>
      <c r="Q15" s="517"/>
      <c r="R15" s="517"/>
      <c r="S15" s="1101"/>
    </row>
    <row r="16" spans="1:19" ht="15" thickBot="1" x14ac:dyDescent="0.35">
      <c r="A16" s="2451" t="s">
        <v>2</v>
      </c>
      <c r="B16" s="2452"/>
      <c r="C16" s="2452"/>
      <c r="D16" s="2452"/>
      <c r="E16" s="2452"/>
      <c r="F16" s="2452"/>
      <c r="G16" s="2452"/>
      <c r="H16" s="1102"/>
      <c r="I16" s="1102"/>
      <c r="J16" s="1102"/>
      <c r="K16" s="1102"/>
      <c r="L16" s="1102"/>
      <c r="M16" s="1102"/>
      <c r="N16" s="1102"/>
      <c r="O16" s="1102"/>
      <c r="P16" s="1102"/>
      <c r="Q16" s="1102"/>
      <c r="R16" s="1103">
        <f>SUM(R9:R15)</f>
        <v>2253900</v>
      </c>
      <c r="S16" s="1104"/>
    </row>
    <row r="17" spans="4:14" ht="15" thickTop="1" x14ac:dyDescent="0.3"/>
    <row r="18" spans="4:14" ht="16.8" x14ac:dyDescent="0.3">
      <c r="D18" s="303" t="s">
        <v>904</v>
      </c>
      <c r="N18" s="304" t="s">
        <v>303</v>
      </c>
    </row>
    <row r="19" spans="4:14" ht="16.8" x14ac:dyDescent="0.3">
      <c r="D19" s="471" t="s">
        <v>308</v>
      </c>
      <c r="N19" s="1121" t="s">
        <v>243</v>
      </c>
    </row>
  </sheetData>
  <mergeCells count="11">
    <mergeCell ref="S7:S8"/>
    <mergeCell ref="A16:G16"/>
    <mergeCell ref="A4:S4"/>
    <mergeCell ref="A5:S5"/>
    <mergeCell ref="A7:A8"/>
    <mergeCell ref="B7:B8"/>
    <mergeCell ref="C7:C8"/>
    <mergeCell ref="D7:F7"/>
    <mergeCell ref="G7:K7"/>
    <mergeCell ref="L7:L8"/>
    <mergeCell ref="M7:R7"/>
  </mergeCells>
  <pageMargins left="0.31496062992125984" right="0" top="0.74803149606299213" bottom="0.74803149606299213" header="0.31496062992125984" footer="0.31496062992125984"/>
  <pageSetup paperSize="256" orientation="landscape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C24" sqref="C24"/>
    </sheetView>
  </sheetViews>
  <sheetFormatPr defaultColWidth="9" defaultRowHeight="13.8" x14ac:dyDescent="0.25"/>
  <cols>
    <col min="1" max="1" width="5.109375" style="24" customWidth="1"/>
    <col min="2" max="2" width="40.5546875" style="24" customWidth="1"/>
    <col min="3" max="3" width="29.5546875" style="24" customWidth="1"/>
    <col min="4" max="4" width="33.44140625" style="24" customWidth="1"/>
    <col min="5" max="16384" width="9" style="24"/>
  </cols>
  <sheetData>
    <row r="1" spans="1:7" ht="16.8" x14ac:dyDescent="0.25">
      <c r="A1" s="22" t="s">
        <v>3</v>
      </c>
      <c r="B1" s="23"/>
      <c r="G1" s="25"/>
    </row>
    <row r="2" spans="1:7" x14ac:dyDescent="0.25">
      <c r="A2" s="26" t="s">
        <v>5</v>
      </c>
      <c r="B2" s="27"/>
      <c r="G2" s="25"/>
    </row>
    <row r="3" spans="1:7" x14ac:dyDescent="0.25">
      <c r="A3" s="26"/>
      <c r="B3" s="27"/>
      <c r="G3" s="25"/>
    </row>
    <row r="4" spans="1:7" ht="24" customHeight="1" x14ac:dyDescent="0.25">
      <c r="A4" s="2447" t="s">
        <v>1286</v>
      </c>
      <c r="B4" s="2447"/>
      <c r="C4" s="2447"/>
      <c r="D4" s="2447"/>
    </row>
    <row r="5" spans="1:7" x14ac:dyDescent="0.25">
      <c r="A5" s="581" t="s">
        <v>0</v>
      </c>
      <c r="B5" s="581" t="s">
        <v>721</v>
      </c>
      <c r="C5" s="855" t="s">
        <v>149</v>
      </c>
      <c r="D5" s="855" t="s">
        <v>1</v>
      </c>
    </row>
    <row r="6" spans="1:7" x14ac:dyDescent="0.25">
      <c r="A6" s="1148" t="s">
        <v>895</v>
      </c>
      <c r="B6" s="1149" t="s">
        <v>896</v>
      </c>
      <c r="C6" s="1150">
        <v>15180000</v>
      </c>
      <c r="D6" s="1151"/>
    </row>
    <row r="7" spans="1:7" x14ac:dyDescent="0.25">
      <c r="A7" s="1156" t="s">
        <v>897</v>
      </c>
      <c r="B7" s="345" t="s">
        <v>898</v>
      </c>
      <c r="C7" s="1157">
        <v>7000000</v>
      </c>
      <c r="D7" s="61"/>
    </row>
    <row r="8" spans="1:7" x14ac:dyDescent="0.25">
      <c r="A8" s="1152" t="s">
        <v>899</v>
      </c>
      <c r="B8" s="1153" t="s">
        <v>900</v>
      </c>
      <c r="C8" s="1154">
        <v>5460000</v>
      </c>
      <c r="D8" s="1155"/>
    </row>
    <row r="9" spans="1:7" s="470" customFormat="1" x14ac:dyDescent="0.25">
      <c r="A9" s="1125"/>
      <c r="B9" s="1126" t="s">
        <v>991</v>
      </c>
      <c r="C9" s="1127">
        <f>C6-C7-C8</f>
        <v>2720000</v>
      </c>
      <c r="D9" s="869"/>
    </row>
    <row r="10" spans="1:7" ht="24" customHeight="1" x14ac:dyDescent="0.25">
      <c r="A10" s="2455" t="s">
        <v>904</v>
      </c>
      <c r="B10" s="2455"/>
      <c r="D10" s="870" t="s">
        <v>303</v>
      </c>
    </row>
    <row r="11" spans="1:7" ht="16.8" x14ac:dyDescent="0.25">
      <c r="A11" s="2420" t="s">
        <v>308</v>
      </c>
      <c r="B11" s="2420"/>
      <c r="D11" s="471" t="s">
        <v>308</v>
      </c>
    </row>
    <row r="12" spans="1:7" x14ac:dyDescent="0.25">
      <c r="A12" s="26"/>
      <c r="B12" s="27"/>
      <c r="G12" s="25"/>
    </row>
    <row r="13" spans="1:7" x14ac:dyDescent="0.25">
      <c r="A13" s="26"/>
      <c r="B13" s="27"/>
      <c r="G13" s="25"/>
    </row>
    <row r="14" spans="1:7" x14ac:dyDescent="0.25">
      <c r="A14" s="26"/>
      <c r="B14" s="27"/>
      <c r="G14" s="25"/>
    </row>
    <row r="16" spans="1:7" x14ac:dyDescent="0.25">
      <c r="A16" s="2190" t="s">
        <v>1285</v>
      </c>
      <c r="B16" s="2190"/>
      <c r="C16" s="2190"/>
      <c r="D16" s="2190"/>
    </row>
    <row r="17" spans="1:4" ht="14.4" thickBot="1" x14ac:dyDescent="0.3"/>
    <row r="18" spans="1:4" ht="15.75" customHeight="1" thickTop="1" x14ac:dyDescent="0.25">
      <c r="A18" s="69" t="s">
        <v>0</v>
      </c>
      <c r="B18" s="70" t="s">
        <v>91</v>
      </c>
      <c r="C18" s="74" t="s">
        <v>149</v>
      </c>
      <c r="D18" s="358" t="s">
        <v>1</v>
      </c>
    </row>
    <row r="19" spans="1:4" ht="15.75" customHeight="1" x14ac:dyDescent="0.25">
      <c r="A19" s="66">
        <v>1</v>
      </c>
      <c r="B19" s="77" t="s">
        <v>989</v>
      </c>
      <c r="C19" s="78">
        <f>'Vốn L1-20.11'!I10+'Vốn L1-20.11'!J10+'Vốn L1-20.11'!K10-'Vốn L1-20.11'!D10</f>
        <v>135800</v>
      </c>
      <c r="D19" s="79"/>
    </row>
    <row r="20" spans="1:4" ht="15.75" customHeight="1" x14ac:dyDescent="0.25">
      <c r="A20" s="58">
        <v>2</v>
      </c>
      <c r="B20" s="36" t="s">
        <v>893</v>
      </c>
      <c r="C20" s="76">
        <v>300000</v>
      </c>
      <c r="D20" s="79" t="s">
        <v>1237</v>
      </c>
    </row>
    <row r="21" spans="1:4" ht="15.75" customHeight="1" x14ac:dyDescent="0.25">
      <c r="A21" s="58">
        <v>3</v>
      </c>
      <c r="B21" s="36" t="s">
        <v>901</v>
      </c>
      <c r="C21" s="76">
        <v>2720000</v>
      </c>
      <c r="D21" s="35"/>
    </row>
    <row r="22" spans="1:4" ht="15.75" customHeight="1" x14ac:dyDescent="0.25">
      <c r="A22" s="58">
        <v>4</v>
      </c>
      <c r="B22" s="36" t="s">
        <v>1106</v>
      </c>
      <c r="C22" s="76">
        <v>2254000</v>
      </c>
      <c r="D22" s="79" t="s">
        <v>1237</v>
      </c>
    </row>
    <row r="23" spans="1:4" ht="15.75" customHeight="1" x14ac:dyDescent="0.25">
      <c r="A23" s="1039">
        <v>5</v>
      </c>
      <c r="B23" s="1040" t="s">
        <v>1273</v>
      </c>
      <c r="C23" s="1041">
        <v>10000000</v>
      </c>
      <c r="D23" s="1042"/>
    </row>
    <row r="24" spans="1:4" ht="15.75" customHeight="1" thickBot="1" x14ac:dyDescent="0.3">
      <c r="A24" s="2453" t="s">
        <v>1145</v>
      </c>
      <c r="B24" s="2454"/>
      <c r="C24" s="64">
        <f>C19-C20+C21+C23</f>
        <v>12555800</v>
      </c>
      <c r="D24" s="65"/>
    </row>
    <row r="25" spans="1:4" s="267" customFormat="1" ht="17.399999999999999" thickTop="1" x14ac:dyDescent="0.3">
      <c r="A25" s="271"/>
      <c r="B25" s="274"/>
    </row>
    <row r="26" spans="1:4" s="267" customFormat="1" ht="16.8" x14ac:dyDescent="0.3">
      <c r="B26" s="303" t="s">
        <v>1270</v>
      </c>
      <c r="C26" s="870"/>
      <c r="D26" s="870" t="s">
        <v>303</v>
      </c>
    </row>
    <row r="27" spans="1:4" ht="16.8" x14ac:dyDescent="0.25">
      <c r="B27" s="471" t="s">
        <v>1271</v>
      </c>
      <c r="C27" s="471"/>
      <c r="D27" s="471" t="s">
        <v>1272</v>
      </c>
    </row>
  </sheetData>
  <mergeCells count="5">
    <mergeCell ref="A16:D16"/>
    <mergeCell ref="A24:B24"/>
    <mergeCell ref="A10:B10"/>
    <mergeCell ref="A11:B11"/>
    <mergeCell ref="A4:D4"/>
  </mergeCells>
  <pageMargins left="0.7" right="0.7" top="0.75" bottom="0.75" header="0.3" footer="0.3"/>
  <pageSetup paperSize="256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6" workbookViewId="0">
      <selection activeCell="C31" sqref="C31"/>
    </sheetView>
  </sheetViews>
  <sheetFormatPr defaultColWidth="8.88671875" defaultRowHeight="13.8" x14ac:dyDescent="0.25"/>
  <cols>
    <col min="1" max="1" width="6.5546875" style="1" customWidth="1"/>
    <col min="2" max="2" width="22" style="1" customWidth="1"/>
    <col min="3" max="3" width="24" style="1" customWidth="1"/>
    <col min="4" max="4" width="15.109375" style="1" customWidth="1"/>
    <col min="5" max="5" width="19.44140625" style="1" customWidth="1"/>
    <col min="6" max="6" width="23.44140625" style="1" customWidth="1"/>
    <col min="7" max="7" width="8.88671875" style="1"/>
    <col min="8" max="8" width="10" style="1" bestFit="1" customWidth="1"/>
    <col min="9" max="16384" width="8.88671875" style="1"/>
  </cols>
  <sheetData>
    <row r="1" spans="1:15" ht="16.8" x14ac:dyDescent="0.3">
      <c r="A1" s="5" t="s">
        <v>3</v>
      </c>
      <c r="B1" s="5"/>
      <c r="C1" s="8"/>
      <c r="D1" s="11"/>
      <c r="F1" s="18" t="s">
        <v>4</v>
      </c>
      <c r="G1" s="18"/>
      <c r="H1" s="18"/>
      <c r="I1" s="18"/>
    </row>
    <row r="2" spans="1:15" ht="15.6" x14ac:dyDescent="0.25">
      <c r="A2" s="7" t="s">
        <v>5</v>
      </c>
      <c r="B2" s="7"/>
      <c r="C2" s="9"/>
      <c r="D2" s="12"/>
      <c r="F2" s="19" t="s">
        <v>6</v>
      </c>
      <c r="G2" s="19"/>
      <c r="H2" s="19"/>
      <c r="I2" s="19"/>
    </row>
    <row r="3" spans="1:15" x14ac:dyDescent="0.25">
      <c r="A3" s="7" t="s">
        <v>7</v>
      </c>
      <c r="D3" s="13"/>
    </row>
    <row r="4" spans="1:15" x14ac:dyDescent="0.25">
      <c r="A4" s="7" t="s">
        <v>8</v>
      </c>
      <c r="D4" s="13"/>
    </row>
    <row r="5" spans="1:15" x14ac:dyDescent="0.25">
      <c r="A5" s="2" t="s">
        <v>9</v>
      </c>
      <c r="D5" s="13"/>
    </row>
    <row r="6" spans="1:15" x14ac:dyDescent="0.25">
      <c r="A6" s="20" t="s">
        <v>98</v>
      </c>
      <c r="D6" s="13"/>
      <c r="E6" s="13"/>
      <c r="J6" s="2101"/>
      <c r="K6" s="2101"/>
      <c r="L6" s="21"/>
      <c r="M6" s="21"/>
      <c r="N6" s="21"/>
      <c r="O6" s="21"/>
    </row>
    <row r="7" spans="1:15" ht="36" customHeight="1" thickBot="1" x14ac:dyDescent="0.35">
      <c r="A7" s="2105" t="s">
        <v>47</v>
      </c>
      <c r="B7" s="2105"/>
      <c r="C7" s="2105"/>
      <c r="D7" s="2105"/>
      <c r="E7" s="2105"/>
      <c r="F7" s="2105"/>
      <c r="G7" s="2105"/>
    </row>
    <row r="8" spans="1:15" ht="30.9" customHeight="1" thickTop="1" x14ac:dyDescent="0.25">
      <c r="A8" s="53" t="s">
        <v>48</v>
      </c>
      <c r="B8" s="2106" t="s">
        <v>20</v>
      </c>
      <c r="C8" s="2106"/>
      <c r="D8" s="54" t="s">
        <v>21</v>
      </c>
      <c r="E8" s="54" t="s">
        <v>29</v>
      </c>
      <c r="F8" s="54" t="s">
        <v>49</v>
      </c>
      <c r="G8" s="55" t="s">
        <v>1</v>
      </c>
    </row>
    <row r="9" spans="1:15" ht="17.25" customHeight="1" x14ac:dyDescent="0.25">
      <c r="A9" s="2107">
        <v>1</v>
      </c>
      <c r="B9" s="2111" t="s">
        <v>254</v>
      </c>
      <c r="C9" s="2109" t="s">
        <v>54</v>
      </c>
      <c r="D9" s="50" t="s">
        <v>30</v>
      </c>
      <c r="E9" s="50" t="s">
        <v>31</v>
      </c>
      <c r="F9" s="51">
        <v>255000</v>
      </c>
      <c r="G9" s="451"/>
      <c r="H9" s="3"/>
      <c r="I9" s="450"/>
      <c r="J9" s="114"/>
      <c r="K9" s="450"/>
    </row>
    <row r="10" spans="1:15" ht="17.25" customHeight="1" x14ac:dyDescent="0.25">
      <c r="A10" s="2108"/>
      <c r="B10" s="2112"/>
      <c r="C10" s="2110"/>
      <c r="D10" s="43" t="s">
        <v>32</v>
      </c>
      <c r="E10" s="43" t="s">
        <v>33</v>
      </c>
      <c r="F10" s="44">
        <v>455000</v>
      </c>
      <c r="G10" s="451"/>
      <c r="H10" s="3"/>
      <c r="I10" s="450"/>
      <c r="J10" s="114"/>
      <c r="K10" s="450"/>
    </row>
    <row r="11" spans="1:15" ht="17.25" customHeight="1" x14ac:dyDescent="0.25">
      <c r="A11" s="2108"/>
      <c r="B11" s="2112"/>
      <c r="C11" s="2110" t="s">
        <v>55</v>
      </c>
      <c r="D11" s="43" t="s">
        <v>30</v>
      </c>
      <c r="E11" s="43" t="s">
        <v>34</v>
      </c>
      <c r="F11" s="44">
        <v>265000</v>
      </c>
      <c r="G11" s="451"/>
      <c r="H11" s="3"/>
      <c r="I11" s="450"/>
      <c r="J11" s="114"/>
      <c r="K11" s="450"/>
    </row>
    <row r="12" spans="1:15" ht="17.25" customHeight="1" x14ac:dyDescent="0.25">
      <c r="A12" s="2108"/>
      <c r="B12" s="2112"/>
      <c r="C12" s="2110"/>
      <c r="D12" s="43" t="s">
        <v>32</v>
      </c>
      <c r="E12" s="43" t="s">
        <v>35</v>
      </c>
      <c r="F12" s="44">
        <v>465000</v>
      </c>
      <c r="G12" s="451"/>
      <c r="H12" s="3"/>
      <c r="I12" s="450"/>
      <c r="J12" s="114"/>
      <c r="K12" s="450"/>
    </row>
    <row r="13" spans="1:15" ht="17.25" customHeight="1" x14ac:dyDescent="0.25">
      <c r="A13" s="2108"/>
      <c r="B13" s="2112"/>
      <c r="C13" s="2110" t="s">
        <v>56</v>
      </c>
      <c r="D13" s="43" t="s">
        <v>30</v>
      </c>
      <c r="E13" s="43" t="s">
        <v>36</v>
      </c>
      <c r="F13" s="44">
        <v>275000</v>
      </c>
      <c r="G13" s="451"/>
      <c r="H13" s="3"/>
      <c r="I13" s="450"/>
      <c r="J13" s="114"/>
      <c r="K13" s="450"/>
    </row>
    <row r="14" spans="1:15" ht="17.25" customHeight="1" x14ac:dyDescent="0.25">
      <c r="A14" s="2108"/>
      <c r="B14" s="2112"/>
      <c r="C14" s="2110"/>
      <c r="D14" s="43" t="s">
        <v>32</v>
      </c>
      <c r="E14" s="43" t="s">
        <v>37</v>
      </c>
      <c r="F14" s="44">
        <v>475000</v>
      </c>
      <c r="G14" s="451"/>
      <c r="H14" s="3"/>
      <c r="I14" s="114"/>
      <c r="J14" s="114"/>
      <c r="K14" s="450"/>
    </row>
    <row r="15" spans="1:15" ht="17.25" customHeight="1" x14ac:dyDescent="0.25">
      <c r="A15" s="2108"/>
      <c r="B15" s="2112"/>
      <c r="C15" s="2110" t="s">
        <v>50</v>
      </c>
      <c r="D15" s="43" t="s">
        <v>30</v>
      </c>
      <c r="E15" s="43" t="s">
        <v>39</v>
      </c>
      <c r="F15" s="44">
        <v>285000</v>
      </c>
      <c r="G15" s="451"/>
      <c r="H15" s="3"/>
      <c r="I15" s="450"/>
      <c r="J15" s="114"/>
      <c r="K15" s="450"/>
    </row>
    <row r="16" spans="1:15" ht="17.25" customHeight="1" x14ac:dyDescent="0.25">
      <c r="A16" s="2108"/>
      <c r="B16" s="2112"/>
      <c r="C16" s="2110"/>
      <c r="D16" s="43" t="s">
        <v>32</v>
      </c>
      <c r="E16" s="43" t="s">
        <v>40</v>
      </c>
      <c r="F16" s="44">
        <v>485000</v>
      </c>
      <c r="G16" s="451"/>
      <c r="H16" s="3"/>
      <c r="I16" s="450"/>
      <c r="J16" s="114"/>
      <c r="K16" s="450"/>
    </row>
    <row r="17" spans="1:11" ht="17.25" customHeight="1" x14ac:dyDescent="0.25">
      <c r="A17" s="2108"/>
      <c r="B17" s="2112"/>
      <c r="C17" s="2110" t="s">
        <v>51</v>
      </c>
      <c r="D17" s="43" t="s">
        <v>30</v>
      </c>
      <c r="E17" s="43" t="s">
        <v>38</v>
      </c>
      <c r="F17" s="44">
        <v>285000</v>
      </c>
      <c r="G17" s="451"/>
      <c r="H17" s="3"/>
      <c r="I17" s="450"/>
      <c r="J17" s="114"/>
      <c r="K17" s="450"/>
    </row>
    <row r="18" spans="1:11" ht="17.25" customHeight="1" x14ac:dyDescent="0.25">
      <c r="A18" s="2108"/>
      <c r="B18" s="2113"/>
      <c r="C18" s="2110"/>
      <c r="D18" s="43" t="s">
        <v>32</v>
      </c>
      <c r="E18" s="43" t="s">
        <v>60</v>
      </c>
      <c r="F18" s="44">
        <v>485000</v>
      </c>
      <c r="G18" s="451"/>
      <c r="H18" s="3"/>
      <c r="I18" s="450"/>
      <c r="J18" s="114"/>
      <c r="K18" s="450"/>
    </row>
    <row r="19" spans="1:11" ht="17.25" customHeight="1" x14ac:dyDescent="0.25">
      <c r="A19" s="2108">
        <v>2</v>
      </c>
      <c r="B19" s="2115" t="s">
        <v>57</v>
      </c>
      <c r="C19" s="2110" t="s">
        <v>52</v>
      </c>
      <c r="D19" s="2115" t="s">
        <v>30</v>
      </c>
      <c r="E19" s="2115" t="s">
        <v>41</v>
      </c>
      <c r="F19" s="2114">
        <v>550000</v>
      </c>
      <c r="G19" s="451"/>
      <c r="H19" s="3"/>
      <c r="I19" s="450"/>
      <c r="J19" s="114"/>
      <c r="K19" s="450"/>
    </row>
    <row r="20" spans="1:11" ht="17.25" customHeight="1" x14ac:dyDescent="0.25">
      <c r="A20" s="2108"/>
      <c r="B20" s="2115"/>
      <c r="C20" s="2110"/>
      <c r="D20" s="2115"/>
      <c r="E20" s="2115"/>
      <c r="F20" s="2114"/>
      <c r="G20" s="451"/>
      <c r="I20" s="3"/>
      <c r="J20" s="114"/>
      <c r="K20" s="450"/>
    </row>
    <row r="21" spans="1:11" ht="17.25" customHeight="1" x14ac:dyDescent="0.25">
      <c r="A21" s="2108">
        <v>3</v>
      </c>
      <c r="B21" s="2115" t="s">
        <v>53</v>
      </c>
      <c r="C21" s="2116" t="s">
        <v>58</v>
      </c>
      <c r="D21" s="2115" t="s">
        <v>45</v>
      </c>
      <c r="E21" s="2115" t="s">
        <v>46</v>
      </c>
      <c r="F21" s="2114">
        <v>450000</v>
      </c>
      <c r="G21" s="451"/>
      <c r="H21" s="3"/>
      <c r="I21" s="3"/>
      <c r="J21" s="114"/>
      <c r="K21" s="450"/>
    </row>
    <row r="22" spans="1:11" x14ac:dyDescent="0.25">
      <c r="A22" s="2108"/>
      <c r="B22" s="2115"/>
      <c r="C22" s="2116"/>
      <c r="D22" s="2115"/>
      <c r="E22" s="2115"/>
      <c r="F22" s="2114"/>
      <c r="G22" s="451"/>
      <c r="H22" s="3"/>
      <c r="I22" s="3"/>
      <c r="J22" s="114"/>
      <c r="K22" s="450"/>
    </row>
    <row r="23" spans="1:11" x14ac:dyDescent="0.25">
      <c r="A23" s="2108">
        <v>4</v>
      </c>
      <c r="B23" s="2115" t="s">
        <v>28</v>
      </c>
      <c r="C23" s="2110" t="s">
        <v>43</v>
      </c>
      <c r="D23" s="2115" t="s">
        <v>32</v>
      </c>
      <c r="E23" s="2115" t="s">
        <v>44</v>
      </c>
      <c r="F23" s="2114">
        <v>455000</v>
      </c>
      <c r="G23" s="451"/>
      <c r="H23" s="3"/>
      <c r="I23" s="3"/>
      <c r="J23" s="114"/>
      <c r="K23" s="450"/>
    </row>
    <row r="24" spans="1:11" x14ac:dyDescent="0.25">
      <c r="A24" s="2108"/>
      <c r="B24" s="2115"/>
      <c r="C24" s="2110"/>
      <c r="D24" s="2115"/>
      <c r="E24" s="2115"/>
      <c r="F24" s="2114"/>
      <c r="G24" s="451"/>
      <c r="H24" s="3"/>
      <c r="I24" s="3"/>
      <c r="J24" s="114"/>
      <c r="K24" s="450"/>
    </row>
    <row r="25" spans="1:11" x14ac:dyDescent="0.25">
      <c r="A25" s="2108">
        <v>5</v>
      </c>
      <c r="B25" s="2115" t="s">
        <v>28</v>
      </c>
      <c r="C25" s="2116" t="s">
        <v>59</v>
      </c>
      <c r="D25" s="2115" t="s">
        <v>32</v>
      </c>
      <c r="E25" s="2115" t="s">
        <v>42</v>
      </c>
      <c r="F25" s="2114">
        <v>455000</v>
      </c>
      <c r="G25" s="451"/>
      <c r="H25" s="3"/>
      <c r="I25" s="3"/>
      <c r="J25" s="114"/>
      <c r="K25" s="450"/>
    </row>
    <row r="26" spans="1:11" x14ac:dyDescent="0.25">
      <c r="A26" s="2108"/>
      <c r="B26" s="2115"/>
      <c r="C26" s="2116"/>
      <c r="D26" s="2115"/>
      <c r="E26" s="2115"/>
      <c r="F26" s="2114"/>
      <c r="G26" s="37"/>
      <c r="H26" s="3"/>
      <c r="I26" s="3"/>
    </row>
    <row r="27" spans="1:11" x14ac:dyDescent="0.25">
      <c r="A27" s="45">
        <v>6</v>
      </c>
      <c r="B27" s="46" t="s">
        <v>89</v>
      </c>
      <c r="C27" s="39" t="s">
        <v>90</v>
      </c>
      <c r="D27" s="46" t="s">
        <v>88</v>
      </c>
      <c r="E27" s="46" t="s">
        <v>125</v>
      </c>
      <c r="F27" s="46"/>
      <c r="G27" s="37"/>
      <c r="H27" s="3"/>
      <c r="I27" s="3"/>
    </row>
    <row r="28" spans="1:11" x14ac:dyDescent="0.25">
      <c r="A28" s="45">
        <v>7</v>
      </c>
      <c r="B28" s="38"/>
      <c r="C28" s="38" t="s">
        <v>95</v>
      </c>
      <c r="D28" s="38"/>
      <c r="E28" s="38"/>
      <c r="F28" s="38"/>
      <c r="G28" s="37"/>
      <c r="H28" s="3"/>
      <c r="I28" s="3"/>
    </row>
    <row r="29" spans="1:11" x14ac:dyDescent="0.25">
      <c r="A29" s="45">
        <v>8</v>
      </c>
      <c r="B29" s="38"/>
      <c r="C29" s="38" t="s">
        <v>96</v>
      </c>
      <c r="D29" s="38"/>
      <c r="E29" s="38"/>
      <c r="F29" s="38"/>
      <c r="G29" s="37"/>
      <c r="H29" s="3"/>
      <c r="I29" s="3"/>
    </row>
    <row r="30" spans="1:11" ht="14.4" thickBot="1" x14ac:dyDescent="0.3">
      <c r="A30" s="47">
        <v>9</v>
      </c>
      <c r="B30" s="48"/>
      <c r="C30" s="48" t="s">
        <v>97</v>
      </c>
      <c r="D30" s="48"/>
      <c r="E30" s="48"/>
      <c r="F30" s="48"/>
      <c r="G30" s="49"/>
      <c r="H30" s="3"/>
      <c r="I30" s="3"/>
    </row>
    <row r="31" spans="1:11" ht="14.4" thickTop="1" x14ac:dyDescent="0.25"/>
  </sheetData>
  <mergeCells count="34">
    <mergeCell ref="F23:F24"/>
    <mergeCell ref="A25:A26"/>
    <mergeCell ref="B25:B26"/>
    <mergeCell ref="C25:C26"/>
    <mergeCell ref="D25:D26"/>
    <mergeCell ref="E25:E26"/>
    <mergeCell ref="F25:F26"/>
    <mergeCell ref="A23:A24"/>
    <mergeCell ref="B23:B24"/>
    <mergeCell ref="C23:C24"/>
    <mergeCell ref="D23:D24"/>
    <mergeCell ref="E23:E24"/>
    <mergeCell ref="F19:F20"/>
    <mergeCell ref="A21:A22"/>
    <mergeCell ref="B21:B22"/>
    <mergeCell ref="C21:C22"/>
    <mergeCell ref="D21:D22"/>
    <mergeCell ref="E21:E22"/>
    <mergeCell ref="F21:F22"/>
    <mergeCell ref="A19:A20"/>
    <mergeCell ref="B19:B20"/>
    <mergeCell ref="C19:C20"/>
    <mergeCell ref="D19:D20"/>
    <mergeCell ref="E19:E20"/>
    <mergeCell ref="J6:K6"/>
    <mergeCell ref="A7:G7"/>
    <mergeCell ref="B8:C8"/>
    <mergeCell ref="A9:A18"/>
    <mergeCell ref="C9:C10"/>
    <mergeCell ref="C11:C12"/>
    <mergeCell ref="C13:C14"/>
    <mergeCell ref="C15:C16"/>
    <mergeCell ref="C17:C18"/>
    <mergeCell ref="B9:B18"/>
  </mergeCells>
  <pageMargins left="0.59055118110236227" right="0" top="0" bottom="0" header="0.31496062992125984" footer="0.31496062992125984"/>
  <pageSetup paperSize="9" orientation="landscape" horizontalDpi="4294967293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B13" sqref="B13:G15"/>
    </sheetView>
  </sheetViews>
  <sheetFormatPr defaultColWidth="9" defaultRowHeight="13.8" x14ac:dyDescent="0.25"/>
  <cols>
    <col min="1" max="1" width="5.109375" style="24" customWidth="1"/>
    <col min="2" max="2" width="9.109375" style="24" customWidth="1"/>
    <col min="3" max="3" width="10.44140625" style="24" customWidth="1"/>
    <col min="4" max="4" width="6.44140625" style="24" customWidth="1"/>
    <col min="5" max="5" width="24.44140625" style="24" customWidth="1"/>
    <col min="6" max="6" width="10.5546875" style="24" customWidth="1"/>
    <col min="7" max="7" width="9.109375" style="24" customWidth="1"/>
    <col min="8" max="8" width="22.5546875" style="24" customWidth="1"/>
    <col min="9" max="16384" width="9" style="24"/>
  </cols>
  <sheetData>
    <row r="1" spans="1:12" ht="16.8" x14ac:dyDescent="0.3">
      <c r="A1" s="22" t="s">
        <v>3</v>
      </c>
      <c r="B1" s="22"/>
      <c r="C1" s="22"/>
      <c r="D1" s="22"/>
      <c r="E1" s="22"/>
      <c r="F1" s="23"/>
      <c r="G1" s="380" t="s">
        <v>4</v>
      </c>
      <c r="H1" s="25"/>
      <c r="L1" s="25"/>
    </row>
    <row r="2" spans="1:12" ht="15.6" x14ac:dyDescent="0.25">
      <c r="A2" s="26" t="s">
        <v>5</v>
      </c>
      <c r="B2" s="26"/>
      <c r="C2" s="26"/>
      <c r="D2" s="26"/>
      <c r="E2" s="26"/>
      <c r="F2" s="27"/>
      <c r="G2" s="381" t="s">
        <v>6</v>
      </c>
      <c r="H2" s="25"/>
      <c r="L2" s="25"/>
    </row>
    <row r="5" spans="1:12" x14ac:dyDescent="0.25">
      <c r="A5" s="2190" t="s">
        <v>1280</v>
      </c>
      <c r="B5" s="2190"/>
      <c r="C5" s="2190"/>
      <c r="D5" s="2190"/>
      <c r="E5" s="2190"/>
      <c r="F5" s="2190"/>
      <c r="G5" s="2190"/>
      <c r="H5" s="2190"/>
    </row>
    <row r="6" spans="1:12" ht="15.9" customHeight="1" thickBot="1" x14ac:dyDescent="0.3">
      <c r="A6" s="2348"/>
      <c r="B6" s="2348"/>
      <c r="C6" s="2348"/>
      <c r="D6" s="2348"/>
      <c r="E6" s="2348"/>
      <c r="F6" s="2348"/>
      <c r="G6" s="2348"/>
      <c r="H6" s="2348"/>
    </row>
    <row r="7" spans="1:12" ht="53.25" customHeight="1" thickTop="1" thickBot="1" x14ac:dyDescent="0.3">
      <c r="A7" s="102" t="s">
        <v>0</v>
      </c>
      <c r="B7" s="110" t="s">
        <v>183</v>
      </c>
      <c r="C7" s="110" t="s">
        <v>497</v>
      </c>
      <c r="D7" s="103" t="s">
        <v>153</v>
      </c>
      <c r="E7" s="103" t="s">
        <v>91</v>
      </c>
      <c r="F7" s="110" t="s">
        <v>184</v>
      </c>
      <c r="G7" s="110" t="s">
        <v>185</v>
      </c>
      <c r="H7" s="104" t="s">
        <v>1</v>
      </c>
    </row>
    <row r="8" spans="1:12" ht="14.4" thickTop="1" x14ac:dyDescent="0.25">
      <c r="A8" s="66">
        <v>1</v>
      </c>
      <c r="B8" s="67" t="s">
        <v>186</v>
      </c>
      <c r="C8" s="82">
        <v>300000</v>
      </c>
      <c r="D8" s="184" t="s">
        <v>495</v>
      </c>
      <c r="E8" s="91" t="s">
        <v>496</v>
      </c>
      <c r="F8" s="185">
        <v>60000</v>
      </c>
      <c r="G8" s="101"/>
      <c r="H8" s="68"/>
    </row>
    <row r="9" spans="1:12" x14ac:dyDescent="0.25">
      <c r="A9" s="58"/>
      <c r="B9" s="59"/>
      <c r="C9" s="83"/>
      <c r="D9" s="184" t="s">
        <v>495</v>
      </c>
      <c r="E9" s="42" t="s">
        <v>498</v>
      </c>
      <c r="F9" s="186">
        <v>40000</v>
      </c>
      <c r="G9" s="98"/>
      <c r="H9" s="60"/>
    </row>
    <row r="10" spans="1:12" ht="47.25" customHeight="1" x14ac:dyDescent="0.25">
      <c r="A10" s="105"/>
      <c r="B10" s="62"/>
      <c r="C10" s="62"/>
      <c r="D10" s="617" t="s">
        <v>495</v>
      </c>
      <c r="E10" s="618" t="s">
        <v>499</v>
      </c>
      <c r="F10" s="619">
        <v>198000</v>
      </c>
      <c r="G10" s="620"/>
      <c r="H10" s="63"/>
    </row>
    <row r="11" spans="1:12" ht="30" customHeight="1" thickBot="1" x14ac:dyDescent="0.35">
      <c r="A11" s="621"/>
      <c r="B11" s="2456" t="s">
        <v>2</v>
      </c>
      <c r="C11" s="2457"/>
      <c r="D11" s="2457"/>
      <c r="E11" s="2458"/>
      <c r="F11" s="1124">
        <f>SUM(F8:F10)</f>
        <v>298000</v>
      </c>
      <c r="G11" s="622"/>
      <c r="H11" s="65"/>
    </row>
    <row r="12" spans="1:12" ht="14.4" thickTop="1" x14ac:dyDescent="0.25"/>
    <row r="13" spans="1:12" ht="16.8" x14ac:dyDescent="0.25">
      <c r="B13" s="303" t="s">
        <v>904</v>
      </c>
      <c r="C13" s="267"/>
      <c r="F13" s="304" t="s">
        <v>303</v>
      </c>
    </row>
    <row r="14" spans="1:12" ht="16.8" x14ac:dyDescent="0.25">
      <c r="B14" s="471" t="s">
        <v>308</v>
      </c>
      <c r="F14" s="274" t="s">
        <v>243</v>
      </c>
    </row>
  </sheetData>
  <mergeCells count="3">
    <mergeCell ref="A5:H5"/>
    <mergeCell ref="A6:H6"/>
    <mergeCell ref="B11:E11"/>
  </mergeCells>
  <pageMargins left="0.9055118110236221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G9" sqref="G9"/>
    </sheetView>
  </sheetViews>
  <sheetFormatPr defaultColWidth="9" defaultRowHeight="13.8" x14ac:dyDescent="0.25"/>
  <cols>
    <col min="1" max="1" width="5.109375" style="24" customWidth="1"/>
    <col min="2" max="2" width="9.109375" style="24" customWidth="1"/>
    <col min="3" max="3" width="7.44140625" style="24" customWidth="1"/>
    <col min="4" max="4" width="4.5546875" style="24" customWidth="1"/>
    <col min="5" max="5" width="20.44140625" style="24" customWidth="1"/>
    <col min="6" max="6" width="10.5546875" style="24" customWidth="1"/>
    <col min="7" max="7" width="9.109375" style="24" customWidth="1"/>
    <col min="8" max="8" width="10.88671875" style="24" customWidth="1"/>
    <col min="9" max="16384" width="9" style="24"/>
  </cols>
  <sheetData>
    <row r="1" spans="1:12" ht="15.6" x14ac:dyDescent="0.25">
      <c r="A1" s="389" t="s">
        <v>3</v>
      </c>
      <c r="B1" s="389"/>
      <c r="C1" s="389"/>
      <c r="D1" s="389"/>
      <c r="E1" s="248"/>
      <c r="F1" s="249"/>
      <c r="G1" s="1262" t="s">
        <v>4</v>
      </c>
      <c r="H1" s="251"/>
      <c r="L1" s="25"/>
    </row>
    <row r="2" spans="1:12" x14ac:dyDescent="0.25">
      <c r="A2" s="252" t="s">
        <v>5</v>
      </c>
      <c r="B2" s="252"/>
      <c r="C2" s="252"/>
      <c r="D2" s="252"/>
      <c r="E2" s="252"/>
      <c r="F2" s="253"/>
      <c r="G2" s="254" t="s">
        <v>6</v>
      </c>
      <c r="H2" s="251"/>
      <c r="L2" s="25"/>
    </row>
    <row r="3" spans="1:12" ht="22.5" customHeight="1" x14ac:dyDescent="0.25">
      <c r="F3" s="2462" t="s">
        <v>1388</v>
      </c>
      <c r="G3" s="2462"/>
      <c r="H3" s="2462"/>
    </row>
    <row r="4" spans="1:12" ht="37.5" customHeight="1" thickBot="1" x14ac:dyDescent="0.3">
      <c r="A4" s="2463" t="s">
        <v>1389</v>
      </c>
      <c r="B4" s="2463"/>
      <c r="C4" s="2463"/>
      <c r="D4" s="2463"/>
      <c r="E4" s="2463"/>
      <c r="F4" s="2463"/>
      <c r="G4" s="2463"/>
      <c r="H4" s="2463"/>
    </row>
    <row r="5" spans="1:12" ht="56.25" customHeight="1" thickTop="1" x14ac:dyDescent="0.25">
      <c r="A5" s="1278" t="s">
        <v>698</v>
      </c>
      <c r="B5" s="391" t="s">
        <v>183</v>
      </c>
      <c r="C5" s="391" t="s">
        <v>497</v>
      </c>
      <c r="D5" s="392" t="s">
        <v>693</v>
      </c>
      <c r="E5" s="392" t="s">
        <v>91</v>
      </c>
      <c r="F5" s="391" t="s">
        <v>184</v>
      </c>
      <c r="G5" s="391" t="s">
        <v>185</v>
      </c>
      <c r="H5" s="1277" t="s">
        <v>1248</v>
      </c>
    </row>
    <row r="6" spans="1:12" ht="26.4" x14ac:dyDescent="0.25">
      <c r="A6" s="1207" t="s">
        <v>1126</v>
      </c>
      <c r="B6" s="1208" t="s">
        <v>187</v>
      </c>
      <c r="C6" s="331">
        <v>500000</v>
      </c>
      <c r="D6" s="396" t="s">
        <v>1018</v>
      </c>
      <c r="E6" s="91" t="s">
        <v>1376</v>
      </c>
      <c r="F6" s="397">
        <v>116000</v>
      </c>
      <c r="G6" s="398"/>
      <c r="H6" s="399"/>
    </row>
    <row r="7" spans="1:12" ht="26.4" x14ac:dyDescent="0.25">
      <c r="A7" s="410"/>
      <c r="B7" s="462"/>
      <c r="C7" s="411"/>
      <c r="D7" s="405" t="s">
        <v>1030</v>
      </c>
      <c r="E7" s="91" t="s">
        <v>1376</v>
      </c>
      <c r="F7" s="402">
        <v>84000</v>
      </c>
      <c r="G7" s="403"/>
      <c r="H7" s="404"/>
    </row>
    <row r="8" spans="1:12" ht="26.4" x14ac:dyDescent="0.25">
      <c r="A8" s="105"/>
      <c r="B8" s="62"/>
      <c r="C8" s="62"/>
      <c r="D8" s="405" t="s">
        <v>1126</v>
      </c>
      <c r="E8" s="42" t="s">
        <v>1039</v>
      </c>
      <c r="F8" s="402">
        <v>58000</v>
      </c>
      <c r="G8" s="403"/>
      <c r="H8" s="404"/>
    </row>
    <row r="9" spans="1:12" ht="26.4" x14ac:dyDescent="0.25">
      <c r="A9" s="410"/>
      <c r="B9" s="411"/>
      <c r="C9" s="411"/>
      <c r="D9" s="405" t="s">
        <v>1033</v>
      </c>
      <c r="E9" s="42" t="s">
        <v>1377</v>
      </c>
      <c r="F9" s="402">
        <v>20000</v>
      </c>
      <c r="G9" s="403"/>
      <c r="H9" s="404"/>
    </row>
    <row r="10" spans="1:12" ht="26.4" x14ac:dyDescent="0.25">
      <c r="A10" s="1272"/>
      <c r="B10" s="1273"/>
      <c r="C10" s="1273"/>
      <c r="D10" s="405" t="s">
        <v>1107</v>
      </c>
      <c r="E10" s="42" t="s">
        <v>1378</v>
      </c>
      <c r="F10" s="402">
        <v>55000</v>
      </c>
      <c r="G10" s="403"/>
      <c r="H10" s="404"/>
    </row>
    <row r="11" spans="1:12" ht="39.6" x14ac:dyDescent="0.25">
      <c r="A11" s="410"/>
      <c r="B11" s="411"/>
      <c r="C11" s="411"/>
      <c r="D11" s="405" t="s">
        <v>1379</v>
      </c>
      <c r="E11" s="42" t="s">
        <v>1376</v>
      </c>
      <c r="F11" s="402">
        <v>69000</v>
      </c>
      <c r="G11" s="403"/>
      <c r="H11" s="404"/>
    </row>
    <row r="12" spans="1:12" ht="39.6" x14ac:dyDescent="0.25">
      <c r="A12" s="1281"/>
      <c r="B12" s="1282"/>
      <c r="C12" s="1282"/>
      <c r="D12" s="405" t="s">
        <v>1188</v>
      </c>
      <c r="E12" s="42" t="s">
        <v>1390</v>
      </c>
      <c r="F12" s="402">
        <v>20000</v>
      </c>
      <c r="G12" s="403"/>
      <c r="H12" s="404"/>
    </row>
    <row r="13" spans="1:12" ht="39.6" x14ac:dyDescent="0.25">
      <c r="A13" s="1272"/>
      <c r="B13" s="1273"/>
      <c r="C13" s="1273"/>
      <c r="D13" s="405" t="s">
        <v>1164</v>
      </c>
      <c r="E13" s="42" t="s">
        <v>1376</v>
      </c>
      <c r="F13" s="402">
        <v>49000</v>
      </c>
      <c r="G13" s="403"/>
      <c r="H13" s="404"/>
    </row>
    <row r="14" spans="1:12" ht="26.4" x14ac:dyDescent="0.25">
      <c r="A14" s="410"/>
      <c r="B14" s="411"/>
      <c r="C14" s="411"/>
      <c r="D14" s="405"/>
      <c r="E14" s="42" t="s">
        <v>1380</v>
      </c>
      <c r="F14" s="402">
        <v>230000</v>
      </c>
      <c r="G14" s="403"/>
      <c r="H14" s="404"/>
    </row>
    <row r="15" spans="1:12" ht="39.6" x14ac:dyDescent="0.25">
      <c r="A15" s="1272"/>
      <c r="B15" s="1273"/>
      <c r="C15" s="1273"/>
      <c r="D15" s="405" t="s">
        <v>1196</v>
      </c>
      <c r="E15" s="42" t="s">
        <v>1381</v>
      </c>
      <c r="F15" s="402">
        <v>87000</v>
      </c>
      <c r="G15" s="403"/>
      <c r="H15" s="404"/>
    </row>
    <row r="16" spans="1:12" ht="39.6" x14ac:dyDescent="0.25">
      <c r="A16" s="410"/>
      <c r="B16" s="411"/>
      <c r="C16" s="411"/>
      <c r="D16" s="405" t="s">
        <v>1382</v>
      </c>
      <c r="E16" s="42" t="s">
        <v>1039</v>
      </c>
      <c r="F16" s="402">
        <v>106000</v>
      </c>
      <c r="G16" s="403"/>
      <c r="H16" s="404"/>
    </row>
    <row r="17" spans="1:9" ht="39.6" x14ac:dyDescent="0.25">
      <c r="A17" s="410"/>
      <c r="B17" s="411"/>
      <c r="C17" s="411"/>
      <c r="D17" s="405" t="s">
        <v>1205</v>
      </c>
      <c r="E17" s="42" t="s">
        <v>1039</v>
      </c>
      <c r="F17" s="402">
        <v>110000</v>
      </c>
      <c r="G17" s="403"/>
      <c r="H17" s="404"/>
    </row>
    <row r="18" spans="1:9" ht="39.6" x14ac:dyDescent="0.25">
      <c r="A18" s="1272"/>
      <c r="B18" s="1273"/>
      <c r="C18" s="1273"/>
      <c r="D18" s="405" t="s">
        <v>1243</v>
      </c>
      <c r="E18" s="42" t="s">
        <v>1039</v>
      </c>
      <c r="F18" s="402">
        <v>60000</v>
      </c>
      <c r="G18" s="403"/>
      <c r="H18" s="404"/>
    </row>
    <row r="19" spans="1:9" ht="39.6" x14ac:dyDescent="0.25">
      <c r="A19" s="1272"/>
      <c r="B19" s="1273"/>
      <c r="C19" s="1273"/>
      <c r="D19" s="405" t="s">
        <v>1252</v>
      </c>
      <c r="E19" s="42" t="s">
        <v>1391</v>
      </c>
      <c r="F19" s="402"/>
      <c r="G19" s="403"/>
      <c r="H19" s="404"/>
    </row>
    <row r="20" spans="1:9" ht="39.6" x14ac:dyDescent="0.25">
      <c r="A20" s="1272"/>
      <c r="B20" s="1273"/>
      <c r="C20" s="1273"/>
      <c r="D20" s="405" t="s">
        <v>1372</v>
      </c>
      <c r="E20" s="42" t="s">
        <v>696</v>
      </c>
      <c r="F20" s="402">
        <v>35000</v>
      </c>
      <c r="G20" s="403"/>
      <c r="H20" s="404"/>
    </row>
    <row r="21" spans="1:9" x14ac:dyDescent="0.25">
      <c r="A21" s="410"/>
      <c r="B21" s="411"/>
      <c r="C21" s="411"/>
      <c r="D21" s="405"/>
      <c r="E21" s="42" t="s">
        <v>1383</v>
      </c>
      <c r="F21" s="402">
        <v>65000</v>
      </c>
      <c r="G21" s="403"/>
      <c r="H21" s="404"/>
    </row>
    <row r="22" spans="1:9" x14ac:dyDescent="0.25">
      <c r="A22" s="410"/>
      <c r="B22" s="411"/>
      <c r="C22" s="411"/>
      <c r="D22" s="405"/>
      <c r="E22" s="42" t="s">
        <v>540</v>
      </c>
      <c r="F22" s="402">
        <v>83000</v>
      </c>
      <c r="G22" s="403"/>
      <c r="H22" s="404"/>
    </row>
    <row r="23" spans="1:9" ht="39.6" x14ac:dyDescent="0.25">
      <c r="A23" s="410"/>
      <c r="B23" s="411"/>
      <c r="C23" s="411"/>
      <c r="D23" s="405" t="s">
        <v>1368</v>
      </c>
      <c r="E23" s="42" t="s">
        <v>1039</v>
      </c>
      <c r="F23" s="402">
        <v>55000</v>
      </c>
      <c r="G23" s="403"/>
      <c r="H23" s="404"/>
    </row>
    <row r="24" spans="1:9" ht="39.6" x14ac:dyDescent="0.25">
      <c r="A24" s="410"/>
      <c r="B24" s="411"/>
      <c r="C24" s="411"/>
      <c r="D24" s="405" t="s">
        <v>1370</v>
      </c>
      <c r="E24" s="42" t="s">
        <v>1039</v>
      </c>
      <c r="F24" s="402">
        <v>84000</v>
      </c>
      <c r="G24" s="403"/>
      <c r="H24" s="404"/>
    </row>
    <row r="25" spans="1:9" ht="36" customHeight="1" thickBot="1" x14ac:dyDescent="0.3">
      <c r="A25" s="2459" t="s">
        <v>1387</v>
      </c>
      <c r="B25" s="2460"/>
      <c r="C25" s="2460"/>
      <c r="D25" s="2460"/>
      <c r="E25" s="2461"/>
      <c r="F25" s="1279">
        <f>SUM(F6:F24)</f>
        <v>1386000</v>
      </c>
      <c r="G25" s="418">
        <f>F25-C6</f>
        <v>886000</v>
      </c>
      <c r="H25" s="1280"/>
      <c r="I25" s="24" t="s">
        <v>1392</v>
      </c>
    </row>
    <row r="26" spans="1:9" ht="14.4" thickTop="1" x14ac:dyDescent="0.25">
      <c r="A26" s="1274"/>
      <c r="B26" s="1274"/>
      <c r="C26" s="1274"/>
      <c r="D26" s="1274"/>
      <c r="E26" s="1274"/>
      <c r="F26" s="1275"/>
      <c r="G26" s="1276"/>
      <c r="H26" s="1271"/>
    </row>
    <row r="27" spans="1:9" ht="16.8" x14ac:dyDescent="0.25">
      <c r="B27" s="303" t="s">
        <v>904</v>
      </c>
      <c r="C27" s="267"/>
      <c r="F27" s="304" t="s">
        <v>303</v>
      </c>
    </row>
    <row r="28" spans="1:9" ht="16.8" x14ac:dyDescent="0.25">
      <c r="B28" s="471" t="s">
        <v>308</v>
      </c>
      <c r="F28" s="1261" t="s">
        <v>243</v>
      </c>
    </row>
  </sheetData>
  <mergeCells count="3">
    <mergeCell ref="A25:E25"/>
    <mergeCell ref="F3:H3"/>
    <mergeCell ref="A4:H4"/>
  </mergeCells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13" workbookViewId="0">
      <selection activeCell="G38" sqref="G38"/>
    </sheetView>
  </sheetViews>
  <sheetFormatPr defaultColWidth="9" defaultRowHeight="13.8" x14ac:dyDescent="0.25"/>
  <cols>
    <col min="1" max="2" width="9.109375" style="24" customWidth="1"/>
    <col min="3" max="3" width="10.44140625" style="24" customWidth="1"/>
    <col min="4" max="4" width="4.5546875" style="24" customWidth="1"/>
    <col min="5" max="5" width="20.44140625" style="24" customWidth="1"/>
    <col min="6" max="6" width="10.5546875" style="24" customWidth="1"/>
    <col min="7" max="7" width="9.109375" style="24" customWidth="1"/>
    <col min="8" max="8" width="15.109375" style="24" customWidth="1"/>
    <col min="9" max="11" width="9" style="24"/>
    <col min="12" max="12" width="9.109375" style="24" bestFit="1" customWidth="1"/>
    <col min="13" max="16384" width="9" style="24"/>
  </cols>
  <sheetData>
    <row r="1" spans="1:12" ht="15.6" x14ac:dyDescent="0.25">
      <c r="A1" s="389" t="s">
        <v>3</v>
      </c>
      <c r="B1" s="389"/>
      <c r="C1" s="389"/>
      <c r="D1" s="389"/>
      <c r="E1" s="248"/>
      <c r="F1" s="249"/>
      <c r="G1" s="382" t="s">
        <v>4</v>
      </c>
      <c r="H1" s="251"/>
      <c r="L1" s="25"/>
    </row>
    <row r="2" spans="1:12" x14ac:dyDescent="0.25">
      <c r="A2" s="252" t="s">
        <v>5</v>
      </c>
      <c r="B2" s="252"/>
      <c r="C2" s="252"/>
      <c r="D2" s="252"/>
      <c r="E2" s="252"/>
      <c r="F2" s="253"/>
      <c r="G2" s="254" t="s">
        <v>6</v>
      </c>
      <c r="H2" s="251"/>
      <c r="L2" s="25"/>
    </row>
    <row r="3" spans="1:12" x14ac:dyDescent="0.25">
      <c r="F3" s="24" t="s">
        <v>549</v>
      </c>
      <c r="H3" s="20"/>
    </row>
    <row r="4" spans="1:12" ht="37.5" customHeight="1" thickBot="1" x14ac:dyDescent="0.3">
      <c r="A4" s="2294" t="s">
        <v>548</v>
      </c>
      <c r="B4" s="2294"/>
      <c r="C4" s="2294"/>
      <c r="D4" s="2294"/>
      <c r="E4" s="2294"/>
      <c r="F4" s="2294"/>
      <c r="G4" s="2294"/>
      <c r="H4" s="2294"/>
    </row>
    <row r="5" spans="1:12" ht="29.25" customHeight="1" thickTop="1" x14ac:dyDescent="0.25">
      <c r="A5" s="390" t="s">
        <v>698</v>
      </c>
      <c r="B5" s="390" t="s">
        <v>183</v>
      </c>
      <c r="C5" s="391" t="s">
        <v>497</v>
      </c>
      <c r="D5" s="392" t="s">
        <v>693</v>
      </c>
      <c r="E5" s="392" t="s">
        <v>91</v>
      </c>
      <c r="F5" s="391" t="s">
        <v>184</v>
      </c>
      <c r="G5" s="391" t="s">
        <v>185</v>
      </c>
      <c r="H5" s="393" t="s">
        <v>1</v>
      </c>
    </row>
    <row r="6" spans="1:12" ht="12" customHeight="1" x14ac:dyDescent="0.25">
      <c r="A6" s="394"/>
      <c r="B6" s="394" t="s">
        <v>187</v>
      </c>
      <c r="C6" s="395">
        <v>1300000</v>
      </c>
      <c r="D6" s="396" t="s">
        <v>235</v>
      </c>
      <c r="E6" s="91" t="s">
        <v>525</v>
      </c>
      <c r="F6" s="397">
        <v>45000</v>
      </c>
      <c r="G6" s="398"/>
      <c r="H6" s="399"/>
      <c r="I6" s="1257" t="s">
        <v>1345</v>
      </c>
      <c r="L6" s="97">
        <f>C6+C19+C39+C40+C67+C80+500000</f>
        <v>4000000</v>
      </c>
    </row>
    <row r="7" spans="1:12" ht="12" customHeight="1" x14ac:dyDescent="0.25">
      <c r="A7" s="400"/>
      <c r="B7" s="460"/>
      <c r="C7" s="401"/>
      <c r="D7" s="396" t="s">
        <v>174</v>
      </c>
      <c r="E7" s="42" t="s">
        <v>525</v>
      </c>
      <c r="F7" s="402">
        <v>40000</v>
      </c>
      <c r="G7" s="403"/>
      <c r="H7" s="404"/>
    </row>
    <row r="8" spans="1:12" ht="12" customHeight="1" x14ac:dyDescent="0.25">
      <c r="A8" s="400"/>
      <c r="B8" s="460"/>
      <c r="C8" s="401"/>
      <c r="D8" s="405" t="s">
        <v>188</v>
      </c>
      <c r="E8" s="42" t="s">
        <v>526</v>
      </c>
      <c r="F8" s="402">
        <v>86000</v>
      </c>
      <c r="G8" s="403"/>
      <c r="H8" s="404"/>
    </row>
    <row r="9" spans="1:12" ht="12" customHeight="1" x14ac:dyDescent="0.25">
      <c r="A9" s="400"/>
      <c r="B9" s="460"/>
      <c r="C9" s="401"/>
      <c r="D9" s="405" t="s">
        <v>527</v>
      </c>
      <c r="E9" s="42" t="s">
        <v>528</v>
      </c>
      <c r="F9" s="402">
        <v>100000</v>
      </c>
      <c r="G9" s="403"/>
      <c r="H9" s="404"/>
    </row>
    <row r="10" spans="1:12" ht="12" customHeight="1" x14ac:dyDescent="0.25">
      <c r="A10" s="400"/>
      <c r="B10" s="460"/>
      <c r="C10" s="401"/>
      <c r="D10" s="405" t="s">
        <v>238</v>
      </c>
      <c r="E10" s="42" t="s">
        <v>529</v>
      </c>
      <c r="F10" s="402">
        <v>120000</v>
      </c>
      <c r="G10" s="403"/>
      <c r="H10" s="404"/>
    </row>
    <row r="11" spans="1:12" ht="12" customHeight="1" x14ac:dyDescent="0.25">
      <c r="A11" s="400"/>
      <c r="B11" s="460"/>
      <c r="C11" s="401"/>
      <c r="D11" s="405" t="s">
        <v>237</v>
      </c>
      <c r="E11" s="42" t="s">
        <v>530</v>
      </c>
      <c r="F11" s="402">
        <v>79000</v>
      </c>
      <c r="G11" s="403"/>
      <c r="H11" s="404"/>
    </row>
    <row r="12" spans="1:12" ht="12" customHeight="1" x14ac:dyDescent="0.25">
      <c r="A12" s="400"/>
      <c r="B12" s="460"/>
      <c r="C12" s="401"/>
      <c r="D12" s="405" t="s">
        <v>237</v>
      </c>
      <c r="E12" s="42" t="s">
        <v>531</v>
      </c>
      <c r="F12" s="402">
        <v>741000</v>
      </c>
      <c r="G12" s="403"/>
      <c r="H12" s="404"/>
    </row>
    <row r="13" spans="1:12" ht="12" customHeight="1" x14ac:dyDescent="0.25">
      <c r="A13" s="400"/>
      <c r="B13" s="460"/>
      <c r="C13" s="401"/>
      <c r="D13" s="405" t="s">
        <v>237</v>
      </c>
      <c r="E13" s="42" t="s">
        <v>532</v>
      </c>
      <c r="F13" s="402">
        <v>50000</v>
      </c>
      <c r="G13" s="403"/>
      <c r="H13" s="404"/>
    </row>
    <row r="14" spans="1:12" ht="12" customHeight="1" x14ac:dyDescent="0.25">
      <c r="A14" s="400"/>
      <c r="B14" s="460"/>
      <c r="C14" s="401"/>
      <c r="D14" s="405" t="s">
        <v>239</v>
      </c>
      <c r="E14" s="42" t="s">
        <v>533</v>
      </c>
      <c r="F14" s="402">
        <v>47000</v>
      </c>
      <c r="G14" s="403"/>
      <c r="H14" s="404"/>
    </row>
    <row r="15" spans="1:12" ht="12" customHeight="1" x14ac:dyDescent="0.25">
      <c r="A15" s="400"/>
      <c r="B15" s="460"/>
      <c r="C15" s="401"/>
      <c r="D15" s="405" t="s">
        <v>263</v>
      </c>
      <c r="E15" s="42" t="s">
        <v>534</v>
      </c>
      <c r="F15" s="402">
        <v>38000</v>
      </c>
      <c r="G15" s="403"/>
      <c r="H15" s="404"/>
    </row>
    <row r="16" spans="1:12" ht="12" customHeight="1" x14ac:dyDescent="0.25">
      <c r="A16" s="400"/>
      <c r="B16" s="460"/>
      <c r="C16" s="401"/>
      <c r="D16" s="405" t="s">
        <v>263</v>
      </c>
      <c r="E16" s="42" t="s">
        <v>535</v>
      </c>
      <c r="F16" s="402">
        <v>35000</v>
      </c>
      <c r="G16" s="403"/>
      <c r="H16" s="404"/>
    </row>
    <row r="17" spans="1:8" ht="24" customHeight="1" x14ac:dyDescent="0.25">
      <c r="A17" s="400"/>
      <c r="B17" s="460"/>
      <c r="C17" s="401"/>
      <c r="D17" s="405" t="s">
        <v>387</v>
      </c>
      <c r="E17" s="42" t="s">
        <v>536</v>
      </c>
      <c r="F17" s="402">
        <v>160000</v>
      </c>
      <c r="G17" s="403"/>
      <c r="H17" s="404"/>
    </row>
    <row r="18" spans="1:8" ht="39.75" customHeight="1" x14ac:dyDescent="0.25">
      <c r="A18" s="2467" t="s">
        <v>2</v>
      </c>
      <c r="B18" s="2468"/>
      <c r="C18" s="2468"/>
      <c r="D18" s="2468"/>
      <c r="E18" s="2469"/>
      <c r="F18" s="406">
        <f>SUM(F3:F17)</f>
        <v>1541000</v>
      </c>
      <c r="G18" s="407">
        <f>F18-C6</f>
        <v>241000</v>
      </c>
      <c r="H18" s="408" t="s">
        <v>547</v>
      </c>
    </row>
    <row r="19" spans="1:8" ht="12.75" customHeight="1" x14ac:dyDescent="0.25">
      <c r="A19" s="412"/>
      <c r="B19" s="461" t="s">
        <v>186</v>
      </c>
      <c r="C19" s="413">
        <v>200000</v>
      </c>
      <c r="D19" s="414" t="s">
        <v>266</v>
      </c>
      <c r="E19" s="91" t="s">
        <v>416</v>
      </c>
      <c r="F19" s="397">
        <v>145000</v>
      </c>
      <c r="G19" s="398"/>
      <c r="H19" s="399"/>
    </row>
    <row r="20" spans="1:8" ht="15.75" customHeight="1" x14ac:dyDescent="0.25">
      <c r="A20" s="410"/>
      <c r="B20" s="462"/>
      <c r="C20" s="415"/>
      <c r="D20" s="109" t="s">
        <v>266</v>
      </c>
      <c r="E20" s="40" t="s">
        <v>550</v>
      </c>
      <c r="F20" s="329">
        <v>57000</v>
      </c>
      <c r="G20" s="403"/>
      <c r="H20" s="404"/>
    </row>
    <row r="21" spans="1:8" ht="24.75" customHeight="1" x14ac:dyDescent="0.25">
      <c r="A21" s="410"/>
      <c r="B21" s="462"/>
      <c r="C21" s="415"/>
      <c r="D21" s="109" t="s">
        <v>387</v>
      </c>
      <c r="E21" s="42" t="s">
        <v>545</v>
      </c>
      <c r="F21" s="402">
        <v>75000</v>
      </c>
      <c r="G21" s="416"/>
      <c r="H21" s="404"/>
    </row>
    <row r="22" spans="1:8" ht="24.75" customHeight="1" x14ac:dyDescent="0.25">
      <c r="A22" s="410"/>
      <c r="B22" s="462"/>
      <c r="C22" s="415"/>
      <c r="D22" s="411"/>
      <c r="E22" s="36" t="s">
        <v>402</v>
      </c>
      <c r="F22" s="329">
        <v>100000</v>
      </c>
      <c r="G22" s="416"/>
      <c r="H22" s="404"/>
    </row>
    <row r="23" spans="1:8" ht="29.25" customHeight="1" x14ac:dyDescent="0.25">
      <c r="A23" s="410"/>
      <c r="B23" s="462"/>
      <c r="C23" s="415"/>
      <c r="D23" s="100"/>
      <c r="E23" s="36" t="s">
        <v>551</v>
      </c>
      <c r="F23" s="329">
        <v>76246</v>
      </c>
      <c r="G23" s="411"/>
      <c r="H23" s="89" t="s">
        <v>418</v>
      </c>
    </row>
    <row r="24" spans="1:8" ht="12.75" customHeight="1" x14ac:dyDescent="0.25">
      <c r="A24" s="410"/>
      <c r="B24" s="462"/>
      <c r="C24" s="415"/>
      <c r="D24" s="100"/>
      <c r="E24" s="36" t="s">
        <v>390</v>
      </c>
      <c r="F24" s="329">
        <v>7625</v>
      </c>
      <c r="G24" s="411"/>
      <c r="H24" s="89"/>
    </row>
    <row r="25" spans="1:8" ht="27" customHeight="1" x14ac:dyDescent="0.25">
      <c r="A25" s="410"/>
      <c r="B25" s="462"/>
      <c r="C25" s="415"/>
      <c r="D25" s="100"/>
      <c r="E25" s="36" t="s">
        <v>552</v>
      </c>
      <c r="F25" s="329">
        <v>101701</v>
      </c>
      <c r="G25" s="411"/>
      <c r="H25" s="89" t="s">
        <v>417</v>
      </c>
    </row>
    <row r="26" spans="1:8" ht="12.75" customHeight="1" x14ac:dyDescent="0.25">
      <c r="A26" s="410"/>
      <c r="B26" s="462"/>
      <c r="C26" s="415"/>
      <c r="D26" s="100"/>
      <c r="E26" s="36" t="s">
        <v>390</v>
      </c>
      <c r="F26" s="329">
        <v>10170</v>
      </c>
      <c r="G26" s="411"/>
      <c r="H26" s="404"/>
    </row>
    <row r="27" spans="1:8" ht="48.75" customHeight="1" x14ac:dyDescent="0.25">
      <c r="A27" s="410"/>
      <c r="B27" s="462"/>
      <c r="C27" s="415"/>
      <c r="D27" s="100" t="s">
        <v>419</v>
      </c>
      <c r="E27" s="40" t="s">
        <v>546</v>
      </c>
      <c r="F27" s="329">
        <v>20000</v>
      </c>
      <c r="G27" s="411"/>
      <c r="H27" s="404"/>
    </row>
    <row r="28" spans="1:8" ht="49.5" customHeight="1" thickBot="1" x14ac:dyDescent="0.3">
      <c r="A28" s="2464" t="s">
        <v>2</v>
      </c>
      <c r="B28" s="2465"/>
      <c r="C28" s="2466"/>
      <c r="D28" s="2466"/>
      <c r="E28" s="2466"/>
      <c r="F28" s="417">
        <f>SUM(F19:F27)</f>
        <v>592742</v>
      </c>
      <c r="G28" s="418">
        <f>F28-C19</f>
        <v>392742</v>
      </c>
      <c r="H28" s="408" t="s">
        <v>699</v>
      </c>
    </row>
    <row r="29" spans="1:8" ht="14.4" thickTop="1" x14ac:dyDescent="0.25">
      <c r="A29" s="409"/>
      <c r="B29" s="463" t="s">
        <v>187</v>
      </c>
      <c r="C29" s="395"/>
      <c r="D29" s="396" t="s">
        <v>388</v>
      </c>
      <c r="E29" s="91" t="s">
        <v>537</v>
      </c>
      <c r="F29" s="397">
        <v>165000</v>
      </c>
      <c r="G29" s="398"/>
      <c r="H29" s="399"/>
    </row>
    <row r="30" spans="1:8" x14ac:dyDescent="0.25">
      <c r="A30" s="410"/>
      <c r="B30" s="462"/>
      <c r="C30" s="411"/>
      <c r="D30" s="405" t="s">
        <v>388</v>
      </c>
      <c r="E30" s="42" t="s">
        <v>538</v>
      </c>
      <c r="F30" s="402">
        <v>10000</v>
      </c>
      <c r="G30" s="403"/>
      <c r="H30" s="404"/>
    </row>
    <row r="31" spans="1:8" x14ac:dyDescent="0.25">
      <c r="A31" s="410"/>
      <c r="B31" s="462"/>
      <c r="C31" s="411"/>
      <c r="D31" s="405" t="s">
        <v>419</v>
      </c>
      <c r="E31" s="42" t="s">
        <v>537</v>
      </c>
      <c r="F31" s="402">
        <v>35000</v>
      </c>
      <c r="G31" s="403"/>
      <c r="H31" s="404"/>
    </row>
    <row r="32" spans="1:8" ht="26.4" x14ac:dyDescent="0.25">
      <c r="A32" s="410"/>
      <c r="B32" s="462"/>
      <c r="C32" s="411"/>
      <c r="D32" s="405" t="s">
        <v>419</v>
      </c>
      <c r="E32" s="42" t="s">
        <v>539</v>
      </c>
      <c r="F32" s="402">
        <f>175000+13000+25000+15000</f>
        <v>228000</v>
      </c>
      <c r="G32" s="403"/>
      <c r="H32" s="404"/>
    </row>
    <row r="33" spans="1:9" x14ac:dyDescent="0.25">
      <c r="A33" s="410"/>
      <c r="B33" s="462"/>
      <c r="C33" s="411"/>
      <c r="D33" s="405" t="s">
        <v>432</v>
      </c>
      <c r="E33" s="42" t="s">
        <v>540</v>
      </c>
      <c r="F33" s="402">
        <v>20000</v>
      </c>
      <c r="G33" s="403"/>
      <c r="H33" s="404"/>
    </row>
    <row r="34" spans="1:9" x14ac:dyDescent="0.25">
      <c r="A34" s="410"/>
      <c r="B34" s="462"/>
      <c r="C34" s="411"/>
      <c r="D34" s="405" t="s">
        <v>541</v>
      </c>
      <c r="E34" s="42" t="s">
        <v>540</v>
      </c>
      <c r="F34" s="402">
        <v>25000</v>
      </c>
      <c r="G34" s="403"/>
      <c r="H34" s="404"/>
    </row>
    <row r="35" spans="1:9" x14ac:dyDescent="0.25">
      <c r="A35" s="410"/>
      <c r="B35" s="462"/>
      <c r="C35" s="411"/>
      <c r="D35" s="405" t="s">
        <v>495</v>
      </c>
      <c r="E35" s="42" t="s">
        <v>542</v>
      </c>
      <c r="F35" s="402">
        <v>50000</v>
      </c>
      <c r="G35" s="403"/>
      <c r="H35" s="404"/>
    </row>
    <row r="36" spans="1:9" x14ac:dyDescent="0.25">
      <c r="A36" s="410"/>
      <c r="B36" s="462"/>
      <c r="C36" s="411"/>
      <c r="D36" s="405" t="s">
        <v>494</v>
      </c>
      <c r="E36" s="42" t="s">
        <v>543</v>
      </c>
      <c r="F36" s="402">
        <f>43000+29000+11000+6000</f>
        <v>89000</v>
      </c>
      <c r="G36" s="403"/>
      <c r="H36" s="404"/>
    </row>
    <row r="37" spans="1:9" ht="26.4" x14ac:dyDescent="0.25">
      <c r="A37" s="410"/>
      <c r="B37" s="462"/>
      <c r="C37" s="411"/>
      <c r="D37" s="405" t="s">
        <v>500</v>
      </c>
      <c r="E37" s="42" t="s">
        <v>544</v>
      </c>
      <c r="F37" s="402">
        <v>25000</v>
      </c>
      <c r="G37" s="403"/>
      <c r="H37" s="404"/>
    </row>
    <row r="38" spans="1:9" ht="39.6" x14ac:dyDescent="0.25">
      <c r="A38" s="2470" t="s">
        <v>2</v>
      </c>
      <c r="B38" s="2469"/>
      <c r="C38" s="2471"/>
      <c r="D38" s="2471"/>
      <c r="E38" s="2471"/>
      <c r="F38" s="406">
        <f>SUM(F29:F37)</f>
        <v>647000</v>
      </c>
      <c r="G38" s="407">
        <f>F38-C16</f>
        <v>647000</v>
      </c>
      <c r="H38" s="408" t="s">
        <v>547</v>
      </c>
      <c r="I38" s="118">
        <f>F38+F28+F18</f>
        <v>2780742</v>
      </c>
    </row>
    <row r="39" spans="1:9" ht="26.4" x14ac:dyDescent="0.25">
      <c r="A39" s="1196" t="s">
        <v>623</v>
      </c>
      <c r="B39" s="1194" t="s">
        <v>187</v>
      </c>
      <c r="C39" s="1259">
        <v>500000</v>
      </c>
      <c r="D39" s="1201" t="s">
        <v>570</v>
      </c>
      <c r="E39" s="1202" t="s">
        <v>1040</v>
      </c>
      <c r="F39" s="1203">
        <v>117000</v>
      </c>
      <c r="G39" s="1192"/>
      <c r="H39" s="1193"/>
    </row>
    <row r="40" spans="1:9" x14ac:dyDescent="0.25">
      <c r="A40" s="466" t="s">
        <v>649</v>
      </c>
      <c r="B40" s="1197" t="s">
        <v>187</v>
      </c>
      <c r="C40" s="329">
        <v>500000</v>
      </c>
      <c r="D40" s="1204" t="s">
        <v>565</v>
      </c>
      <c r="E40" s="40" t="s">
        <v>1038</v>
      </c>
      <c r="F40" s="329">
        <v>95000</v>
      </c>
      <c r="G40" s="1192"/>
      <c r="H40" s="1193"/>
    </row>
    <row r="41" spans="1:9" ht="26.4" x14ac:dyDescent="0.25">
      <c r="A41" s="1198"/>
      <c r="B41" s="1199"/>
      <c r="C41" s="1200"/>
      <c r="D41" s="1204" t="s">
        <v>576</v>
      </c>
      <c r="E41" s="40" t="s">
        <v>1041</v>
      </c>
      <c r="F41" s="329">
        <v>42000</v>
      </c>
      <c r="G41" s="1192"/>
      <c r="H41" s="1193"/>
    </row>
    <row r="42" spans="1:9" x14ac:dyDescent="0.25">
      <c r="A42" s="1198"/>
      <c r="B42" s="1199"/>
      <c r="C42" s="1200"/>
      <c r="D42" s="1204" t="s">
        <v>553</v>
      </c>
      <c r="E42" s="40" t="s">
        <v>1042</v>
      </c>
      <c r="F42" s="329">
        <v>70000</v>
      </c>
      <c r="G42" s="1192"/>
      <c r="H42" s="1193"/>
    </row>
    <row r="43" spans="1:9" ht="26.4" x14ac:dyDescent="0.25">
      <c r="A43" s="1198"/>
      <c r="B43" s="1199"/>
      <c r="C43" s="1200"/>
      <c r="D43" s="1204" t="s">
        <v>554</v>
      </c>
      <c r="E43" s="40" t="s">
        <v>1043</v>
      </c>
      <c r="F43" s="329">
        <v>47000</v>
      </c>
      <c r="G43" s="1192"/>
      <c r="H43" s="1193"/>
    </row>
    <row r="44" spans="1:9" ht="26.4" x14ac:dyDescent="0.25">
      <c r="A44" s="1198"/>
      <c r="B44" s="1199"/>
      <c r="C44" s="1200"/>
      <c r="D44" s="1204" t="s">
        <v>579</v>
      </c>
      <c r="E44" s="40" t="s">
        <v>1044</v>
      </c>
      <c r="F44" s="329">
        <v>83000</v>
      </c>
      <c r="G44" s="1192"/>
      <c r="H44" s="1193"/>
    </row>
    <row r="45" spans="1:9" x14ac:dyDescent="0.25">
      <c r="A45" s="1198"/>
      <c r="B45" s="1199"/>
      <c r="C45" s="1200"/>
      <c r="D45" s="1204" t="s">
        <v>1045</v>
      </c>
      <c r="E45" s="40" t="s">
        <v>1046</v>
      </c>
      <c r="F45" s="329">
        <v>54000</v>
      </c>
      <c r="G45" s="1192"/>
      <c r="H45" s="1193"/>
    </row>
    <row r="46" spans="1:9" x14ac:dyDescent="0.25">
      <c r="A46" s="1198"/>
      <c r="B46" s="1199"/>
      <c r="C46" s="1200"/>
      <c r="D46" s="1204" t="s">
        <v>602</v>
      </c>
      <c r="E46" s="40" t="s">
        <v>1046</v>
      </c>
      <c r="F46" s="329">
        <v>33000</v>
      </c>
      <c r="G46" s="1192"/>
      <c r="H46" s="1193"/>
    </row>
    <row r="47" spans="1:9" x14ac:dyDescent="0.25">
      <c r="A47" s="1198"/>
      <c r="B47" s="1199"/>
      <c r="C47" s="1200"/>
      <c r="D47" s="1204" t="s">
        <v>623</v>
      </c>
      <c r="E47" s="40" t="s">
        <v>1047</v>
      </c>
      <c r="F47" s="329">
        <v>65000</v>
      </c>
      <c r="G47" s="1192"/>
      <c r="H47" s="1193"/>
    </row>
    <row r="48" spans="1:9" ht="26.4" x14ac:dyDescent="0.25">
      <c r="A48" s="1198"/>
      <c r="B48" s="1199"/>
      <c r="C48" s="1200"/>
      <c r="D48" s="1204" t="s">
        <v>633</v>
      </c>
      <c r="E48" s="40" t="s">
        <v>1048</v>
      </c>
      <c r="F48" s="329">
        <v>87000</v>
      </c>
      <c r="G48" s="1192"/>
      <c r="H48" s="1193"/>
    </row>
    <row r="49" spans="1:8" ht="26.4" x14ac:dyDescent="0.25">
      <c r="A49" s="1198"/>
      <c r="B49" s="1199"/>
      <c r="C49" s="1200"/>
      <c r="D49" s="396" t="s">
        <v>633</v>
      </c>
      <c r="E49" s="91" t="s">
        <v>694</v>
      </c>
      <c r="F49" s="397">
        <v>350000</v>
      </c>
      <c r="G49" s="1192"/>
      <c r="H49" s="1193"/>
    </row>
    <row r="50" spans="1:8" ht="26.4" x14ac:dyDescent="0.25">
      <c r="A50" s="1198"/>
      <c r="B50" s="1199"/>
      <c r="C50" s="1200"/>
      <c r="D50" s="396" t="s">
        <v>633</v>
      </c>
      <c r="E50" s="42" t="s">
        <v>695</v>
      </c>
      <c r="F50" s="402">
        <v>50000</v>
      </c>
      <c r="G50" s="1192"/>
      <c r="H50" s="1193"/>
    </row>
    <row r="51" spans="1:8" ht="26.4" x14ac:dyDescent="0.25">
      <c r="A51" s="1198"/>
      <c r="B51" s="1199"/>
      <c r="C51" s="1200"/>
      <c r="D51" s="396" t="s">
        <v>633</v>
      </c>
      <c r="E51" s="42" t="s">
        <v>696</v>
      </c>
      <c r="F51" s="402">
        <v>65000</v>
      </c>
      <c r="G51" s="1192"/>
      <c r="H51" s="1193"/>
    </row>
    <row r="52" spans="1:8" ht="26.4" x14ac:dyDescent="0.25">
      <c r="A52" s="1198"/>
      <c r="B52" s="1199"/>
      <c r="C52" s="1200"/>
      <c r="D52" s="396" t="s">
        <v>633</v>
      </c>
      <c r="E52" s="42" t="s">
        <v>697</v>
      </c>
      <c r="F52" s="402">
        <v>35000</v>
      </c>
      <c r="G52" s="1192"/>
      <c r="H52" s="1193"/>
    </row>
    <row r="53" spans="1:8" x14ac:dyDescent="0.25">
      <c r="A53" s="1198"/>
      <c r="B53" s="1199"/>
      <c r="C53" s="1200"/>
      <c r="D53" s="1204" t="s">
        <v>655</v>
      </c>
      <c r="E53" s="40" t="s">
        <v>1046</v>
      </c>
      <c r="F53" s="329">
        <v>11000</v>
      </c>
      <c r="G53" s="1192"/>
      <c r="H53" s="1193"/>
    </row>
    <row r="54" spans="1:8" x14ac:dyDescent="0.25">
      <c r="A54" s="1198"/>
      <c r="B54" s="1199"/>
      <c r="C54" s="1200"/>
      <c r="D54" s="1204" t="s">
        <v>658</v>
      </c>
      <c r="E54" s="40" t="s">
        <v>1049</v>
      </c>
      <c r="F54" s="329">
        <v>25000</v>
      </c>
      <c r="G54" s="1192"/>
      <c r="H54" s="1193"/>
    </row>
    <row r="55" spans="1:8" x14ac:dyDescent="0.25">
      <c r="A55" s="1198"/>
      <c r="B55" s="1199"/>
      <c r="C55" s="1200"/>
      <c r="D55" s="1204" t="s">
        <v>634</v>
      </c>
      <c r="E55" s="40" t="s">
        <v>1046</v>
      </c>
      <c r="F55" s="329">
        <v>42000</v>
      </c>
      <c r="G55" s="1192"/>
      <c r="H55" s="1193"/>
    </row>
    <row r="56" spans="1:8" x14ac:dyDescent="0.25">
      <c r="A56" s="1198"/>
      <c r="B56" s="1199"/>
      <c r="C56" s="1200"/>
      <c r="D56" s="1204" t="s">
        <v>651</v>
      </c>
      <c r="E56" s="40" t="s">
        <v>1046</v>
      </c>
      <c r="F56" s="329">
        <v>50000</v>
      </c>
      <c r="G56" s="1192"/>
      <c r="H56" s="1193"/>
    </row>
    <row r="57" spans="1:8" x14ac:dyDescent="0.25">
      <c r="A57" s="1198"/>
      <c r="B57" s="1199"/>
      <c r="C57" s="1200"/>
      <c r="D57" s="1204" t="s">
        <v>649</v>
      </c>
      <c r="E57" s="40" t="s">
        <v>1050</v>
      </c>
      <c r="F57" s="329">
        <v>99000</v>
      </c>
      <c r="G57" s="1192"/>
      <c r="H57" s="1193"/>
    </row>
    <row r="58" spans="1:8" x14ac:dyDescent="0.25">
      <c r="A58" s="1198"/>
      <c r="B58" s="1199"/>
      <c r="C58" s="1200"/>
      <c r="D58" s="1204" t="s">
        <v>718</v>
      </c>
      <c r="E58" s="40" t="s">
        <v>1051</v>
      </c>
      <c r="F58" s="329">
        <v>150000</v>
      </c>
      <c r="G58" s="1192"/>
      <c r="H58" s="1193"/>
    </row>
    <row r="59" spans="1:8" x14ac:dyDescent="0.25">
      <c r="A59" s="1198"/>
      <c r="B59" s="1199"/>
      <c r="C59" s="1200"/>
      <c r="D59" s="1204" t="s">
        <v>718</v>
      </c>
      <c r="E59" s="40" t="s">
        <v>1052</v>
      </c>
      <c r="F59" s="329">
        <v>135000</v>
      </c>
      <c r="G59" s="1192"/>
      <c r="H59" s="1193"/>
    </row>
    <row r="60" spans="1:8" x14ac:dyDescent="0.25">
      <c r="A60" s="1198"/>
      <c r="B60" s="1199"/>
      <c r="C60" s="1200"/>
      <c r="D60" s="1204" t="s">
        <v>718</v>
      </c>
      <c r="E60" s="40" t="s">
        <v>1053</v>
      </c>
      <c r="F60" s="329">
        <v>55000</v>
      </c>
      <c r="G60" s="1192"/>
      <c r="H60" s="1193"/>
    </row>
    <row r="61" spans="1:8" ht="26.4" x14ac:dyDescent="0.25">
      <c r="A61" s="1198"/>
      <c r="B61" s="1199"/>
      <c r="C61" s="1200"/>
      <c r="D61" s="1204" t="s">
        <v>680</v>
      </c>
      <c r="E61" s="40" t="s">
        <v>1054</v>
      </c>
      <c r="F61" s="329">
        <v>200000</v>
      </c>
      <c r="G61" s="1192"/>
      <c r="H61" s="1193"/>
    </row>
    <row r="62" spans="1:8" x14ac:dyDescent="0.25">
      <c r="A62" s="1196"/>
      <c r="B62" s="1194"/>
      <c r="C62" s="1195"/>
      <c r="D62" s="1204" t="s">
        <v>700</v>
      </c>
      <c r="E62" s="40" t="s">
        <v>1055</v>
      </c>
      <c r="F62" s="329">
        <v>40000</v>
      </c>
      <c r="G62" s="1192"/>
      <c r="H62" s="1193"/>
    </row>
    <row r="63" spans="1:8" ht="39.6" x14ac:dyDescent="0.25">
      <c r="A63" s="1196"/>
      <c r="B63" s="1194"/>
      <c r="C63" s="1195"/>
      <c r="D63" s="1204"/>
      <c r="E63" s="40" t="s">
        <v>1056</v>
      </c>
      <c r="F63" s="329">
        <v>150000</v>
      </c>
      <c r="G63" s="1192"/>
      <c r="H63" s="1193"/>
    </row>
    <row r="64" spans="1:8" ht="39.6" x14ac:dyDescent="0.25">
      <c r="A64" s="1196"/>
      <c r="B64" s="1194"/>
      <c r="C64" s="1195"/>
      <c r="D64" s="1204"/>
      <c r="E64" s="40" t="s">
        <v>1057</v>
      </c>
      <c r="F64" s="329">
        <v>600000</v>
      </c>
      <c r="G64" s="1192"/>
      <c r="H64" s="1193"/>
    </row>
    <row r="65" spans="1:9" x14ac:dyDescent="0.25">
      <c r="A65" s="1196"/>
      <c r="B65" s="1194"/>
      <c r="C65" s="1195"/>
      <c r="D65" s="1204"/>
      <c r="E65" s="40" t="s">
        <v>1058</v>
      </c>
      <c r="F65" s="329">
        <v>332000</v>
      </c>
      <c r="G65" s="1192"/>
      <c r="H65" s="1193"/>
    </row>
    <row r="66" spans="1:9" x14ac:dyDescent="0.25">
      <c r="A66" s="2475" t="s">
        <v>1386</v>
      </c>
      <c r="B66" s="2476"/>
      <c r="C66" s="2476"/>
      <c r="D66" s="2476"/>
      <c r="E66" s="2477"/>
      <c r="F66" s="464">
        <f>SUM(F39:F65)</f>
        <v>3082000</v>
      </c>
      <c r="G66" s="1211">
        <f>C39+C40-F66</f>
        <v>-2082000</v>
      </c>
      <c r="H66" s="1212"/>
      <c r="I66" s="24" t="s">
        <v>1375</v>
      </c>
    </row>
    <row r="67" spans="1:9" ht="39.6" x14ac:dyDescent="0.25">
      <c r="A67" s="1207" t="s">
        <v>981</v>
      </c>
      <c r="B67" s="1208" t="s">
        <v>187</v>
      </c>
      <c r="C67" s="331">
        <v>500000</v>
      </c>
      <c r="D67" s="1209" t="s">
        <v>764</v>
      </c>
      <c r="E67" s="1210" t="s">
        <v>1066</v>
      </c>
      <c r="F67" s="331">
        <v>350000</v>
      </c>
      <c r="G67" s="1192"/>
      <c r="H67" s="1193"/>
    </row>
    <row r="68" spans="1:9" ht="26.4" x14ac:dyDescent="0.25">
      <c r="D68" s="1204" t="s">
        <v>852</v>
      </c>
      <c r="E68" s="40" t="s">
        <v>1063</v>
      </c>
      <c r="F68" s="329">
        <v>52000</v>
      </c>
      <c r="G68" s="1192"/>
      <c r="H68" s="1193"/>
    </row>
    <row r="69" spans="1:9" x14ac:dyDescent="0.25">
      <c r="D69" s="1204" t="s">
        <v>1015</v>
      </c>
      <c r="E69" s="40" t="s">
        <v>1064</v>
      </c>
      <c r="F69" s="329">
        <v>40000</v>
      </c>
      <c r="G69" s="398"/>
      <c r="H69" s="399"/>
    </row>
    <row r="70" spans="1:9" x14ac:dyDescent="0.25">
      <c r="A70" s="466"/>
      <c r="B70" s="462"/>
      <c r="C70" s="329"/>
      <c r="D70" s="1204" t="s">
        <v>761</v>
      </c>
      <c r="E70" s="40" t="s">
        <v>1065</v>
      </c>
      <c r="F70" s="329">
        <v>55000</v>
      </c>
      <c r="G70" s="398"/>
      <c r="H70" s="399"/>
    </row>
    <row r="71" spans="1:9" ht="26.4" x14ac:dyDescent="0.25">
      <c r="A71" s="466"/>
      <c r="B71" s="462"/>
      <c r="C71" s="329"/>
      <c r="D71" s="1204" t="s">
        <v>1017</v>
      </c>
      <c r="E71" s="40" t="s">
        <v>1067</v>
      </c>
      <c r="F71" s="329">
        <v>145000</v>
      </c>
      <c r="G71" s="398"/>
      <c r="H71" s="399"/>
    </row>
    <row r="72" spans="1:9" ht="26.4" x14ac:dyDescent="0.25">
      <c r="A72" s="466"/>
      <c r="B72" s="462"/>
      <c r="C72" s="329"/>
      <c r="D72" s="1204" t="s">
        <v>847</v>
      </c>
      <c r="E72" s="40" t="s">
        <v>1039</v>
      </c>
      <c r="F72" s="329">
        <v>80000</v>
      </c>
      <c r="G72" s="398"/>
      <c r="H72" s="399"/>
    </row>
    <row r="73" spans="1:9" ht="26.4" x14ac:dyDescent="0.25">
      <c r="A73" s="466"/>
      <c r="B73" s="462"/>
      <c r="C73" s="329"/>
      <c r="D73" s="1204" t="s">
        <v>981</v>
      </c>
      <c r="E73" s="40" t="s">
        <v>1070</v>
      </c>
      <c r="F73" s="329">
        <f>45000+25000+20000+35000+22000+42000</f>
        <v>189000</v>
      </c>
      <c r="G73" s="398"/>
      <c r="H73" s="399"/>
    </row>
    <row r="74" spans="1:9" x14ac:dyDescent="0.25">
      <c r="A74" s="466"/>
      <c r="B74" s="462"/>
      <c r="C74" s="329"/>
      <c r="D74" s="1204" t="s">
        <v>1006</v>
      </c>
      <c r="E74" s="40" t="s">
        <v>1068</v>
      </c>
      <c r="F74" s="329">
        <v>80000</v>
      </c>
      <c r="G74" s="398"/>
      <c r="H74" s="399"/>
    </row>
    <row r="75" spans="1:9" ht="26.4" x14ac:dyDescent="0.25">
      <c r="A75" s="466"/>
      <c r="B75" s="462"/>
      <c r="C75" s="329"/>
      <c r="D75" s="1204" t="s">
        <v>983</v>
      </c>
      <c r="E75" s="40" t="s">
        <v>1039</v>
      </c>
      <c r="F75" s="329">
        <v>53000</v>
      </c>
      <c r="G75" s="398"/>
      <c r="H75" s="399"/>
    </row>
    <row r="76" spans="1:9" ht="26.4" x14ac:dyDescent="0.25">
      <c r="A76" s="466"/>
      <c r="B76" s="462"/>
      <c r="C76" s="329"/>
      <c r="D76" s="1204" t="s">
        <v>984</v>
      </c>
      <c r="E76" s="40" t="s">
        <v>1039</v>
      </c>
      <c r="F76" s="329">
        <v>82000</v>
      </c>
      <c r="G76" s="398"/>
      <c r="H76" s="399"/>
    </row>
    <row r="77" spans="1:9" x14ac:dyDescent="0.25">
      <c r="A77" s="466"/>
      <c r="B77" s="462"/>
      <c r="C77" s="329"/>
      <c r="D77" s="1205" t="s">
        <v>902</v>
      </c>
      <c r="E77" s="1206" t="s">
        <v>1074</v>
      </c>
      <c r="F77" s="329">
        <v>110000</v>
      </c>
      <c r="G77" s="398"/>
      <c r="H77" s="399"/>
    </row>
    <row r="78" spans="1:9" x14ac:dyDescent="0.25">
      <c r="A78" s="466"/>
      <c r="B78" s="462"/>
      <c r="C78" s="329"/>
      <c r="D78" s="1205" t="s">
        <v>984</v>
      </c>
      <c r="E78" s="1206" t="s">
        <v>1074</v>
      </c>
      <c r="F78" s="329">
        <v>70000</v>
      </c>
      <c r="G78" s="398"/>
      <c r="H78" s="399"/>
    </row>
    <row r="79" spans="1:9" x14ac:dyDescent="0.25">
      <c r="A79" s="2475" t="s">
        <v>1385</v>
      </c>
      <c r="B79" s="2476"/>
      <c r="C79" s="2476"/>
      <c r="D79" s="2476"/>
      <c r="E79" s="2477"/>
      <c r="F79" s="464">
        <f>SUM(F67:F78)</f>
        <v>1306000</v>
      </c>
      <c r="G79" s="407"/>
      <c r="H79" s="465"/>
      <c r="I79" s="24" t="s">
        <v>1375</v>
      </c>
    </row>
    <row r="80" spans="1:9" ht="26.4" x14ac:dyDescent="0.25">
      <c r="A80" s="1207" t="s">
        <v>1126</v>
      </c>
      <c r="B80" s="1208" t="s">
        <v>187</v>
      </c>
      <c r="C80" s="331">
        <v>500000</v>
      </c>
      <c r="D80" s="396" t="s">
        <v>1018</v>
      </c>
      <c r="E80" s="91" t="s">
        <v>1376</v>
      </c>
      <c r="F80" s="397">
        <v>116000</v>
      </c>
      <c r="G80" s="398"/>
      <c r="H80" s="399"/>
    </row>
    <row r="81" spans="1:8" ht="26.4" x14ac:dyDescent="0.25">
      <c r="A81" s="410"/>
      <c r="B81" s="462"/>
      <c r="C81" s="411"/>
      <c r="D81" s="405" t="s">
        <v>1030</v>
      </c>
      <c r="E81" s="91" t="s">
        <v>1376</v>
      </c>
      <c r="F81" s="402">
        <v>84000</v>
      </c>
      <c r="G81" s="403"/>
      <c r="H81" s="404"/>
    </row>
    <row r="82" spans="1:8" ht="26.4" x14ac:dyDescent="0.25">
      <c r="A82" s="105"/>
      <c r="B82" s="62"/>
      <c r="C82" s="62"/>
      <c r="D82" s="405" t="s">
        <v>1126</v>
      </c>
      <c r="E82" s="42" t="s">
        <v>1039</v>
      </c>
      <c r="F82" s="402">
        <v>58000</v>
      </c>
      <c r="G82" s="403"/>
      <c r="H82" s="404"/>
    </row>
    <row r="83" spans="1:8" ht="26.4" x14ac:dyDescent="0.25">
      <c r="A83" s="410"/>
      <c r="B83" s="411"/>
      <c r="C83" s="411"/>
      <c r="D83" s="405" t="s">
        <v>1033</v>
      </c>
      <c r="E83" s="42" t="s">
        <v>1377</v>
      </c>
      <c r="F83" s="402">
        <v>20000</v>
      </c>
      <c r="G83" s="403"/>
      <c r="H83" s="404"/>
    </row>
    <row r="84" spans="1:8" ht="26.4" x14ac:dyDescent="0.25">
      <c r="A84" s="1272"/>
      <c r="B84" s="1273"/>
      <c r="C84" s="1273"/>
      <c r="D84" s="405" t="s">
        <v>1107</v>
      </c>
      <c r="E84" s="42" t="s">
        <v>1378</v>
      </c>
      <c r="F84" s="402">
        <v>55000</v>
      </c>
      <c r="G84" s="403"/>
      <c r="H84" s="404"/>
    </row>
    <row r="85" spans="1:8" ht="39.6" x14ac:dyDescent="0.25">
      <c r="A85" s="410"/>
      <c r="B85" s="411"/>
      <c r="C85" s="411"/>
      <c r="D85" s="405" t="s">
        <v>1379</v>
      </c>
      <c r="E85" s="42" t="s">
        <v>1376</v>
      </c>
      <c r="F85" s="402">
        <v>69000</v>
      </c>
      <c r="G85" s="403"/>
      <c r="H85" s="404"/>
    </row>
    <row r="86" spans="1:8" ht="39.6" x14ac:dyDescent="0.25">
      <c r="A86" s="1272"/>
      <c r="B86" s="1273"/>
      <c r="C86" s="1273"/>
      <c r="D86" s="405" t="s">
        <v>1164</v>
      </c>
      <c r="E86" s="42" t="s">
        <v>1376</v>
      </c>
      <c r="F86" s="402">
        <v>49000</v>
      </c>
      <c r="G86" s="403"/>
      <c r="H86" s="404"/>
    </row>
    <row r="87" spans="1:8" ht="26.4" x14ac:dyDescent="0.25">
      <c r="A87" s="410"/>
      <c r="B87" s="411"/>
      <c r="C87" s="411"/>
      <c r="D87" s="405"/>
      <c r="E87" s="42" t="s">
        <v>1380</v>
      </c>
      <c r="F87" s="402">
        <v>230000</v>
      </c>
      <c r="G87" s="403"/>
      <c r="H87" s="404"/>
    </row>
    <row r="88" spans="1:8" ht="39.6" x14ac:dyDescent="0.25">
      <c r="A88" s="1272"/>
      <c r="B88" s="1273"/>
      <c r="C88" s="1273"/>
      <c r="D88" s="405" t="s">
        <v>1196</v>
      </c>
      <c r="E88" s="42" t="s">
        <v>1381</v>
      </c>
      <c r="F88" s="402">
        <v>87000</v>
      </c>
      <c r="G88" s="403"/>
      <c r="H88" s="404"/>
    </row>
    <row r="89" spans="1:8" ht="39.6" x14ac:dyDescent="0.25">
      <c r="A89" s="410"/>
      <c r="B89" s="411"/>
      <c r="C89" s="411"/>
      <c r="D89" s="405" t="s">
        <v>1382</v>
      </c>
      <c r="E89" s="42" t="s">
        <v>1039</v>
      </c>
      <c r="F89" s="402">
        <v>106000</v>
      </c>
      <c r="G89" s="403"/>
      <c r="H89" s="404"/>
    </row>
    <row r="90" spans="1:8" ht="39.6" x14ac:dyDescent="0.25">
      <c r="A90" s="410"/>
      <c r="B90" s="411"/>
      <c r="C90" s="411"/>
      <c r="D90" s="405" t="s">
        <v>1205</v>
      </c>
      <c r="E90" s="42" t="s">
        <v>1039</v>
      </c>
      <c r="F90" s="402">
        <v>110000</v>
      </c>
      <c r="G90" s="403"/>
      <c r="H90" s="404"/>
    </row>
    <row r="91" spans="1:8" ht="39.6" x14ac:dyDescent="0.25">
      <c r="A91" s="1272"/>
      <c r="B91" s="1273"/>
      <c r="C91" s="1273"/>
      <c r="D91" s="405" t="s">
        <v>1243</v>
      </c>
      <c r="E91" s="42" t="s">
        <v>1039</v>
      </c>
      <c r="F91" s="402">
        <v>60000</v>
      </c>
      <c r="G91" s="403"/>
      <c r="H91" s="404"/>
    </row>
    <row r="92" spans="1:8" ht="39.6" x14ac:dyDescent="0.25">
      <c r="A92" s="1272"/>
      <c r="B92" s="1273"/>
      <c r="C92" s="1273"/>
      <c r="D92" s="405" t="s">
        <v>1372</v>
      </c>
      <c r="E92" s="42" t="s">
        <v>696</v>
      </c>
      <c r="F92" s="402">
        <v>35000</v>
      </c>
      <c r="G92" s="403"/>
      <c r="H92" s="404"/>
    </row>
    <row r="93" spans="1:8" x14ac:dyDescent="0.25">
      <c r="A93" s="410"/>
      <c r="B93" s="411"/>
      <c r="C93" s="411"/>
      <c r="D93" s="405"/>
      <c r="E93" s="42" t="s">
        <v>1383</v>
      </c>
      <c r="F93" s="402">
        <v>65000</v>
      </c>
      <c r="G93" s="403"/>
      <c r="H93" s="404"/>
    </row>
    <row r="94" spans="1:8" x14ac:dyDescent="0.25">
      <c r="A94" s="410"/>
      <c r="B94" s="411"/>
      <c r="C94" s="411"/>
      <c r="D94" s="405"/>
      <c r="E94" s="42" t="s">
        <v>540</v>
      </c>
      <c r="F94" s="402">
        <v>83000</v>
      </c>
      <c r="G94" s="403"/>
      <c r="H94" s="404"/>
    </row>
    <row r="95" spans="1:8" ht="39.6" x14ac:dyDescent="0.25">
      <c r="A95" s="410"/>
      <c r="B95" s="411"/>
      <c r="C95" s="411"/>
      <c r="D95" s="405" t="s">
        <v>1368</v>
      </c>
      <c r="E95" s="42" t="s">
        <v>1039</v>
      </c>
      <c r="F95" s="402">
        <v>55000</v>
      </c>
      <c r="G95" s="403"/>
      <c r="H95" s="404"/>
    </row>
    <row r="96" spans="1:8" x14ac:dyDescent="0.25">
      <c r="A96" s="2472" t="s">
        <v>1384</v>
      </c>
      <c r="B96" s="2473"/>
      <c r="C96" s="2473"/>
      <c r="D96" s="2473"/>
      <c r="E96" s="2474"/>
      <c r="F96" s="464">
        <f>SUM(F80:F95)</f>
        <v>1282000</v>
      </c>
      <c r="G96" s="407"/>
      <c r="H96" s="465"/>
    </row>
    <row r="97" spans="1:8" x14ac:dyDescent="0.25">
      <c r="A97" s="1272"/>
      <c r="B97" s="1273"/>
      <c r="C97" s="1273"/>
      <c r="D97" s="396"/>
      <c r="E97" s="91"/>
      <c r="F97" s="397"/>
      <c r="G97" s="398"/>
      <c r="H97" s="399"/>
    </row>
    <row r="98" spans="1:8" x14ac:dyDescent="0.25">
      <c r="A98" s="410"/>
      <c r="B98" s="411"/>
      <c r="C98" s="411"/>
      <c r="D98" s="405"/>
      <c r="E98" s="42"/>
      <c r="F98" s="402"/>
      <c r="G98" s="403"/>
      <c r="H98" s="404"/>
    </row>
    <row r="99" spans="1:8" x14ac:dyDescent="0.25">
      <c r="A99" s="410"/>
      <c r="B99" s="411"/>
      <c r="C99" s="411"/>
      <c r="D99" s="405"/>
      <c r="E99" s="42"/>
      <c r="F99" s="402"/>
      <c r="G99" s="403"/>
      <c r="H99" s="404"/>
    </row>
    <row r="100" spans="1:8" x14ac:dyDescent="0.25">
      <c r="A100" s="1272"/>
      <c r="B100" s="1273"/>
      <c r="C100" s="1273"/>
      <c r="D100" s="405"/>
      <c r="E100" s="42"/>
      <c r="F100" s="402"/>
      <c r="G100" s="403"/>
      <c r="H100" s="404"/>
    </row>
    <row r="101" spans="1:8" x14ac:dyDescent="0.25">
      <c r="A101" s="410"/>
      <c r="B101" s="411"/>
      <c r="C101" s="411"/>
      <c r="D101" s="405"/>
      <c r="E101" s="42"/>
      <c r="F101" s="402"/>
      <c r="G101" s="403"/>
      <c r="H101" s="404"/>
    </row>
    <row r="102" spans="1:8" x14ac:dyDescent="0.25">
      <c r="A102" s="1272"/>
      <c r="B102" s="1273"/>
      <c r="C102" s="1273"/>
      <c r="D102" s="405"/>
      <c r="E102" s="42"/>
      <c r="F102" s="402"/>
      <c r="G102" s="403"/>
      <c r="H102" s="404"/>
    </row>
    <row r="103" spans="1:8" x14ac:dyDescent="0.25">
      <c r="A103" s="410"/>
      <c r="B103" s="411"/>
      <c r="C103" s="411"/>
      <c r="D103" s="405"/>
      <c r="E103" s="42"/>
      <c r="F103" s="402"/>
      <c r="G103" s="403"/>
      <c r="H103" s="404"/>
    </row>
    <row r="104" spans="1:8" x14ac:dyDescent="0.25">
      <c r="A104" s="2470" t="s">
        <v>2</v>
      </c>
      <c r="B104" s="2469"/>
      <c r="C104" s="2471"/>
      <c r="D104" s="2471"/>
      <c r="E104" s="2471"/>
      <c r="F104" s="406"/>
      <c r="G104" s="407">
        <f>F104-C26</f>
        <v>0</v>
      </c>
      <c r="H104" s="408"/>
    </row>
  </sheetData>
  <mergeCells count="8">
    <mergeCell ref="A28:E28"/>
    <mergeCell ref="A4:H4"/>
    <mergeCell ref="A18:E18"/>
    <mergeCell ref="A38:E38"/>
    <mergeCell ref="A104:E104"/>
    <mergeCell ref="A96:E96"/>
    <mergeCell ref="A66:E66"/>
    <mergeCell ref="A79:E79"/>
  </mergeCells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opLeftCell="A13" workbookViewId="0">
      <selection activeCell="F22" sqref="F22"/>
    </sheetView>
  </sheetViews>
  <sheetFormatPr defaultColWidth="9" defaultRowHeight="13.8" x14ac:dyDescent="0.25"/>
  <cols>
    <col min="1" max="1" width="5.109375" style="24" customWidth="1"/>
    <col min="2" max="2" width="14.5546875" style="24" customWidth="1"/>
    <col min="3" max="3" width="18.109375" style="24" customWidth="1"/>
    <col min="4" max="4" width="5.5546875" style="24" customWidth="1"/>
    <col min="5" max="5" width="11.109375" style="24" customWidth="1"/>
    <col min="6" max="6" width="14.88671875" style="24" customWidth="1"/>
    <col min="7" max="7" width="8.109375" style="24" customWidth="1"/>
    <col min="8" max="16384" width="9" style="24"/>
  </cols>
  <sheetData>
    <row r="1" spans="1:15" s="106" customFormat="1" ht="13.2" x14ac:dyDescent="0.25">
      <c r="A1" s="248" t="s">
        <v>3</v>
      </c>
      <c r="B1" s="248"/>
      <c r="C1" s="249"/>
      <c r="F1" s="250" t="s">
        <v>4</v>
      </c>
      <c r="G1" s="251"/>
    </row>
    <row r="2" spans="1:15" s="106" customFormat="1" ht="13.2" x14ac:dyDescent="0.25">
      <c r="A2" s="252" t="s">
        <v>5</v>
      </c>
      <c r="B2" s="252"/>
      <c r="C2" s="253"/>
      <c r="F2" s="254" t="s">
        <v>6</v>
      </c>
      <c r="G2" s="251"/>
    </row>
    <row r="3" spans="1:15" s="106" customFormat="1" ht="13.2" x14ac:dyDescent="0.25">
      <c r="A3" s="252" t="s">
        <v>7</v>
      </c>
      <c r="B3" s="252"/>
      <c r="C3" s="253"/>
      <c r="D3" s="255"/>
      <c r="E3" s="256"/>
      <c r="F3" s="255"/>
      <c r="H3" s="251"/>
    </row>
    <row r="4" spans="1:15" s="106" customFormat="1" ht="13.2" x14ac:dyDescent="0.25">
      <c r="A4" s="252" t="s">
        <v>8</v>
      </c>
      <c r="B4" s="252"/>
      <c r="C4" s="253"/>
      <c r="D4" s="255"/>
      <c r="E4" s="256"/>
      <c r="F4" s="255"/>
      <c r="H4" s="251"/>
    </row>
    <row r="5" spans="1:15" s="106" customFormat="1" ht="13.2" x14ac:dyDescent="0.25">
      <c r="A5" s="257" t="s">
        <v>9</v>
      </c>
      <c r="B5" s="257"/>
      <c r="C5" s="258"/>
      <c r="D5" s="255"/>
      <c r="E5" s="256"/>
      <c r="F5" s="255"/>
      <c r="H5" s="251"/>
    </row>
    <row r="6" spans="1:15" s="106" customFormat="1" ht="13.2" x14ac:dyDescent="0.25">
      <c r="A6" s="257" t="s">
        <v>98</v>
      </c>
      <c r="C6" s="251"/>
      <c r="D6" s="251"/>
      <c r="I6" s="2478"/>
      <c r="J6" s="2478"/>
      <c r="K6" s="2478"/>
      <c r="L6" s="250"/>
      <c r="M6" s="250"/>
      <c r="N6" s="250"/>
      <c r="O6" s="250"/>
    </row>
    <row r="7" spans="1:15" s="106" customFormat="1" ht="13.2" x14ac:dyDescent="0.25">
      <c r="A7" s="257"/>
      <c r="C7" s="251"/>
      <c r="D7" s="251"/>
      <c r="I7" s="250"/>
      <c r="J7" s="250"/>
      <c r="K7" s="250"/>
      <c r="L7" s="250"/>
      <c r="M7" s="250"/>
      <c r="N7" s="250"/>
      <c r="O7" s="250"/>
    </row>
    <row r="8" spans="1:15" s="106" customFormat="1" ht="13.2" x14ac:dyDescent="0.25">
      <c r="A8" s="257"/>
      <c r="C8" s="251"/>
      <c r="D8" s="251"/>
      <c r="E8" s="257" t="s">
        <v>309</v>
      </c>
      <c r="I8" s="250"/>
      <c r="J8" s="250"/>
      <c r="K8" s="250"/>
      <c r="L8" s="250"/>
      <c r="M8" s="250"/>
      <c r="N8" s="250"/>
      <c r="O8" s="250"/>
    </row>
    <row r="9" spans="1:15" s="106" customFormat="1" ht="13.2" x14ac:dyDescent="0.25">
      <c r="A9" s="257"/>
      <c r="C9" s="251"/>
      <c r="D9" s="251"/>
      <c r="I9" s="250"/>
      <c r="J9" s="250"/>
      <c r="K9" s="250"/>
      <c r="L9" s="250"/>
      <c r="M9" s="250"/>
      <c r="N9" s="250"/>
      <c r="O9" s="250"/>
    </row>
    <row r="11" spans="1:15" ht="24.6" x14ac:dyDescent="0.4">
      <c r="A11" s="2479" t="s">
        <v>270</v>
      </c>
      <c r="B11" s="2479"/>
      <c r="C11" s="2479"/>
      <c r="D11" s="2479"/>
      <c r="E11" s="2479"/>
      <c r="F11" s="2479"/>
      <c r="G11" s="2479"/>
    </row>
    <row r="12" spans="1:15" ht="17.399999999999999" x14ac:dyDescent="0.3">
      <c r="A12" s="2480" t="s">
        <v>271</v>
      </c>
      <c r="B12" s="2480"/>
      <c r="C12" s="2480"/>
      <c r="D12" s="2480"/>
      <c r="E12" s="2480"/>
      <c r="F12" s="2480"/>
      <c r="G12" s="2480"/>
    </row>
    <row r="13" spans="1:15" ht="14.4" thickBot="1" x14ac:dyDescent="0.3"/>
    <row r="14" spans="1:15" ht="30" customHeight="1" thickTop="1" x14ac:dyDescent="0.25">
      <c r="A14" s="53" t="s">
        <v>0</v>
      </c>
      <c r="B14" s="188" t="s">
        <v>153</v>
      </c>
      <c r="C14" s="201" t="s">
        <v>20</v>
      </c>
      <c r="D14" s="201" t="s">
        <v>178</v>
      </c>
      <c r="E14" s="201" t="s">
        <v>177</v>
      </c>
      <c r="F14" s="188" t="s">
        <v>305</v>
      </c>
      <c r="G14" s="189" t="s">
        <v>1</v>
      </c>
    </row>
    <row r="15" spans="1:15" ht="22.5" customHeight="1" x14ac:dyDescent="0.25">
      <c r="A15" s="86">
        <v>1</v>
      </c>
      <c r="B15" s="244" t="s">
        <v>291</v>
      </c>
      <c r="C15" s="187"/>
      <c r="D15" s="85"/>
      <c r="E15" s="85"/>
      <c r="F15" s="180"/>
      <c r="G15" s="52"/>
    </row>
    <row r="16" spans="1:15" ht="22.5" customHeight="1" x14ac:dyDescent="0.25">
      <c r="A16" s="198">
        <v>2</v>
      </c>
      <c r="B16" s="245" t="s">
        <v>292</v>
      </c>
      <c r="C16" s="200"/>
      <c r="D16" s="199"/>
      <c r="E16" s="199"/>
      <c r="F16" s="181"/>
      <c r="G16" s="37"/>
    </row>
    <row r="17" spans="1:7" ht="22.5" customHeight="1" x14ac:dyDescent="0.25">
      <c r="A17" s="198">
        <v>3</v>
      </c>
      <c r="B17" s="246" t="s">
        <v>294</v>
      </c>
      <c r="C17" s="200"/>
      <c r="D17" s="199"/>
      <c r="E17" s="199"/>
      <c r="F17" s="181"/>
      <c r="G17" s="37"/>
    </row>
    <row r="18" spans="1:7" ht="22.5" customHeight="1" x14ac:dyDescent="0.25">
      <c r="A18" s="198">
        <v>4</v>
      </c>
      <c r="B18" s="247" t="s">
        <v>295</v>
      </c>
      <c r="C18" s="200"/>
      <c r="D18" s="199"/>
      <c r="E18" s="199"/>
      <c r="F18" s="181"/>
      <c r="G18" s="37"/>
    </row>
    <row r="19" spans="1:7" ht="22.5" customHeight="1" x14ac:dyDescent="0.25">
      <c r="A19" s="198">
        <v>5</v>
      </c>
      <c r="B19" s="247" t="s">
        <v>296</v>
      </c>
      <c r="C19" s="200"/>
      <c r="D19" s="199"/>
      <c r="E19" s="199"/>
      <c r="F19" s="181"/>
      <c r="G19" s="37"/>
    </row>
    <row r="20" spans="1:7" ht="22.5" customHeight="1" x14ac:dyDescent="0.25">
      <c r="A20" s="198">
        <v>6</v>
      </c>
      <c r="B20" s="247" t="s">
        <v>297</v>
      </c>
      <c r="C20" s="200"/>
      <c r="D20" s="199"/>
      <c r="E20" s="199"/>
      <c r="F20" s="181"/>
      <c r="G20" s="37"/>
    </row>
    <row r="21" spans="1:7" ht="22.5" customHeight="1" x14ac:dyDescent="0.25">
      <c r="A21" s="198">
        <v>7</v>
      </c>
      <c r="B21" s="247" t="s">
        <v>298</v>
      </c>
      <c r="C21" s="200"/>
      <c r="D21" s="199"/>
      <c r="E21" s="199"/>
      <c r="F21" s="181"/>
      <c r="G21" s="37"/>
    </row>
    <row r="22" spans="1:7" ht="22.5" customHeight="1" x14ac:dyDescent="0.25">
      <c r="A22" s="198">
        <v>8</v>
      </c>
      <c r="B22" s="246" t="s">
        <v>299</v>
      </c>
      <c r="C22" s="200"/>
      <c r="D22" s="199"/>
      <c r="E22" s="199"/>
      <c r="F22" s="181"/>
      <c r="G22" s="37"/>
    </row>
    <row r="23" spans="1:7" ht="22.5" customHeight="1" x14ac:dyDescent="0.25">
      <c r="A23" s="198">
        <v>9</v>
      </c>
      <c r="B23" s="246" t="s">
        <v>304</v>
      </c>
      <c r="C23" s="200"/>
      <c r="D23" s="199"/>
      <c r="E23" s="199"/>
      <c r="F23" s="181"/>
      <c r="G23" s="37"/>
    </row>
    <row r="24" spans="1:7" ht="14.4" thickBot="1" x14ac:dyDescent="0.3">
      <c r="A24" s="2481" t="s">
        <v>2</v>
      </c>
      <c r="B24" s="2482"/>
      <c r="C24" s="2482"/>
      <c r="D24" s="190"/>
      <c r="E24" s="191"/>
      <c r="F24" s="192"/>
      <c r="G24" s="193"/>
    </row>
    <row r="25" spans="1:7" ht="14.4" thickTop="1" x14ac:dyDescent="0.25">
      <c r="A25" s="259"/>
      <c r="B25" s="259"/>
      <c r="C25" s="259"/>
      <c r="D25" s="260"/>
      <c r="E25" s="261"/>
      <c r="F25" s="210"/>
      <c r="G25" s="210"/>
    </row>
    <row r="26" spans="1:7" s="87" customFormat="1" ht="14.4" x14ac:dyDescent="0.3">
      <c r="B26" s="87" t="s">
        <v>306</v>
      </c>
      <c r="F26" s="87" t="s">
        <v>179</v>
      </c>
    </row>
    <row r="27" spans="1:7" s="20" customFormat="1" x14ac:dyDescent="0.25">
      <c r="B27" s="20" t="s">
        <v>307</v>
      </c>
      <c r="F27" s="20" t="s">
        <v>308</v>
      </c>
    </row>
  </sheetData>
  <mergeCells count="4">
    <mergeCell ref="I6:K6"/>
    <mergeCell ref="A11:G11"/>
    <mergeCell ref="A12:G12"/>
    <mergeCell ref="A24:C24"/>
  </mergeCells>
  <pageMargins left="0.7" right="0.7" top="0.75" bottom="0.75" header="0.3" footer="0.3"/>
  <pageSetup paperSize="9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topLeftCell="A7" zoomScaleNormal="100" workbookViewId="0">
      <pane ySplit="5" topLeftCell="A18" activePane="bottomLeft" state="frozen"/>
      <selection activeCell="A7" sqref="A7"/>
      <selection pane="bottomLeft" activeCell="AE19" sqref="AE19"/>
    </sheetView>
  </sheetViews>
  <sheetFormatPr defaultColWidth="9" defaultRowHeight="13.8" x14ac:dyDescent="0.3"/>
  <cols>
    <col min="1" max="1" width="2.5546875" style="206" customWidth="1"/>
    <col min="2" max="2" width="9.44140625" style="206" customWidth="1"/>
    <col min="3" max="3" width="11.109375" style="207" customWidth="1"/>
    <col min="4" max="34" width="2.44140625" style="206" customWidth="1"/>
    <col min="35" max="36" width="5.88671875" style="206" customWidth="1"/>
    <col min="37" max="37" width="6.109375" style="206" customWidth="1"/>
    <col min="38" max="256" width="9" style="206"/>
    <col min="257" max="257" width="3.109375" style="206" customWidth="1"/>
    <col min="258" max="258" width="20" style="206" customWidth="1"/>
    <col min="259" max="259" width="24.5546875" style="206" customWidth="1"/>
    <col min="260" max="289" width="4.44140625" style="206" customWidth="1"/>
    <col min="290" max="290" width="2.5546875" style="206" customWidth="1"/>
    <col min="291" max="291" width="6.109375" style="206" customWidth="1"/>
    <col min="292" max="292" width="19.44140625" style="206" customWidth="1"/>
    <col min="293" max="512" width="9" style="206"/>
    <col min="513" max="513" width="3.109375" style="206" customWidth="1"/>
    <col min="514" max="514" width="20" style="206" customWidth="1"/>
    <col min="515" max="515" width="24.5546875" style="206" customWidth="1"/>
    <col min="516" max="545" width="4.44140625" style="206" customWidth="1"/>
    <col min="546" max="546" width="2.5546875" style="206" customWidth="1"/>
    <col min="547" max="547" width="6.109375" style="206" customWidth="1"/>
    <col min="548" max="548" width="19.44140625" style="206" customWidth="1"/>
    <col min="549" max="768" width="9" style="206"/>
    <col min="769" max="769" width="3.109375" style="206" customWidth="1"/>
    <col min="770" max="770" width="20" style="206" customWidth="1"/>
    <col min="771" max="771" width="24.5546875" style="206" customWidth="1"/>
    <col min="772" max="801" width="4.44140625" style="206" customWidth="1"/>
    <col min="802" max="802" width="2.5546875" style="206" customWidth="1"/>
    <col min="803" max="803" width="6.109375" style="206" customWidth="1"/>
    <col min="804" max="804" width="19.44140625" style="206" customWidth="1"/>
    <col min="805" max="1024" width="9" style="206"/>
    <col min="1025" max="1025" width="3.109375" style="206" customWidth="1"/>
    <col min="1026" max="1026" width="20" style="206" customWidth="1"/>
    <col min="1027" max="1027" width="24.5546875" style="206" customWidth="1"/>
    <col min="1028" max="1057" width="4.44140625" style="206" customWidth="1"/>
    <col min="1058" max="1058" width="2.5546875" style="206" customWidth="1"/>
    <col min="1059" max="1059" width="6.109375" style="206" customWidth="1"/>
    <col min="1060" max="1060" width="19.44140625" style="206" customWidth="1"/>
    <col min="1061" max="1280" width="9" style="206"/>
    <col min="1281" max="1281" width="3.109375" style="206" customWidth="1"/>
    <col min="1282" max="1282" width="20" style="206" customWidth="1"/>
    <col min="1283" max="1283" width="24.5546875" style="206" customWidth="1"/>
    <col min="1284" max="1313" width="4.44140625" style="206" customWidth="1"/>
    <col min="1314" max="1314" width="2.5546875" style="206" customWidth="1"/>
    <col min="1315" max="1315" width="6.109375" style="206" customWidth="1"/>
    <col min="1316" max="1316" width="19.44140625" style="206" customWidth="1"/>
    <col min="1317" max="1536" width="9" style="206"/>
    <col min="1537" max="1537" width="3.109375" style="206" customWidth="1"/>
    <col min="1538" max="1538" width="20" style="206" customWidth="1"/>
    <col min="1539" max="1539" width="24.5546875" style="206" customWidth="1"/>
    <col min="1540" max="1569" width="4.44140625" style="206" customWidth="1"/>
    <col min="1570" max="1570" width="2.5546875" style="206" customWidth="1"/>
    <col min="1571" max="1571" width="6.109375" style="206" customWidth="1"/>
    <col min="1572" max="1572" width="19.44140625" style="206" customWidth="1"/>
    <col min="1573" max="1792" width="9" style="206"/>
    <col min="1793" max="1793" width="3.109375" style="206" customWidth="1"/>
    <col min="1794" max="1794" width="20" style="206" customWidth="1"/>
    <col min="1795" max="1795" width="24.5546875" style="206" customWidth="1"/>
    <col min="1796" max="1825" width="4.44140625" style="206" customWidth="1"/>
    <col min="1826" max="1826" width="2.5546875" style="206" customWidth="1"/>
    <col min="1827" max="1827" width="6.109375" style="206" customWidth="1"/>
    <col min="1828" max="1828" width="19.44140625" style="206" customWidth="1"/>
    <col min="1829" max="2048" width="9" style="206"/>
    <col min="2049" max="2049" width="3.109375" style="206" customWidth="1"/>
    <col min="2050" max="2050" width="20" style="206" customWidth="1"/>
    <col min="2051" max="2051" width="24.5546875" style="206" customWidth="1"/>
    <col min="2052" max="2081" width="4.44140625" style="206" customWidth="1"/>
    <col min="2082" max="2082" width="2.5546875" style="206" customWidth="1"/>
    <col min="2083" max="2083" width="6.109375" style="206" customWidth="1"/>
    <col min="2084" max="2084" width="19.44140625" style="206" customWidth="1"/>
    <col min="2085" max="2304" width="9" style="206"/>
    <col min="2305" max="2305" width="3.109375" style="206" customWidth="1"/>
    <col min="2306" max="2306" width="20" style="206" customWidth="1"/>
    <col min="2307" max="2307" width="24.5546875" style="206" customWidth="1"/>
    <col min="2308" max="2337" width="4.44140625" style="206" customWidth="1"/>
    <col min="2338" max="2338" width="2.5546875" style="206" customWidth="1"/>
    <col min="2339" max="2339" width="6.109375" style="206" customWidth="1"/>
    <col min="2340" max="2340" width="19.44140625" style="206" customWidth="1"/>
    <col min="2341" max="2560" width="9" style="206"/>
    <col min="2561" max="2561" width="3.109375" style="206" customWidth="1"/>
    <col min="2562" max="2562" width="20" style="206" customWidth="1"/>
    <col min="2563" max="2563" width="24.5546875" style="206" customWidth="1"/>
    <col min="2564" max="2593" width="4.44140625" style="206" customWidth="1"/>
    <col min="2594" max="2594" width="2.5546875" style="206" customWidth="1"/>
    <col min="2595" max="2595" width="6.109375" style="206" customWidth="1"/>
    <col min="2596" max="2596" width="19.44140625" style="206" customWidth="1"/>
    <col min="2597" max="2816" width="9" style="206"/>
    <col min="2817" max="2817" width="3.109375" style="206" customWidth="1"/>
    <col min="2818" max="2818" width="20" style="206" customWidth="1"/>
    <col min="2819" max="2819" width="24.5546875" style="206" customWidth="1"/>
    <col min="2820" max="2849" width="4.44140625" style="206" customWidth="1"/>
    <col min="2850" max="2850" width="2.5546875" style="206" customWidth="1"/>
    <col min="2851" max="2851" width="6.109375" style="206" customWidth="1"/>
    <col min="2852" max="2852" width="19.44140625" style="206" customWidth="1"/>
    <col min="2853" max="3072" width="9" style="206"/>
    <col min="3073" max="3073" width="3.109375" style="206" customWidth="1"/>
    <col min="3074" max="3074" width="20" style="206" customWidth="1"/>
    <col min="3075" max="3075" width="24.5546875" style="206" customWidth="1"/>
    <col min="3076" max="3105" width="4.44140625" style="206" customWidth="1"/>
    <col min="3106" max="3106" width="2.5546875" style="206" customWidth="1"/>
    <col min="3107" max="3107" width="6.109375" style="206" customWidth="1"/>
    <col min="3108" max="3108" width="19.44140625" style="206" customWidth="1"/>
    <col min="3109" max="3328" width="9" style="206"/>
    <col min="3329" max="3329" width="3.109375" style="206" customWidth="1"/>
    <col min="3330" max="3330" width="20" style="206" customWidth="1"/>
    <col min="3331" max="3331" width="24.5546875" style="206" customWidth="1"/>
    <col min="3332" max="3361" width="4.44140625" style="206" customWidth="1"/>
    <col min="3362" max="3362" width="2.5546875" style="206" customWidth="1"/>
    <col min="3363" max="3363" width="6.109375" style="206" customWidth="1"/>
    <col min="3364" max="3364" width="19.44140625" style="206" customWidth="1"/>
    <col min="3365" max="3584" width="9" style="206"/>
    <col min="3585" max="3585" width="3.109375" style="206" customWidth="1"/>
    <col min="3586" max="3586" width="20" style="206" customWidth="1"/>
    <col min="3587" max="3587" width="24.5546875" style="206" customWidth="1"/>
    <col min="3588" max="3617" width="4.44140625" style="206" customWidth="1"/>
    <col min="3618" max="3618" width="2.5546875" style="206" customWidth="1"/>
    <col min="3619" max="3619" width="6.109375" style="206" customWidth="1"/>
    <col min="3620" max="3620" width="19.44140625" style="206" customWidth="1"/>
    <col min="3621" max="3840" width="9" style="206"/>
    <col min="3841" max="3841" width="3.109375" style="206" customWidth="1"/>
    <col min="3842" max="3842" width="20" style="206" customWidth="1"/>
    <col min="3843" max="3843" width="24.5546875" style="206" customWidth="1"/>
    <col min="3844" max="3873" width="4.44140625" style="206" customWidth="1"/>
    <col min="3874" max="3874" width="2.5546875" style="206" customWidth="1"/>
    <col min="3875" max="3875" width="6.109375" style="206" customWidth="1"/>
    <col min="3876" max="3876" width="19.44140625" style="206" customWidth="1"/>
    <col min="3877" max="4096" width="9" style="206"/>
    <col min="4097" max="4097" width="3.109375" style="206" customWidth="1"/>
    <col min="4098" max="4098" width="20" style="206" customWidth="1"/>
    <col min="4099" max="4099" width="24.5546875" style="206" customWidth="1"/>
    <col min="4100" max="4129" width="4.44140625" style="206" customWidth="1"/>
    <col min="4130" max="4130" width="2.5546875" style="206" customWidth="1"/>
    <col min="4131" max="4131" width="6.109375" style="206" customWidth="1"/>
    <col min="4132" max="4132" width="19.44140625" style="206" customWidth="1"/>
    <col min="4133" max="4352" width="9" style="206"/>
    <col min="4353" max="4353" width="3.109375" style="206" customWidth="1"/>
    <col min="4354" max="4354" width="20" style="206" customWidth="1"/>
    <col min="4355" max="4355" width="24.5546875" style="206" customWidth="1"/>
    <col min="4356" max="4385" width="4.44140625" style="206" customWidth="1"/>
    <col min="4386" max="4386" width="2.5546875" style="206" customWidth="1"/>
    <col min="4387" max="4387" width="6.109375" style="206" customWidth="1"/>
    <col min="4388" max="4388" width="19.44140625" style="206" customWidth="1"/>
    <col min="4389" max="4608" width="9" style="206"/>
    <col min="4609" max="4609" width="3.109375" style="206" customWidth="1"/>
    <col min="4610" max="4610" width="20" style="206" customWidth="1"/>
    <col min="4611" max="4611" width="24.5546875" style="206" customWidth="1"/>
    <col min="4612" max="4641" width="4.44140625" style="206" customWidth="1"/>
    <col min="4642" max="4642" width="2.5546875" style="206" customWidth="1"/>
    <col min="4643" max="4643" width="6.109375" style="206" customWidth="1"/>
    <col min="4644" max="4644" width="19.44140625" style="206" customWidth="1"/>
    <col min="4645" max="4864" width="9" style="206"/>
    <col min="4865" max="4865" width="3.109375" style="206" customWidth="1"/>
    <col min="4866" max="4866" width="20" style="206" customWidth="1"/>
    <col min="4867" max="4867" width="24.5546875" style="206" customWidth="1"/>
    <col min="4868" max="4897" width="4.44140625" style="206" customWidth="1"/>
    <col min="4898" max="4898" width="2.5546875" style="206" customWidth="1"/>
    <col min="4899" max="4899" width="6.109375" style="206" customWidth="1"/>
    <col min="4900" max="4900" width="19.44140625" style="206" customWidth="1"/>
    <col min="4901" max="5120" width="9" style="206"/>
    <col min="5121" max="5121" width="3.109375" style="206" customWidth="1"/>
    <col min="5122" max="5122" width="20" style="206" customWidth="1"/>
    <col min="5123" max="5123" width="24.5546875" style="206" customWidth="1"/>
    <col min="5124" max="5153" width="4.44140625" style="206" customWidth="1"/>
    <col min="5154" max="5154" width="2.5546875" style="206" customWidth="1"/>
    <col min="5155" max="5155" width="6.109375" style="206" customWidth="1"/>
    <col min="5156" max="5156" width="19.44140625" style="206" customWidth="1"/>
    <col min="5157" max="5376" width="9" style="206"/>
    <col min="5377" max="5377" width="3.109375" style="206" customWidth="1"/>
    <col min="5378" max="5378" width="20" style="206" customWidth="1"/>
    <col min="5379" max="5379" width="24.5546875" style="206" customWidth="1"/>
    <col min="5380" max="5409" width="4.44140625" style="206" customWidth="1"/>
    <col min="5410" max="5410" width="2.5546875" style="206" customWidth="1"/>
    <col min="5411" max="5411" width="6.109375" style="206" customWidth="1"/>
    <col min="5412" max="5412" width="19.44140625" style="206" customWidth="1"/>
    <col min="5413" max="5632" width="9" style="206"/>
    <col min="5633" max="5633" width="3.109375" style="206" customWidth="1"/>
    <col min="5634" max="5634" width="20" style="206" customWidth="1"/>
    <col min="5635" max="5635" width="24.5546875" style="206" customWidth="1"/>
    <col min="5636" max="5665" width="4.44140625" style="206" customWidth="1"/>
    <col min="5666" max="5666" width="2.5546875" style="206" customWidth="1"/>
    <col min="5667" max="5667" width="6.109375" style="206" customWidth="1"/>
    <col min="5668" max="5668" width="19.44140625" style="206" customWidth="1"/>
    <col min="5669" max="5888" width="9" style="206"/>
    <col min="5889" max="5889" width="3.109375" style="206" customWidth="1"/>
    <col min="5890" max="5890" width="20" style="206" customWidth="1"/>
    <col min="5891" max="5891" width="24.5546875" style="206" customWidth="1"/>
    <col min="5892" max="5921" width="4.44140625" style="206" customWidth="1"/>
    <col min="5922" max="5922" width="2.5546875" style="206" customWidth="1"/>
    <col min="5923" max="5923" width="6.109375" style="206" customWidth="1"/>
    <col min="5924" max="5924" width="19.44140625" style="206" customWidth="1"/>
    <col min="5925" max="6144" width="9" style="206"/>
    <col min="6145" max="6145" width="3.109375" style="206" customWidth="1"/>
    <col min="6146" max="6146" width="20" style="206" customWidth="1"/>
    <col min="6147" max="6147" width="24.5546875" style="206" customWidth="1"/>
    <col min="6148" max="6177" width="4.44140625" style="206" customWidth="1"/>
    <col min="6178" max="6178" width="2.5546875" style="206" customWidth="1"/>
    <col min="6179" max="6179" width="6.109375" style="206" customWidth="1"/>
    <col min="6180" max="6180" width="19.44140625" style="206" customWidth="1"/>
    <col min="6181" max="6400" width="9" style="206"/>
    <col min="6401" max="6401" width="3.109375" style="206" customWidth="1"/>
    <col min="6402" max="6402" width="20" style="206" customWidth="1"/>
    <col min="6403" max="6403" width="24.5546875" style="206" customWidth="1"/>
    <col min="6404" max="6433" width="4.44140625" style="206" customWidth="1"/>
    <col min="6434" max="6434" width="2.5546875" style="206" customWidth="1"/>
    <col min="6435" max="6435" width="6.109375" style="206" customWidth="1"/>
    <col min="6436" max="6436" width="19.44140625" style="206" customWidth="1"/>
    <col min="6437" max="6656" width="9" style="206"/>
    <col min="6657" max="6657" width="3.109375" style="206" customWidth="1"/>
    <col min="6658" max="6658" width="20" style="206" customWidth="1"/>
    <col min="6659" max="6659" width="24.5546875" style="206" customWidth="1"/>
    <col min="6660" max="6689" width="4.44140625" style="206" customWidth="1"/>
    <col min="6690" max="6690" width="2.5546875" style="206" customWidth="1"/>
    <col min="6691" max="6691" width="6.109375" style="206" customWidth="1"/>
    <col min="6692" max="6692" width="19.44140625" style="206" customWidth="1"/>
    <col min="6693" max="6912" width="9" style="206"/>
    <col min="6913" max="6913" width="3.109375" style="206" customWidth="1"/>
    <col min="6914" max="6914" width="20" style="206" customWidth="1"/>
    <col min="6915" max="6915" width="24.5546875" style="206" customWidth="1"/>
    <col min="6916" max="6945" width="4.44140625" style="206" customWidth="1"/>
    <col min="6946" max="6946" width="2.5546875" style="206" customWidth="1"/>
    <col min="6947" max="6947" width="6.109375" style="206" customWidth="1"/>
    <col min="6948" max="6948" width="19.44140625" style="206" customWidth="1"/>
    <col min="6949" max="7168" width="9" style="206"/>
    <col min="7169" max="7169" width="3.109375" style="206" customWidth="1"/>
    <col min="7170" max="7170" width="20" style="206" customWidth="1"/>
    <col min="7171" max="7171" width="24.5546875" style="206" customWidth="1"/>
    <col min="7172" max="7201" width="4.44140625" style="206" customWidth="1"/>
    <col min="7202" max="7202" width="2.5546875" style="206" customWidth="1"/>
    <col min="7203" max="7203" width="6.109375" style="206" customWidth="1"/>
    <col min="7204" max="7204" width="19.44140625" style="206" customWidth="1"/>
    <col min="7205" max="7424" width="9" style="206"/>
    <col min="7425" max="7425" width="3.109375" style="206" customWidth="1"/>
    <col min="7426" max="7426" width="20" style="206" customWidth="1"/>
    <col min="7427" max="7427" width="24.5546875" style="206" customWidth="1"/>
    <col min="7428" max="7457" width="4.44140625" style="206" customWidth="1"/>
    <col min="7458" max="7458" width="2.5546875" style="206" customWidth="1"/>
    <col min="7459" max="7459" width="6.109375" style="206" customWidth="1"/>
    <col min="7460" max="7460" width="19.44140625" style="206" customWidth="1"/>
    <col min="7461" max="7680" width="9" style="206"/>
    <col min="7681" max="7681" width="3.109375" style="206" customWidth="1"/>
    <col min="7682" max="7682" width="20" style="206" customWidth="1"/>
    <col min="7683" max="7683" width="24.5546875" style="206" customWidth="1"/>
    <col min="7684" max="7713" width="4.44140625" style="206" customWidth="1"/>
    <col min="7714" max="7714" width="2.5546875" style="206" customWidth="1"/>
    <col min="7715" max="7715" width="6.109375" style="206" customWidth="1"/>
    <col min="7716" max="7716" width="19.44140625" style="206" customWidth="1"/>
    <col min="7717" max="7936" width="9" style="206"/>
    <col min="7937" max="7937" width="3.109375" style="206" customWidth="1"/>
    <col min="7938" max="7938" width="20" style="206" customWidth="1"/>
    <col min="7939" max="7939" width="24.5546875" style="206" customWidth="1"/>
    <col min="7940" max="7969" width="4.44140625" style="206" customWidth="1"/>
    <col min="7970" max="7970" width="2.5546875" style="206" customWidth="1"/>
    <col min="7971" max="7971" width="6.109375" style="206" customWidth="1"/>
    <col min="7972" max="7972" width="19.44140625" style="206" customWidth="1"/>
    <col min="7973" max="8192" width="9" style="206"/>
    <col min="8193" max="8193" width="3.109375" style="206" customWidth="1"/>
    <col min="8194" max="8194" width="20" style="206" customWidth="1"/>
    <col min="8195" max="8195" width="24.5546875" style="206" customWidth="1"/>
    <col min="8196" max="8225" width="4.44140625" style="206" customWidth="1"/>
    <col min="8226" max="8226" width="2.5546875" style="206" customWidth="1"/>
    <col min="8227" max="8227" width="6.109375" style="206" customWidth="1"/>
    <col min="8228" max="8228" width="19.44140625" style="206" customWidth="1"/>
    <col min="8229" max="8448" width="9" style="206"/>
    <col min="8449" max="8449" width="3.109375" style="206" customWidth="1"/>
    <col min="8450" max="8450" width="20" style="206" customWidth="1"/>
    <col min="8451" max="8451" width="24.5546875" style="206" customWidth="1"/>
    <col min="8452" max="8481" width="4.44140625" style="206" customWidth="1"/>
    <col min="8482" max="8482" width="2.5546875" style="206" customWidth="1"/>
    <col min="8483" max="8483" width="6.109375" style="206" customWidth="1"/>
    <col min="8484" max="8484" width="19.44140625" style="206" customWidth="1"/>
    <col min="8485" max="8704" width="9" style="206"/>
    <col min="8705" max="8705" width="3.109375" style="206" customWidth="1"/>
    <col min="8706" max="8706" width="20" style="206" customWidth="1"/>
    <col min="8707" max="8707" width="24.5546875" style="206" customWidth="1"/>
    <col min="8708" max="8737" width="4.44140625" style="206" customWidth="1"/>
    <col min="8738" max="8738" width="2.5546875" style="206" customWidth="1"/>
    <col min="8739" max="8739" width="6.109375" style="206" customWidth="1"/>
    <col min="8740" max="8740" width="19.44140625" style="206" customWidth="1"/>
    <col min="8741" max="8960" width="9" style="206"/>
    <col min="8961" max="8961" width="3.109375" style="206" customWidth="1"/>
    <col min="8962" max="8962" width="20" style="206" customWidth="1"/>
    <col min="8963" max="8963" width="24.5546875" style="206" customWidth="1"/>
    <col min="8964" max="8993" width="4.44140625" style="206" customWidth="1"/>
    <col min="8994" max="8994" width="2.5546875" style="206" customWidth="1"/>
    <col min="8995" max="8995" width="6.109375" style="206" customWidth="1"/>
    <col min="8996" max="8996" width="19.44140625" style="206" customWidth="1"/>
    <col min="8997" max="9216" width="9" style="206"/>
    <col min="9217" max="9217" width="3.109375" style="206" customWidth="1"/>
    <col min="9218" max="9218" width="20" style="206" customWidth="1"/>
    <col min="9219" max="9219" width="24.5546875" style="206" customWidth="1"/>
    <col min="9220" max="9249" width="4.44140625" style="206" customWidth="1"/>
    <col min="9250" max="9250" width="2.5546875" style="206" customWidth="1"/>
    <col min="9251" max="9251" width="6.109375" style="206" customWidth="1"/>
    <col min="9252" max="9252" width="19.44140625" style="206" customWidth="1"/>
    <col min="9253" max="9472" width="9" style="206"/>
    <col min="9473" max="9473" width="3.109375" style="206" customWidth="1"/>
    <col min="9474" max="9474" width="20" style="206" customWidth="1"/>
    <col min="9475" max="9475" width="24.5546875" style="206" customWidth="1"/>
    <col min="9476" max="9505" width="4.44140625" style="206" customWidth="1"/>
    <col min="9506" max="9506" width="2.5546875" style="206" customWidth="1"/>
    <col min="9507" max="9507" width="6.109375" style="206" customWidth="1"/>
    <col min="9508" max="9508" width="19.44140625" style="206" customWidth="1"/>
    <col min="9509" max="9728" width="9" style="206"/>
    <col min="9729" max="9729" width="3.109375" style="206" customWidth="1"/>
    <col min="9730" max="9730" width="20" style="206" customWidth="1"/>
    <col min="9731" max="9731" width="24.5546875" style="206" customWidth="1"/>
    <col min="9732" max="9761" width="4.44140625" style="206" customWidth="1"/>
    <col min="9762" max="9762" width="2.5546875" style="206" customWidth="1"/>
    <col min="9763" max="9763" width="6.109375" style="206" customWidth="1"/>
    <col min="9764" max="9764" width="19.44140625" style="206" customWidth="1"/>
    <col min="9765" max="9984" width="9" style="206"/>
    <col min="9985" max="9985" width="3.109375" style="206" customWidth="1"/>
    <col min="9986" max="9986" width="20" style="206" customWidth="1"/>
    <col min="9987" max="9987" width="24.5546875" style="206" customWidth="1"/>
    <col min="9988" max="10017" width="4.44140625" style="206" customWidth="1"/>
    <col min="10018" max="10018" width="2.5546875" style="206" customWidth="1"/>
    <col min="10019" max="10019" width="6.109375" style="206" customWidth="1"/>
    <col min="10020" max="10020" width="19.44140625" style="206" customWidth="1"/>
    <col min="10021" max="10240" width="9" style="206"/>
    <col min="10241" max="10241" width="3.109375" style="206" customWidth="1"/>
    <col min="10242" max="10242" width="20" style="206" customWidth="1"/>
    <col min="10243" max="10243" width="24.5546875" style="206" customWidth="1"/>
    <col min="10244" max="10273" width="4.44140625" style="206" customWidth="1"/>
    <col min="10274" max="10274" width="2.5546875" style="206" customWidth="1"/>
    <col min="10275" max="10275" width="6.109375" style="206" customWidth="1"/>
    <col min="10276" max="10276" width="19.44140625" style="206" customWidth="1"/>
    <col min="10277" max="10496" width="9" style="206"/>
    <col min="10497" max="10497" width="3.109375" style="206" customWidth="1"/>
    <col min="10498" max="10498" width="20" style="206" customWidth="1"/>
    <col min="10499" max="10499" width="24.5546875" style="206" customWidth="1"/>
    <col min="10500" max="10529" width="4.44140625" style="206" customWidth="1"/>
    <col min="10530" max="10530" width="2.5546875" style="206" customWidth="1"/>
    <col min="10531" max="10531" width="6.109375" style="206" customWidth="1"/>
    <col min="10532" max="10532" width="19.44140625" style="206" customWidth="1"/>
    <col min="10533" max="10752" width="9" style="206"/>
    <col min="10753" max="10753" width="3.109375" style="206" customWidth="1"/>
    <col min="10754" max="10754" width="20" style="206" customWidth="1"/>
    <col min="10755" max="10755" width="24.5546875" style="206" customWidth="1"/>
    <col min="10756" max="10785" width="4.44140625" style="206" customWidth="1"/>
    <col min="10786" max="10786" width="2.5546875" style="206" customWidth="1"/>
    <col min="10787" max="10787" width="6.109375" style="206" customWidth="1"/>
    <col min="10788" max="10788" width="19.44140625" style="206" customWidth="1"/>
    <col min="10789" max="11008" width="9" style="206"/>
    <col min="11009" max="11009" width="3.109375" style="206" customWidth="1"/>
    <col min="11010" max="11010" width="20" style="206" customWidth="1"/>
    <col min="11011" max="11011" width="24.5546875" style="206" customWidth="1"/>
    <col min="11012" max="11041" width="4.44140625" style="206" customWidth="1"/>
    <col min="11042" max="11042" width="2.5546875" style="206" customWidth="1"/>
    <col min="11043" max="11043" width="6.109375" style="206" customWidth="1"/>
    <col min="11044" max="11044" width="19.44140625" style="206" customWidth="1"/>
    <col min="11045" max="11264" width="9" style="206"/>
    <col min="11265" max="11265" width="3.109375" style="206" customWidth="1"/>
    <col min="11266" max="11266" width="20" style="206" customWidth="1"/>
    <col min="11267" max="11267" width="24.5546875" style="206" customWidth="1"/>
    <col min="11268" max="11297" width="4.44140625" style="206" customWidth="1"/>
    <col min="11298" max="11298" width="2.5546875" style="206" customWidth="1"/>
    <col min="11299" max="11299" width="6.109375" style="206" customWidth="1"/>
    <col min="11300" max="11300" width="19.44140625" style="206" customWidth="1"/>
    <col min="11301" max="11520" width="9" style="206"/>
    <col min="11521" max="11521" width="3.109375" style="206" customWidth="1"/>
    <col min="11522" max="11522" width="20" style="206" customWidth="1"/>
    <col min="11523" max="11523" width="24.5546875" style="206" customWidth="1"/>
    <col min="11524" max="11553" width="4.44140625" style="206" customWidth="1"/>
    <col min="11554" max="11554" width="2.5546875" style="206" customWidth="1"/>
    <col min="11555" max="11555" width="6.109375" style="206" customWidth="1"/>
    <col min="11556" max="11556" width="19.44140625" style="206" customWidth="1"/>
    <col min="11557" max="11776" width="9" style="206"/>
    <col min="11777" max="11777" width="3.109375" style="206" customWidth="1"/>
    <col min="11778" max="11778" width="20" style="206" customWidth="1"/>
    <col min="11779" max="11779" width="24.5546875" style="206" customWidth="1"/>
    <col min="11780" max="11809" width="4.44140625" style="206" customWidth="1"/>
    <col min="11810" max="11810" width="2.5546875" style="206" customWidth="1"/>
    <col min="11811" max="11811" width="6.109375" style="206" customWidth="1"/>
    <col min="11812" max="11812" width="19.44140625" style="206" customWidth="1"/>
    <col min="11813" max="12032" width="9" style="206"/>
    <col min="12033" max="12033" width="3.109375" style="206" customWidth="1"/>
    <col min="12034" max="12034" width="20" style="206" customWidth="1"/>
    <col min="12035" max="12035" width="24.5546875" style="206" customWidth="1"/>
    <col min="12036" max="12065" width="4.44140625" style="206" customWidth="1"/>
    <col min="12066" max="12066" width="2.5546875" style="206" customWidth="1"/>
    <col min="12067" max="12067" width="6.109375" style="206" customWidth="1"/>
    <col min="12068" max="12068" width="19.44140625" style="206" customWidth="1"/>
    <col min="12069" max="12288" width="9" style="206"/>
    <col min="12289" max="12289" width="3.109375" style="206" customWidth="1"/>
    <col min="12290" max="12290" width="20" style="206" customWidth="1"/>
    <col min="12291" max="12291" width="24.5546875" style="206" customWidth="1"/>
    <col min="12292" max="12321" width="4.44140625" style="206" customWidth="1"/>
    <col min="12322" max="12322" width="2.5546875" style="206" customWidth="1"/>
    <col min="12323" max="12323" width="6.109375" style="206" customWidth="1"/>
    <col min="12324" max="12324" width="19.44140625" style="206" customWidth="1"/>
    <col min="12325" max="12544" width="9" style="206"/>
    <col min="12545" max="12545" width="3.109375" style="206" customWidth="1"/>
    <col min="12546" max="12546" width="20" style="206" customWidth="1"/>
    <col min="12547" max="12547" width="24.5546875" style="206" customWidth="1"/>
    <col min="12548" max="12577" width="4.44140625" style="206" customWidth="1"/>
    <col min="12578" max="12578" width="2.5546875" style="206" customWidth="1"/>
    <col min="12579" max="12579" width="6.109375" style="206" customWidth="1"/>
    <col min="12580" max="12580" width="19.44140625" style="206" customWidth="1"/>
    <col min="12581" max="12800" width="9" style="206"/>
    <col min="12801" max="12801" width="3.109375" style="206" customWidth="1"/>
    <col min="12802" max="12802" width="20" style="206" customWidth="1"/>
    <col min="12803" max="12803" width="24.5546875" style="206" customWidth="1"/>
    <col min="12804" max="12833" width="4.44140625" style="206" customWidth="1"/>
    <col min="12834" max="12834" width="2.5546875" style="206" customWidth="1"/>
    <col min="12835" max="12835" width="6.109375" style="206" customWidth="1"/>
    <col min="12836" max="12836" width="19.44140625" style="206" customWidth="1"/>
    <col min="12837" max="13056" width="9" style="206"/>
    <col min="13057" max="13057" width="3.109375" style="206" customWidth="1"/>
    <col min="13058" max="13058" width="20" style="206" customWidth="1"/>
    <col min="13059" max="13059" width="24.5546875" style="206" customWidth="1"/>
    <col min="13060" max="13089" width="4.44140625" style="206" customWidth="1"/>
    <col min="13090" max="13090" width="2.5546875" style="206" customWidth="1"/>
    <col min="13091" max="13091" width="6.109375" style="206" customWidth="1"/>
    <col min="13092" max="13092" width="19.44140625" style="206" customWidth="1"/>
    <col min="13093" max="13312" width="9" style="206"/>
    <col min="13313" max="13313" width="3.109375" style="206" customWidth="1"/>
    <col min="13314" max="13314" width="20" style="206" customWidth="1"/>
    <col min="13315" max="13315" width="24.5546875" style="206" customWidth="1"/>
    <col min="13316" max="13345" width="4.44140625" style="206" customWidth="1"/>
    <col min="13346" max="13346" width="2.5546875" style="206" customWidth="1"/>
    <col min="13347" max="13347" width="6.109375" style="206" customWidth="1"/>
    <col min="13348" max="13348" width="19.44140625" style="206" customWidth="1"/>
    <col min="13349" max="13568" width="9" style="206"/>
    <col min="13569" max="13569" width="3.109375" style="206" customWidth="1"/>
    <col min="13570" max="13570" width="20" style="206" customWidth="1"/>
    <col min="13571" max="13571" width="24.5546875" style="206" customWidth="1"/>
    <col min="13572" max="13601" width="4.44140625" style="206" customWidth="1"/>
    <col min="13602" max="13602" width="2.5546875" style="206" customWidth="1"/>
    <col min="13603" max="13603" width="6.109375" style="206" customWidth="1"/>
    <col min="13604" max="13604" width="19.44140625" style="206" customWidth="1"/>
    <col min="13605" max="13824" width="9" style="206"/>
    <col min="13825" max="13825" width="3.109375" style="206" customWidth="1"/>
    <col min="13826" max="13826" width="20" style="206" customWidth="1"/>
    <col min="13827" max="13827" width="24.5546875" style="206" customWidth="1"/>
    <col min="13828" max="13857" width="4.44140625" style="206" customWidth="1"/>
    <col min="13858" max="13858" width="2.5546875" style="206" customWidth="1"/>
    <col min="13859" max="13859" width="6.109375" style="206" customWidth="1"/>
    <col min="13860" max="13860" width="19.44140625" style="206" customWidth="1"/>
    <col min="13861" max="14080" width="9" style="206"/>
    <col min="14081" max="14081" width="3.109375" style="206" customWidth="1"/>
    <col min="14082" max="14082" width="20" style="206" customWidth="1"/>
    <col min="14083" max="14083" width="24.5546875" style="206" customWidth="1"/>
    <col min="14084" max="14113" width="4.44140625" style="206" customWidth="1"/>
    <col min="14114" max="14114" width="2.5546875" style="206" customWidth="1"/>
    <col min="14115" max="14115" width="6.109375" style="206" customWidth="1"/>
    <col min="14116" max="14116" width="19.44140625" style="206" customWidth="1"/>
    <col min="14117" max="14336" width="9" style="206"/>
    <col min="14337" max="14337" width="3.109375" style="206" customWidth="1"/>
    <col min="14338" max="14338" width="20" style="206" customWidth="1"/>
    <col min="14339" max="14339" width="24.5546875" style="206" customWidth="1"/>
    <col min="14340" max="14369" width="4.44140625" style="206" customWidth="1"/>
    <col min="14370" max="14370" width="2.5546875" style="206" customWidth="1"/>
    <col min="14371" max="14371" width="6.109375" style="206" customWidth="1"/>
    <col min="14372" max="14372" width="19.44140625" style="206" customWidth="1"/>
    <col min="14373" max="14592" width="9" style="206"/>
    <col min="14593" max="14593" width="3.109375" style="206" customWidth="1"/>
    <col min="14594" max="14594" width="20" style="206" customWidth="1"/>
    <col min="14595" max="14595" width="24.5546875" style="206" customWidth="1"/>
    <col min="14596" max="14625" width="4.44140625" style="206" customWidth="1"/>
    <col min="14626" max="14626" width="2.5546875" style="206" customWidth="1"/>
    <col min="14627" max="14627" width="6.109375" style="206" customWidth="1"/>
    <col min="14628" max="14628" width="19.44140625" style="206" customWidth="1"/>
    <col min="14629" max="14848" width="9" style="206"/>
    <col min="14849" max="14849" width="3.109375" style="206" customWidth="1"/>
    <col min="14850" max="14850" width="20" style="206" customWidth="1"/>
    <col min="14851" max="14851" width="24.5546875" style="206" customWidth="1"/>
    <col min="14852" max="14881" width="4.44140625" style="206" customWidth="1"/>
    <col min="14882" max="14882" width="2.5546875" style="206" customWidth="1"/>
    <col min="14883" max="14883" width="6.109375" style="206" customWidth="1"/>
    <col min="14884" max="14884" width="19.44140625" style="206" customWidth="1"/>
    <col min="14885" max="15104" width="9" style="206"/>
    <col min="15105" max="15105" width="3.109375" style="206" customWidth="1"/>
    <col min="15106" max="15106" width="20" style="206" customWidth="1"/>
    <col min="15107" max="15107" width="24.5546875" style="206" customWidth="1"/>
    <col min="15108" max="15137" width="4.44140625" style="206" customWidth="1"/>
    <col min="15138" max="15138" width="2.5546875" style="206" customWidth="1"/>
    <col min="15139" max="15139" width="6.109375" style="206" customWidth="1"/>
    <col min="15140" max="15140" width="19.44140625" style="206" customWidth="1"/>
    <col min="15141" max="15360" width="9" style="206"/>
    <col min="15361" max="15361" width="3.109375" style="206" customWidth="1"/>
    <col min="15362" max="15362" width="20" style="206" customWidth="1"/>
    <col min="15363" max="15363" width="24.5546875" style="206" customWidth="1"/>
    <col min="15364" max="15393" width="4.44140625" style="206" customWidth="1"/>
    <col min="15394" max="15394" width="2.5546875" style="206" customWidth="1"/>
    <col min="15395" max="15395" width="6.109375" style="206" customWidth="1"/>
    <col min="15396" max="15396" width="19.44140625" style="206" customWidth="1"/>
    <col min="15397" max="15616" width="9" style="206"/>
    <col min="15617" max="15617" width="3.109375" style="206" customWidth="1"/>
    <col min="15618" max="15618" width="20" style="206" customWidth="1"/>
    <col min="15619" max="15619" width="24.5546875" style="206" customWidth="1"/>
    <col min="15620" max="15649" width="4.44140625" style="206" customWidth="1"/>
    <col min="15650" max="15650" width="2.5546875" style="206" customWidth="1"/>
    <col min="15651" max="15651" width="6.109375" style="206" customWidth="1"/>
    <col min="15652" max="15652" width="19.44140625" style="206" customWidth="1"/>
    <col min="15653" max="15872" width="9" style="206"/>
    <col min="15873" max="15873" width="3.109375" style="206" customWidth="1"/>
    <col min="15874" max="15874" width="20" style="206" customWidth="1"/>
    <col min="15875" max="15875" width="24.5546875" style="206" customWidth="1"/>
    <col min="15876" max="15905" width="4.44140625" style="206" customWidth="1"/>
    <col min="15906" max="15906" width="2.5546875" style="206" customWidth="1"/>
    <col min="15907" max="15907" width="6.109375" style="206" customWidth="1"/>
    <col min="15908" max="15908" width="19.44140625" style="206" customWidth="1"/>
    <col min="15909" max="16128" width="9" style="206"/>
    <col min="16129" max="16129" width="3.109375" style="206" customWidth="1"/>
    <col min="16130" max="16130" width="20" style="206" customWidth="1"/>
    <col min="16131" max="16131" width="24.5546875" style="206" customWidth="1"/>
    <col min="16132" max="16161" width="4.44140625" style="206" customWidth="1"/>
    <col min="16162" max="16162" width="2.5546875" style="206" customWidth="1"/>
    <col min="16163" max="16163" width="6.109375" style="206" customWidth="1"/>
    <col min="16164" max="16164" width="19.44140625" style="206" customWidth="1"/>
    <col min="16165" max="16384" width="9" style="206"/>
  </cols>
  <sheetData>
    <row r="1" spans="1:37" ht="16.8" x14ac:dyDescent="0.3">
      <c r="A1" s="204" t="s">
        <v>3</v>
      </c>
      <c r="B1" s="204"/>
      <c r="C1" s="205"/>
      <c r="D1" s="205"/>
      <c r="Y1" s="2487" t="s">
        <v>1</v>
      </c>
      <c r="Z1" s="2487"/>
      <c r="AA1" s="2487"/>
      <c r="AB1" s="2487"/>
      <c r="AC1" s="2487"/>
      <c r="AD1" s="2487"/>
      <c r="AE1" s="2487"/>
      <c r="AF1" s="2487"/>
    </row>
    <row r="2" spans="1:37" x14ac:dyDescent="0.3">
      <c r="A2" s="208" t="s">
        <v>5</v>
      </c>
      <c r="B2" s="208"/>
      <c r="C2" s="209"/>
      <c r="D2" s="209"/>
      <c r="Y2" s="2484" t="s">
        <v>272</v>
      </c>
      <c r="Z2" s="2484"/>
      <c r="AA2" s="2484"/>
      <c r="AB2" s="2484"/>
      <c r="AC2" s="2484"/>
      <c r="AD2" s="2484"/>
      <c r="AE2" s="2485" t="s">
        <v>273</v>
      </c>
      <c r="AF2" s="2486"/>
    </row>
    <row r="3" spans="1:37" x14ac:dyDescent="0.25">
      <c r="A3" s="208" t="s">
        <v>7</v>
      </c>
      <c r="B3" s="210"/>
      <c r="C3" s="210"/>
      <c r="D3" s="210"/>
      <c r="Y3" s="2484" t="s">
        <v>274</v>
      </c>
      <c r="Z3" s="2484"/>
      <c r="AA3" s="2484"/>
      <c r="AB3" s="2484"/>
      <c r="AC3" s="2484"/>
      <c r="AD3" s="2484"/>
      <c r="AE3" s="2485" t="s">
        <v>275</v>
      </c>
      <c r="AF3" s="2486"/>
    </row>
    <row r="4" spans="1:37" x14ac:dyDescent="0.25">
      <c r="A4" s="208" t="s">
        <v>8</v>
      </c>
      <c r="B4" s="210"/>
      <c r="C4" s="210"/>
      <c r="D4" s="210"/>
      <c r="Y4" s="2484" t="s">
        <v>276</v>
      </c>
      <c r="Z4" s="2484"/>
      <c r="AA4" s="2484"/>
      <c r="AB4" s="2484"/>
      <c r="AC4" s="2484"/>
      <c r="AD4" s="2484"/>
      <c r="AE4" s="2485" t="s">
        <v>277</v>
      </c>
      <c r="AF4" s="2486"/>
    </row>
    <row r="5" spans="1:37" x14ac:dyDescent="0.25">
      <c r="A5" s="211" t="s">
        <v>9</v>
      </c>
      <c r="B5" s="210"/>
      <c r="C5" s="210"/>
      <c r="D5" s="210"/>
      <c r="Y5" s="2484" t="s">
        <v>278</v>
      </c>
      <c r="Z5" s="2484"/>
      <c r="AA5" s="2484"/>
      <c r="AB5" s="2484"/>
      <c r="AC5" s="2484"/>
      <c r="AD5" s="2484"/>
      <c r="AE5" s="2485" t="s">
        <v>279</v>
      </c>
      <c r="AF5" s="2486"/>
    </row>
    <row r="6" spans="1:37" x14ac:dyDescent="0.3">
      <c r="A6" s="212"/>
      <c r="B6" s="212"/>
      <c r="C6" s="213"/>
      <c r="D6" s="212"/>
    </row>
    <row r="7" spans="1:37" s="215" customFormat="1" ht="17.399999999999999" x14ac:dyDescent="0.3">
      <c r="A7" s="2489" t="s">
        <v>280</v>
      </c>
      <c r="B7" s="2489"/>
      <c r="C7" s="2489"/>
      <c r="D7" s="2489"/>
      <c r="E7" s="2489"/>
      <c r="F7" s="2489"/>
      <c r="G7" s="2489"/>
      <c r="H7" s="2489"/>
      <c r="I7" s="2489"/>
      <c r="J7" s="2489"/>
      <c r="K7" s="2489"/>
      <c r="L7" s="2489"/>
      <c r="M7" s="2489"/>
      <c r="N7" s="2489"/>
      <c r="O7" s="2489"/>
      <c r="P7" s="2489"/>
      <c r="Q7" s="2489"/>
      <c r="R7" s="2489"/>
      <c r="S7" s="2489"/>
      <c r="T7" s="2489"/>
      <c r="U7" s="2489"/>
      <c r="V7" s="2489"/>
      <c r="W7" s="2489"/>
      <c r="X7" s="2489"/>
      <c r="Y7" s="2489"/>
      <c r="Z7" s="2489"/>
      <c r="AA7" s="2489"/>
      <c r="AB7" s="2489"/>
      <c r="AC7" s="2489"/>
      <c r="AD7" s="2489"/>
      <c r="AE7" s="2489"/>
      <c r="AF7" s="2489"/>
      <c r="AG7" s="2489"/>
      <c r="AH7" s="2489"/>
      <c r="AI7" s="2489"/>
      <c r="AJ7" s="214"/>
    </row>
    <row r="9" spans="1:37" s="216" customFormat="1" x14ac:dyDescent="0.3">
      <c r="A9" s="2490" t="s">
        <v>48</v>
      </c>
      <c r="B9" s="2490" t="s">
        <v>281</v>
      </c>
      <c r="C9" s="2490" t="s">
        <v>282</v>
      </c>
      <c r="D9" s="2493" t="s">
        <v>283</v>
      </c>
      <c r="E9" s="2494"/>
      <c r="F9" s="2494"/>
      <c r="G9" s="2494"/>
      <c r="H9" s="2494"/>
      <c r="I9" s="2494"/>
      <c r="J9" s="2494"/>
      <c r="K9" s="2494"/>
      <c r="L9" s="2494"/>
      <c r="M9" s="2494"/>
      <c r="N9" s="2494"/>
      <c r="O9" s="2494"/>
      <c r="P9" s="2494"/>
      <c r="Q9" s="2494"/>
      <c r="R9" s="2494"/>
      <c r="S9" s="2494"/>
      <c r="T9" s="2494"/>
      <c r="U9" s="2494"/>
      <c r="V9" s="2494"/>
      <c r="W9" s="2494"/>
      <c r="X9" s="2494"/>
      <c r="Y9" s="2494"/>
      <c r="Z9" s="2494"/>
      <c r="AA9" s="2494"/>
      <c r="AB9" s="2494"/>
      <c r="AC9" s="2494"/>
      <c r="AD9" s="2494"/>
      <c r="AE9" s="2494"/>
      <c r="AF9" s="2494"/>
      <c r="AG9" s="2494"/>
      <c r="AH9" s="2494"/>
      <c r="AI9" s="2483" t="s">
        <v>444</v>
      </c>
      <c r="AJ9" s="2483" t="s">
        <v>445</v>
      </c>
      <c r="AK9" s="2483" t="s">
        <v>446</v>
      </c>
    </row>
    <row r="10" spans="1:37" s="216" customFormat="1" x14ac:dyDescent="0.3">
      <c r="A10" s="2491"/>
      <c r="B10" s="2491"/>
      <c r="C10" s="2491"/>
      <c r="D10" s="217">
        <v>1</v>
      </c>
      <c r="E10" s="217">
        <v>2</v>
      </c>
      <c r="F10" s="217">
        <v>3</v>
      </c>
      <c r="G10" s="217">
        <v>4</v>
      </c>
      <c r="H10" s="217">
        <v>5</v>
      </c>
      <c r="I10" s="217">
        <v>6</v>
      </c>
      <c r="J10" s="217">
        <v>7</v>
      </c>
      <c r="K10" s="217">
        <v>8</v>
      </c>
      <c r="L10" s="217">
        <v>9</v>
      </c>
      <c r="M10" s="217">
        <v>10</v>
      </c>
      <c r="N10" s="217">
        <v>11</v>
      </c>
      <c r="O10" s="217">
        <v>12</v>
      </c>
      <c r="P10" s="217">
        <v>13</v>
      </c>
      <c r="Q10" s="217">
        <v>14</v>
      </c>
      <c r="R10" s="217">
        <v>15</v>
      </c>
      <c r="S10" s="217">
        <v>16</v>
      </c>
      <c r="T10" s="217">
        <v>17</v>
      </c>
      <c r="U10" s="217">
        <v>18</v>
      </c>
      <c r="V10" s="217">
        <v>19</v>
      </c>
      <c r="W10" s="217">
        <v>20</v>
      </c>
      <c r="X10" s="217">
        <v>21</v>
      </c>
      <c r="Y10" s="217">
        <v>22</v>
      </c>
      <c r="Z10" s="217">
        <v>23</v>
      </c>
      <c r="AA10" s="217">
        <v>24</v>
      </c>
      <c r="AB10" s="217">
        <v>25</v>
      </c>
      <c r="AC10" s="217">
        <v>26</v>
      </c>
      <c r="AD10" s="217">
        <v>27</v>
      </c>
      <c r="AE10" s="217">
        <v>28</v>
      </c>
      <c r="AF10" s="217">
        <v>29</v>
      </c>
      <c r="AG10" s="218">
        <v>30</v>
      </c>
      <c r="AH10" s="218">
        <v>31</v>
      </c>
      <c r="AI10" s="2483"/>
      <c r="AJ10" s="2483"/>
      <c r="AK10" s="2483"/>
    </row>
    <row r="11" spans="1:37" s="223" customFormat="1" ht="36.75" customHeight="1" x14ac:dyDescent="0.3">
      <c r="A11" s="2492"/>
      <c r="B11" s="2492"/>
      <c r="C11" s="2492"/>
      <c r="D11" s="217" t="s">
        <v>284</v>
      </c>
      <c r="E11" s="219" t="s">
        <v>285</v>
      </c>
      <c r="F11" s="217" t="s">
        <v>286</v>
      </c>
      <c r="G11" s="220" t="s">
        <v>287</v>
      </c>
      <c r="H11" s="217" t="s">
        <v>288</v>
      </c>
      <c r="I11" s="219" t="s">
        <v>289</v>
      </c>
      <c r="J11" s="217" t="s">
        <v>290</v>
      </c>
      <c r="K11" s="219" t="s">
        <v>284</v>
      </c>
      <c r="L11" s="217" t="s">
        <v>285</v>
      </c>
      <c r="M11" s="219" t="s">
        <v>286</v>
      </c>
      <c r="N11" s="221" t="s">
        <v>287</v>
      </c>
      <c r="O11" s="219" t="s">
        <v>288</v>
      </c>
      <c r="P11" s="217" t="s">
        <v>289</v>
      </c>
      <c r="Q11" s="219" t="s">
        <v>290</v>
      </c>
      <c r="R11" s="217" t="s">
        <v>284</v>
      </c>
      <c r="S11" s="219" t="s">
        <v>285</v>
      </c>
      <c r="T11" s="217" t="s">
        <v>286</v>
      </c>
      <c r="U11" s="220" t="s">
        <v>287</v>
      </c>
      <c r="V11" s="217" t="s">
        <v>288</v>
      </c>
      <c r="W11" s="219" t="s">
        <v>289</v>
      </c>
      <c r="X11" s="217" t="s">
        <v>290</v>
      </c>
      <c r="Y11" s="219" t="s">
        <v>284</v>
      </c>
      <c r="Z11" s="217" t="s">
        <v>285</v>
      </c>
      <c r="AA11" s="219" t="s">
        <v>286</v>
      </c>
      <c r="AB11" s="221" t="s">
        <v>287</v>
      </c>
      <c r="AC11" s="222" t="s">
        <v>288</v>
      </c>
      <c r="AD11" s="219" t="s">
        <v>289</v>
      </c>
      <c r="AE11" s="217" t="s">
        <v>290</v>
      </c>
      <c r="AF11" s="219" t="s">
        <v>284</v>
      </c>
      <c r="AG11" s="219" t="s">
        <v>285</v>
      </c>
      <c r="AH11" s="219" t="s">
        <v>286</v>
      </c>
      <c r="AI11" s="2483"/>
      <c r="AJ11" s="2483"/>
      <c r="AK11" s="2483"/>
    </row>
    <row r="12" spans="1:37" s="223" customFormat="1" ht="31.5" customHeight="1" x14ac:dyDescent="0.2">
      <c r="A12" s="224">
        <v>1</v>
      </c>
      <c r="B12" s="230" t="s">
        <v>291</v>
      </c>
      <c r="C12" s="225" t="s">
        <v>333</v>
      </c>
      <c r="D12" s="226" t="s">
        <v>273</v>
      </c>
      <c r="E12" s="226" t="s">
        <v>273</v>
      </c>
      <c r="F12" s="226" t="s">
        <v>275</v>
      </c>
      <c r="G12" s="227"/>
      <c r="H12" s="226" t="s">
        <v>273</v>
      </c>
      <c r="I12" s="226" t="s">
        <v>273</v>
      </c>
      <c r="J12" s="226" t="s">
        <v>273</v>
      </c>
      <c r="K12" s="226" t="s">
        <v>273</v>
      </c>
      <c r="L12" s="226" t="s">
        <v>273</v>
      </c>
      <c r="M12" s="226" t="s">
        <v>275</v>
      </c>
      <c r="N12" s="227"/>
      <c r="O12" s="226" t="s">
        <v>273</v>
      </c>
      <c r="P12" s="226" t="s">
        <v>273</v>
      </c>
      <c r="Q12" s="226" t="s">
        <v>273</v>
      </c>
      <c r="R12" s="226" t="s">
        <v>273</v>
      </c>
      <c r="S12" s="226" t="s">
        <v>273</v>
      </c>
      <c r="T12" s="226" t="s">
        <v>275</v>
      </c>
      <c r="U12" s="227"/>
      <c r="V12" s="226" t="s">
        <v>273</v>
      </c>
      <c r="W12" s="226" t="s">
        <v>273</v>
      </c>
      <c r="X12" s="226" t="s">
        <v>273</v>
      </c>
      <c r="Y12" s="226" t="s">
        <v>273</v>
      </c>
      <c r="Z12" s="226" t="s">
        <v>273</v>
      </c>
      <c r="AA12" s="226" t="s">
        <v>275</v>
      </c>
      <c r="AB12" s="227"/>
      <c r="AC12" s="226" t="s">
        <v>273</v>
      </c>
      <c r="AD12" s="226" t="s">
        <v>279</v>
      </c>
      <c r="AE12" s="226" t="s">
        <v>279</v>
      </c>
      <c r="AF12" s="226" t="s">
        <v>273</v>
      </c>
      <c r="AG12" s="226" t="s">
        <v>273</v>
      </c>
      <c r="AH12" s="226" t="s">
        <v>275</v>
      </c>
      <c r="AI12" s="229">
        <f t="shared" ref="AI12:AJ20" si="0">COUNTIF(D12:AH12,"x")+1/2*(COUNTIF(D12:AH12,"x/2"))+0*(COUNTIF(D12:AH12,"0"))</f>
        <v>22.5</v>
      </c>
      <c r="AJ12" s="229">
        <v>3</v>
      </c>
      <c r="AK12" s="229">
        <f>AI12+AJ12</f>
        <v>25.5</v>
      </c>
    </row>
    <row r="13" spans="1:37" s="223" customFormat="1" ht="31.5" customHeight="1" x14ac:dyDescent="0.2">
      <c r="A13" s="224">
        <v>2</v>
      </c>
      <c r="B13" s="157" t="s">
        <v>298</v>
      </c>
      <c r="C13" s="157" t="s">
        <v>337</v>
      </c>
      <c r="D13" s="226"/>
      <c r="E13" s="226"/>
      <c r="F13" s="226"/>
      <c r="G13" s="227"/>
      <c r="H13" s="226"/>
      <c r="I13" s="226"/>
      <c r="J13" s="226"/>
      <c r="K13" s="226"/>
      <c r="L13" s="226"/>
      <c r="M13" s="226"/>
      <c r="N13" s="227"/>
      <c r="O13" s="226"/>
      <c r="P13" s="226"/>
      <c r="Q13" s="226"/>
      <c r="R13" s="226"/>
      <c r="S13" s="226"/>
      <c r="T13" s="226"/>
      <c r="U13" s="227"/>
      <c r="V13" s="226"/>
      <c r="W13" s="226"/>
      <c r="X13" s="226"/>
      <c r="Y13" s="226"/>
      <c r="Z13" s="226"/>
      <c r="AA13" s="226"/>
      <c r="AB13" s="227"/>
      <c r="AC13" s="226"/>
      <c r="AD13" s="226"/>
      <c r="AE13" s="226"/>
      <c r="AF13" s="226"/>
      <c r="AG13" s="228"/>
      <c r="AH13" s="228"/>
      <c r="AI13" s="229">
        <f t="shared" si="0"/>
        <v>0</v>
      </c>
      <c r="AJ13" s="229">
        <f t="shared" si="0"/>
        <v>0</v>
      </c>
      <c r="AK13" s="229">
        <f t="shared" ref="AK13:AK20" si="1">AI13+AJ13</f>
        <v>0</v>
      </c>
    </row>
    <row r="14" spans="1:37" s="223" customFormat="1" ht="29.25" customHeight="1" x14ac:dyDescent="0.2">
      <c r="A14" s="224">
        <v>3</v>
      </c>
      <c r="B14" s="157" t="s">
        <v>294</v>
      </c>
      <c r="C14" s="157" t="s">
        <v>340</v>
      </c>
      <c r="D14" s="226"/>
      <c r="E14" s="226"/>
      <c r="F14" s="226"/>
      <c r="G14" s="227"/>
      <c r="H14" s="226"/>
      <c r="I14" s="226"/>
      <c r="J14" s="226"/>
      <c r="K14" s="226"/>
      <c r="L14" s="226"/>
      <c r="M14" s="226"/>
      <c r="N14" s="227"/>
      <c r="O14" s="226"/>
      <c r="P14" s="226"/>
      <c r="Q14" s="226"/>
      <c r="R14" s="226"/>
      <c r="S14" s="226"/>
      <c r="T14" s="226"/>
      <c r="U14" s="227"/>
      <c r="V14" s="226"/>
      <c r="W14" s="226"/>
      <c r="X14" s="226"/>
      <c r="Y14" s="226"/>
      <c r="Z14" s="226"/>
      <c r="AA14" s="226"/>
      <c r="AB14" s="227"/>
      <c r="AC14" s="226"/>
      <c r="AD14" s="226"/>
      <c r="AE14" s="226"/>
      <c r="AF14" s="226"/>
      <c r="AG14" s="228"/>
      <c r="AH14" s="228"/>
      <c r="AI14" s="229">
        <f t="shared" si="0"/>
        <v>0</v>
      </c>
      <c r="AJ14" s="229">
        <f t="shared" si="0"/>
        <v>0</v>
      </c>
      <c r="AK14" s="229">
        <f t="shared" si="1"/>
        <v>0</v>
      </c>
    </row>
    <row r="15" spans="1:37" s="223" customFormat="1" ht="37.5" customHeight="1" x14ac:dyDescent="0.2">
      <c r="A15" s="224">
        <v>4</v>
      </c>
      <c r="B15" s="157" t="s">
        <v>299</v>
      </c>
      <c r="C15" s="157" t="s">
        <v>346</v>
      </c>
      <c r="D15" s="226"/>
      <c r="E15" s="226"/>
      <c r="F15" s="226"/>
      <c r="G15" s="227"/>
      <c r="H15" s="226"/>
      <c r="I15" s="226"/>
      <c r="J15" s="226"/>
      <c r="K15" s="226"/>
      <c r="L15" s="226"/>
      <c r="M15" s="226"/>
      <c r="N15" s="227"/>
      <c r="O15" s="226"/>
      <c r="P15" s="226"/>
      <c r="Q15" s="226"/>
      <c r="R15" s="226"/>
      <c r="S15" s="226"/>
      <c r="T15" s="226"/>
      <c r="U15" s="227"/>
      <c r="V15" s="226"/>
      <c r="W15" s="226"/>
      <c r="X15" s="226"/>
      <c r="Y15" s="226"/>
      <c r="Z15" s="226"/>
      <c r="AA15" s="226"/>
      <c r="AB15" s="227"/>
      <c r="AC15" s="226"/>
      <c r="AD15" s="226"/>
      <c r="AE15" s="226"/>
      <c r="AF15" s="226"/>
      <c r="AG15" s="228"/>
      <c r="AH15" s="228"/>
      <c r="AI15" s="229">
        <f t="shared" si="0"/>
        <v>0</v>
      </c>
      <c r="AJ15" s="229">
        <f t="shared" si="0"/>
        <v>0</v>
      </c>
      <c r="AK15" s="229">
        <f t="shared" si="1"/>
        <v>0</v>
      </c>
    </row>
    <row r="16" spans="1:37" s="223" customFormat="1" ht="25.5" customHeight="1" x14ac:dyDescent="0.2">
      <c r="A16" s="224">
        <v>5</v>
      </c>
      <c r="B16" s="157" t="s">
        <v>295</v>
      </c>
      <c r="C16" s="157" t="s">
        <v>349</v>
      </c>
      <c r="D16" s="226"/>
      <c r="E16" s="226"/>
      <c r="F16" s="226"/>
      <c r="G16" s="227"/>
      <c r="H16" s="226"/>
      <c r="I16" s="226"/>
      <c r="J16" s="226"/>
      <c r="K16" s="226"/>
      <c r="L16" s="226"/>
      <c r="M16" s="226"/>
      <c r="N16" s="227"/>
      <c r="O16" s="226"/>
      <c r="P16" s="226"/>
      <c r="Q16" s="226"/>
      <c r="R16" s="226"/>
      <c r="S16" s="226"/>
      <c r="T16" s="226"/>
      <c r="U16" s="227"/>
      <c r="V16" s="226" t="s">
        <v>275</v>
      </c>
      <c r="W16" s="226" t="s">
        <v>273</v>
      </c>
      <c r="X16" s="226" t="s">
        <v>273</v>
      </c>
      <c r="Y16" s="226" t="s">
        <v>273</v>
      </c>
      <c r="Z16" s="226" t="s">
        <v>273</v>
      </c>
      <c r="AA16" s="226" t="s">
        <v>275</v>
      </c>
      <c r="AB16" s="227"/>
      <c r="AC16" s="226" t="s">
        <v>273</v>
      </c>
      <c r="AD16" s="226" t="s">
        <v>279</v>
      </c>
      <c r="AE16" s="226" t="s">
        <v>279</v>
      </c>
      <c r="AF16" s="226" t="s">
        <v>273</v>
      </c>
      <c r="AG16" s="228"/>
      <c r="AH16" s="228"/>
      <c r="AI16" s="229">
        <f>COUNTIF(D16:AH16,"x")+1/2*(COUNTIF(D16:AH16,"x/2"))+0*(COUNTIF(D16:AH16,"0"))</f>
        <v>7</v>
      </c>
      <c r="AJ16" s="229">
        <v>2</v>
      </c>
      <c r="AK16" s="229">
        <f>AI16+AJ16</f>
        <v>9</v>
      </c>
    </row>
    <row r="17" spans="1:37" s="223" customFormat="1" ht="27.75" customHeight="1" x14ac:dyDescent="0.2">
      <c r="A17" s="224">
        <v>6</v>
      </c>
      <c r="B17" s="157" t="s">
        <v>296</v>
      </c>
      <c r="C17" s="157" t="s">
        <v>355</v>
      </c>
      <c r="D17" s="226" t="s">
        <v>273</v>
      </c>
      <c r="E17" s="226" t="s">
        <v>273</v>
      </c>
      <c r="F17" s="226" t="s">
        <v>275</v>
      </c>
      <c r="G17" s="227"/>
      <c r="H17" s="226" t="s">
        <v>273</v>
      </c>
      <c r="I17" s="226" t="s">
        <v>273</v>
      </c>
      <c r="J17" s="226" t="s">
        <v>273</v>
      </c>
      <c r="K17" s="226" t="s">
        <v>273</v>
      </c>
      <c r="L17" s="226" t="s">
        <v>273</v>
      </c>
      <c r="M17" s="226" t="s">
        <v>275</v>
      </c>
      <c r="N17" s="227"/>
      <c r="O17" s="226" t="s">
        <v>273</v>
      </c>
      <c r="P17" s="226" t="s">
        <v>273</v>
      </c>
      <c r="Q17" s="226" t="s">
        <v>273</v>
      </c>
      <c r="R17" s="226" t="s">
        <v>273</v>
      </c>
      <c r="S17" s="226" t="s">
        <v>273</v>
      </c>
      <c r="T17" s="226" t="s">
        <v>275</v>
      </c>
      <c r="U17" s="227"/>
      <c r="V17" s="226" t="s">
        <v>273</v>
      </c>
      <c r="W17" s="226" t="s">
        <v>273</v>
      </c>
      <c r="X17" s="226" t="s">
        <v>273</v>
      </c>
      <c r="Y17" s="226" t="s">
        <v>273</v>
      </c>
      <c r="Z17" s="226" t="s">
        <v>273</v>
      </c>
      <c r="AA17" s="226" t="s">
        <v>275</v>
      </c>
      <c r="AB17" s="227"/>
      <c r="AC17" s="226" t="s">
        <v>273</v>
      </c>
      <c r="AD17" s="226" t="s">
        <v>279</v>
      </c>
      <c r="AE17" s="226" t="s">
        <v>279</v>
      </c>
      <c r="AF17" s="226" t="s">
        <v>273</v>
      </c>
      <c r="AG17" s="226" t="s">
        <v>273</v>
      </c>
      <c r="AH17" s="226" t="s">
        <v>275</v>
      </c>
      <c r="AI17" s="229">
        <f t="shared" si="0"/>
        <v>22.5</v>
      </c>
      <c r="AJ17" s="229">
        <v>3</v>
      </c>
      <c r="AK17" s="229">
        <f t="shared" si="1"/>
        <v>25.5</v>
      </c>
    </row>
    <row r="18" spans="1:37" s="223" customFormat="1" ht="26.25" customHeight="1" x14ac:dyDescent="0.2">
      <c r="A18" s="224">
        <v>7</v>
      </c>
      <c r="B18" s="230" t="s">
        <v>292</v>
      </c>
      <c r="C18" s="231" t="s">
        <v>360</v>
      </c>
      <c r="D18" s="226"/>
      <c r="E18" s="226"/>
      <c r="F18" s="226"/>
      <c r="G18" s="227"/>
      <c r="H18" s="226"/>
      <c r="I18" s="226"/>
      <c r="J18" s="226"/>
      <c r="K18" s="226"/>
      <c r="L18" s="226"/>
      <c r="M18" s="226"/>
      <c r="N18" s="227"/>
      <c r="O18" s="226"/>
      <c r="P18" s="226"/>
      <c r="Q18" s="226"/>
      <c r="R18" s="226"/>
      <c r="S18" s="226"/>
      <c r="T18" s="226"/>
      <c r="U18" s="227"/>
      <c r="V18" s="226"/>
      <c r="W18" s="226"/>
      <c r="X18" s="226"/>
      <c r="Y18" s="226"/>
      <c r="Z18" s="226"/>
      <c r="AA18" s="226"/>
      <c r="AB18" s="227"/>
      <c r="AC18" s="226"/>
      <c r="AD18" s="226"/>
      <c r="AE18" s="226"/>
      <c r="AF18" s="226"/>
      <c r="AG18" s="228"/>
      <c r="AH18" s="228"/>
      <c r="AI18" s="229">
        <f t="shared" si="0"/>
        <v>0</v>
      </c>
      <c r="AJ18" s="229">
        <f t="shared" si="0"/>
        <v>0</v>
      </c>
      <c r="AK18" s="229">
        <f t="shared" si="1"/>
        <v>0</v>
      </c>
    </row>
    <row r="19" spans="1:37" s="223" customFormat="1" ht="27" customHeight="1" x14ac:dyDescent="0.2">
      <c r="A19" s="224">
        <v>8</v>
      </c>
      <c r="B19" s="374" t="s">
        <v>365</v>
      </c>
      <c r="C19" s="157" t="s">
        <v>366</v>
      </c>
      <c r="D19" s="226"/>
      <c r="E19" s="226"/>
      <c r="F19" s="226"/>
      <c r="G19" s="227"/>
      <c r="H19" s="226"/>
      <c r="I19" s="226"/>
      <c r="J19" s="226"/>
      <c r="K19" s="226"/>
      <c r="L19" s="226"/>
      <c r="M19" s="226"/>
      <c r="N19" s="227"/>
      <c r="O19" s="226"/>
      <c r="P19" s="226"/>
      <c r="Q19" s="226"/>
      <c r="R19" s="226" t="s">
        <v>273</v>
      </c>
      <c r="S19" s="226" t="s">
        <v>273</v>
      </c>
      <c r="T19" s="351" t="s">
        <v>273</v>
      </c>
      <c r="U19" s="227"/>
      <c r="V19" s="226" t="s">
        <v>273</v>
      </c>
      <c r="W19" s="226" t="s">
        <v>273</v>
      </c>
      <c r="X19" s="226" t="s">
        <v>273</v>
      </c>
      <c r="Y19" s="226" t="s">
        <v>273</v>
      </c>
      <c r="Z19" s="226" t="s">
        <v>273</v>
      </c>
      <c r="AA19" s="226" t="s">
        <v>275</v>
      </c>
      <c r="AB19" s="227"/>
      <c r="AC19" s="226" t="s">
        <v>273</v>
      </c>
      <c r="AD19" s="226" t="s">
        <v>273</v>
      </c>
      <c r="AE19" s="226" t="s">
        <v>273</v>
      </c>
      <c r="AF19" s="226" t="s">
        <v>273</v>
      </c>
      <c r="AG19" s="226" t="s">
        <v>273</v>
      </c>
      <c r="AH19" s="226" t="s">
        <v>275</v>
      </c>
      <c r="AI19" s="229">
        <f t="shared" si="0"/>
        <v>14</v>
      </c>
      <c r="AJ19" s="229">
        <v>0</v>
      </c>
      <c r="AK19" s="229">
        <f t="shared" si="1"/>
        <v>14</v>
      </c>
    </row>
    <row r="20" spans="1:37" s="223" customFormat="1" ht="26.25" customHeight="1" x14ac:dyDescent="0.2">
      <c r="A20" s="224">
        <v>9</v>
      </c>
      <c r="B20" s="157" t="s">
        <v>370</v>
      </c>
      <c r="C20" s="157" t="s">
        <v>371</v>
      </c>
      <c r="D20" s="226" t="s">
        <v>277</v>
      </c>
      <c r="E20" s="226" t="s">
        <v>273</v>
      </c>
      <c r="F20" s="226" t="s">
        <v>275</v>
      </c>
      <c r="G20" s="227"/>
      <c r="H20" s="226" t="s">
        <v>277</v>
      </c>
      <c r="I20" s="226" t="s">
        <v>273</v>
      </c>
      <c r="J20" s="226" t="s">
        <v>273</v>
      </c>
      <c r="K20" s="226" t="s">
        <v>277</v>
      </c>
      <c r="L20" s="226" t="s">
        <v>273</v>
      </c>
      <c r="M20" s="226" t="s">
        <v>275</v>
      </c>
      <c r="N20" s="227"/>
      <c r="O20" s="226" t="s">
        <v>277</v>
      </c>
      <c r="P20" s="226" t="s">
        <v>273</v>
      </c>
      <c r="Q20" s="226" t="s">
        <v>273</v>
      </c>
      <c r="R20" s="226" t="s">
        <v>277</v>
      </c>
      <c r="S20" s="226" t="s">
        <v>273</v>
      </c>
      <c r="T20" s="226" t="s">
        <v>275</v>
      </c>
      <c r="U20" s="227"/>
      <c r="V20" s="226" t="s">
        <v>277</v>
      </c>
      <c r="W20" s="226" t="s">
        <v>273</v>
      </c>
      <c r="X20" s="226" t="s">
        <v>273</v>
      </c>
      <c r="Y20" s="226" t="s">
        <v>277</v>
      </c>
      <c r="Z20" s="226" t="s">
        <v>273</v>
      </c>
      <c r="AA20" s="226" t="s">
        <v>275</v>
      </c>
      <c r="AB20" s="227"/>
      <c r="AC20" s="226" t="s">
        <v>277</v>
      </c>
      <c r="AD20" s="226" t="s">
        <v>273</v>
      </c>
      <c r="AE20" s="226" t="s">
        <v>273</v>
      </c>
      <c r="AF20" s="226" t="s">
        <v>277</v>
      </c>
      <c r="AG20" s="228" t="s">
        <v>273</v>
      </c>
      <c r="AH20" s="226" t="s">
        <v>275</v>
      </c>
      <c r="AI20" s="229">
        <f t="shared" si="0"/>
        <v>15.5</v>
      </c>
      <c r="AJ20" s="229">
        <v>0</v>
      </c>
      <c r="AK20" s="229">
        <f t="shared" si="1"/>
        <v>15.5</v>
      </c>
    </row>
    <row r="21" spans="1:37" s="223" customFormat="1" x14ac:dyDescent="0.3">
      <c r="A21" s="2495" t="s">
        <v>300</v>
      </c>
      <c r="B21" s="2496"/>
      <c r="C21" s="232"/>
      <c r="D21" s="233">
        <f t="shared" ref="D21:AH21" si="2">COUNTIF(D12:D20,"x")+1/2*(COUNTIF(D12:D20,"x/2"))+0*(COUNTIF(D12:D20,"0"))</f>
        <v>2</v>
      </c>
      <c r="E21" s="233">
        <f t="shared" si="2"/>
        <v>3</v>
      </c>
      <c r="F21" s="233">
        <f t="shared" si="2"/>
        <v>1.5</v>
      </c>
      <c r="G21" s="233">
        <f t="shared" si="2"/>
        <v>0</v>
      </c>
      <c r="H21" s="233">
        <f t="shared" si="2"/>
        <v>2</v>
      </c>
      <c r="I21" s="233">
        <f t="shared" si="2"/>
        <v>3</v>
      </c>
      <c r="J21" s="233">
        <f t="shared" si="2"/>
        <v>3</v>
      </c>
      <c r="K21" s="233">
        <f t="shared" si="2"/>
        <v>2</v>
      </c>
      <c r="L21" s="233">
        <f t="shared" si="2"/>
        <v>3</v>
      </c>
      <c r="M21" s="233">
        <f t="shared" si="2"/>
        <v>1.5</v>
      </c>
      <c r="N21" s="233">
        <f t="shared" si="2"/>
        <v>0</v>
      </c>
      <c r="O21" s="233">
        <f t="shared" si="2"/>
        <v>2</v>
      </c>
      <c r="P21" s="233">
        <f t="shared" si="2"/>
        <v>3</v>
      </c>
      <c r="Q21" s="233">
        <f t="shared" si="2"/>
        <v>3</v>
      </c>
      <c r="R21" s="233">
        <f t="shared" si="2"/>
        <v>3</v>
      </c>
      <c r="S21" s="233">
        <f t="shared" si="2"/>
        <v>4</v>
      </c>
      <c r="T21" s="233">
        <f t="shared" si="2"/>
        <v>2.5</v>
      </c>
      <c r="U21" s="233">
        <f t="shared" si="2"/>
        <v>0</v>
      </c>
      <c r="V21" s="233">
        <f t="shared" si="2"/>
        <v>3.5</v>
      </c>
      <c r="W21" s="233">
        <f t="shared" si="2"/>
        <v>5</v>
      </c>
      <c r="X21" s="233">
        <f t="shared" si="2"/>
        <v>5</v>
      </c>
      <c r="Y21" s="233">
        <f t="shared" si="2"/>
        <v>4</v>
      </c>
      <c r="Z21" s="233">
        <f t="shared" si="2"/>
        <v>5</v>
      </c>
      <c r="AA21" s="233">
        <f t="shared" si="2"/>
        <v>2.5</v>
      </c>
      <c r="AB21" s="233">
        <f t="shared" si="2"/>
        <v>0</v>
      </c>
      <c r="AC21" s="233">
        <f t="shared" si="2"/>
        <v>4</v>
      </c>
      <c r="AD21" s="233">
        <f t="shared" si="2"/>
        <v>2</v>
      </c>
      <c r="AE21" s="233">
        <f t="shared" si="2"/>
        <v>2</v>
      </c>
      <c r="AF21" s="233">
        <f t="shared" si="2"/>
        <v>4</v>
      </c>
      <c r="AG21" s="233">
        <f t="shared" si="2"/>
        <v>4</v>
      </c>
      <c r="AH21" s="233">
        <f t="shared" si="2"/>
        <v>2</v>
      </c>
      <c r="AI21" s="234">
        <f>SUM(AI12:AI20)</f>
        <v>81.5</v>
      </c>
      <c r="AJ21" s="234">
        <f>SUM(AJ12:AJ20)</f>
        <v>8</v>
      </c>
      <c r="AK21" s="234">
        <f>SUM(AK12:AK20)</f>
        <v>89.5</v>
      </c>
    </row>
    <row r="22" spans="1:37" x14ac:dyDescent="0.3">
      <c r="Y22" s="206" t="s">
        <v>301</v>
      </c>
    </row>
    <row r="23" spans="1:37" s="240" customFormat="1" x14ac:dyDescent="0.3">
      <c r="A23" s="2497" t="s">
        <v>293</v>
      </c>
      <c r="B23" s="2497"/>
      <c r="C23" s="2497"/>
      <c r="D23" s="2497"/>
      <c r="E23" s="2497"/>
      <c r="F23" s="2497"/>
      <c r="G23" s="235"/>
      <c r="H23" s="2498"/>
      <c r="I23" s="2498"/>
      <c r="J23" s="2498"/>
      <c r="K23" s="2498"/>
      <c r="L23" s="2498"/>
      <c r="M23" s="236"/>
      <c r="N23" s="2498" t="s">
        <v>302</v>
      </c>
      <c r="O23" s="2498"/>
      <c r="P23" s="2498"/>
      <c r="Q23" s="2498"/>
      <c r="R23" s="2498"/>
      <c r="S23" s="2498"/>
      <c r="T23" s="2498"/>
      <c r="U23" s="2498"/>
      <c r="V23" s="2498"/>
      <c r="W23" s="2498"/>
      <c r="X23" s="2498"/>
      <c r="Y23" s="237"/>
      <c r="Z23" s="237"/>
      <c r="AA23" s="238"/>
      <c r="AB23" s="2498" t="s">
        <v>303</v>
      </c>
      <c r="AC23" s="2498"/>
      <c r="AD23" s="2498"/>
      <c r="AE23" s="2498"/>
      <c r="AF23" s="2498"/>
      <c r="AG23" s="2498"/>
      <c r="AH23" s="2498"/>
      <c r="AI23" s="2498"/>
      <c r="AJ23" s="239"/>
    </row>
    <row r="30" spans="1:37" x14ac:dyDescent="0.3">
      <c r="A30" s="241"/>
      <c r="B30" s="242"/>
      <c r="C30" s="241"/>
    </row>
    <row r="31" spans="1:37" x14ac:dyDescent="0.3">
      <c r="A31" s="241"/>
      <c r="B31" s="242"/>
      <c r="C31" s="241"/>
    </row>
    <row r="32" spans="1:37" x14ac:dyDescent="0.3">
      <c r="A32" s="212"/>
      <c r="B32" s="213"/>
      <c r="C32" s="212"/>
    </row>
    <row r="33" spans="1:23" x14ac:dyDescent="0.3">
      <c r="A33" s="212"/>
      <c r="B33" s="213"/>
      <c r="C33" s="212"/>
    </row>
    <row r="37" spans="1:23" s="243" customFormat="1" x14ac:dyDescent="0.3"/>
    <row r="38" spans="1:23" s="243" customFormat="1" x14ac:dyDescent="0.3"/>
    <row r="39" spans="1:23" s="243" customFormat="1" x14ac:dyDescent="0.3">
      <c r="F39" s="2488"/>
      <c r="G39" s="2488"/>
      <c r="H39" s="2488"/>
      <c r="I39" s="2488"/>
      <c r="J39" s="2488"/>
      <c r="K39" s="2488"/>
      <c r="L39" s="2488"/>
      <c r="M39" s="2488"/>
      <c r="N39" s="2488"/>
      <c r="O39" s="2488"/>
      <c r="P39" s="2488"/>
      <c r="Q39" s="2488"/>
      <c r="R39" s="2488"/>
      <c r="S39" s="2488"/>
      <c r="T39" s="2488"/>
      <c r="U39" s="2488"/>
      <c r="V39" s="2488"/>
      <c r="W39" s="2488"/>
    </row>
    <row r="40" spans="1:23" s="243" customFormat="1" x14ac:dyDescent="0.3">
      <c r="F40" s="2488"/>
      <c r="G40" s="2488"/>
      <c r="H40" s="2488"/>
      <c r="I40" s="2488"/>
      <c r="J40" s="2488"/>
      <c r="K40" s="2488"/>
      <c r="L40" s="2488"/>
      <c r="M40" s="2488"/>
      <c r="N40" s="2488"/>
      <c r="O40" s="2488"/>
      <c r="P40" s="2488"/>
      <c r="Q40" s="2488"/>
      <c r="R40" s="2488"/>
      <c r="S40" s="2488"/>
      <c r="T40" s="2488"/>
      <c r="U40" s="2488"/>
      <c r="V40" s="2488"/>
      <c r="W40" s="2488"/>
    </row>
    <row r="41" spans="1:23" s="243" customFormat="1" x14ac:dyDescent="0.3">
      <c r="F41" s="2488"/>
      <c r="G41" s="2488"/>
      <c r="H41" s="2488"/>
      <c r="I41" s="2488"/>
      <c r="J41" s="2488"/>
      <c r="K41" s="2488"/>
      <c r="L41" s="2488"/>
      <c r="M41" s="2488"/>
      <c r="N41" s="2488"/>
      <c r="O41" s="2488"/>
      <c r="P41" s="2488"/>
      <c r="Q41" s="2488"/>
      <c r="R41" s="2488"/>
      <c r="S41" s="2488"/>
      <c r="T41" s="2488"/>
      <c r="U41" s="2488"/>
      <c r="V41" s="2488"/>
      <c r="W41" s="2488"/>
    </row>
    <row r="42" spans="1:23" s="243" customFormat="1" x14ac:dyDescent="0.3">
      <c r="F42" s="2488"/>
      <c r="G42" s="2488"/>
      <c r="H42" s="2488"/>
      <c r="I42" s="2488"/>
      <c r="J42" s="2488"/>
      <c r="K42" s="2488"/>
      <c r="L42" s="2488"/>
      <c r="M42" s="2488"/>
      <c r="N42" s="2488"/>
      <c r="O42" s="2488"/>
      <c r="P42" s="2488"/>
      <c r="Q42" s="2488"/>
      <c r="R42" s="2488"/>
      <c r="S42" s="2488"/>
      <c r="T42" s="2488"/>
      <c r="U42" s="2488"/>
      <c r="V42" s="2488"/>
      <c r="W42" s="2488"/>
    </row>
    <row r="43" spans="1:23" s="243" customFormat="1" x14ac:dyDescent="0.3">
      <c r="F43" s="2488"/>
      <c r="G43" s="2488"/>
      <c r="H43" s="2488"/>
      <c r="I43" s="2488"/>
      <c r="J43" s="2488"/>
      <c r="K43" s="2488"/>
      <c r="L43" s="2488"/>
      <c r="M43" s="2488"/>
      <c r="N43" s="2488"/>
      <c r="O43" s="2488"/>
      <c r="P43" s="2488"/>
      <c r="Q43" s="2488"/>
      <c r="R43" s="2488"/>
      <c r="S43" s="2488"/>
      <c r="T43" s="2488"/>
      <c r="U43" s="2488"/>
      <c r="V43" s="2488"/>
      <c r="W43" s="2488"/>
    </row>
    <row r="44" spans="1:23" x14ac:dyDescent="0.3">
      <c r="C44" s="206"/>
      <c r="F44" s="2488"/>
      <c r="G44" s="2488"/>
      <c r="H44" s="2488"/>
      <c r="I44" s="2488"/>
      <c r="J44" s="2488"/>
      <c r="K44" s="2488"/>
      <c r="L44" s="2488"/>
      <c r="M44" s="2488"/>
      <c r="N44" s="2488"/>
      <c r="O44" s="2488"/>
      <c r="P44" s="2488"/>
      <c r="Q44" s="2488"/>
      <c r="R44" s="2488"/>
      <c r="S44" s="2488"/>
      <c r="T44" s="2488"/>
      <c r="U44" s="2488"/>
      <c r="V44" s="2488"/>
      <c r="W44" s="2488"/>
    </row>
    <row r="45" spans="1:23" x14ac:dyDescent="0.3">
      <c r="C45" s="206"/>
    </row>
  </sheetData>
  <mergeCells count="23">
    <mergeCell ref="F39:W44"/>
    <mergeCell ref="Y5:AD5"/>
    <mergeCell ref="AE5:AF5"/>
    <mergeCell ref="A7:AI7"/>
    <mergeCell ref="A9:A11"/>
    <mergeCell ref="B9:B11"/>
    <mergeCell ref="C9:C11"/>
    <mergeCell ref="D9:AH9"/>
    <mergeCell ref="AI9:AI11"/>
    <mergeCell ref="A21:B21"/>
    <mergeCell ref="A23:F23"/>
    <mergeCell ref="H23:L23"/>
    <mergeCell ref="N23:X23"/>
    <mergeCell ref="AB23:AI23"/>
    <mergeCell ref="AJ9:AJ11"/>
    <mergeCell ref="AK9:AK11"/>
    <mergeCell ref="Y4:AD4"/>
    <mergeCell ref="AE4:AF4"/>
    <mergeCell ref="Y1:AF1"/>
    <mergeCell ref="Y2:AD2"/>
    <mergeCell ref="AE2:AF2"/>
    <mergeCell ref="Y3:AD3"/>
    <mergeCell ref="AE3:AF3"/>
  </mergeCells>
  <pageMargins left="0.7" right="0.7" top="0.75" bottom="0.75" header="0.3" footer="0.3"/>
  <pageSetup paperSize="256" orientation="landscape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topLeftCell="A4" zoomScaleNormal="100" workbookViewId="0">
      <selection activeCell="I9" sqref="I9"/>
    </sheetView>
  </sheetViews>
  <sheetFormatPr defaultRowHeight="14.4" x14ac:dyDescent="0.3"/>
  <cols>
    <col min="1" max="1" width="5.5546875" customWidth="1"/>
    <col min="2" max="2" width="16" customWidth="1"/>
    <col min="3" max="3" width="18" customWidth="1"/>
    <col min="4" max="4" width="9.88671875" bestFit="1" customWidth="1"/>
    <col min="6" max="6" width="10.5546875" customWidth="1"/>
    <col min="7" max="7" width="11" customWidth="1"/>
    <col min="8" max="8" width="11.109375" bestFit="1" customWidth="1"/>
    <col min="9" max="9" width="13.33203125" bestFit="1" customWidth="1"/>
    <col min="11" max="11" width="14.33203125" customWidth="1"/>
  </cols>
  <sheetData>
    <row r="1" spans="1:11" ht="16.8" x14ac:dyDescent="0.3">
      <c r="A1" s="22" t="s">
        <v>3</v>
      </c>
      <c r="B1" s="22"/>
      <c r="C1" s="22"/>
      <c r="D1" s="327"/>
      <c r="E1" s="24"/>
      <c r="F1" s="24"/>
      <c r="G1" s="327"/>
      <c r="H1" s="327"/>
      <c r="I1" s="327"/>
      <c r="J1" s="327"/>
      <c r="K1" s="327"/>
    </row>
    <row r="2" spans="1:11" ht="15.6" x14ac:dyDescent="0.3">
      <c r="A2" s="26" t="s">
        <v>5</v>
      </c>
      <c r="B2" s="26"/>
      <c r="C2" s="26"/>
      <c r="D2" s="1016"/>
      <c r="E2" s="2506"/>
      <c r="F2" s="2506"/>
      <c r="G2" s="2506"/>
      <c r="H2" s="2506"/>
      <c r="I2" s="2506"/>
      <c r="J2" s="2506"/>
      <c r="K2" s="2506"/>
    </row>
    <row r="3" spans="1:11" ht="16.8" x14ac:dyDescent="0.3">
      <c r="A3" s="265"/>
      <c r="B3" s="263"/>
      <c r="C3" s="263"/>
      <c r="D3" s="264"/>
      <c r="E3" s="264"/>
      <c r="F3" s="264"/>
      <c r="G3" s="264"/>
      <c r="H3" s="264"/>
      <c r="I3" s="264"/>
      <c r="J3" s="264"/>
      <c r="K3" s="301"/>
    </row>
    <row r="4" spans="1:11" ht="17.399999999999999" thickBot="1" x14ac:dyDescent="0.35">
      <c r="A4" s="2507" t="s">
        <v>2001</v>
      </c>
      <c r="B4" s="2507"/>
      <c r="C4" s="2507"/>
      <c r="D4" s="2507"/>
      <c r="E4" s="2507"/>
      <c r="F4" s="2507"/>
      <c r="G4" s="2507"/>
      <c r="H4" s="2507"/>
      <c r="I4" s="2507"/>
      <c r="J4" s="2507"/>
      <c r="K4" s="2507"/>
    </row>
    <row r="5" spans="1:11" ht="26.25" customHeight="1" thickTop="1" x14ac:dyDescent="0.3">
      <c r="A5" s="2508" t="s">
        <v>0</v>
      </c>
      <c r="B5" s="2510" t="s">
        <v>281</v>
      </c>
      <c r="C5" s="2512" t="s">
        <v>310</v>
      </c>
      <c r="D5" s="2513" t="s">
        <v>727</v>
      </c>
      <c r="E5" s="2513" t="s">
        <v>447</v>
      </c>
      <c r="F5" s="2502" t="s">
        <v>2370</v>
      </c>
      <c r="G5" s="2502" t="s">
        <v>2366</v>
      </c>
      <c r="H5" s="2502" t="s">
        <v>411</v>
      </c>
      <c r="I5" s="2502" t="s">
        <v>381</v>
      </c>
      <c r="J5" s="2502" t="s">
        <v>1244</v>
      </c>
      <c r="K5" s="2504" t="s">
        <v>319</v>
      </c>
    </row>
    <row r="6" spans="1:11" ht="52.5" customHeight="1" x14ac:dyDescent="0.3">
      <c r="A6" s="2509"/>
      <c r="B6" s="2511"/>
      <c r="C6" s="2511"/>
      <c r="D6" s="2514"/>
      <c r="E6" s="2515"/>
      <c r="F6" s="2503"/>
      <c r="G6" s="2503"/>
      <c r="H6" s="2503"/>
      <c r="I6" s="2503"/>
      <c r="J6" s="2503"/>
      <c r="K6" s="2505"/>
    </row>
    <row r="7" spans="1:11" ht="25.5" customHeight="1" x14ac:dyDescent="0.3">
      <c r="A7" s="1823" t="s">
        <v>2003</v>
      </c>
      <c r="B7" s="1736" t="s">
        <v>2004</v>
      </c>
      <c r="C7" s="1736"/>
      <c r="D7" s="1737"/>
      <c r="E7" s="1738"/>
      <c r="F7" s="2097" t="s">
        <v>2003</v>
      </c>
      <c r="G7" s="2097" t="s">
        <v>2005</v>
      </c>
      <c r="H7" s="2097" t="s">
        <v>2371</v>
      </c>
      <c r="I7" s="2097" t="s">
        <v>2372</v>
      </c>
      <c r="J7" s="1735"/>
      <c r="K7" s="1737"/>
    </row>
    <row r="8" spans="1:11" ht="25.5" customHeight="1" x14ac:dyDescent="0.3">
      <c r="A8" s="1839">
        <v>1</v>
      </c>
      <c r="B8" s="1763" t="s">
        <v>2007</v>
      </c>
      <c r="C8" s="1752" t="s">
        <v>293</v>
      </c>
      <c r="D8" s="363">
        <v>15000000</v>
      </c>
      <c r="E8" s="1741">
        <v>26</v>
      </c>
      <c r="F8" s="2098">
        <f t="shared" ref="F8:F13" si="0">D8/26*E8</f>
        <v>14999999.999999998</v>
      </c>
      <c r="G8" s="1735"/>
      <c r="H8" s="1777"/>
      <c r="I8" s="1743">
        <f>F8-G8-H8</f>
        <v>14999999.999999998</v>
      </c>
      <c r="J8" s="1735"/>
      <c r="K8" s="1910" t="s">
        <v>2364</v>
      </c>
    </row>
    <row r="9" spans="1:11" ht="28.5" customHeight="1" x14ac:dyDescent="0.3">
      <c r="A9" s="1839">
        <v>2</v>
      </c>
      <c r="B9" s="2024" t="s">
        <v>296</v>
      </c>
      <c r="C9" s="1762" t="s">
        <v>2080</v>
      </c>
      <c r="D9" s="363">
        <v>10000000</v>
      </c>
      <c r="E9" s="1776">
        <v>20.5</v>
      </c>
      <c r="F9" s="2098">
        <f t="shared" si="0"/>
        <v>7884615.384615385</v>
      </c>
      <c r="G9" s="1742"/>
      <c r="H9" s="1747">
        <f>6300000+1000000</f>
        <v>7300000</v>
      </c>
      <c r="I9" s="1743">
        <f t="shared" ref="I9:I13" si="1">F9-G9-H9</f>
        <v>584615.38461538497</v>
      </c>
      <c r="J9" s="1742"/>
      <c r="K9" s="1746" t="s">
        <v>2367</v>
      </c>
    </row>
    <row r="10" spans="1:11" ht="42.75" customHeight="1" x14ac:dyDescent="0.3">
      <c r="A10" s="1839">
        <v>3</v>
      </c>
      <c r="B10" s="2024" t="s">
        <v>1350</v>
      </c>
      <c r="C10" s="1762" t="s">
        <v>2081</v>
      </c>
      <c r="D10" s="363">
        <v>10000000</v>
      </c>
      <c r="E10" s="1776">
        <v>20</v>
      </c>
      <c r="F10" s="2098">
        <f t="shared" si="0"/>
        <v>7692307.692307692</v>
      </c>
      <c r="G10" s="1742"/>
      <c r="H10" s="1747">
        <v>8000000</v>
      </c>
      <c r="I10" s="1743">
        <f t="shared" si="1"/>
        <v>-307692.30769230798</v>
      </c>
      <c r="J10" s="1742"/>
      <c r="K10" s="1746" t="s">
        <v>2368</v>
      </c>
    </row>
    <row r="11" spans="1:11" ht="22.5" customHeight="1" x14ac:dyDescent="0.3">
      <c r="A11" s="1740" t="s">
        <v>2005</v>
      </c>
      <c r="B11" s="2025" t="s">
        <v>2006</v>
      </c>
      <c r="C11" s="366"/>
      <c r="D11" s="363"/>
      <c r="E11" s="1776"/>
      <c r="F11" s="2098">
        <f t="shared" si="0"/>
        <v>0</v>
      </c>
      <c r="G11" s="1742"/>
      <c r="H11" s="1747"/>
      <c r="I11" s="1743">
        <f t="shared" si="1"/>
        <v>0</v>
      </c>
      <c r="J11" s="1742"/>
      <c r="K11" s="1742"/>
    </row>
    <row r="12" spans="1:11" x14ac:dyDescent="0.3">
      <c r="A12" s="360">
        <v>1</v>
      </c>
      <c r="B12" s="2024" t="s">
        <v>1160</v>
      </c>
      <c r="C12" s="1762" t="s">
        <v>428</v>
      </c>
      <c r="D12" s="363">
        <v>8000000</v>
      </c>
      <c r="E12" s="1776">
        <v>20</v>
      </c>
      <c r="F12" s="2098">
        <f t="shared" si="0"/>
        <v>6153846.153846154</v>
      </c>
      <c r="G12" s="1742"/>
      <c r="H12" s="1747"/>
      <c r="I12" s="1743">
        <f t="shared" si="1"/>
        <v>6153846.153846154</v>
      </c>
      <c r="J12" s="1742"/>
      <c r="K12" s="1746" t="s">
        <v>2365</v>
      </c>
    </row>
    <row r="13" spans="1:11" ht="26.4" x14ac:dyDescent="0.3">
      <c r="A13" s="360">
        <v>2</v>
      </c>
      <c r="B13" s="1765" t="s">
        <v>365</v>
      </c>
      <c r="C13" s="1762" t="s">
        <v>366</v>
      </c>
      <c r="D13" s="363">
        <v>5000000</v>
      </c>
      <c r="E13" s="1746">
        <v>24.5</v>
      </c>
      <c r="F13" s="2098">
        <f t="shared" si="0"/>
        <v>4711538.461538462</v>
      </c>
      <c r="G13" s="1747">
        <f>'Tiền hàng Sơn, Tâm T12'!L15</f>
        <v>4908300</v>
      </c>
      <c r="H13" s="1747"/>
      <c r="I13" s="1743">
        <f t="shared" si="1"/>
        <v>-196761.53846153803</v>
      </c>
      <c r="J13" s="1742"/>
      <c r="K13" s="1746" t="s">
        <v>2369</v>
      </c>
    </row>
    <row r="14" spans="1:11" ht="15" customHeight="1" x14ac:dyDescent="0.3">
      <c r="A14" s="615"/>
      <c r="B14" s="2500" t="s">
        <v>477</v>
      </c>
      <c r="C14" s="2501"/>
      <c r="D14" s="2096">
        <f>SUM(D8:D13)</f>
        <v>48000000</v>
      </c>
      <c r="E14" s="1744"/>
      <c r="F14" s="2096">
        <f>SUM(F8:F13)</f>
        <v>41442307.692307696</v>
      </c>
      <c r="G14" s="1744"/>
      <c r="H14" s="1744"/>
      <c r="I14" s="1745">
        <f>SUM(I8:I13)</f>
        <v>21234007.692307696</v>
      </c>
      <c r="J14" s="1744"/>
      <c r="K14" s="1744"/>
    </row>
    <row r="16" spans="1:11" ht="15" customHeight="1" x14ac:dyDescent="0.3">
      <c r="A16" s="2499" t="s">
        <v>303</v>
      </c>
      <c r="B16" s="2499"/>
      <c r="C16" s="2499"/>
      <c r="D16" s="2190" t="s">
        <v>430</v>
      </c>
      <c r="E16" s="2190"/>
      <c r="F16" s="2190"/>
      <c r="G16" s="2190"/>
      <c r="H16" s="2190" t="s">
        <v>293</v>
      </c>
      <c r="I16" s="2190"/>
      <c r="J16" s="2190"/>
      <c r="K16" s="2190"/>
    </row>
    <row r="17" spans="1:11" ht="15" customHeight="1" x14ac:dyDescent="0.3">
      <c r="A17" s="1760"/>
      <c r="B17" s="1760"/>
      <c r="C17" s="1760"/>
      <c r="D17" s="1761"/>
      <c r="E17" s="1761"/>
      <c r="F17" s="1761"/>
      <c r="G17" s="1761"/>
      <c r="H17" s="1761"/>
      <c r="I17" s="1761"/>
      <c r="J17" s="1761"/>
      <c r="K17" s="1761"/>
    </row>
    <row r="18" spans="1:11" ht="15" customHeight="1" x14ac:dyDescent="0.3">
      <c r="A18" s="1760"/>
      <c r="B18" s="1760"/>
      <c r="C18" s="1760"/>
      <c r="D18" s="1761"/>
      <c r="E18" s="1761"/>
      <c r="F18" s="1761"/>
      <c r="G18" s="1761"/>
      <c r="H18" s="1761"/>
      <c r="I18" s="1761"/>
      <c r="J18" s="1761"/>
      <c r="K18" s="1761"/>
    </row>
    <row r="19" spans="1:11" ht="15" customHeight="1" x14ac:dyDescent="0.3">
      <c r="A19" s="1760"/>
      <c r="B19" s="1760"/>
      <c r="C19" s="1760"/>
      <c r="D19" s="1761"/>
      <c r="E19" s="1761"/>
      <c r="F19" s="1761"/>
      <c r="G19" s="1761"/>
      <c r="H19" s="1761"/>
      <c r="I19" s="1761"/>
      <c r="J19" s="1761"/>
      <c r="K19" s="1761"/>
    </row>
    <row r="21" spans="1:11" x14ac:dyDescent="0.3">
      <c r="A21" s="2190" t="s">
        <v>1350</v>
      </c>
      <c r="B21" s="2190"/>
      <c r="C21" s="2190"/>
      <c r="D21" s="2190" t="s">
        <v>1350</v>
      </c>
      <c r="E21" s="2190"/>
      <c r="F21" s="2190"/>
      <c r="G21" s="2190"/>
      <c r="H21" s="2190" t="s">
        <v>291</v>
      </c>
      <c r="I21" s="2190"/>
      <c r="J21" s="2190"/>
      <c r="K21" s="2190"/>
    </row>
  </sheetData>
  <mergeCells count="20">
    <mergeCell ref="B14:C14"/>
    <mergeCell ref="J5:J6"/>
    <mergeCell ref="K5:K6"/>
    <mergeCell ref="E2:K2"/>
    <mergeCell ref="A4:K4"/>
    <mergeCell ref="A5:A6"/>
    <mergeCell ref="B5:B6"/>
    <mergeCell ref="C5:C6"/>
    <mergeCell ref="D5:D6"/>
    <mergeCell ref="E5:E6"/>
    <mergeCell ref="G5:G6"/>
    <mergeCell ref="H5:H6"/>
    <mergeCell ref="I5:I6"/>
    <mergeCell ref="F5:F6"/>
    <mergeCell ref="H21:K21"/>
    <mergeCell ref="D21:G21"/>
    <mergeCell ref="A21:C21"/>
    <mergeCell ref="A16:C16"/>
    <mergeCell ref="D16:G16"/>
    <mergeCell ref="H16:K16"/>
  </mergeCells>
  <pageMargins left="0.7" right="0.7" top="0.75" bottom="0.75" header="0.3" footer="0.3"/>
  <pageSetup scale="95" orientation="landscape" horizontalDpi="300" verticalDpi="0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C10" zoomScaleNormal="100" workbookViewId="0">
      <selection activeCell="R19" sqref="R19"/>
    </sheetView>
  </sheetViews>
  <sheetFormatPr defaultColWidth="8.88671875" defaultRowHeight="16.8" x14ac:dyDescent="0.3"/>
  <cols>
    <col min="1" max="1" width="6.109375" style="271" customWidth="1"/>
    <col min="2" max="2" width="26.6640625" style="272" customWidth="1"/>
    <col min="3" max="3" width="19.5546875" style="868" customWidth="1"/>
    <col min="4" max="4" width="15.88671875" style="268" customWidth="1"/>
    <col min="5" max="5" width="15.6640625" style="268" customWidth="1"/>
    <col min="6" max="6" width="18.44140625" style="268" customWidth="1"/>
    <col min="7" max="7" width="15.109375" style="268" customWidth="1"/>
    <col min="8" max="8" width="14.5546875" style="268" customWidth="1"/>
    <col min="9" max="9" width="14.88671875" style="268" customWidth="1"/>
    <col min="10" max="10" width="15.6640625" style="268" customWidth="1"/>
    <col min="11" max="11" width="16.5546875" style="268" customWidth="1"/>
    <col min="12" max="12" width="14.109375" style="268" customWidth="1"/>
    <col min="13" max="13" width="14.6640625" style="268" customWidth="1"/>
    <col min="14" max="14" width="18.109375" style="268" customWidth="1"/>
    <col min="15" max="15" width="16.44140625" style="268" customWidth="1"/>
    <col min="16" max="16" width="9.44140625" style="269" customWidth="1"/>
    <col min="17" max="17" width="12" style="267" customWidth="1"/>
    <col min="18" max="18" width="13.5546875" style="267" customWidth="1"/>
    <col min="19" max="244" width="8.88671875" style="267"/>
    <col min="245" max="245" width="4.5546875" style="267" customWidth="1"/>
    <col min="246" max="246" width="19.88671875" style="267" customWidth="1"/>
    <col min="247" max="247" width="12.44140625" style="267" customWidth="1"/>
    <col min="248" max="248" width="13.88671875" style="267" customWidth="1"/>
    <col min="249" max="249" width="12" style="267" customWidth="1"/>
    <col min="250" max="250" width="13" style="267" customWidth="1"/>
    <col min="251" max="251" width="11.109375" style="267" customWidth="1"/>
    <col min="252" max="253" width="13" style="267" customWidth="1"/>
    <col min="254" max="254" width="12.5546875" style="267" customWidth="1"/>
    <col min="255" max="256" width="8.109375" style="267" customWidth="1"/>
    <col min="257" max="257" width="13.109375" style="267" customWidth="1"/>
    <col min="258" max="259" width="14" style="267" customWidth="1"/>
    <col min="260" max="268" width="14.109375" style="267" customWidth="1"/>
    <col min="269" max="269" width="10.109375" style="267" customWidth="1"/>
    <col min="270" max="270" width="11.109375" style="267" customWidth="1"/>
    <col min="271" max="271" width="13.5546875" style="267" bestFit="1" customWidth="1"/>
    <col min="272" max="272" width="5.5546875" style="267" customWidth="1"/>
    <col min="273" max="273" width="6.5546875" style="267" customWidth="1"/>
    <col min="274" max="274" width="13.5546875" style="267" customWidth="1"/>
    <col min="275" max="500" width="8.88671875" style="267"/>
    <col min="501" max="501" width="4.5546875" style="267" customWidth="1"/>
    <col min="502" max="502" width="19.88671875" style="267" customWidth="1"/>
    <col min="503" max="503" width="12.44140625" style="267" customWidth="1"/>
    <col min="504" max="504" width="13.88671875" style="267" customWidth="1"/>
    <col min="505" max="505" width="12" style="267" customWidth="1"/>
    <col min="506" max="506" width="13" style="267" customWidth="1"/>
    <col min="507" max="507" width="11.109375" style="267" customWidth="1"/>
    <col min="508" max="509" width="13" style="267" customWidth="1"/>
    <col min="510" max="510" width="12.5546875" style="267" customWidth="1"/>
    <col min="511" max="512" width="8.109375" style="267" customWidth="1"/>
    <col min="513" max="513" width="13.109375" style="267" customWidth="1"/>
    <col min="514" max="515" width="14" style="267" customWidth="1"/>
    <col min="516" max="524" width="14.109375" style="267" customWidth="1"/>
    <col min="525" max="525" width="10.109375" style="267" customWidth="1"/>
    <col min="526" max="526" width="11.109375" style="267" customWidth="1"/>
    <col min="527" max="527" width="13.5546875" style="267" bestFit="1" customWidth="1"/>
    <col min="528" max="528" width="5.5546875" style="267" customWidth="1"/>
    <col min="529" max="529" width="6.5546875" style="267" customWidth="1"/>
    <col min="530" max="530" width="13.5546875" style="267" customWidth="1"/>
    <col min="531" max="756" width="8.88671875" style="267"/>
    <col min="757" max="757" width="4.5546875" style="267" customWidth="1"/>
    <col min="758" max="758" width="19.88671875" style="267" customWidth="1"/>
    <col min="759" max="759" width="12.44140625" style="267" customWidth="1"/>
    <col min="760" max="760" width="13.88671875" style="267" customWidth="1"/>
    <col min="761" max="761" width="12" style="267" customWidth="1"/>
    <col min="762" max="762" width="13" style="267" customWidth="1"/>
    <col min="763" max="763" width="11.109375" style="267" customWidth="1"/>
    <col min="764" max="765" width="13" style="267" customWidth="1"/>
    <col min="766" max="766" width="12.5546875" style="267" customWidth="1"/>
    <col min="767" max="768" width="8.109375" style="267" customWidth="1"/>
    <col min="769" max="769" width="13.109375" style="267" customWidth="1"/>
    <col min="770" max="771" width="14" style="267" customWidth="1"/>
    <col min="772" max="780" width="14.109375" style="267" customWidth="1"/>
    <col min="781" max="781" width="10.109375" style="267" customWidth="1"/>
    <col min="782" max="782" width="11.109375" style="267" customWidth="1"/>
    <col min="783" max="783" width="13.5546875" style="267" bestFit="1" customWidth="1"/>
    <col min="784" max="784" width="5.5546875" style="267" customWidth="1"/>
    <col min="785" max="785" width="6.5546875" style="267" customWidth="1"/>
    <col min="786" max="786" width="13.5546875" style="267" customWidth="1"/>
    <col min="787" max="1012" width="8.88671875" style="267"/>
    <col min="1013" max="1013" width="4.5546875" style="267" customWidth="1"/>
    <col min="1014" max="1014" width="19.88671875" style="267" customWidth="1"/>
    <col min="1015" max="1015" width="12.44140625" style="267" customWidth="1"/>
    <col min="1016" max="1016" width="13.88671875" style="267" customWidth="1"/>
    <col min="1017" max="1017" width="12" style="267" customWidth="1"/>
    <col min="1018" max="1018" width="13" style="267" customWidth="1"/>
    <col min="1019" max="1019" width="11.109375" style="267" customWidth="1"/>
    <col min="1020" max="1021" width="13" style="267" customWidth="1"/>
    <col min="1022" max="1022" width="12.5546875" style="267" customWidth="1"/>
    <col min="1023" max="1024" width="8.109375" style="267" customWidth="1"/>
    <col min="1025" max="1025" width="13.109375" style="267" customWidth="1"/>
    <col min="1026" max="1027" width="14" style="267" customWidth="1"/>
    <col min="1028" max="1036" width="14.109375" style="267" customWidth="1"/>
    <col min="1037" max="1037" width="10.109375" style="267" customWidth="1"/>
    <col min="1038" max="1038" width="11.109375" style="267" customWidth="1"/>
    <col min="1039" max="1039" width="13.5546875" style="267" bestFit="1" customWidth="1"/>
    <col min="1040" max="1040" width="5.5546875" style="267" customWidth="1"/>
    <col min="1041" max="1041" width="6.5546875" style="267" customWidth="1"/>
    <col min="1042" max="1042" width="13.5546875" style="267" customWidth="1"/>
    <col min="1043" max="1268" width="8.88671875" style="267"/>
    <col min="1269" max="1269" width="4.5546875" style="267" customWidth="1"/>
    <col min="1270" max="1270" width="19.88671875" style="267" customWidth="1"/>
    <col min="1271" max="1271" width="12.44140625" style="267" customWidth="1"/>
    <col min="1272" max="1272" width="13.88671875" style="267" customWidth="1"/>
    <col min="1273" max="1273" width="12" style="267" customWidth="1"/>
    <col min="1274" max="1274" width="13" style="267" customWidth="1"/>
    <col min="1275" max="1275" width="11.109375" style="267" customWidth="1"/>
    <col min="1276" max="1277" width="13" style="267" customWidth="1"/>
    <col min="1278" max="1278" width="12.5546875" style="267" customWidth="1"/>
    <col min="1279" max="1280" width="8.109375" style="267" customWidth="1"/>
    <col min="1281" max="1281" width="13.109375" style="267" customWidth="1"/>
    <col min="1282" max="1283" width="14" style="267" customWidth="1"/>
    <col min="1284" max="1292" width="14.109375" style="267" customWidth="1"/>
    <col min="1293" max="1293" width="10.109375" style="267" customWidth="1"/>
    <col min="1294" max="1294" width="11.109375" style="267" customWidth="1"/>
    <col min="1295" max="1295" width="13.5546875" style="267" bestFit="1" customWidth="1"/>
    <col min="1296" max="1296" width="5.5546875" style="267" customWidth="1"/>
    <col min="1297" max="1297" width="6.5546875" style="267" customWidth="1"/>
    <col min="1298" max="1298" width="13.5546875" style="267" customWidth="1"/>
    <col min="1299" max="1524" width="8.88671875" style="267"/>
    <col min="1525" max="1525" width="4.5546875" style="267" customWidth="1"/>
    <col min="1526" max="1526" width="19.88671875" style="267" customWidth="1"/>
    <col min="1527" max="1527" width="12.44140625" style="267" customWidth="1"/>
    <col min="1528" max="1528" width="13.88671875" style="267" customWidth="1"/>
    <col min="1529" max="1529" width="12" style="267" customWidth="1"/>
    <col min="1530" max="1530" width="13" style="267" customWidth="1"/>
    <col min="1531" max="1531" width="11.109375" style="267" customWidth="1"/>
    <col min="1532" max="1533" width="13" style="267" customWidth="1"/>
    <col min="1534" max="1534" width="12.5546875" style="267" customWidth="1"/>
    <col min="1535" max="1536" width="8.109375" style="267" customWidth="1"/>
    <col min="1537" max="1537" width="13.109375" style="267" customWidth="1"/>
    <col min="1538" max="1539" width="14" style="267" customWidth="1"/>
    <col min="1540" max="1548" width="14.109375" style="267" customWidth="1"/>
    <col min="1549" max="1549" width="10.109375" style="267" customWidth="1"/>
    <col min="1550" max="1550" width="11.109375" style="267" customWidth="1"/>
    <col min="1551" max="1551" width="13.5546875" style="267" bestFit="1" customWidth="1"/>
    <col min="1552" max="1552" width="5.5546875" style="267" customWidth="1"/>
    <col min="1553" max="1553" width="6.5546875" style="267" customWidth="1"/>
    <col min="1554" max="1554" width="13.5546875" style="267" customWidth="1"/>
    <col min="1555" max="1780" width="8.88671875" style="267"/>
    <col min="1781" max="1781" width="4.5546875" style="267" customWidth="1"/>
    <col min="1782" max="1782" width="19.88671875" style="267" customWidth="1"/>
    <col min="1783" max="1783" width="12.44140625" style="267" customWidth="1"/>
    <col min="1784" max="1784" width="13.88671875" style="267" customWidth="1"/>
    <col min="1785" max="1785" width="12" style="267" customWidth="1"/>
    <col min="1786" max="1786" width="13" style="267" customWidth="1"/>
    <col min="1787" max="1787" width="11.109375" style="267" customWidth="1"/>
    <col min="1788" max="1789" width="13" style="267" customWidth="1"/>
    <col min="1790" max="1790" width="12.5546875" style="267" customWidth="1"/>
    <col min="1791" max="1792" width="8.109375" style="267" customWidth="1"/>
    <col min="1793" max="1793" width="13.109375" style="267" customWidth="1"/>
    <col min="1794" max="1795" width="14" style="267" customWidth="1"/>
    <col min="1796" max="1804" width="14.109375" style="267" customWidth="1"/>
    <col min="1805" max="1805" width="10.109375" style="267" customWidth="1"/>
    <col min="1806" max="1806" width="11.109375" style="267" customWidth="1"/>
    <col min="1807" max="1807" width="13.5546875" style="267" bestFit="1" customWidth="1"/>
    <col min="1808" max="1808" width="5.5546875" style="267" customWidth="1"/>
    <col min="1809" max="1809" width="6.5546875" style="267" customWidth="1"/>
    <col min="1810" max="1810" width="13.5546875" style="267" customWidth="1"/>
    <col min="1811" max="2036" width="8.88671875" style="267"/>
    <col min="2037" max="2037" width="4.5546875" style="267" customWidth="1"/>
    <col min="2038" max="2038" width="19.88671875" style="267" customWidth="1"/>
    <col min="2039" max="2039" width="12.44140625" style="267" customWidth="1"/>
    <col min="2040" max="2040" width="13.88671875" style="267" customWidth="1"/>
    <col min="2041" max="2041" width="12" style="267" customWidth="1"/>
    <col min="2042" max="2042" width="13" style="267" customWidth="1"/>
    <col min="2043" max="2043" width="11.109375" style="267" customWidth="1"/>
    <col min="2044" max="2045" width="13" style="267" customWidth="1"/>
    <col min="2046" max="2046" width="12.5546875" style="267" customWidth="1"/>
    <col min="2047" max="2048" width="8.109375" style="267" customWidth="1"/>
    <col min="2049" max="2049" width="13.109375" style="267" customWidth="1"/>
    <col min="2050" max="2051" width="14" style="267" customWidth="1"/>
    <col min="2052" max="2060" width="14.109375" style="267" customWidth="1"/>
    <col min="2061" max="2061" width="10.109375" style="267" customWidth="1"/>
    <col min="2062" max="2062" width="11.109375" style="267" customWidth="1"/>
    <col min="2063" max="2063" width="13.5546875" style="267" bestFit="1" customWidth="1"/>
    <col min="2064" max="2064" width="5.5546875" style="267" customWidth="1"/>
    <col min="2065" max="2065" width="6.5546875" style="267" customWidth="1"/>
    <col min="2066" max="2066" width="13.5546875" style="267" customWidth="1"/>
    <col min="2067" max="2292" width="8.88671875" style="267"/>
    <col min="2293" max="2293" width="4.5546875" style="267" customWidth="1"/>
    <col min="2294" max="2294" width="19.88671875" style="267" customWidth="1"/>
    <col min="2295" max="2295" width="12.44140625" style="267" customWidth="1"/>
    <col min="2296" max="2296" width="13.88671875" style="267" customWidth="1"/>
    <col min="2297" max="2297" width="12" style="267" customWidth="1"/>
    <col min="2298" max="2298" width="13" style="267" customWidth="1"/>
    <col min="2299" max="2299" width="11.109375" style="267" customWidth="1"/>
    <col min="2300" max="2301" width="13" style="267" customWidth="1"/>
    <col min="2302" max="2302" width="12.5546875" style="267" customWidth="1"/>
    <col min="2303" max="2304" width="8.109375" style="267" customWidth="1"/>
    <col min="2305" max="2305" width="13.109375" style="267" customWidth="1"/>
    <col min="2306" max="2307" width="14" style="267" customWidth="1"/>
    <col min="2308" max="2316" width="14.109375" style="267" customWidth="1"/>
    <col min="2317" max="2317" width="10.109375" style="267" customWidth="1"/>
    <col min="2318" max="2318" width="11.109375" style="267" customWidth="1"/>
    <col min="2319" max="2319" width="13.5546875" style="267" bestFit="1" customWidth="1"/>
    <col min="2320" max="2320" width="5.5546875" style="267" customWidth="1"/>
    <col min="2321" max="2321" width="6.5546875" style="267" customWidth="1"/>
    <col min="2322" max="2322" width="13.5546875" style="267" customWidth="1"/>
    <col min="2323" max="2548" width="8.88671875" style="267"/>
    <col min="2549" max="2549" width="4.5546875" style="267" customWidth="1"/>
    <col min="2550" max="2550" width="19.88671875" style="267" customWidth="1"/>
    <col min="2551" max="2551" width="12.44140625" style="267" customWidth="1"/>
    <col min="2552" max="2552" width="13.88671875" style="267" customWidth="1"/>
    <col min="2553" max="2553" width="12" style="267" customWidth="1"/>
    <col min="2554" max="2554" width="13" style="267" customWidth="1"/>
    <col min="2555" max="2555" width="11.109375" style="267" customWidth="1"/>
    <col min="2556" max="2557" width="13" style="267" customWidth="1"/>
    <col min="2558" max="2558" width="12.5546875" style="267" customWidth="1"/>
    <col min="2559" max="2560" width="8.109375" style="267" customWidth="1"/>
    <col min="2561" max="2561" width="13.109375" style="267" customWidth="1"/>
    <col min="2562" max="2563" width="14" style="267" customWidth="1"/>
    <col min="2564" max="2572" width="14.109375" style="267" customWidth="1"/>
    <col min="2573" max="2573" width="10.109375" style="267" customWidth="1"/>
    <col min="2574" max="2574" width="11.109375" style="267" customWidth="1"/>
    <col min="2575" max="2575" width="13.5546875" style="267" bestFit="1" customWidth="1"/>
    <col min="2576" max="2576" width="5.5546875" style="267" customWidth="1"/>
    <col min="2577" max="2577" width="6.5546875" style="267" customWidth="1"/>
    <col min="2578" max="2578" width="13.5546875" style="267" customWidth="1"/>
    <col min="2579" max="2804" width="8.88671875" style="267"/>
    <col min="2805" max="2805" width="4.5546875" style="267" customWidth="1"/>
    <col min="2806" max="2806" width="19.88671875" style="267" customWidth="1"/>
    <col min="2807" max="2807" width="12.44140625" style="267" customWidth="1"/>
    <col min="2808" max="2808" width="13.88671875" style="267" customWidth="1"/>
    <col min="2809" max="2809" width="12" style="267" customWidth="1"/>
    <col min="2810" max="2810" width="13" style="267" customWidth="1"/>
    <col min="2811" max="2811" width="11.109375" style="267" customWidth="1"/>
    <col min="2812" max="2813" width="13" style="267" customWidth="1"/>
    <col min="2814" max="2814" width="12.5546875" style="267" customWidth="1"/>
    <col min="2815" max="2816" width="8.109375" style="267" customWidth="1"/>
    <col min="2817" max="2817" width="13.109375" style="267" customWidth="1"/>
    <col min="2818" max="2819" width="14" style="267" customWidth="1"/>
    <col min="2820" max="2828" width="14.109375" style="267" customWidth="1"/>
    <col min="2829" max="2829" width="10.109375" style="267" customWidth="1"/>
    <col min="2830" max="2830" width="11.109375" style="267" customWidth="1"/>
    <col min="2831" max="2831" width="13.5546875" style="267" bestFit="1" customWidth="1"/>
    <col min="2832" max="2832" width="5.5546875" style="267" customWidth="1"/>
    <col min="2833" max="2833" width="6.5546875" style="267" customWidth="1"/>
    <col min="2834" max="2834" width="13.5546875" style="267" customWidth="1"/>
    <col min="2835" max="3060" width="8.88671875" style="267"/>
    <col min="3061" max="3061" width="4.5546875" style="267" customWidth="1"/>
    <col min="3062" max="3062" width="19.88671875" style="267" customWidth="1"/>
    <col min="3063" max="3063" width="12.44140625" style="267" customWidth="1"/>
    <col min="3064" max="3064" width="13.88671875" style="267" customWidth="1"/>
    <col min="3065" max="3065" width="12" style="267" customWidth="1"/>
    <col min="3066" max="3066" width="13" style="267" customWidth="1"/>
    <col min="3067" max="3067" width="11.109375" style="267" customWidth="1"/>
    <col min="3068" max="3069" width="13" style="267" customWidth="1"/>
    <col min="3070" max="3070" width="12.5546875" style="267" customWidth="1"/>
    <col min="3071" max="3072" width="8.109375" style="267" customWidth="1"/>
    <col min="3073" max="3073" width="13.109375" style="267" customWidth="1"/>
    <col min="3074" max="3075" width="14" style="267" customWidth="1"/>
    <col min="3076" max="3084" width="14.109375" style="267" customWidth="1"/>
    <col min="3085" max="3085" width="10.109375" style="267" customWidth="1"/>
    <col min="3086" max="3086" width="11.109375" style="267" customWidth="1"/>
    <col min="3087" max="3087" width="13.5546875" style="267" bestFit="1" customWidth="1"/>
    <col min="3088" max="3088" width="5.5546875" style="267" customWidth="1"/>
    <col min="3089" max="3089" width="6.5546875" style="267" customWidth="1"/>
    <col min="3090" max="3090" width="13.5546875" style="267" customWidth="1"/>
    <col min="3091" max="3316" width="8.88671875" style="267"/>
    <col min="3317" max="3317" width="4.5546875" style="267" customWidth="1"/>
    <col min="3318" max="3318" width="19.88671875" style="267" customWidth="1"/>
    <col min="3319" max="3319" width="12.44140625" style="267" customWidth="1"/>
    <col min="3320" max="3320" width="13.88671875" style="267" customWidth="1"/>
    <col min="3321" max="3321" width="12" style="267" customWidth="1"/>
    <col min="3322" max="3322" width="13" style="267" customWidth="1"/>
    <col min="3323" max="3323" width="11.109375" style="267" customWidth="1"/>
    <col min="3324" max="3325" width="13" style="267" customWidth="1"/>
    <col min="3326" max="3326" width="12.5546875" style="267" customWidth="1"/>
    <col min="3327" max="3328" width="8.109375" style="267" customWidth="1"/>
    <col min="3329" max="3329" width="13.109375" style="267" customWidth="1"/>
    <col min="3330" max="3331" width="14" style="267" customWidth="1"/>
    <col min="3332" max="3340" width="14.109375" style="267" customWidth="1"/>
    <col min="3341" max="3341" width="10.109375" style="267" customWidth="1"/>
    <col min="3342" max="3342" width="11.109375" style="267" customWidth="1"/>
    <col min="3343" max="3343" width="13.5546875" style="267" bestFit="1" customWidth="1"/>
    <col min="3344" max="3344" width="5.5546875" style="267" customWidth="1"/>
    <col min="3345" max="3345" width="6.5546875" style="267" customWidth="1"/>
    <col min="3346" max="3346" width="13.5546875" style="267" customWidth="1"/>
    <col min="3347" max="3572" width="8.88671875" style="267"/>
    <col min="3573" max="3573" width="4.5546875" style="267" customWidth="1"/>
    <col min="3574" max="3574" width="19.88671875" style="267" customWidth="1"/>
    <col min="3575" max="3575" width="12.44140625" style="267" customWidth="1"/>
    <col min="3576" max="3576" width="13.88671875" style="267" customWidth="1"/>
    <col min="3577" max="3577" width="12" style="267" customWidth="1"/>
    <col min="3578" max="3578" width="13" style="267" customWidth="1"/>
    <col min="3579" max="3579" width="11.109375" style="267" customWidth="1"/>
    <col min="3580" max="3581" width="13" style="267" customWidth="1"/>
    <col min="3582" max="3582" width="12.5546875" style="267" customWidth="1"/>
    <col min="3583" max="3584" width="8.109375" style="267" customWidth="1"/>
    <col min="3585" max="3585" width="13.109375" style="267" customWidth="1"/>
    <col min="3586" max="3587" width="14" style="267" customWidth="1"/>
    <col min="3588" max="3596" width="14.109375" style="267" customWidth="1"/>
    <col min="3597" max="3597" width="10.109375" style="267" customWidth="1"/>
    <col min="3598" max="3598" width="11.109375" style="267" customWidth="1"/>
    <col min="3599" max="3599" width="13.5546875" style="267" bestFit="1" customWidth="1"/>
    <col min="3600" max="3600" width="5.5546875" style="267" customWidth="1"/>
    <col min="3601" max="3601" width="6.5546875" style="267" customWidth="1"/>
    <col min="3602" max="3602" width="13.5546875" style="267" customWidth="1"/>
    <col min="3603" max="3828" width="8.88671875" style="267"/>
    <col min="3829" max="3829" width="4.5546875" style="267" customWidth="1"/>
    <col min="3830" max="3830" width="19.88671875" style="267" customWidth="1"/>
    <col min="3831" max="3831" width="12.44140625" style="267" customWidth="1"/>
    <col min="3832" max="3832" width="13.88671875" style="267" customWidth="1"/>
    <col min="3833" max="3833" width="12" style="267" customWidth="1"/>
    <col min="3834" max="3834" width="13" style="267" customWidth="1"/>
    <col min="3835" max="3835" width="11.109375" style="267" customWidth="1"/>
    <col min="3836" max="3837" width="13" style="267" customWidth="1"/>
    <col min="3838" max="3838" width="12.5546875" style="267" customWidth="1"/>
    <col min="3839" max="3840" width="8.109375" style="267" customWidth="1"/>
    <col min="3841" max="3841" width="13.109375" style="267" customWidth="1"/>
    <col min="3842" max="3843" width="14" style="267" customWidth="1"/>
    <col min="3844" max="3852" width="14.109375" style="267" customWidth="1"/>
    <col min="3853" max="3853" width="10.109375" style="267" customWidth="1"/>
    <col min="3854" max="3854" width="11.109375" style="267" customWidth="1"/>
    <col min="3855" max="3855" width="13.5546875" style="267" bestFit="1" customWidth="1"/>
    <col min="3856" max="3856" width="5.5546875" style="267" customWidth="1"/>
    <col min="3857" max="3857" width="6.5546875" style="267" customWidth="1"/>
    <col min="3858" max="3858" width="13.5546875" style="267" customWidth="1"/>
    <col min="3859" max="4084" width="8.88671875" style="267"/>
    <col min="4085" max="4085" width="4.5546875" style="267" customWidth="1"/>
    <col min="4086" max="4086" width="19.88671875" style="267" customWidth="1"/>
    <col min="4087" max="4087" width="12.44140625" style="267" customWidth="1"/>
    <col min="4088" max="4088" width="13.88671875" style="267" customWidth="1"/>
    <col min="4089" max="4089" width="12" style="267" customWidth="1"/>
    <col min="4090" max="4090" width="13" style="267" customWidth="1"/>
    <col min="4091" max="4091" width="11.109375" style="267" customWidth="1"/>
    <col min="4092" max="4093" width="13" style="267" customWidth="1"/>
    <col min="4094" max="4094" width="12.5546875" style="267" customWidth="1"/>
    <col min="4095" max="4096" width="8.109375" style="267" customWidth="1"/>
    <col min="4097" max="4097" width="13.109375" style="267" customWidth="1"/>
    <col min="4098" max="4099" width="14" style="267" customWidth="1"/>
    <col min="4100" max="4108" width="14.109375" style="267" customWidth="1"/>
    <col min="4109" max="4109" width="10.109375" style="267" customWidth="1"/>
    <col min="4110" max="4110" width="11.109375" style="267" customWidth="1"/>
    <col min="4111" max="4111" width="13.5546875" style="267" bestFit="1" customWidth="1"/>
    <col min="4112" max="4112" width="5.5546875" style="267" customWidth="1"/>
    <col min="4113" max="4113" width="6.5546875" style="267" customWidth="1"/>
    <col min="4114" max="4114" width="13.5546875" style="267" customWidth="1"/>
    <col min="4115" max="4340" width="8.88671875" style="267"/>
    <col min="4341" max="4341" width="4.5546875" style="267" customWidth="1"/>
    <col min="4342" max="4342" width="19.88671875" style="267" customWidth="1"/>
    <col min="4343" max="4343" width="12.44140625" style="267" customWidth="1"/>
    <col min="4344" max="4344" width="13.88671875" style="267" customWidth="1"/>
    <col min="4345" max="4345" width="12" style="267" customWidth="1"/>
    <col min="4346" max="4346" width="13" style="267" customWidth="1"/>
    <col min="4347" max="4347" width="11.109375" style="267" customWidth="1"/>
    <col min="4348" max="4349" width="13" style="267" customWidth="1"/>
    <col min="4350" max="4350" width="12.5546875" style="267" customWidth="1"/>
    <col min="4351" max="4352" width="8.109375" style="267" customWidth="1"/>
    <col min="4353" max="4353" width="13.109375" style="267" customWidth="1"/>
    <col min="4354" max="4355" width="14" style="267" customWidth="1"/>
    <col min="4356" max="4364" width="14.109375" style="267" customWidth="1"/>
    <col min="4365" max="4365" width="10.109375" style="267" customWidth="1"/>
    <col min="4366" max="4366" width="11.109375" style="267" customWidth="1"/>
    <col min="4367" max="4367" width="13.5546875" style="267" bestFit="1" customWidth="1"/>
    <col min="4368" max="4368" width="5.5546875" style="267" customWidth="1"/>
    <col min="4369" max="4369" width="6.5546875" style="267" customWidth="1"/>
    <col min="4370" max="4370" width="13.5546875" style="267" customWidth="1"/>
    <col min="4371" max="4596" width="8.88671875" style="267"/>
    <col min="4597" max="4597" width="4.5546875" style="267" customWidth="1"/>
    <col min="4598" max="4598" width="19.88671875" style="267" customWidth="1"/>
    <col min="4599" max="4599" width="12.44140625" style="267" customWidth="1"/>
    <col min="4600" max="4600" width="13.88671875" style="267" customWidth="1"/>
    <col min="4601" max="4601" width="12" style="267" customWidth="1"/>
    <col min="4602" max="4602" width="13" style="267" customWidth="1"/>
    <col min="4603" max="4603" width="11.109375" style="267" customWidth="1"/>
    <col min="4604" max="4605" width="13" style="267" customWidth="1"/>
    <col min="4606" max="4606" width="12.5546875" style="267" customWidth="1"/>
    <col min="4607" max="4608" width="8.109375" style="267" customWidth="1"/>
    <col min="4609" max="4609" width="13.109375" style="267" customWidth="1"/>
    <col min="4610" max="4611" width="14" style="267" customWidth="1"/>
    <col min="4612" max="4620" width="14.109375" style="267" customWidth="1"/>
    <col min="4621" max="4621" width="10.109375" style="267" customWidth="1"/>
    <col min="4622" max="4622" width="11.109375" style="267" customWidth="1"/>
    <col min="4623" max="4623" width="13.5546875" style="267" bestFit="1" customWidth="1"/>
    <col min="4624" max="4624" width="5.5546875" style="267" customWidth="1"/>
    <col min="4625" max="4625" width="6.5546875" style="267" customWidth="1"/>
    <col min="4626" max="4626" width="13.5546875" style="267" customWidth="1"/>
    <col min="4627" max="4852" width="8.88671875" style="267"/>
    <col min="4853" max="4853" width="4.5546875" style="267" customWidth="1"/>
    <col min="4854" max="4854" width="19.88671875" style="267" customWidth="1"/>
    <col min="4855" max="4855" width="12.44140625" style="267" customWidth="1"/>
    <col min="4856" max="4856" width="13.88671875" style="267" customWidth="1"/>
    <col min="4857" max="4857" width="12" style="267" customWidth="1"/>
    <col min="4858" max="4858" width="13" style="267" customWidth="1"/>
    <col min="4859" max="4859" width="11.109375" style="267" customWidth="1"/>
    <col min="4860" max="4861" width="13" style="267" customWidth="1"/>
    <col min="4862" max="4862" width="12.5546875" style="267" customWidth="1"/>
    <col min="4863" max="4864" width="8.109375" style="267" customWidth="1"/>
    <col min="4865" max="4865" width="13.109375" style="267" customWidth="1"/>
    <col min="4866" max="4867" width="14" style="267" customWidth="1"/>
    <col min="4868" max="4876" width="14.109375" style="267" customWidth="1"/>
    <col min="4877" max="4877" width="10.109375" style="267" customWidth="1"/>
    <col min="4878" max="4878" width="11.109375" style="267" customWidth="1"/>
    <col min="4879" max="4879" width="13.5546875" style="267" bestFit="1" customWidth="1"/>
    <col min="4880" max="4880" width="5.5546875" style="267" customWidth="1"/>
    <col min="4881" max="4881" width="6.5546875" style="267" customWidth="1"/>
    <col min="4882" max="4882" width="13.5546875" style="267" customWidth="1"/>
    <col min="4883" max="5108" width="8.88671875" style="267"/>
    <col min="5109" max="5109" width="4.5546875" style="267" customWidth="1"/>
    <col min="5110" max="5110" width="19.88671875" style="267" customWidth="1"/>
    <col min="5111" max="5111" width="12.44140625" style="267" customWidth="1"/>
    <col min="5112" max="5112" width="13.88671875" style="267" customWidth="1"/>
    <col min="5113" max="5113" width="12" style="267" customWidth="1"/>
    <col min="5114" max="5114" width="13" style="267" customWidth="1"/>
    <col min="5115" max="5115" width="11.109375" style="267" customWidth="1"/>
    <col min="5116" max="5117" width="13" style="267" customWidth="1"/>
    <col min="5118" max="5118" width="12.5546875" style="267" customWidth="1"/>
    <col min="5119" max="5120" width="8.109375" style="267" customWidth="1"/>
    <col min="5121" max="5121" width="13.109375" style="267" customWidth="1"/>
    <col min="5122" max="5123" width="14" style="267" customWidth="1"/>
    <col min="5124" max="5132" width="14.109375" style="267" customWidth="1"/>
    <col min="5133" max="5133" width="10.109375" style="267" customWidth="1"/>
    <col min="5134" max="5134" width="11.109375" style="267" customWidth="1"/>
    <col min="5135" max="5135" width="13.5546875" style="267" bestFit="1" customWidth="1"/>
    <col min="5136" max="5136" width="5.5546875" style="267" customWidth="1"/>
    <col min="5137" max="5137" width="6.5546875" style="267" customWidth="1"/>
    <col min="5138" max="5138" width="13.5546875" style="267" customWidth="1"/>
    <col min="5139" max="5364" width="8.88671875" style="267"/>
    <col min="5365" max="5365" width="4.5546875" style="267" customWidth="1"/>
    <col min="5366" max="5366" width="19.88671875" style="267" customWidth="1"/>
    <col min="5367" max="5367" width="12.44140625" style="267" customWidth="1"/>
    <col min="5368" max="5368" width="13.88671875" style="267" customWidth="1"/>
    <col min="5369" max="5369" width="12" style="267" customWidth="1"/>
    <col min="5370" max="5370" width="13" style="267" customWidth="1"/>
    <col min="5371" max="5371" width="11.109375" style="267" customWidth="1"/>
    <col min="5372" max="5373" width="13" style="267" customWidth="1"/>
    <col min="5374" max="5374" width="12.5546875" style="267" customWidth="1"/>
    <col min="5375" max="5376" width="8.109375" style="267" customWidth="1"/>
    <col min="5377" max="5377" width="13.109375" style="267" customWidth="1"/>
    <col min="5378" max="5379" width="14" style="267" customWidth="1"/>
    <col min="5380" max="5388" width="14.109375" style="267" customWidth="1"/>
    <col min="5389" max="5389" width="10.109375" style="267" customWidth="1"/>
    <col min="5390" max="5390" width="11.109375" style="267" customWidth="1"/>
    <col min="5391" max="5391" width="13.5546875" style="267" bestFit="1" customWidth="1"/>
    <col min="5392" max="5392" width="5.5546875" style="267" customWidth="1"/>
    <col min="5393" max="5393" width="6.5546875" style="267" customWidth="1"/>
    <col min="5394" max="5394" width="13.5546875" style="267" customWidth="1"/>
    <col min="5395" max="5620" width="8.88671875" style="267"/>
    <col min="5621" max="5621" width="4.5546875" style="267" customWidth="1"/>
    <col min="5622" max="5622" width="19.88671875" style="267" customWidth="1"/>
    <col min="5623" max="5623" width="12.44140625" style="267" customWidth="1"/>
    <col min="5624" max="5624" width="13.88671875" style="267" customWidth="1"/>
    <col min="5625" max="5625" width="12" style="267" customWidth="1"/>
    <col min="5626" max="5626" width="13" style="267" customWidth="1"/>
    <col min="5627" max="5627" width="11.109375" style="267" customWidth="1"/>
    <col min="5628" max="5629" width="13" style="267" customWidth="1"/>
    <col min="5630" max="5630" width="12.5546875" style="267" customWidth="1"/>
    <col min="5631" max="5632" width="8.109375" style="267" customWidth="1"/>
    <col min="5633" max="5633" width="13.109375" style="267" customWidth="1"/>
    <col min="5634" max="5635" width="14" style="267" customWidth="1"/>
    <col min="5636" max="5644" width="14.109375" style="267" customWidth="1"/>
    <col min="5645" max="5645" width="10.109375" style="267" customWidth="1"/>
    <col min="5646" max="5646" width="11.109375" style="267" customWidth="1"/>
    <col min="5647" max="5647" width="13.5546875" style="267" bestFit="1" customWidth="1"/>
    <col min="5648" max="5648" width="5.5546875" style="267" customWidth="1"/>
    <col min="5649" max="5649" width="6.5546875" style="267" customWidth="1"/>
    <col min="5650" max="5650" width="13.5546875" style="267" customWidth="1"/>
    <col min="5651" max="5876" width="8.88671875" style="267"/>
    <col min="5877" max="5877" width="4.5546875" style="267" customWidth="1"/>
    <col min="5878" max="5878" width="19.88671875" style="267" customWidth="1"/>
    <col min="5879" max="5879" width="12.44140625" style="267" customWidth="1"/>
    <col min="5880" max="5880" width="13.88671875" style="267" customWidth="1"/>
    <col min="5881" max="5881" width="12" style="267" customWidth="1"/>
    <col min="5882" max="5882" width="13" style="267" customWidth="1"/>
    <col min="5883" max="5883" width="11.109375" style="267" customWidth="1"/>
    <col min="5884" max="5885" width="13" style="267" customWidth="1"/>
    <col min="5886" max="5886" width="12.5546875" style="267" customWidth="1"/>
    <col min="5887" max="5888" width="8.109375" style="267" customWidth="1"/>
    <col min="5889" max="5889" width="13.109375" style="267" customWidth="1"/>
    <col min="5890" max="5891" width="14" style="267" customWidth="1"/>
    <col min="5892" max="5900" width="14.109375" style="267" customWidth="1"/>
    <col min="5901" max="5901" width="10.109375" style="267" customWidth="1"/>
    <col min="5902" max="5902" width="11.109375" style="267" customWidth="1"/>
    <col min="5903" max="5903" width="13.5546875" style="267" bestFit="1" customWidth="1"/>
    <col min="5904" max="5904" width="5.5546875" style="267" customWidth="1"/>
    <col min="5905" max="5905" width="6.5546875" style="267" customWidth="1"/>
    <col min="5906" max="5906" width="13.5546875" style="267" customWidth="1"/>
    <col min="5907" max="6132" width="8.88671875" style="267"/>
    <col min="6133" max="6133" width="4.5546875" style="267" customWidth="1"/>
    <col min="6134" max="6134" width="19.88671875" style="267" customWidth="1"/>
    <col min="6135" max="6135" width="12.44140625" style="267" customWidth="1"/>
    <col min="6136" max="6136" width="13.88671875" style="267" customWidth="1"/>
    <col min="6137" max="6137" width="12" style="267" customWidth="1"/>
    <col min="6138" max="6138" width="13" style="267" customWidth="1"/>
    <col min="6139" max="6139" width="11.109375" style="267" customWidth="1"/>
    <col min="6140" max="6141" width="13" style="267" customWidth="1"/>
    <col min="6142" max="6142" width="12.5546875" style="267" customWidth="1"/>
    <col min="6143" max="6144" width="8.109375" style="267" customWidth="1"/>
    <col min="6145" max="6145" width="13.109375" style="267" customWidth="1"/>
    <col min="6146" max="6147" width="14" style="267" customWidth="1"/>
    <col min="6148" max="6156" width="14.109375" style="267" customWidth="1"/>
    <col min="6157" max="6157" width="10.109375" style="267" customWidth="1"/>
    <col min="6158" max="6158" width="11.109375" style="267" customWidth="1"/>
    <col min="6159" max="6159" width="13.5546875" style="267" bestFit="1" customWidth="1"/>
    <col min="6160" max="6160" width="5.5546875" style="267" customWidth="1"/>
    <col min="6161" max="6161" width="6.5546875" style="267" customWidth="1"/>
    <col min="6162" max="6162" width="13.5546875" style="267" customWidth="1"/>
    <col min="6163" max="6388" width="8.88671875" style="267"/>
    <col min="6389" max="6389" width="4.5546875" style="267" customWidth="1"/>
    <col min="6390" max="6390" width="19.88671875" style="267" customWidth="1"/>
    <col min="6391" max="6391" width="12.44140625" style="267" customWidth="1"/>
    <col min="6392" max="6392" width="13.88671875" style="267" customWidth="1"/>
    <col min="6393" max="6393" width="12" style="267" customWidth="1"/>
    <col min="6394" max="6394" width="13" style="267" customWidth="1"/>
    <col min="6395" max="6395" width="11.109375" style="267" customWidth="1"/>
    <col min="6396" max="6397" width="13" style="267" customWidth="1"/>
    <col min="6398" max="6398" width="12.5546875" style="267" customWidth="1"/>
    <col min="6399" max="6400" width="8.109375" style="267" customWidth="1"/>
    <col min="6401" max="6401" width="13.109375" style="267" customWidth="1"/>
    <col min="6402" max="6403" width="14" style="267" customWidth="1"/>
    <col min="6404" max="6412" width="14.109375" style="267" customWidth="1"/>
    <col min="6413" max="6413" width="10.109375" style="267" customWidth="1"/>
    <col min="6414" max="6414" width="11.109375" style="267" customWidth="1"/>
    <col min="6415" max="6415" width="13.5546875" style="267" bestFit="1" customWidth="1"/>
    <col min="6416" max="6416" width="5.5546875" style="267" customWidth="1"/>
    <col min="6417" max="6417" width="6.5546875" style="267" customWidth="1"/>
    <col min="6418" max="6418" width="13.5546875" style="267" customWidth="1"/>
    <col min="6419" max="6644" width="8.88671875" style="267"/>
    <col min="6645" max="6645" width="4.5546875" style="267" customWidth="1"/>
    <col min="6646" max="6646" width="19.88671875" style="267" customWidth="1"/>
    <col min="6647" max="6647" width="12.44140625" style="267" customWidth="1"/>
    <col min="6648" max="6648" width="13.88671875" style="267" customWidth="1"/>
    <col min="6649" max="6649" width="12" style="267" customWidth="1"/>
    <col min="6650" max="6650" width="13" style="267" customWidth="1"/>
    <col min="6651" max="6651" width="11.109375" style="267" customWidth="1"/>
    <col min="6652" max="6653" width="13" style="267" customWidth="1"/>
    <col min="6654" max="6654" width="12.5546875" style="267" customWidth="1"/>
    <col min="6655" max="6656" width="8.109375" style="267" customWidth="1"/>
    <col min="6657" max="6657" width="13.109375" style="267" customWidth="1"/>
    <col min="6658" max="6659" width="14" style="267" customWidth="1"/>
    <col min="6660" max="6668" width="14.109375" style="267" customWidth="1"/>
    <col min="6669" max="6669" width="10.109375" style="267" customWidth="1"/>
    <col min="6670" max="6670" width="11.109375" style="267" customWidth="1"/>
    <col min="6671" max="6671" width="13.5546875" style="267" bestFit="1" customWidth="1"/>
    <col min="6672" max="6672" width="5.5546875" style="267" customWidth="1"/>
    <col min="6673" max="6673" width="6.5546875" style="267" customWidth="1"/>
    <col min="6674" max="6674" width="13.5546875" style="267" customWidth="1"/>
    <col min="6675" max="6900" width="8.88671875" style="267"/>
    <col min="6901" max="6901" width="4.5546875" style="267" customWidth="1"/>
    <col min="6902" max="6902" width="19.88671875" style="267" customWidth="1"/>
    <col min="6903" max="6903" width="12.44140625" style="267" customWidth="1"/>
    <col min="6904" max="6904" width="13.88671875" style="267" customWidth="1"/>
    <col min="6905" max="6905" width="12" style="267" customWidth="1"/>
    <col min="6906" max="6906" width="13" style="267" customWidth="1"/>
    <col min="6907" max="6907" width="11.109375" style="267" customWidth="1"/>
    <col min="6908" max="6909" width="13" style="267" customWidth="1"/>
    <col min="6910" max="6910" width="12.5546875" style="267" customWidth="1"/>
    <col min="6911" max="6912" width="8.109375" style="267" customWidth="1"/>
    <col min="6913" max="6913" width="13.109375" style="267" customWidth="1"/>
    <col min="6914" max="6915" width="14" style="267" customWidth="1"/>
    <col min="6916" max="6924" width="14.109375" style="267" customWidth="1"/>
    <col min="6925" max="6925" width="10.109375" style="267" customWidth="1"/>
    <col min="6926" max="6926" width="11.109375" style="267" customWidth="1"/>
    <col min="6927" max="6927" width="13.5546875" style="267" bestFit="1" customWidth="1"/>
    <col min="6928" max="6928" width="5.5546875" style="267" customWidth="1"/>
    <col min="6929" max="6929" width="6.5546875" style="267" customWidth="1"/>
    <col min="6930" max="6930" width="13.5546875" style="267" customWidth="1"/>
    <col min="6931" max="7156" width="8.88671875" style="267"/>
    <col min="7157" max="7157" width="4.5546875" style="267" customWidth="1"/>
    <col min="7158" max="7158" width="19.88671875" style="267" customWidth="1"/>
    <col min="7159" max="7159" width="12.44140625" style="267" customWidth="1"/>
    <col min="7160" max="7160" width="13.88671875" style="267" customWidth="1"/>
    <col min="7161" max="7161" width="12" style="267" customWidth="1"/>
    <col min="7162" max="7162" width="13" style="267" customWidth="1"/>
    <col min="7163" max="7163" width="11.109375" style="267" customWidth="1"/>
    <col min="7164" max="7165" width="13" style="267" customWidth="1"/>
    <col min="7166" max="7166" width="12.5546875" style="267" customWidth="1"/>
    <col min="7167" max="7168" width="8.109375" style="267" customWidth="1"/>
    <col min="7169" max="7169" width="13.109375" style="267" customWidth="1"/>
    <col min="7170" max="7171" width="14" style="267" customWidth="1"/>
    <col min="7172" max="7180" width="14.109375" style="267" customWidth="1"/>
    <col min="7181" max="7181" width="10.109375" style="267" customWidth="1"/>
    <col min="7182" max="7182" width="11.109375" style="267" customWidth="1"/>
    <col min="7183" max="7183" width="13.5546875" style="267" bestFit="1" customWidth="1"/>
    <col min="7184" max="7184" width="5.5546875" style="267" customWidth="1"/>
    <col min="7185" max="7185" width="6.5546875" style="267" customWidth="1"/>
    <col min="7186" max="7186" width="13.5546875" style="267" customWidth="1"/>
    <col min="7187" max="7412" width="8.88671875" style="267"/>
    <col min="7413" max="7413" width="4.5546875" style="267" customWidth="1"/>
    <col min="7414" max="7414" width="19.88671875" style="267" customWidth="1"/>
    <col min="7415" max="7415" width="12.44140625" style="267" customWidth="1"/>
    <col min="7416" max="7416" width="13.88671875" style="267" customWidth="1"/>
    <col min="7417" max="7417" width="12" style="267" customWidth="1"/>
    <col min="7418" max="7418" width="13" style="267" customWidth="1"/>
    <col min="7419" max="7419" width="11.109375" style="267" customWidth="1"/>
    <col min="7420" max="7421" width="13" style="267" customWidth="1"/>
    <col min="7422" max="7422" width="12.5546875" style="267" customWidth="1"/>
    <col min="7423" max="7424" width="8.109375" style="267" customWidth="1"/>
    <col min="7425" max="7425" width="13.109375" style="267" customWidth="1"/>
    <col min="7426" max="7427" width="14" style="267" customWidth="1"/>
    <col min="7428" max="7436" width="14.109375" style="267" customWidth="1"/>
    <col min="7437" max="7437" width="10.109375" style="267" customWidth="1"/>
    <col min="7438" max="7438" width="11.109375" style="267" customWidth="1"/>
    <col min="7439" max="7439" width="13.5546875" style="267" bestFit="1" customWidth="1"/>
    <col min="7440" max="7440" width="5.5546875" style="267" customWidth="1"/>
    <col min="7441" max="7441" width="6.5546875" style="267" customWidth="1"/>
    <col min="7442" max="7442" width="13.5546875" style="267" customWidth="1"/>
    <col min="7443" max="7668" width="8.88671875" style="267"/>
    <col min="7669" max="7669" width="4.5546875" style="267" customWidth="1"/>
    <col min="7670" max="7670" width="19.88671875" style="267" customWidth="1"/>
    <col min="7671" max="7671" width="12.44140625" style="267" customWidth="1"/>
    <col min="7672" max="7672" width="13.88671875" style="267" customWidth="1"/>
    <col min="7673" max="7673" width="12" style="267" customWidth="1"/>
    <col min="7674" max="7674" width="13" style="267" customWidth="1"/>
    <col min="7675" max="7675" width="11.109375" style="267" customWidth="1"/>
    <col min="7676" max="7677" width="13" style="267" customWidth="1"/>
    <col min="7678" max="7678" width="12.5546875" style="267" customWidth="1"/>
    <col min="7679" max="7680" width="8.109375" style="267" customWidth="1"/>
    <col min="7681" max="7681" width="13.109375" style="267" customWidth="1"/>
    <col min="7682" max="7683" width="14" style="267" customWidth="1"/>
    <col min="7684" max="7692" width="14.109375" style="267" customWidth="1"/>
    <col min="7693" max="7693" width="10.109375" style="267" customWidth="1"/>
    <col min="7694" max="7694" width="11.109375" style="267" customWidth="1"/>
    <col min="7695" max="7695" width="13.5546875" style="267" bestFit="1" customWidth="1"/>
    <col min="7696" max="7696" width="5.5546875" style="267" customWidth="1"/>
    <col min="7697" max="7697" width="6.5546875" style="267" customWidth="1"/>
    <col min="7698" max="7698" width="13.5546875" style="267" customWidth="1"/>
    <col min="7699" max="7924" width="8.88671875" style="267"/>
    <col min="7925" max="7925" width="4.5546875" style="267" customWidth="1"/>
    <col min="7926" max="7926" width="19.88671875" style="267" customWidth="1"/>
    <col min="7927" max="7927" width="12.44140625" style="267" customWidth="1"/>
    <col min="7928" max="7928" width="13.88671875" style="267" customWidth="1"/>
    <col min="7929" max="7929" width="12" style="267" customWidth="1"/>
    <col min="7930" max="7930" width="13" style="267" customWidth="1"/>
    <col min="7931" max="7931" width="11.109375" style="267" customWidth="1"/>
    <col min="7932" max="7933" width="13" style="267" customWidth="1"/>
    <col min="7934" max="7934" width="12.5546875" style="267" customWidth="1"/>
    <col min="7935" max="7936" width="8.109375" style="267" customWidth="1"/>
    <col min="7937" max="7937" width="13.109375" style="267" customWidth="1"/>
    <col min="7938" max="7939" width="14" style="267" customWidth="1"/>
    <col min="7940" max="7948" width="14.109375" style="267" customWidth="1"/>
    <col min="7949" max="7949" width="10.109375" style="267" customWidth="1"/>
    <col min="7950" max="7950" width="11.109375" style="267" customWidth="1"/>
    <col min="7951" max="7951" width="13.5546875" style="267" bestFit="1" customWidth="1"/>
    <col min="7952" max="7952" width="5.5546875" style="267" customWidth="1"/>
    <col min="7953" max="7953" width="6.5546875" style="267" customWidth="1"/>
    <col min="7954" max="7954" width="13.5546875" style="267" customWidth="1"/>
    <col min="7955" max="8180" width="8.88671875" style="267"/>
    <col min="8181" max="8181" width="4.5546875" style="267" customWidth="1"/>
    <col min="8182" max="8182" width="19.88671875" style="267" customWidth="1"/>
    <col min="8183" max="8183" width="12.44140625" style="267" customWidth="1"/>
    <col min="8184" max="8184" width="13.88671875" style="267" customWidth="1"/>
    <col min="8185" max="8185" width="12" style="267" customWidth="1"/>
    <col min="8186" max="8186" width="13" style="267" customWidth="1"/>
    <col min="8187" max="8187" width="11.109375" style="267" customWidth="1"/>
    <col min="8188" max="8189" width="13" style="267" customWidth="1"/>
    <col min="8190" max="8190" width="12.5546875" style="267" customWidth="1"/>
    <col min="8191" max="8192" width="8.109375" style="267" customWidth="1"/>
    <col min="8193" max="8193" width="13.109375" style="267" customWidth="1"/>
    <col min="8194" max="8195" width="14" style="267" customWidth="1"/>
    <col min="8196" max="8204" width="14.109375" style="267" customWidth="1"/>
    <col min="8205" max="8205" width="10.109375" style="267" customWidth="1"/>
    <col min="8206" max="8206" width="11.109375" style="267" customWidth="1"/>
    <col min="8207" max="8207" width="13.5546875" style="267" bestFit="1" customWidth="1"/>
    <col min="8208" max="8208" width="5.5546875" style="267" customWidth="1"/>
    <col min="8209" max="8209" width="6.5546875" style="267" customWidth="1"/>
    <col min="8210" max="8210" width="13.5546875" style="267" customWidth="1"/>
    <col min="8211" max="8436" width="8.88671875" style="267"/>
    <col min="8437" max="8437" width="4.5546875" style="267" customWidth="1"/>
    <col min="8438" max="8438" width="19.88671875" style="267" customWidth="1"/>
    <col min="8439" max="8439" width="12.44140625" style="267" customWidth="1"/>
    <col min="8440" max="8440" width="13.88671875" style="267" customWidth="1"/>
    <col min="8441" max="8441" width="12" style="267" customWidth="1"/>
    <col min="8442" max="8442" width="13" style="267" customWidth="1"/>
    <col min="8443" max="8443" width="11.109375" style="267" customWidth="1"/>
    <col min="8444" max="8445" width="13" style="267" customWidth="1"/>
    <col min="8446" max="8446" width="12.5546875" style="267" customWidth="1"/>
    <col min="8447" max="8448" width="8.109375" style="267" customWidth="1"/>
    <col min="8449" max="8449" width="13.109375" style="267" customWidth="1"/>
    <col min="8450" max="8451" width="14" style="267" customWidth="1"/>
    <col min="8452" max="8460" width="14.109375" style="267" customWidth="1"/>
    <col min="8461" max="8461" width="10.109375" style="267" customWidth="1"/>
    <col min="8462" max="8462" width="11.109375" style="267" customWidth="1"/>
    <col min="8463" max="8463" width="13.5546875" style="267" bestFit="1" customWidth="1"/>
    <col min="8464" max="8464" width="5.5546875" style="267" customWidth="1"/>
    <col min="8465" max="8465" width="6.5546875" style="267" customWidth="1"/>
    <col min="8466" max="8466" width="13.5546875" style="267" customWidth="1"/>
    <col min="8467" max="8692" width="8.88671875" style="267"/>
    <col min="8693" max="8693" width="4.5546875" style="267" customWidth="1"/>
    <col min="8694" max="8694" width="19.88671875" style="267" customWidth="1"/>
    <col min="8695" max="8695" width="12.44140625" style="267" customWidth="1"/>
    <col min="8696" max="8696" width="13.88671875" style="267" customWidth="1"/>
    <col min="8697" max="8697" width="12" style="267" customWidth="1"/>
    <col min="8698" max="8698" width="13" style="267" customWidth="1"/>
    <col min="8699" max="8699" width="11.109375" style="267" customWidth="1"/>
    <col min="8700" max="8701" width="13" style="267" customWidth="1"/>
    <col min="8702" max="8702" width="12.5546875" style="267" customWidth="1"/>
    <col min="8703" max="8704" width="8.109375" style="267" customWidth="1"/>
    <col min="8705" max="8705" width="13.109375" style="267" customWidth="1"/>
    <col min="8706" max="8707" width="14" style="267" customWidth="1"/>
    <col min="8708" max="8716" width="14.109375" style="267" customWidth="1"/>
    <col min="8717" max="8717" width="10.109375" style="267" customWidth="1"/>
    <col min="8718" max="8718" width="11.109375" style="267" customWidth="1"/>
    <col min="8719" max="8719" width="13.5546875" style="267" bestFit="1" customWidth="1"/>
    <col min="8720" max="8720" width="5.5546875" style="267" customWidth="1"/>
    <col min="8721" max="8721" width="6.5546875" style="267" customWidth="1"/>
    <col min="8722" max="8722" width="13.5546875" style="267" customWidth="1"/>
    <col min="8723" max="8948" width="8.88671875" style="267"/>
    <col min="8949" max="8949" width="4.5546875" style="267" customWidth="1"/>
    <col min="8950" max="8950" width="19.88671875" style="267" customWidth="1"/>
    <col min="8951" max="8951" width="12.44140625" style="267" customWidth="1"/>
    <col min="8952" max="8952" width="13.88671875" style="267" customWidth="1"/>
    <col min="8953" max="8953" width="12" style="267" customWidth="1"/>
    <col min="8954" max="8954" width="13" style="267" customWidth="1"/>
    <col min="8955" max="8955" width="11.109375" style="267" customWidth="1"/>
    <col min="8956" max="8957" width="13" style="267" customWidth="1"/>
    <col min="8958" max="8958" width="12.5546875" style="267" customWidth="1"/>
    <col min="8959" max="8960" width="8.109375" style="267" customWidth="1"/>
    <col min="8961" max="8961" width="13.109375" style="267" customWidth="1"/>
    <col min="8962" max="8963" width="14" style="267" customWidth="1"/>
    <col min="8964" max="8972" width="14.109375" style="267" customWidth="1"/>
    <col min="8973" max="8973" width="10.109375" style="267" customWidth="1"/>
    <col min="8974" max="8974" width="11.109375" style="267" customWidth="1"/>
    <col min="8975" max="8975" width="13.5546875" style="267" bestFit="1" customWidth="1"/>
    <col min="8976" max="8976" width="5.5546875" style="267" customWidth="1"/>
    <col min="8977" max="8977" width="6.5546875" style="267" customWidth="1"/>
    <col min="8978" max="8978" width="13.5546875" style="267" customWidth="1"/>
    <col min="8979" max="9204" width="8.88671875" style="267"/>
    <col min="9205" max="9205" width="4.5546875" style="267" customWidth="1"/>
    <col min="9206" max="9206" width="19.88671875" style="267" customWidth="1"/>
    <col min="9207" max="9207" width="12.44140625" style="267" customWidth="1"/>
    <col min="9208" max="9208" width="13.88671875" style="267" customWidth="1"/>
    <col min="9209" max="9209" width="12" style="267" customWidth="1"/>
    <col min="9210" max="9210" width="13" style="267" customWidth="1"/>
    <col min="9211" max="9211" width="11.109375" style="267" customWidth="1"/>
    <col min="9212" max="9213" width="13" style="267" customWidth="1"/>
    <col min="9214" max="9214" width="12.5546875" style="267" customWidth="1"/>
    <col min="9215" max="9216" width="8.109375" style="267" customWidth="1"/>
    <col min="9217" max="9217" width="13.109375" style="267" customWidth="1"/>
    <col min="9218" max="9219" width="14" style="267" customWidth="1"/>
    <col min="9220" max="9228" width="14.109375" style="267" customWidth="1"/>
    <col min="9229" max="9229" width="10.109375" style="267" customWidth="1"/>
    <col min="9230" max="9230" width="11.109375" style="267" customWidth="1"/>
    <col min="9231" max="9231" width="13.5546875" style="267" bestFit="1" customWidth="1"/>
    <col min="9232" max="9232" width="5.5546875" style="267" customWidth="1"/>
    <col min="9233" max="9233" width="6.5546875" style="267" customWidth="1"/>
    <col min="9234" max="9234" width="13.5546875" style="267" customWidth="1"/>
    <col min="9235" max="9460" width="8.88671875" style="267"/>
    <col min="9461" max="9461" width="4.5546875" style="267" customWidth="1"/>
    <col min="9462" max="9462" width="19.88671875" style="267" customWidth="1"/>
    <col min="9463" max="9463" width="12.44140625" style="267" customWidth="1"/>
    <col min="9464" max="9464" width="13.88671875" style="267" customWidth="1"/>
    <col min="9465" max="9465" width="12" style="267" customWidth="1"/>
    <col min="9466" max="9466" width="13" style="267" customWidth="1"/>
    <col min="9467" max="9467" width="11.109375" style="267" customWidth="1"/>
    <col min="9468" max="9469" width="13" style="267" customWidth="1"/>
    <col min="9470" max="9470" width="12.5546875" style="267" customWidth="1"/>
    <col min="9471" max="9472" width="8.109375" style="267" customWidth="1"/>
    <col min="9473" max="9473" width="13.109375" style="267" customWidth="1"/>
    <col min="9474" max="9475" width="14" style="267" customWidth="1"/>
    <col min="9476" max="9484" width="14.109375" style="267" customWidth="1"/>
    <col min="9485" max="9485" width="10.109375" style="267" customWidth="1"/>
    <col min="9486" max="9486" width="11.109375" style="267" customWidth="1"/>
    <col min="9487" max="9487" width="13.5546875" style="267" bestFit="1" customWidth="1"/>
    <col min="9488" max="9488" width="5.5546875" style="267" customWidth="1"/>
    <col min="9489" max="9489" width="6.5546875" style="267" customWidth="1"/>
    <col min="9490" max="9490" width="13.5546875" style="267" customWidth="1"/>
    <col min="9491" max="9716" width="8.88671875" style="267"/>
    <col min="9717" max="9717" width="4.5546875" style="267" customWidth="1"/>
    <col min="9718" max="9718" width="19.88671875" style="267" customWidth="1"/>
    <col min="9719" max="9719" width="12.44140625" style="267" customWidth="1"/>
    <col min="9720" max="9720" width="13.88671875" style="267" customWidth="1"/>
    <col min="9721" max="9721" width="12" style="267" customWidth="1"/>
    <col min="9722" max="9722" width="13" style="267" customWidth="1"/>
    <col min="9723" max="9723" width="11.109375" style="267" customWidth="1"/>
    <col min="9724" max="9725" width="13" style="267" customWidth="1"/>
    <col min="9726" max="9726" width="12.5546875" style="267" customWidth="1"/>
    <col min="9727" max="9728" width="8.109375" style="267" customWidth="1"/>
    <col min="9729" max="9729" width="13.109375" style="267" customWidth="1"/>
    <col min="9730" max="9731" width="14" style="267" customWidth="1"/>
    <col min="9732" max="9740" width="14.109375" style="267" customWidth="1"/>
    <col min="9741" max="9741" width="10.109375" style="267" customWidth="1"/>
    <col min="9742" max="9742" width="11.109375" style="267" customWidth="1"/>
    <col min="9743" max="9743" width="13.5546875" style="267" bestFit="1" customWidth="1"/>
    <col min="9744" max="9744" width="5.5546875" style="267" customWidth="1"/>
    <col min="9745" max="9745" width="6.5546875" style="267" customWidth="1"/>
    <col min="9746" max="9746" width="13.5546875" style="267" customWidth="1"/>
    <col min="9747" max="9972" width="8.88671875" style="267"/>
    <col min="9973" max="9973" width="4.5546875" style="267" customWidth="1"/>
    <col min="9974" max="9974" width="19.88671875" style="267" customWidth="1"/>
    <col min="9975" max="9975" width="12.44140625" style="267" customWidth="1"/>
    <col min="9976" max="9976" width="13.88671875" style="267" customWidth="1"/>
    <col min="9977" max="9977" width="12" style="267" customWidth="1"/>
    <col min="9978" max="9978" width="13" style="267" customWidth="1"/>
    <col min="9979" max="9979" width="11.109375" style="267" customWidth="1"/>
    <col min="9980" max="9981" width="13" style="267" customWidth="1"/>
    <col min="9982" max="9982" width="12.5546875" style="267" customWidth="1"/>
    <col min="9983" max="9984" width="8.109375" style="267" customWidth="1"/>
    <col min="9985" max="9985" width="13.109375" style="267" customWidth="1"/>
    <col min="9986" max="9987" width="14" style="267" customWidth="1"/>
    <col min="9988" max="9996" width="14.109375" style="267" customWidth="1"/>
    <col min="9997" max="9997" width="10.109375" style="267" customWidth="1"/>
    <col min="9998" max="9998" width="11.109375" style="267" customWidth="1"/>
    <col min="9999" max="9999" width="13.5546875" style="267" bestFit="1" customWidth="1"/>
    <col min="10000" max="10000" width="5.5546875" style="267" customWidth="1"/>
    <col min="10001" max="10001" width="6.5546875" style="267" customWidth="1"/>
    <col min="10002" max="10002" width="13.5546875" style="267" customWidth="1"/>
    <col min="10003" max="10228" width="8.88671875" style="267"/>
    <col min="10229" max="10229" width="4.5546875" style="267" customWidth="1"/>
    <col min="10230" max="10230" width="19.88671875" style="267" customWidth="1"/>
    <col min="10231" max="10231" width="12.44140625" style="267" customWidth="1"/>
    <col min="10232" max="10232" width="13.88671875" style="267" customWidth="1"/>
    <col min="10233" max="10233" width="12" style="267" customWidth="1"/>
    <col min="10234" max="10234" width="13" style="267" customWidth="1"/>
    <col min="10235" max="10235" width="11.109375" style="267" customWidth="1"/>
    <col min="10236" max="10237" width="13" style="267" customWidth="1"/>
    <col min="10238" max="10238" width="12.5546875" style="267" customWidth="1"/>
    <col min="10239" max="10240" width="8.109375" style="267" customWidth="1"/>
    <col min="10241" max="10241" width="13.109375" style="267" customWidth="1"/>
    <col min="10242" max="10243" width="14" style="267" customWidth="1"/>
    <col min="10244" max="10252" width="14.109375" style="267" customWidth="1"/>
    <col min="10253" max="10253" width="10.109375" style="267" customWidth="1"/>
    <col min="10254" max="10254" width="11.109375" style="267" customWidth="1"/>
    <col min="10255" max="10255" width="13.5546875" style="267" bestFit="1" customWidth="1"/>
    <col min="10256" max="10256" width="5.5546875" style="267" customWidth="1"/>
    <col min="10257" max="10257" width="6.5546875" style="267" customWidth="1"/>
    <col min="10258" max="10258" width="13.5546875" style="267" customWidth="1"/>
    <col min="10259" max="10484" width="8.88671875" style="267"/>
    <col min="10485" max="10485" width="4.5546875" style="267" customWidth="1"/>
    <col min="10486" max="10486" width="19.88671875" style="267" customWidth="1"/>
    <col min="10487" max="10487" width="12.44140625" style="267" customWidth="1"/>
    <col min="10488" max="10488" width="13.88671875" style="267" customWidth="1"/>
    <col min="10489" max="10489" width="12" style="267" customWidth="1"/>
    <col min="10490" max="10490" width="13" style="267" customWidth="1"/>
    <col min="10491" max="10491" width="11.109375" style="267" customWidth="1"/>
    <col min="10492" max="10493" width="13" style="267" customWidth="1"/>
    <col min="10494" max="10494" width="12.5546875" style="267" customWidth="1"/>
    <col min="10495" max="10496" width="8.109375" style="267" customWidth="1"/>
    <col min="10497" max="10497" width="13.109375" style="267" customWidth="1"/>
    <col min="10498" max="10499" width="14" style="267" customWidth="1"/>
    <col min="10500" max="10508" width="14.109375" style="267" customWidth="1"/>
    <col min="10509" max="10509" width="10.109375" style="267" customWidth="1"/>
    <col min="10510" max="10510" width="11.109375" style="267" customWidth="1"/>
    <col min="10511" max="10511" width="13.5546875" style="267" bestFit="1" customWidth="1"/>
    <col min="10512" max="10512" width="5.5546875" style="267" customWidth="1"/>
    <col min="10513" max="10513" width="6.5546875" style="267" customWidth="1"/>
    <col min="10514" max="10514" width="13.5546875" style="267" customWidth="1"/>
    <col min="10515" max="10740" width="8.88671875" style="267"/>
    <col min="10741" max="10741" width="4.5546875" style="267" customWidth="1"/>
    <col min="10742" max="10742" width="19.88671875" style="267" customWidth="1"/>
    <col min="10743" max="10743" width="12.44140625" style="267" customWidth="1"/>
    <col min="10744" max="10744" width="13.88671875" style="267" customWidth="1"/>
    <col min="10745" max="10745" width="12" style="267" customWidth="1"/>
    <col min="10746" max="10746" width="13" style="267" customWidth="1"/>
    <col min="10747" max="10747" width="11.109375" style="267" customWidth="1"/>
    <col min="10748" max="10749" width="13" style="267" customWidth="1"/>
    <col min="10750" max="10750" width="12.5546875" style="267" customWidth="1"/>
    <col min="10751" max="10752" width="8.109375" style="267" customWidth="1"/>
    <col min="10753" max="10753" width="13.109375" style="267" customWidth="1"/>
    <col min="10754" max="10755" width="14" style="267" customWidth="1"/>
    <col min="10756" max="10764" width="14.109375" style="267" customWidth="1"/>
    <col min="10765" max="10765" width="10.109375" style="267" customWidth="1"/>
    <col min="10766" max="10766" width="11.109375" style="267" customWidth="1"/>
    <col min="10767" max="10767" width="13.5546875" style="267" bestFit="1" customWidth="1"/>
    <col min="10768" max="10768" width="5.5546875" style="267" customWidth="1"/>
    <col min="10769" max="10769" width="6.5546875" style="267" customWidth="1"/>
    <col min="10770" max="10770" width="13.5546875" style="267" customWidth="1"/>
    <col min="10771" max="10996" width="8.88671875" style="267"/>
    <col min="10997" max="10997" width="4.5546875" style="267" customWidth="1"/>
    <col min="10998" max="10998" width="19.88671875" style="267" customWidth="1"/>
    <col min="10999" max="10999" width="12.44140625" style="267" customWidth="1"/>
    <col min="11000" max="11000" width="13.88671875" style="267" customWidth="1"/>
    <col min="11001" max="11001" width="12" style="267" customWidth="1"/>
    <col min="11002" max="11002" width="13" style="267" customWidth="1"/>
    <col min="11003" max="11003" width="11.109375" style="267" customWidth="1"/>
    <col min="11004" max="11005" width="13" style="267" customWidth="1"/>
    <col min="11006" max="11006" width="12.5546875" style="267" customWidth="1"/>
    <col min="11007" max="11008" width="8.109375" style="267" customWidth="1"/>
    <col min="11009" max="11009" width="13.109375" style="267" customWidth="1"/>
    <col min="11010" max="11011" width="14" style="267" customWidth="1"/>
    <col min="11012" max="11020" width="14.109375" style="267" customWidth="1"/>
    <col min="11021" max="11021" width="10.109375" style="267" customWidth="1"/>
    <col min="11022" max="11022" width="11.109375" style="267" customWidth="1"/>
    <col min="11023" max="11023" width="13.5546875" style="267" bestFit="1" customWidth="1"/>
    <col min="11024" max="11024" width="5.5546875" style="267" customWidth="1"/>
    <col min="11025" max="11025" width="6.5546875" style="267" customWidth="1"/>
    <col min="11026" max="11026" width="13.5546875" style="267" customWidth="1"/>
    <col min="11027" max="11252" width="8.88671875" style="267"/>
    <col min="11253" max="11253" width="4.5546875" style="267" customWidth="1"/>
    <col min="11254" max="11254" width="19.88671875" style="267" customWidth="1"/>
    <col min="11255" max="11255" width="12.44140625" style="267" customWidth="1"/>
    <col min="11256" max="11256" width="13.88671875" style="267" customWidth="1"/>
    <col min="11257" max="11257" width="12" style="267" customWidth="1"/>
    <col min="11258" max="11258" width="13" style="267" customWidth="1"/>
    <col min="11259" max="11259" width="11.109375" style="267" customWidth="1"/>
    <col min="11260" max="11261" width="13" style="267" customWidth="1"/>
    <col min="11262" max="11262" width="12.5546875" style="267" customWidth="1"/>
    <col min="11263" max="11264" width="8.109375" style="267" customWidth="1"/>
    <col min="11265" max="11265" width="13.109375" style="267" customWidth="1"/>
    <col min="11266" max="11267" width="14" style="267" customWidth="1"/>
    <col min="11268" max="11276" width="14.109375" style="267" customWidth="1"/>
    <col min="11277" max="11277" width="10.109375" style="267" customWidth="1"/>
    <col min="11278" max="11278" width="11.109375" style="267" customWidth="1"/>
    <col min="11279" max="11279" width="13.5546875" style="267" bestFit="1" customWidth="1"/>
    <col min="11280" max="11280" width="5.5546875" style="267" customWidth="1"/>
    <col min="11281" max="11281" width="6.5546875" style="267" customWidth="1"/>
    <col min="11282" max="11282" width="13.5546875" style="267" customWidth="1"/>
    <col min="11283" max="11508" width="8.88671875" style="267"/>
    <col min="11509" max="11509" width="4.5546875" style="267" customWidth="1"/>
    <col min="11510" max="11510" width="19.88671875" style="267" customWidth="1"/>
    <col min="11511" max="11511" width="12.44140625" style="267" customWidth="1"/>
    <col min="11512" max="11512" width="13.88671875" style="267" customWidth="1"/>
    <col min="11513" max="11513" width="12" style="267" customWidth="1"/>
    <col min="11514" max="11514" width="13" style="267" customWidth="1"/>
    <col min="11515" max="11515" width="11.109375" style="267" customWidth="1"/>
    <col min="11516" max="11517" width="13" style="267" customWidth="1"/>
    <col min="11518" max="11518" width="12.5546875" style="267" customWidth="1"/>
    <col min="11519" max="11520" width="8.109375" style="267" customWidth="1"/>
    <col min="11521" max="11521" width="13.109375" style="267" customWidth="1"/>
    <col min="11522" max="11523" width="14" style="267" customWidth="1"/>
    <col min="11524" max="11532" width="14.109375" style="267" customWidth="1"/>
    <col min="11533" max="11533" width="10.109375" style="267" customWidth="1"/>
    <col min="11534" max="11534" width="11.109375" style="267" customWidth="1"/>
    <col min="11535" max="11535" width="13.5546875" style="267" bestFit="1" customWidth="1"/>
    <col min="11536" max="11536" width="5.5546875" style="267" customWidth="1"/>
    <col min="11537" max="11537" width="6.5546875" style="267" customWidth="1"/>
    <col min="11538" max="11538" width="13.5546875" style="267" customWidth="1"/>
    <col min="11539" max="11764" width="8.88671875" style="267"/>
    <col min="11765" max="11765" width="4.5546875" style="267" customWidth="1"/>
    <col min="11766" max="11766" width="19.88671875" style="267" customWidth="1"/>
    <col min="11767" max="11767" width="12.44140625" style="267" customWidth="1"/>
    <col min="11768" max="11768" width="13.88671875" style="267" customWidth="1"/>
    <col min="11769" max="11769" width="12" style="267" customWidth="1"/>
    <col min="11770" max="11770" width="13" style="267" customWidth="1"/>
    <col min="11771" max="11771" width="11.109375" style="267" customWidth="1"/>
    <col min="11772" max="11773" width="13" style="267" customWidth="1"/>
    <col min="11774" max="11774" width="12.5546875" style="267" customWidth="1"/>
    <col min="11775" max="11776" width="8.109375" style="267" customWidth="1"/>
    <col min="11777" max="11777" width="13.109375" style="267" customWidth="1"/>
    <col min="11778" max="11779" width="14" style="267" customWidth="1"/>
    <col min="11780" max="11788" width="14.109375" style="267" customWidth="1"/>
    <col min="11789" max="11789" width="10.109375" style="267" customWidth="1"/>
    <col min="11790" max="11790" width="11.109375" style="267" customWidth="1"/>
    <col min="11791" max="11791" width="13.5546875" style="267" bestFit="1" customWidth="1"/>
    <col min="11792" max="11792" width="5.5546875" style="267" customWidth="1"/>
    <col min="11793" max="11793" width="6.5546875" style="267" customWidth="1"/>
    <col min="11794" max="11794" width="13.5546875" style="267" customWidth="1"/>
    <col min="11795" max="12020" width="8.88671875" style="267"/>
    <col min="12021" max="12021" width="4.5546875" style="267" customWidth="1"/>
    <col min="12022" max="12022" width="19.88671875" style="267" customWidth="1"/>
    <col min="12023" max="12023" width="12.44140625" style="267" customWidth="1"/>
    <col min="12024" max="12024" width="13.88671875" style="267" customWidth="1"/>
    <col min="12025" max="12025" width="12" style="267" customWidth="1"/>
    <col min="12026" max="12026" width="13" style="267" customWidth="1"/>
    <col min="12027" max="12027" width="11.109375" style="267" customWidth="1"/>
    <col min="12028" max="12029" width="13" style="267" customWidth="1"/>
    <col min="12030" max="12030" width="12.5546875" style="267" customWidth="1"/>
    <col min="12031" max="12032" width="8.109375" style="267" customWidth="1"/>
    <col min="12033" max="12033" width="13.109375" style="267" customWidth="1"/>
    <col min="12034" max="12035" width="14" style="267" customWidth="1"/>
    <col min="12036" max="12044" width="14.109375" style="267" customWidth="1"/>
    <col min="12045" max="12045" width="10.109375" style="267" customWidth="1"/>
    <col min="12046" max="12046" width="11.109375" style="267" customWidth="1"/>
    <col min="12047" max="12047" width="13.5546875" style="267" bestFit="1" customWidth="1"/>
    <col min="12048" max="12048" width="5.5546875" style="267" customWidth="1"/>
    <col min="12049" max="12049" width="6.5546875" style="267" customWidth="1"/>
    <col min="12050" max="12050" width="13.5546875" style="267" customWidth="1"/>
    <col min="12051" max="12276" width="8.88671875" style="267"/>
    <col min="12277" max="12277" width="4.5546875" style="267" customWidth="1"/>
    <col min="12278" max="12278" width="19.88671875" style="267" customWidth="1"/>
    <col min="12279" max="12279" width="12.44140625" style="267" customWidth="1"/>
    <col min="12280" max="12280" width="13.88671875" style="267" customWidth="1"/>
    <col min="12281" max="12281" width="12" style="267" customWidth="1"/>
    <col min="12282" max="12282" width="13" style="267" customWidth="1"/>
    <col min="12283" max="12283" width="11.109375" style="267" customWidth="1"/>
    <col min="12284" max="12285" width="13" style="267" customWidth="1"/>
    <col min="12286" max="12286" width="12.5546875" style="267" customWidth="1"/>
    <col min="12287" max="12288" width="8.109375" style="267" customWidth="1"/>
    <col min="12289" max="12289" width="13.109375" style="267" customWidth="1"/>
    <col min="12290" max="12291" width="14" style="267" customWidth="1"/>
    <col min="12292" max="12300" width="14.109375" style="267" customWidth="1"/>
    <col min="12301" max="12301" width="10.109375" style="267" customWidth="1"/>
    <col min="12302" max="12302" width="11.109375" style="267" customWidth="1"/>
    <col min="12303" max="12303" width="13.5546875" style="267" bestFit="1" customWidth="1"/>
    <col min="12304" max="12304" width="5.5546875" style="267" customWidth="1"/>
    <col min="12305" max="12305" width="6.5546875" style="267" customWidth="1"/>
    <col min="12306" max="12306" width="13.5546875" style="267" customWidth="1"/>
    <col min="12307" max="12532" width="8.88671875" style="267"/>
    <col min="12533" max="12533" width="4.5546875" style="267" customWidth="1"/>
    <col min="12534" max="12534" width="19.88671875" style="267" customWidth="1"/>
    <col min="12535" max="12535" width="12.44140625" style="267" customWidth="1"/>
    <col min="12536" max="12536" width="13.88671875" style="267" customWidth="1"/>
    <col min="12537" max="12537" width="12" style="267" customWidth="1"/>
    <col min="12538" max="12538" width="13" style="267" customWidth="1"/>
    <col min="12539" max="12539" width="11.109375" style="267" customWidth="1"/>
    <col min="12540" max="12541" width="13" style="267" customWidth="1"/>
    <col min="12542" max="12542" width="12.5546875" style="267" customWidth="1"/>
    <col min="12543" max="12544" width="8.109375" style="267" customWidth="1"/>
    <col min="12545" max="12545" width="13.109375" style="267" customWidth="1"/>
    <col min="12546" max="12547" width="14" style="267" customWidth="1"/>
    <col min="12548" max="12556" width="14.109375" style="267" customWidth="1"/>
    <col min="12557" max="12557" width="10.109375" style="267" customWidth="1"/>
    <col min="12558" max="12558" width="11.109375" style="267" customWidth="1"/>
    <col min="12559" max="12559" width="13.5546875" style="267" bestFit="1" customWidth="1"/>
    <col min="12560" max="12560" width="5.5546875" style="267" customWidth="1"/>
    <col min="12561" max="12561" width="6.5546875" style="267" customWidth="1"/>
    <col min="12562" max="12562" width="13.5546875" style="267" customWidth="1"/>
    <col min="12563" max="12788" width="8.88671875" style="267"/>
    <col min="12789" max="12789" width="4.5546875" style="267" customWidth="1"/>
    <col min="12790" max="12790" width="19.88671875" style="267" customWidth="1"/>
    <col min="12791" max="12791" width="12.44140625" style="267" customWidth="1"/>
    <col min="12792" max="12792" width="13.88671875" style="267" customWidth="1"/>
    <col min="12793" max="12793" width="12" style="267" customWidth="1"/>
    <col min="12794" max="12794" width="13" style="267" customWidth="1"/>
    <col min="12795" max="12795" width="11.109375" style="267" customWidth="1"/>
    <col min="12796" max="12797" width="13" style="267" customWidth="1"/>
    <col min="12798" max="12798" width="12.5546875" style="267" customWidth="1"/>
    <col min="12799" max="12800" width="8.109375" style="267" customWidth="1"/>
    <col min="12801" max="12801" width="13.109375" style="267" customWidth="1"/>
    <col min="12802" max="12803" width="14" style="267" customWidth="1"/>
    <col min="12804" max="12812" width="14.109375" style="267" customWidth="1"/>
    <col min="12813" max="12813" width="10.109375" style="267" customWidth="1"/>
    <col min="12814" max="12814" width="11.109375" style="267" customWidth="1"/>
    <col min="12815" max="12815" width="13.5546875" style="267" bestFit="1" customWidth="1"/>
    <col min="12816" max="12816" width="5.5546875" style="267" customWidth="1"/>
    <col min="12817" max="12817" width="6.5546875" style="267" customWidth="1"/>
    <col min="12818" max="12818" width="13.5546875" style="267" customWidth="1"/>
    <col min="12819" max="13044" width="8.88671875" style="267"/>
    <col min="13045" max="13045" width="4.5546875" style="267" customWidth="1"/>
    <col min="13046" max="13046" width="19.88671875" style="267" customWidth="1"/>
    <col min="13047" max="13047" width="12.44140625" style="267" customWidth="1"/>
    <col min="13048" max="13048" width="13.88671875" style="267" customWidth="1"/>
    <col min="13049" max="13049" width="12" style="267" customWidth="1"/>
    <col min="13050" max="13050" width="13" style="267" customWidth="1"/>
    <col min="13051" max="13051" width="11.109375" style="267" customWidth="1"/>
    <col min="13052" max="13053" width="13" style="267" customWidth="1"/>
    <col min="13054" max="13054" width="12.5546875" style="267" customWidth="1"/>
    <col min="13055" max="13056" width="8.109375" style="267" customWidth="1"/>
    <col min="13057" max="13057" width="13.109375" style="267" customWidth="1"/>
    <col min="13058" max="13059" width="14" style="267" customWidth="1"/>
    <col min="13060" max="13068" width="14.109375" style="267" customWidth="1"/>
    <col min="13069" max="13069" width="10.109375" style="267" customWidth="1"/>
    <col min="13070" max="13070" width="11.109375" style="267" customWidth="1"/>
    <col min="13071" max="13071" width="13.5546875" style="267" bestFit="1" customWidth="1"/>
    <col min="13072" max="13072" width="5.5546875" style="267" customWidth="1"/>
    <col min="13073" max="13073" width="6.5546875" style="267" customWidth="1"/>
    <col min="13074" max="13074" width="13.5546875" style="267" customWidth="1"/>
    <col min="13075" max="13300" width="8.88671875" style="267"/>
    <col min="13301" max="13301" width="4.5546875" style="267" customWidth="1"/>
    <col min="13302" max="13302" width="19.88671875" style="267" customWidth="1"/>
    <col min="13303" max="13303" width="12.44140625" style="267" customWidth="1"/>
    <col min="13304" max="13304" width="13.88671875" style="267" customWidth="1"/>
    <col min="13305" max="13305" width="12" style="267" customWidth="1"/>
    <col min="13306" max="13306" width="13" style="267" customWidth="1"/>
    <col min="13307" max="13307" width="11.109375" style="267" customWidth="1"/>
    <col min="13308" max="13309" width="13" style="267" customWidth="1"/>
    <col min="13310" max="13310" width="12.5546875" style="267" customWidth="1"/>
    <col min="13311" max="13312" width="8.109375" style="267" customWidth="1"/>
    <col min="13313" max="13313" width="13.109375" style="267" customWidth="1"/>
    <col min="13314" max="13315" width="14" style="267" customWidth="1"/>
    <col min="13316" max="13324" width="14.109375" style="267" customWidth="1"/>
    <col min="13325" max="13325" width="10.109375" style="267" customWidth="1"/>
    <col min="13326" max="13326" width="11.109375" style="267" customWidth="1"/>
    <col min="13327" max="13327" width="13.5546875" style="267" bestFit="1" customWidth="1"/>
    <col min="13328" max="13328" width="5.5546875" style="267" customWidth="1"/>
    <col min="13329" max="13329" width="6.5546875" style="267" customWidth="1"/>
    <col min="13330" max="13330" width="13.5546875" style="267" customWidth="1"/>
    <col min="13331" max="13556" width="8.88671875" style="267"/>
    <col min="13557" max="13557" width="4.5546875" style="267" customWidth="1"/>
    <col min="13558" max="13558" width="19.88671875" style="267" customWidth="1"/>
    <col min="13559" max="13559" width="12.44140625" style="267" customWidth="1"/>
    <col min="13560" max="13560" width="13.88671875" style="267" customWidth="1"/>
    <col min="13561" max="13561" width="12" style="267" customWidth="1"/>
    <col min="13562" max="13562" width="13" style="267" customWidth="1"/>
    <col min="13563" max="13563" width="11.109375" style="267" customWidth="1"/>
    <col min="13564" max="13565" width="13" style="267" customWidth="1"/>
    <col min="13566" max="13566" width="12.5546875" style="267" customWidth="1"/>
    <col min="13567" max="13568" width="8.109375" style="267" customWidth="1"/>
    <col min="13569" max="13569" width="13.109375" style="267" customWidth="1"/>
    <col min="13570" max="13571" width="14" style="267" customWidth="1"/>
    <col min="13572" max="13580" width="14.109375" style="267" customWidth="1"/>
    <col min="13581" max="13581" width="10.109375" style="267" customWidth="1"/>
    <col min="13582" max="13582" width="11.109375" style="267" customWidth="1"/>
    <col min="13583" max="13583" width="13.5546875" style="267" bestFit="1" customWidth="1"/>
    <col min="13584" max="13584" width="5.5546875" style="267" customWidth="1"/>
    <col min="13585" max="13585" width="6.5546875" style="267" customWidth="1"/>
    <col min="13586" max="13586" width="13.5546875" style="267" customWidth="1"/>
    <col min="13587" max="13812" width="8.88671875" style="267"/>
    <col min="13813" max="13813" width="4.5546875" style="267" customWidth="1"/>
    <col min="13814" max="13814" width="19.88671875" style="267" customWidth="1"/>
    <col min="13815" max="13815" width="12.44140625" style="267" customWidth="1"/>
    <col min="13816" max="13816" width="13.88671875" style="267" customWidth="1"/>
    <col min="13817" max="13817" width="12" style="267" customWidth="1"/>
    <col min="13818" max="13818" width="13" style="267" customWidth="1"/>
    <col min="13819" max="13819" width="11.109375" style="267" customWidth="1"/>
    <col min="13820" max="13821" width="13" style="267" customWidth="1"/>
    <col min="13822" max="13822" width="12.5546875" style="267" customWidth="1"/>
    <col min="13823" max="13824" width="8.109375" style="267" customWidth="1"/>
    <col min="13825" max="13825" width="13.109375" style="267" customWidth="1"/>
    <col min="13826" max="13827" width="14" style="267" customWidth="1"/>
    <col min="13828" max="13836" width="14.109375" style="267" customWidth="1"/>
    <col min="13837" max="13837" width="10.109375" style="267" customWidth="1"/>
    <col min="13838" max="13838" width="11.109375" style="267" customWidth="1"/>
    <col min="13839" max="13839" width="13.5546875" style="267" bestFit="1" customWidth="1"/>
    <col min="13840" max="13840" width="5.5546875" style="267" customWidth="1"/>
    <col min="13841" max="13841" width="6.5546875" style="267" customWidth="1"/>
    <col min="13842" max="13842" width="13.5546875" style="267" customWidth="1"/>
    <col min="13843" max="14068" width="8.88671875" style="267"/>
    <col min="14069" max="14069" width="4.5546875" style="267" customWidth="1"/>
    <col min="14070" max="14070" width="19.88671875" style="267" customWidth="1"/>
    <col min="14071" max="14071" width="12.44140625" style="267" customWidth="1"/>
    <col min="14072" max="14072" width="13.88671875" style="267" customWidth="1"/>
    <col min="14073" max="14073" width="12" style="267" customWidth="1"/>
    <col min="14074" max="14074" width="13" style="267" customWidth="1"/>
    <col min="14075" max="14075" width="11.109375" style="267" customWidth="1"/>
    <col min="14076" max="14077" width="13" style="267" customWidth="1"/>
    <col min="14078" max="14078" width="12.5546875" style="267" customWidth="1"/>
    <col min="14079" max="14080" width="8.109375" style="267" customWidth="1"/>
    <col min="14081" max="14081" width="13.109375" style="267" customWidth="1"/>
    <col min="14082" max="14083" width="14" style="267" customWidth="1"/>
    <col min="14084" max="14092" width="14.109375" style="267" customWidth="1"/>
    <col min="14093" max="14093" width="10.109375" style="267" customWidth="1"/>
    <col min="14094" max="14094" width="11.109375" style="267" customWidth="1"/>
    <col min="14095" max="14095" width="13.5546875" style="267" bestFit="1" customWidth="1"/>
    <col min="14096" max="14096" width="5.5546875" style="267" customWidth="1"/>
    <col min="14097" max="14097" width="6.5546875" style="267" customWidth="1"/>
    <col min="14098" max="14098" width="13.5546875" style="267" customWidth="1"/>
    <col min="14099" max="14324" width="8.88671875" style="267"/>
    <col min="14325" max="14325" width="4.5546875" style="267" customWidth="1"/>
    <col min="14326" max="14326" width="19.88671875" style="267" customWidth="1"/>
    <col min="14327" max="14327" width="12.44140625" style="267" customWidth="1"/>
    <col min="14328" max="14328" width="13.88671875" style="267" customWidth="1"/>
    <col min="14329" max="14329" width="12" style="267" customWidth="1"/>
    <col min="14330" max="14330" width="13" style="267" customWidth="1"/>
    <col min="14331" max="14331" width="11.109375" style="267" customWidth="1"/>
    <col min="14332" max="14333" width="13" style="267" customWidth="1"/>
    <col min="14334" max="14334" width="12.5546875" style="267" customWidth="1"/>
    <col min="14335" max="14336" width="8.109375" style="267" customWidth="1"/>
    <col min="14337" max="14337" width="13.109375" style="267" customWidth="1"/>
    <col min="14338" max="14339" width="14" style="267" customWidth="1"/>
    <col min="14340" max="14348" width="14.109375" style="267" customWidth="1"/>
    <col min="14349" max="14349" width="10.109375" style="267" customWidth="1"/>
    <col min="14350" max="14350" width="11.109375" style="267" customWidth="1"/>
    <col min="14351" max="14351" width="13.5546875" style="267" bestFit="1" customWidth="1"/>
    <col min="14352" max="14352" width="5.5546875" style="267" customWidth="1"/>
    <col min="14353" max="14353" width="6.5546875" style="267" customWidth="1"/>
    <col min="14354" max="14354" width="13.5546875" style="267" customWidth="1"/>
    <col min="14355" max="14580" width="8.88671875" style="267"/>
    <col min="14581" max="14581" width="4.5546875" style="267" customWidth="1"/>
    <col min="14582" max="14582" width="19.88671875" style="267" customWidth="1"/>
    <col min="14583" max="14583" width="12.44140625" style="267" customWidth="1"/>
    <col min="14584" max="14584" width="13.88671875" style="267" customWidth="1"/>
    <col min="14585" max="14585" width="12" style="267" customWidth="1"/>
    <col min="14586" max="14586" width="13" style="267" customWidth="1"/>
    <col min="14587" max="14587" width="11.109375" style="267" customWidth="1"/>
    <col min="14588" max="14589" width="13" style="267" customWidth="1"/>
    <col min="14590" max="14590" width="12.5546875" style="267" customWidth="1"/>
    <col min="14591" max="14592" width="8.109375" style="267" customWidth="1"/>
    <col min="14593" max="14593" width="13.109375" style="267" customWidth="1"/>
    <col min="14594" max="14595" width="14" style="267" customWidth="1"/>
    <col min="14596" max="14604" width="14.109375" style="267" customWidth="1"/>
    <col min="14605" max="14605" width="10.109375" style="267" customWidth="1"/>
    <col min="14606" max="14606" width="11.109375" style="267" customWidth="1"/>
    <col min="14607" max="14607" width="13.5546875" style="267" bestFit="1" customWidth="1"/>
    <col min="14608" max="14608" width="5.5546875" style="267" customWidth="1"/>
    <col min="14609" max="14609" width="6.5546875" style="267" customWidth="1"/>
    <col min="14610" max="14610" width="13.5546875" style="267" customWidth="1"/>
    <col min="14611" max="14836" width="8.88671875" style="267"/>
    <col min="14837" max="14837" width="4.5546875" style="267" customWidth="1"/>
    <col min="14838" max="14838" width="19.88671875" style="267" customWidth="1"/>
    <col min="14839" max="14839" width="12.44140625" style="267" customWidth="1"/>
    <col min="14840" max="14840" width="13.88671875" style="267" customWidth="1"/>
    <col min="14841" max="14841" width="12" style="267" customWidth="1"/>
    <col min="14842" max="14842" width="13" style="267" customWidth="1"/>
    <col min="14843" max="14843" width="11.109375" style="267" customWidth="1"/>
    <col min="14844" max="14845" width="13" style="267" customWidth="1"/>
    <col min="14846" max="14846" width="12.5546875" style="267" customWidth="1"/>
    <col min="14847" max="14848" width="8.109375" style="267" customWidth="1"/>
    <col min="14849" max="14849" width="13.109375" style="267" customWidth="1"/>
    <col min="14850" max="14851" width="14" style="267" customWidth="1"/>
    <col min="14852" max="14860" width="14.109375" style="267" customWidth="1"/>
    <col min="14861" max="14861" width="10.109375" style="267" customWidth="1"/>
    <col min="14862" max="14862" width="11.109375" style="267" customWidth="1"/>
    <col min="14863" max="14863" width="13.5546875" style="267" bestFit="1" customWidth="1"/>
    <col min="14864" max="14864" width="5.5546875" style="267" customWidth="1"/>
    <col min="14865" max="14865" width="6.5546875" style="267" customWidth="1"/>
    <col min="14866" max="14866" width="13.5546875" style="267" customWidth="1"/>
    <col min="14867" max="15092" width="8.88671875" style="267"/>
    <col min="15093" max="15093" width="4.5546875" style="267" customWidth="1"/>
    <col min="15094" max="15094" width="19.88671875" style="267" customWidth="1"/>
    <col min="15095" max="15095" width="12.44140625" style="267" customWidth="1"/>
    <col min="15096" max="15096" width="13.88671875" style="267" customWidth="1"/>
    <col min="15097" max="15097" width="12" style="267" customWidth="1"/>
    <col min="15098" max="15098" width="13" style="267" customWidth="1"/>
    <col min="15099" max="15099" width="11.109375" style="267" customWidth="1"/>
    <col min="15100" max="15101" width="13" style="267" customWidth="1"/>
    <col min="15102" max="15102" width="12.5546875" style="267" customWidth="1"/>
    <col min="15103" max="15104" width="8.109375" style="267" customWidth="1"/>
    <col min="15105" max="15105" width="13.109375" style="267" customWidth="1"/>
    <col min="15106" max="15107" width="14" style="267" customWidth="1"/>
    <col min="15108" max="15116" width="14.109375" style="267" customWidth="1"/>
    <col min="15117" max="15117" width="10.109375" style="267" customWidth="1"/>
    <col min="15118" max="15118" width="11.109375" style="267" customWidth="1"/>
    <col min="15119" max="15119" width="13.5546875" style="267" bestFit="1" customWidth="1"/>
    <col min="15120" max="15120" width="5.5546875" style="267" customWidth="1"/>
    <col min="15121" max="15121" width="6.5546875" style="267" customWidth="1"/>
    <col min="15122" max="15122" width="13.5546875" style="267" customWidth="1"/>
    <col min="15123" max="15348" width="8.88671875" style="267"/>
    <col min="15349" max="15349" width="4.5546875" style="267" customWidth="1"/>
    <col min="15350" max="15350" width="19.88671875" style="267" customWidth="1"/>
    <col min="15351" max="15351" width="12.44140625" style="267" customWidth="1"/>
    <col min="15352" max="15352" width="13.88671875" style="267" customWidth="1"/>
    <col min="15353" max="15353" width="12" style="267" customWidth="1"/>
    <col min="15354" max="15354" width="13" style="267" customWidth="1"/>
    <col min="15355" max="15355" width="11.109375" style="267" customWidth="1"/>
    <col min="15356" max="15357" width="13" style="267" customWidth="1"/>
    <col min="15358" max="15358" width="12.5546875" style="267" customWidth="1"/>
    <col min="15359" max="15360" width="8.109375" style="267" customWidth="1"/>
    <col min="15361" max="15361" width="13.109375" style="267" customWidth="1"/>
    <col min="15362" max="15363" width="14" style="267" customWidth="1"/>
    <col min="15364" max="15372" width="14.109375" style="267" customWidth="1"/>
    <col min="15373" max="15373" width="10.109375" style="267" customWidth="1"/>
    <col min="15374" max="15374" width="11.109375" style="267" customWidth="1"/>
    <col min="15375" max="15375" width="13.5546875" style="267" bestFit="1" customWidth="1"/>
    <col min="15376" max="15376" width="5.5546875" style="267" customWidth="1"/>
    <col min="15377" max="15377" width="6.5546875" style="267" customWidth="1"/>
    <col min="15378" max="15378" width="13.5546875" style="267" customWidth="1"/>
    <col min="15379" max="15604" width="8.88671875" style="267"/>
    <col min="15605" max="15605" width="4.5546875" style="267" customWidth="1"/>
    <col min="15606" max="15606" width="19.88671875" style="267" customWidth="1"/>
    <col min="15607" max="15607" width="12.44140625" style="267" customWidth="1"/>
    <col min="15608" max="15608" width="13.88671875" style="267" customWidth="1"/>
    <col min="15609" max="15609" width="12" style="267" customWidth="1"/>
    <col min="15610" max="15610" width="13" style="267" customWidth="1"/>
    <col min="15611" max="15611" width="11.109375" style="267" customWidth="1"/>
    <col min="15612" max="15613" width="13" style="267" customWidth="1"/>
    <col min="15614" max="15614" width="12.5546875" style="267" customWidth="1"/>
    <col min="15615" max="15616" width="8.109375" style="267" customWidth="1"/>
    <col min="15617" max="15617" width="13.109375" style="267" customWidth="1"/>
    <col min="15618" max="15619" width="14" style="267" customWidth="1"/>
    <col min="15620" max="15628" width="14.109375" style="267" customWidth="1"/>
    <col min="15629" max="15629" width="10.109375" style="267" customWidth="1"/>
    <col min="15630" max="15630" width="11.109375" style="267" customWidth="1"/>
    <col min="15631" max="15631" width="13.5546875" style="267" bestFit="1" customWidth="1"/>
    <col min="15632" max="15632" width="5.5546875" style="267" customWidth="1"/>
    <col min="15633" max="15633" width="6.5546875" style="267" customWidth="1"/>
    <col min="15634" max="15634" width="13.5546875" style="267" customWidth="1"/>
    <col min="15635" max="15860" width="8.88671875" style="267"/>
    <col min="15861" max="15861" width="4.5546875" style="267" customWidth="1"/>
    <col min="15862" max="15862" width="19.88671875" style="267" customWidth="1"/>
    <col min="15863" max="15863" width="12.44140625" style="267" customWidth="1"/>
    <col min="15864" max="15864" width="13.88671875" style="267" customWidth="1"/>
    <col min="15865" max="15865" width="12" style="267" customWidth="1"/>
    <col min="15866" max="15866" width="13" style="267" customWidth="1"/>
    <col min="15867" max="15867" width="11.109375" style="267" customWidth="1"/>
    <col min="15868" max="15869" width="13" style="267" customWidth="1"/>
    <col min="15870" max="15870" width="12.5546875" style="267" customWidth="1"/>
    <col min="15871" max="15872" width="8.109375" style="267" customWidth="1"/>
    <col min="15873" max="15873" width="13.109375" style="267" customWidth="1"/>
    <col min="15874" max="15875" width="14" style="267" customWidth="1"/>
    <col min="15876" max="15884" width="14.109375" style="267" customWidth="1"/>
    <col min="15885" max="15885" width="10.109375" style="267" customWidth="1"/>
    <col min="15886" max="15886" width="11.109375" style="267" customWidth="1"/>
    <col min="15887" max="15887" width="13.5546875" style="267" bestFit="1" customWidth="1"/>
    <col min="15888" max="15888" width="5.5546875" style="267" customWidth="1"/>
    <col min="15889" max="15889" width="6.5546875" style="267" customWidth="1"/>
    <col min="15890" max="15890" width="13.5546875" style="267" customWidth="1"/>
    <col min="15891" max="16116" width="8.88671875" style="267"/>
    <col min="16117" max="16117" width="4.5546875" style="267" customWidth="1"/>
    <col min="16118" max="16118" width="19.88671875" style="267" customWidth="1"/>
    <col min="16119" max="16119" width="12.44140625" style="267" customWidth="1"/>
    <col min="16120" max="16120" width="13.88671875" style="267" customWidth="1"/>
    <col min="16121" max="16121" width="12" style="267" customWidth="1"/>
    <col min="16122" max="16122" width="13" style="267" customWidth="1"/>
    <col min="16123" max="16123" width="11.109375" style="267" customWidth="1"/>
    <col min="16124" max="16125" width="13" style="267" customWidth="1"/>
    <col min="16126" max="16126" width="12.5546875" style="267" customWidth="1"/>
    <col min="16127" max="16128" width="8.109375" style="267" customWidth="1"/>
    <col min="16129" max="16129" width="13.109375" style="267" customWidth="1"/>
    <col min="16130" max="16131" width="14" style="267" customWidth="1"/>
    <col min="16132" max="16140" width="14.109375" style="267" customWidth="1"/>
    <col min="16141" max="16141" width="10.109375" style="267" customWidth="1"/>
    <col min="16142" max="16142" width="11.109375" style="267" customWidth="1"/>
    <col min="16143" max="16143" width="13.5546875" style="267" bestFit="1" customWidth="1"/>
    <col min="16144" max="16144" width="5.5546875" style="267" customWidth="1"/>
    <col min="16145" max="16145" width="6.5546875" style="267" customWidth="1"/>
    <col min="16146" max="16146" width="13.5546875" style="267" customWidth="1"/>
    <col min="16147" max="16384" width="8.88671875" style="267"/>
  </cols>
  <sheetData>
    <row r="1" spans="1:22" s="1960" customFormat="1" ht="21" x14ac:dyDescent="0.4">
      <c r="A1" s="1959" t="s">
        <v>3</v>
      </c>
      <c r="B1" s="1959"/>
      <c r="C1" s="1959"/>
      <c r="D1" s="1986"/>
      <c r="E1" s="1986"/>
      <c r="F1" s="1986"/>
      <c r="G1" s="1986"/>
      <c r="H1" s="2089"/>
      <c r="I1" s="2089"/>
      <c r="J1" s="2090" t="s">
        <v>4</v>
      </c>
      <c r="K1" s="2091"/>
      <c r="L1" s="2092"/>
      <c r="M1" s="1986"/>
      <c r="N1" s="1986"/>
      <c r="O1" s="1986"/>
      <c r="P1" s="1986"/>
      <c r="Q1" s="1986"/>
    </row>
    <row r="2" spans="1:22" s="1960" customFormat="1" ht="15" customHeight="1" x14ac:dyDescent="0.4">
      <c r="A2" s="1961" t="s">
        <v>5</v>
      </c>
      <c r="B2" s="1961"/>
      <c r="C2" s="1961"/>
      <c r="D2" s="2093"/>
      <c r="E2" s="2093"/>
      <c r="F2" s="2093"/>
      <c r="G2" s="2093"/>
      <c r="H2" s="2089"/>
      <c r="I2" s="2089"/>
      <c r="J2" s="2094" t="s">
        <v>6</v>
      </c>
      <c r="K2" s="2094"/>
      <c r="L2" s="2092"/>
      <c r="M2" s="2093"/>
      <c r="N2" s="2093"/>
      <c r="O2" s="2093"/>
      <c r="P2" s="2093"/>
      <c r="Q2" s="2093"/>
    </row>
    <row r="3" spans="1:22" s="262" customFormat="1" ht="27.75" customHeight="1" x14ac:dyDescent="0.3">
      <c r="A3" s="2063"/>
      <c r="B3" s="2064"/>
      <c r="C3" s="2064"/>
      <c r="D3" s="2065"/>
      <c r="E3" s="2065"/>
      <c r="F3" s="2065"/>
      <c r="G3" s="2065"/>
      <c r="H3" s="2065"/>
      <c r="I3" s="2065"/>
      <c r="J3" s="2065"/>
      <c r="K3" s="2065"/>
      <c r="L3" s="2065"/>
      <c r="M3" s="2530" t="s">
        <v>2360</v>
      </c>
      <c r="N3" s="2530"/>
      <c r="O3" s="2530"/>
      <c r="P3" s="2530"/>
      <c r="Q3" s="2064"/>
      <c r="R3" s="2064"/>
      <c r="S3" s="2064"/>
      <c r="T3" s="2064"/>
      <c r="U3" s="263"/>
      <c r="V3" s="263"/>
    </row>
    <row r="4" spans="1:22" s="262" customFormat="1" ht="15" customHeight="1" x14ac:dyDescent="0.3">
      <c r="A4" s="2063"/>
      <c r="B4" s="2064"/>
      <c r="C4" s="2064"/>
      <c r="D4" s="2065"/>
      <c r="E4" s="2065"/>
      <c r="F4" s="2065"/>
      <c r="G4" s="2065"/>
      <c r="H4" s="2065"/>
      <c r="I4" s="2065"/>
      <c r="J4" s="2065"/>
      <c r="K4" s="2065"/>
      <c r="L4" s="2065"/>
      <c r="M4" s="2066"/>
      <c r="N4" s="2066"/>
      <c r="O4" s="2066"/>
      <c r="P4" s="2066"/>
      <c r="Q4" s="2064"/>
      <c r="R4" s="2064"/>
      <c r="S4" s="2064"/>
      <c r="T4" s="2064"/>
      <c r="U4" s="263"/>
      <c r="V4" s="263"/>
    </row>
    <row r="5" spans="1:22" s="262" customFormat="1" ht="25.5" customHeight="1" x14ac:dyDescent="0.3">
      <c r="A5" s="2518" t="s">
        <v>2354</v>
      </c>
      <c r="B5" s="2518"/>
      <c r="C5" s="2518"/>
      <c r="D5" s="2518"/>
      <c r="E5" s="2518"/>
      <c r="F5" s="2518"/>
      <c r="G5" s="2518"/>
      <c r="H5" s="2518"/>
      <c r="I5" s="2518"/>
      <c r="J5" s="2518"/>
      <c r="K5" s="2518"/>
      <c r="L5" s="2518"/>
      <c r="M5" s="2518"/>
      <c r="N5" s="2518"/>
      <c r="O5" s="2518"/>
      <c r="P5" s="2518"/>
      <c r="Q5" s="2064"/>
      <c r="R5" s="2064"/>
      <c r="S5" s="2064"/>
      <c r="T5" s="2064"/>
      <c r="U5" s="263"/>
      <c r="V5" s="263"/>
    </row>
    <row r="6" spans="1:22" s="262" customFormat="1" ht="25.5" customHeight="1" x14ac:dyDescent="0.3">
      <c r="A6" s="2084"/>
      <c r="B6" s="2084"/>
      <c r="C6" s="2084"/>
      <c r="D6" s="2084"/>
      <c r="E6" s="2084"/>
      <c r="F6" s="2084"/>
      <c r="G6" s="2084"/>
      <c r="H6" s="2084"/>
      <c r="I6" s="2084"/>
      <c r="J6" s="2084"/>
      <c r="K6" s="2084"/>
      <c r="L6" s="2084"/>
      <c r="M6" s="2084"/>
      <c r="N6" s="2084"/>
      <c r="O6" s="2084"/>
      <c r="P6" s="2084"/>
      <c r="Q6" s="2064"/>
      <c r="R6" s="2064"/>
      <c r="S6" s="2064"/>
      <c r="T6" s="2064"/>
      <c r="U6" s="263"/>
      <c r="V6" s="263"/>
    </row>
    <row r="7" spans="1:22" ht="10.5" customHeight="1" thickBot="1" x14ac:dyDescent="0.35">
      <c r="A7" s="2067"/>
      <c r="B7" s="2068"/>
      <c r="C7" s="2068"/>
      <c r="D7" s="2069"/>
      <c r="E7" s="2069"/>
      <c r="F7" s="2069"/>
      <c r="G7" s="2069"/>
      <c r="H7" s="2069"/>
      <c r="I7" s="2069"/>
      <c r="J7" s="2069"/>
      <c r="K7" s="2069"/>
      <c r="L7" s="2069"/>
      <c r="M7" s="2069"/>
      <c r="N7" s="2069"/>
      <c r="O7" s="2069"/>
      <c r="P7" s="2069"/>
      <c r="Q7" s="2070"/>
      <c r="R7" s="2068"/>
      <c r="S7" s="2068"/>
      <c r="T7" s="2068"/>
    </row>
    <row r="8" spans="1:22" s="299" customFormat="1" ht="28.5" customHeight="1" thickTop="1" x14ac:dyDescent="0.3">
      <c r="A8" s="2519" t="s">
        <v>0</v>
      </c>
      <c r="B8" s="2521" t="s">
        <v>281</v>
      </c>
      <c r="C8" s="2523" t="s">
        <v>310</v>
      </c>
      <c r="D8" s="2516" t="s">
        <v>1005</v>
      </c>
      <c r="E8" s="2516" t="s">
        <v>1036</v>
      </c>
      <c r="F8" s="2516" t="s">
        <v>2355</v>
      </c>
      <c r="G8" s="2526" t="s">
        <v>380</v>
      </c>
      <c r="H8" s="2527"/>
      <c r="I8" s="2527"/>
      <c r="J8" s="2527"/>
      <c r="K8" s="2528"/>
      <c r="L8" s="2524" t="s">
        <v>1084</v>
      </c>
      <c r="M8" s="2524" t="s">
        <v>1085</v>
      </c>
      <c r="N8" s="2516" t="s">
        <v>1100</v>
      </c>
      <c r="O8" s="2516" t="s">
        <v>2359</v>
      </c>
      <c r="P8" s="2516" t="s">
        <v>1</v>
      </c>
      <c r="Q8" s="2532" t="s">
        <v>1248</v>
      </c>
      <c r="R8" s="2068"/>
      <c r="S8" s="2068"/>
      <c r="T8" s="2068"/>
    </row>
    <row r="9" spans="1:22" s="299" customFormat="1" ht="114" customHeight="1" x14ac:dyDescent="0.3">
      <c r="A9" s="2520"/>
      <c r="B9" s="2522"/>
      <c r="C9" s="2522"/>
      <c r="D9" s="2517"/>
      <c r="E9" s="2517"/>
      <c r="F9" s="2517"/>
      <c r="G9" s="2030" t="s">
        <v>1082</v>
      </c>
      <c r="H9" s="2030" t="s">
        <v>1081</v>
      </c>
      <c r="I9" s="2030" t="s">
        <v>2357</v>
      </c>
      <c r="J9" s="2030" t="s">
        <v>1083</v>
      </c>
      <c r="K9" s="2030" t="s">
        <v>2356</v>
      </c>
      <c r="L9" s="2525"/>
      <c r="M9" s="2525"/>
      <c r="N9" s="2517"/>
      <c r="O9" s="2517"/>
      <c r="P9" s="2517"/>
      <c r="Q9" s="2533"/>
      <c r="R9" s="2068"/>
      <c r="S9" s="2531"/>
      <c r="T9" s="2531"/>
    </row>
    <row r="10" spans="1:22" s="299" customFormat="1" ht="41.25" customHeight="1" x14ac:dyDescent="0.35">
      <c r="A10" s="2036">
        <v>1</v>
      </c>
      <c r="B10" s="2085" t="s">
        <v>296</v>
      </c>
      <c r="C10" s="2037" t="s">
        <v>355</v>
      </c>
      <c r="D10" s="2038">
        <v>8000000</v>
      </c>
      <c r="E10" s="2038">
        <v>8000000</v>
      </c>
      <c r="F10" s="2039">
        <v>7833333</v>
      </c>
      <c r="G10" s="2038">
        <v>287000</v>
      </c>
      <c r="H10" s="2038">
        <v>829000</v>
      </c>
      <c r="I10" s="2040">
        <v>823000</v>
      </c>
      <c r="J10" s="2038">
        <v>16800000</v>
      </c>
      <c r="K10" s="2040">
        <v>6956000</v>
      </c>
      <c r="L10" s="2038">
        <v>2415000</v>
      </c>
      <c r="M10" s="2038">
        <v>4030000</v>
      </c>
      <c r="N10" s="2038">
        <v>1485000</v>
      </c>
      <c r="O10" s="2041">
        <f>D10+E10+F10-G10-H10-I10-J10-K10+L10+M10-N10</f>
        <v>3098333</v>
      </c>
      <c r="P10" s="2042" t="s">
        <v>2358</v>
      </c>
      <c r="Q10" s="2071"/>
      <c r="R10" s="2068"/>
      <c r="S10" s="2068"/>
      <c r="T10" s="2068"/>
    </row>
    <row r="11" spans="1:22" s="299" customFormat="1" ht="40.5" customHeight="1" x14ac:dyDescent="0.35">
      <c r="A11" s="2043">
        <v>2</v>
      </c>
      <c r="B11" s="2086" t="s">
        <v>365</v>
      </c>
      <c r="C11" s="2037" t="s">
        <v>366</v>
      </c>
      <c r="D11" s="2038">
        <v>5000000</v>
      </c>
      <c r="E11" s="2038">
        <v>5000000</v>
      </c>
      <c r="F11" s="2044">
        <v>5000000</v>
      </c>
      <c r="G11" s="2038">
        <v>150000</v>
      </c>
      <c r="H11" s="2038">
        <v>2637000</v>
      </c>
      <c r="I11" s="2038">
        <v>2947000</v>
      </c>
      <c r="J11" s="2038">
        <v>6000000</v>
      </c>
      <c r="K11" s="2038"/>
      <c r="L11" s="2038">
        <v>2082000</v>
      </c>
      <c r="M11" s="2038">
        <v>906000</v>
      </c>
      <c r="N11" s="2038"/>
      <c r="O11" s="2041">
        <f t="shared" ref="O11:O16" si="0">D11+E11+F11-G11-H11-I11-J11-K11+L11+M11-N11</f>
        <v>6254000</v>
      </c>
      <c r="P11" s="2045" t="s">
        <v>2358</v>
      </c>
      <c r="Q11" s="2072"/>
      <c r="R11" s="2068"/>
      <c r="S11" s="2068"/>
      <c r="T11" s="2068"/>
    </row>
    <row r="12" spans="1:22" s="299" customFormat="1" ht="39.75" customHeight="1" x14ac:dyDescent="0.35">
      <c r="A12" s="2043">
        <v>3</v>
      </c>
      <c r="B12" s="2085" t="s">
        <v>885</v>
      </c>
      <c r="C12" s="2037" t="s">
        <v>366</v>
      </c>
      <c r="D12" s="2038"/>
      <c r="E12" s="2038">
        <v>4000000</v>
      </c>
      <c r="F12" s="2044">
        <v>3333333</v>
      </c>
      <c r="G12" s="2038"/>
      <c r="H12" s="2038"/>
      <c r="I12" s="2038">
        <v>1378000</v>
      </c>
      <c r="J12" s="2038">
        <v>2500000</v>
      </c>
      <c r="K12" s="2038"/>
      <c r="L12" s="2038"/>
      <c r="M12" s="2038"/>
      <c r="N12" s="2038"/>
      <c r="O12" s="2041">
        <f t="shared" si="0"/>
        <v>3455333</v>
      </c>
      <c r="P12" s="2045" t="s">
        <v>2358</v>
      </c>
      <c r="Q12" s="2072"/>
      <c r="R12" s="2068"/>
      <c r="S12" s="2068"/>
      <c r="T12" s="2068"/>
    </row>
    <row r="13" spans="1:22" s="299" customFormat="1" ht="40.5" customHeight="1" x14ac:dyDescent="0.35">
      <c r="A13" s="2043">
        <v>4</v>
      </c>
      <c r="B13" s="2085" t="s">
        <v>370</v>
      </c>
      <c r="C13" s="2037" t="s">
        <v>371</v>
      </c>
      <c r="D13" s="2038">
        <v>8000000</v>
      </c>
      <c r="E13" s="2038">
        <v>5760000</v>
      </c>
      <c r="F13" s="2044">
        <v>7666666</v>
      </c>
      <c r="G13" s="2038">
        <v>823000</v>
      </c>
      <c r="H13" s="2038">
        <v>1018000</v>
      </c>
      <c r="I13" s="2038"/>
      <c r="J13" s="2038">
        <v>12600000</v>
      </c>
      <c r="K13" s="2038"/>
      <c r="L13" s="2038">
        <v>370000</v>
      </c>
      <c r="M13" s="2038">
        <v>536000</v>
      </c>
      <c r="N13" s="2038">
        <v>170000</v>
      </c>
      <c r="O13" s="2041">
        <f t="shared" si="0"/>
        <v>7721666</v>
      </c>
      <c r="P13" s="2045" t="s">
        <v>2358</v>
      </c>
      <c r="Q13" s="2072"/>
      <c r="R13" s="2068"/>
      <c r="S13" s="2068"/>
      <c r="T13" s="2068"/>
    </row>
    <row r="14" spans="1:22" s="299" customFormat="1" ht="39" customHeight="1" x14ac:dyDescent="0.35">
      <c r="A14" s="2046">
        <v>5</v>
      </c>
      <c r="B14" s="2087" t="s">
        <v>724</v>
      </c>
      <c r="C14" s="2047" t="s">
        <v>725</v>
      </c>
      <c r="D14" s="2048"/>
      <c r="E14" s="2038">
        <v>5000000</v>
      </c>
      <c r="F14" s="2044">
        <v>5000000</v>
      </c>
      <c r="G14" s="2048"/>
      <c r="H14" s="2048"/>
      <c r="I14" s="2048"/>
      <c r="J14" s="2048">
        <v>5000000</v>
      </c>
      <c r="K14" s="2048"/>
      <c r="L14" s="2048"/>
      <c r="M14" s="2048"/>
      <c r="N14" s="2048"/>
      <c r="O14" s="2041">
        <f t="shared" si="0"/>
        <v>5000000</v>
      </c>
      <c r="P14" s="2045" t="s">
        <v>2358</v>
      </c>
      <c r="Q14" s="2073"/>
      <c r="R14" s="2068"/>
      <c r="S14" s="2068"/>
      <c r="T14" s="2068"/>
    </row>
    <row r="15" spans="1:22" s="299" customFormat="1" ht="42" customHeight="1" x14ac:dyDescent="0.35">
      <c r="A15" s="2043">
        <v>6</v>
      </c>
      <c r="B15" s="2087" t="s">
        <v>1350</v>
      </c>
      <c r="C15" s="2037" t="s">
        <v>371</v>
      </c>
      <c r="D15" s="2048">
        <v>4000000</v>
      </c>
      <c r="E15" s="2038">
        <v>4000000</v>
      </c>
      <c r="F15" s="2044">
        <v>4000000</v>
      </c>
      <c r="G15" s="2048"/>
      <c r="H15" s="2048"/>
      <c r="I15" s="2048"/>
      <c r="J15" s="2048"/>
      <c r="K15" s="2048">
        <v>9000000</v>
      </c>
      <c r="L15" s="2048"/>
      <c r="M15" s="2048"/>
      <c r="N15" s="2048"/>
      <c r="O15" s="2041">
        <f t="shared" si="0"/>
        <v>3000000</v>
      </c>
      <c r="P15" s="2049" t="s">
        <v>2361</v>
      </c>
      <c r="Q15" s="2072"/>
      <c r="R15" s="2068"/>
      <c r="S15" s="2068"/>
      <c r="T15" s="2068"/>
    </row>
    <row r="16" spans="1:22" s="299" customFormat="1" ht="40.5" customHeight="1" x14ac:dyDescent="0.35">
      <c r="A16" s="2050">
        <v>7</v>
      </c>
      <c r="B16" s="2088" t="s">
        <v>1160</v>
      </c>
      <c r="C16" s="2051" t="s">
        <v>355</v>
      </c>
      <c r="D16" s="2052"/>
      <c r="E16" s="2053">
        <v>8000000</v>
      </c>
      <c r="F16" s="2054">
        <v>8000000</v>
      </c>
      <c r="G16" s="2052"/>
      <c r="H16" s="2052"/>
      <c r="I16" s="2052"/>
      <c r="J16" s="2052"/>
      <c r="K16" s="2052"/>
      <c r="L16" s="2052"/>
      <c r="M16" s="2052"/>
      <c r="N16" s="2052"/>
      <c r="O16" s="2041">
        <f t="shared" si="0"/>
        <v>16000000</v>
      </c>
      <c r="P16" s="2055" t="s">
        <v>2358</v>
      </c>
      <c r="Q16" s="2074"/>
      <c r="R16" s="2068"/>
      <c r="S16" s="2068"/>
      <c r="T16" s="2068"/>
    </row>
    <row r="17" spans="1:20" s="300" customFormat="1" ht="23.25" customHeight="1" thickBot="1" x14ac:dyDescent="0.35">
      <c r="A17" s="2056"/>
      <c r="B17" s="2057" t="s">
        <v>377</v>
      </c>
      <c r="C17" s="2058"/>
      <c r="D17" s="2059">
        <f t="shared" ref="D17:N17" si="1">SUBTOTAL(9,D10:D15)</f>
        <v>25000000</v>
      </c>
      <c r="E17" s="2059">
        <f>SUBTOTAL(9,E10:E16)</f>
        <v>39760000</v>
      </c>
      <c r="F17" s="2060">
        <f>SUM(F10:F16)</f>
        <v>40833332</v>
      </c>
      <c r="G17" s="2059">
        <f t="shared" si="1"/>
        <v>1260000</v>
      </c>
      <c r="H17" s="2059">
        <f>SUM(H10:H16)</f>
        <v>4484000</v>
      </c>
      <c r="I17" s="2059">
        <f>SUM(I10:I16)</f>
        <v>5148000</v>
      </c>
      <c r="J17" s="2059">
        <f t="shared" si="1"/>
        <v>42900000</v>
      </c>
      <c r="K17" s="2059">
        <f>SUM(K10:K16)</f>
        <v>15956000</v>
      </c>
      <c r="L17" s="2059">
        <f>SUBTOTAL(9,L10:L15)</f>
        <v>4867000</v>
      </c>
      <c r="M17" s="2059">
        <f t="shared" si="1"/>
        <v>5472000</v>
      </c>
      <c r="N17" s="2059">
        <f t="shared" si="1"/>
        <v>1655000</v>
      </c>
      <c r="O17" s="2061">
        <f>SUBTOTAL(9,O10:O16)</f>
        <v>44529332</v>
      </c>
      <c r="P17" s="2062"/>
      <c r="Q17" s="2075"/>
      <c r="R17" s="2076"/>
      <c r="S17" s="2076"/>
      <c r="T17" s="2076"/>
    </row>
    <row r="18" spans="1:20" ht="10.5" customHeight="1" thickTop="1" x14ac:dyDescent="0.3">
      <c r="A18" s="2077"/>
      <c r="B18" s="2078"/>
      <c r="C18" s="2079"/>
      <c r="D18" s="2069"/>
      <c r="E18" s="2069"/>
      <c r="F18" s="2069"/>
      <c r="G18" s="2069"/>
      <c r="H18" s="2069"/>
      <c r="I18" s="2069"/>
      <c r="J18" s="2069"/>
      <c r="K18" s="2069"/>
      <c r="L18" s="2069"/>
      <c r="M18" s="2069"/>
      <c r="N18" s="2069"/>
      <c r="O18" s="2069"/>
      <c r="P18" s="2070"/>
      <c r="Q18" s="2068"/>
      <c r="R18" s="2068"/>
      <c r="S18" s="2068"/>
      <c r="T18" s="2068"/>
    </row>
    <row r="19" spans="1:20" s="303" customFormat="1" ht="20.399999999999999" x14ac:dyDescent="0.3">
      <c r="A19" s="2080"/>
      <c r="B19" s="2033" t="s">
        <v>378</v>
      </c>
      <c r="C19" s="2033"/>
      <c r="D19" s="2034"/>
      <c r="E19" s="2034"/>
      <c r="F19" s="2034"/>
      <c r="G19" s="2034"/>
      <c r="H19" s="2033"/>
      <c r="I19" s="2033"/>
      <c r="J19" s="2033"/>
      <c r="K19" s="2033"/>
      <c r="L19" s="2033"/>
      <c r="M19" s="2033"/>
      <c r="N19" s="2034" t="s">
        <v>303</v>
      </c>
      <c r="O19" s="2034"/>
      <c r="P19" s="2081"/>
      <c r="Q19" s="2082"/>
      <c r="R19" s="2082"/>
      <c r="S19" s="2082"/>
      <c r="T19" s="2082"/>
    </row>
    <row r="20" spans="1:20" ht="21" x14ac:dyDescent="0.3">
      <c r="A20" s="2068"/>
      <c r="B20" s="2035" t="s">
        <v>1101</v>
      </c>
      <c r="C20" s="2028"/>
      <c r="D20" s="2035"/>
      <c r="E20" s="2035"/>
      <c r="F20" s="2035"/>
      <c r="G20" s="2035"/>
      <c r="H20" s="2028"/>
      <c r="I20" s="2028"/>
      <c r="J20" s="2028"/>
      <c r="K20" s="2028"/>
      <c r="L20" s="2028"/>
      <c r="M20" s="2028"/>
      <c r="N20" s="2035" t="s">
        <v>243</v>
      </c>
      <c r="O20" s="2035"/>
      <c r="P20" s="2083"/>
      <c r="Q20" s="2068"/>
      <c r="R20" s="2068"/>
      <c r="S20" s="2068"/>
      <c r="T20" s="2068"/>
    </row>
    <row r="21" spans="1:20" ht="21" x14ac:dyDescent="0.3">
      <c r="A21" s="2077"/>
      <c r="B21" s="2031"/>
      <c r="C21" s="2032"/>
      <c r="D21" s="2029"/>
      <c r="E21" s="2029"/>
      <c r="F21" s="2029"/>
      <c r="G21" s="2029"/>
      <c r="H21" s="2029"/>
      <c r="I21" s="2029"/>
      <c r="J21" s="2029"/>
      <c r="K21" s="2029"/>
      <c r="L21" s="2029"/>
      <c r="M21" s="2029"/>
      <c r="N21" s="2029"/>
      <c r="O21" s="2029"/>
      <c r="P21" s="2070"/>
      <c r="Q21" s="2068"/>
      <c r="R21" s="2068"/>
      <c r="S21" s="2068"/>
      <c r="T21" s="2068"/>
    </row>
    <row r="22" spans="1:20" ht="21" x14ac:dyDescent="0.3">
      <c r="A22" s="2077"/>
      <c r="B22" s="2031"/>
      <c r="C22" s="2032"/>
      <c r="D22" s="2029"/>
      <c r="E22" s="2029"/>
      <c r="F22" s="2029"/>
      <c r="G22" s="2029"/>
      <c r="H22" s="2029"/>
      <c r="I22" s="2029"/>
      <c r="J22" s="2029"/>
      <c r="K22" s="2029"/>
      <c r="L22" s="2029"/>
      <c r="M22" s="2029"/>
      <c r="N22" s="2029"/>
      <c r="O22" s="2029"/>
      <c r="P22" s="2070"/>
      <c r="Q22" s="2068"/>
      <c r="R22" s="2068"/>
      <c r="S22" s="2068"/>
      <c r="T22" s="2068"/>
    </row>
    <row r="23" spans="1:20" ht="21" x14ac:dyDescent="0.3">
      <c r="A23" s="2077"/>
      <c r="B23" s="2031"/>
      <c r="C23" s="2032"/>
      <c r="D23" s="2029"/>
      <c r="E23" s="2029"/>
      <c r="F23" s="2029"/>
      <c r="G23" s="2029"/>
      <c r="H23" s="2029"/>
      <c r="I23" s="2029"/>
      <c r="J23" s="2029"/>
      <c r="K23" s="2029"/>
      <c r="L23" s="2029"/>
      <c r="M23" s="2029"/>
      <c r="N23" s="2029"/>
      <c r="O23" s="2029"/>
      <c r="P23" s="2070"/>
      <c r="Q23" s="2068"/>
      <c r="R23" s="2068"/>
      <c r="S23" s="2068"/>
      <c r="T23" s="2068"/>
    </row>
    <row r="24" spans="1:20" ht="21" x14ac:dyDescent="0.3">
      <c r="A24" s="2077"/>
      <c r="B24" s="2031"/>
      <c r="C24" s="2032"/>
      <c r="D24" s="2029"/>
      <c r="E24" s="2029"/>
      <c r="F24" s="2029"/>
      <c r="G24" s="2029"/>
      <c r="H24" s="2029"/>
      <c r="I24" s="2029"/>
      <c r="J24" s="2029"/>
      <c r="K24" s="2029"/>
      <c r="L24" s="2029"/>
      <c r="M24" s="2529" t="s">
        <v>1350</v>
      </c>
      <c r="N24" s="2529"/>
      <c r="O24" s="2529"/>
      <c r="P24" s="2070"/>
      <c r="Q24" s="2068"/>
      <c r="R24" s="2068"/>
      <c r="S24" s="2068"/>
      <c r="T24" s="2068"/>
    </row>
    <row r="25" spans="1:20" ht="21" x14ac:dyDescent="0.3">
      <c r="B25" s="2031"/>
      <c r="C25" s="2032"/>
      <c r="D25" s="2029"/>
      <c r="E25" s="2029"/>
      <c r="F25" s="2029"/>
      <c r="G25" s="2029"/>
      <c r="H25" s="2029"/>
      <c r="I25" s="2029"/>
      <c r="J25" s="2029"/>
      <c r="K25" s="2029"/>
      <c r="L25" s="2029"/>
      <c r="M25" s="2029"/>
      <c r="N25" s="2029"/>
      <c r="O25" s="2029"/>
    </row>
  </sheetData>
  <mergeCells count="17">
    <mergeCell ref="M24:O24"/>
    <mergeCell ref="M3:P3"/>
    <mergeCell ref="S9:T9"/>
    <mergeCell ref="Q8:Q9"/>
    <mergeCell ref="D8:D9"/>
    <mergeCell ref="N8:N9"/>
    <mergeCell ref="A5:P5"/>
    <mergeCell ref="A8:A9"/>
    <mergeCell ref="B8:B9"/>
    <mergeCell ref="C8:C9"/>
    <mergeCell ref="M8:M9"/>
    <mergeCell ref="O8:O9"/>
    <mergeCell ref="L8:L9"/>
    <mergeCell ref="E8:E9"/>
    <mergeCell ref="P8:P9"/>
    <mergeCell ref="F8:F9"/>
    <mergeCell ref="G8:K8"/>
  </mergeCells>
  <pageMargins left="0.39370078740157499" right="0" top="0.74803149606299202" bottom="0.74803149606299202" header="0.31496062992126" footer="0.31496062992126"/>
  <pageSetup paperSize="9" scale="49" orientation="landscape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4" workbookViewId="0">
      <selection activeCell="J8" sqref="J8"/>
    </sheetView>
  </sheetViews>
  <sheetFormatPr defaultColWidth="8.88671875" defaultRowHeight="16.8" x14ac:dyDescent="0.3"/>
  <cols>
    <col min="1" max="1" width="3.5546875" style="271" customWidth="1"/>
    <col min="2" max="2" width="16.5546875" style="272" customWidth="1"/>
    <col min="3" max="3" width="25.109375" style="1663" customWidth="1"/>
    <col min="4" max="4" width="10.5546875" style="268" customWidth="1"/>
    <col min="5" max="5" width="6" style="268" customWidth="1"/>
    <col min="6" max="7" width="8.109375" style="268" customWidth="1"/>
    <col min="8" max="9" width="9.88671875" style="268" customWidth="1"/>
    <col min="10" max="10" width="20.5546875" style="269" customWidth="1"/>
    <col min="11" max="11" width="6.5546875" style="267" customWidth="1"/>
    <col min="12" max="12" width="13.5546875" style="267" customWidth="1"/>
    <col min="13" max="238" width="8.88671875" style="267"/>
    <col min="239" max="239" width="4.5546875" style="267" customWidth="1"/>
    <col min="240" max="240" width="19.88671875" style="267" customWidth="1"/>
    <col min="241" max="241" width="12.44140625" style="267" customWidth="1"/>
    <col min="242" max="242" width="13.88671875" style="267" customWidth="1"/>
    <col min="243" max="243" width="12" style="267" customWidth="1"/>
    <col min="244" max="244" width="13" style="267" customWidth="1"/>
    <col min="245" max="245" width="11.109375" style="267" customWidth="1"/>
    <col min="246" max="247" width="13" style="267" customWidth="1"/>
    <col min="248" max="248" width="12.5546875" style="267" customWidth="1"/>
    <col min="249" max="250" width="8.109375" style="267" customWidth="1"/>
    <col min="251" max="251" width="13.109375" style="267" customWidth="1"/>
    <col min="252" max="253" width="14" style="267" customWidth="1"/>
    <col min="254" max="262" width="14.109375" style="267" customWidth="1"/>
    <col min="263" max="263" width="10.109375" style="267" customWidth="1"/>
    <col min="264" max="264" width="11.109375" style="267" customWidth="1"/>
    <col min="265" max="265" width="13.5546875" style="267" bestFit="1" customWidth="1"/>
    <col min="266" max="266" width="5.5546875" style="267" customWidth="1"/>
    <col min="267" max="267" width="6.5546875" style="267" customWidth="1"/>
    <col min="268" max="268" width="13.5546875" style="267" customWidth="1"/>
    <col min="269" max="494" width="8.88671875" style="267"/>
    <col min="495" max="495" width="4.5546875" style="267" customWidth="1"/>
    <col min="496" max="496" width="19.88671875" style="267" customWidth="1"/>
    <col min="497" max="497" width="12.44140625" style="267" customWidth="1"/>
    <col min="498" max="498" width="13.88671875" style="267" customWidth="1"/>
    <col min="499" max="499" width="12" style="267" customWidth="1"/>
    <col min="500" max="500" width="13" style="267" customWidth="1"/>
    <col min="501" max="501" width="11.109375" style="267" customWidth="1"/>
    <col min="502" max="503" width="13" style="267" customWidth="1"/>
    <col min="504" max="504" width="12.5546875" style="267" customWidth="1"/>
    <col min="505" max="506" width="8.109375" style="267" customWidth="1"/>
    <col min="507" max="507" width="13.109375" style="267" customWidth="1"/>
    <col min="508" max="509" width="14" style="267" customWidth="1"/>
    <col min="510" max="518" width="14.109375" style="267" customWidth="1"/>
    <col min="519" max="519" width="10.109375" style="267" customWidth="1"/>
    <col min="520" max="520" width="11.109375" style="267" customWidth="1"/>
    <col min="521" max="521" width="13.5546875" style="267" bestFit="1" customWidth="1"/>
    <col min="522" max="522" width="5.5546875" style="267" customWidth="1"/>
    <col min="523" max="523" width="6.5546875" style="267" customWidth="1"/>
    <col min="524" max="524" width="13.5546875" style="267" customWidth="1"/>
    <col min="525" max="750" width="8.88671875" style="267"/>
    <col min="751" max="751" width="4.5546875" style="267" customWidth="1"/>
    <col min="752" max="752" width="19.88671875" style="267" customWidth="1"/>
    <col min="753" max="753" width="12.44140625" style="267" customWidth="1"/>
    <col min="754" max="754" width="13.88671875" style="267" customWidth="1"/>
    <col min="755" max="755" width="12" style="267" customWidth="1"/>
    <col min="756" max="756" width="13" style="267" customWidth="1"/>
    <col min="757" max="757" width="11.109375" style="267" customWidth="1"/>
    <col min="758" max="759" width="13" style="267" customWidth="1"/>
    <col min="760" max="760" width="12.5546875" style="267" customWidth="1"/>
    <col min="761" max="762" width="8.109375" style="267" customWidth="1"/>
    <col min="763" max="763" width="13.109375" style="267" customWidth="1"/>
    <col min="764" max="765" width="14" style="267" customWidth="1"/>
    <col min="766" max="774" width="14.109375" style="267" customWidth="1"/>
    <col min="775" max="775" width="10.109375" style="267" customWidth="1"/>
    <col min="776" max="776" width="11.109375" style="267" customWidth="1"/>
    <col min="777" max="777" width="13.5546875" style="267" bestFit="1" customWidth="1"/>
    <col min="778" max="778" width="5.5546875" style="267" customWidth="1"/>
    <col min="779" max="779" width="6.5546875" style="267" customWidth="1"/>
    <col min="780" max="780" width="13.5546875" style="267" customWidth="1"/>
    <col min="781" max="1006" width="8.88671875" style="267"/>
    <col min="1007" max="1007" width="4.5546875" style="267" customWidth="1"/>
    <col min="1008" max="1008" width="19.88671875" style="267" customWidth="1"/>
    <col min="1009" max="1009" width="12.44140625" style="267" customWidth="1"/>
    <col min="1010" max="1010" width="13.88671875" style="267" customWidth="1"/>
    <col min="1011" max="1011" width="12" style="267" customWidth="1"/>
    <col min="1012" max="1012" width="13" style="267" customWidth="1"/>
    <col min="1013" max="1013" width="11.109375" style="267" customWidth="1"/>
    <col min="1014" max="1015" width="13" style="267" customWidth="1"/>
    <col min="1016" max="1016" width="12.5546875" style="267" customWidth="1"/>
    <col min="1017" max="1018" width="8.109375" style="267" customWidth="1"/>
    <col min="1019" max="1019" width="13.109375" style="267" customWidth="1"/>
    <col min="1020" max="1021" width="14" style="267" customWidth="1"/>
    <col min="1022" max="1030" width="14.109375" style="267" customWidth="1"/>
    <col min="1031" max="1031" width="10.109375" style="267" customWidth="1"/>
    <col min="1032" max="1032" width="11.109375" style="267" customWidth="1"/>
    <col min="1033" max="1033" width="13.5546875" style="267" bestFit="1" customWidth="1"/>
    <col min="1034" max="1034" width="5.5546875" style="267" customWidth="1"/>
    <col min="1035" max="1035" width="6.5546875" style="267" customWidth="1"/>
    <col min="1036" max="1036" width="13.5546875" style="267" customWidth="1"/>
    <col min="1037" max="1262" width="8.88671875" style="267"/>
    <col min="1263" max="1263" width="4.5546875" style="267" customWidth="1"/>
    <col min="1264" max="1264" width="19.88671875" style="267" customWidth="1"/>
    <col min="1265" max="1265" width="12.44140625" style="267" customWidth="1"/>
    <col min="1266" max="1266" width="13.88671875" style="267" customWidth="1"/>
    <col min="1267" max="1267" width="12" style="267" customWidth="1"/>
    <col min="1268" max="1268" width="13" style="267" customWidth="1"/>
    <col min="1269" max="1269" width="11.109375" style="267" customWidth="1"/>
    <col min="1270" max="1271" width="13" style="267" customWidth="1"/>
    <col min="1272" max="1272" width="12.5546875" style="267" customWidth="1"/>
    <col min="1273" max="1274" width="8.109375" style="267" customWidth="1"/>
    <col min="1275" max="1275" width="13.109375" style="267" customWidth="1"/>
    <col min="1276" max="1277" width="14" style="267" customWidth="1"/>
    <col min="1278" max="1286" width="14.109375" style="267" customWidth="1"/>
    <col min="1287" max="1287" width="10.109375" style="267" customWidth="1"/>
    <col min="1288" max="1288" width="11.109375" style="267" customWidth="1"/>
    <col min="1289" max="1289" width="13.5546875" style="267" bestFit="1" customWidth="1"/>
    <col min="1290" max="1290" width="5.5546875" style="267" customWidth="1"/>
    <col min="1291" max="1291" width="6.5546875" style="267" customWidth="1"/>
    <col min="1292" max="1292" width="13.5546875" style="267" customWidth="1"/>
    <col min="1293" max="1518" width="8.88671875" style="267"/>
    <col min="1519" max="1519" width="4.5546875" style="267" customWidth="1"/>
    <col min="1520" max="1520" width="19.88671875" style="267" customWidth="1"/>
    <col min="1521" max="1521" width="12.44140625" style="267" customWidth="1"/>
    <col min="1522" max="1522" width="13.88671875" style="267" customWidth="1"/>
    <col min="1523" max="1523" width="12" style="267" customWidth="1"/>
    <col min="1524" max="1524" width="13" style="267" customWidth="1"/>
    <col min="1525" max="1525" width="11.109375" style="267" customWidth="1"/>
    <col min="1526" max="1527" width="13" style="267" customWidth="1"/>
    <col min="1528" max="1528" width="12.5546875" style="267" customWidth="1"/>
    <col min="1529" max="1530" width="8.109375" style="267" customWidth="1"/>
    <col min="1531" max="1531" width="13.109375" style="267" customWidth="1"/>
    <col min="1532" max="1533" width="14" style="267" customWidth="1"/>
    <col min="1534" max="1542" width="14.109375" style="267" customWidth="1"/>
    <col min="1543" max="1543" width="10.109375" style="267" customWidth="1"/>
    <col min="1544" max="1544" width="11.109375" style="267" customWidth="1"/>
    <col min="1545" max="1545" width="13.5546875" style="267" bestFit="1" customWidth="1"/>
    <col min="1546" max="1546" width="5.5546875" style="267" customWidth="1"/>
    <col min="1547" max="1547" width="6.5546875" style="267" customWidth="1"/>
    <col min="1548" max="1548" width="13.5546875" style="267" customWidth="1"/>
    <col min="1549" max="1774" width="8.88671875" style="267"/>
    <col min="1775" max="1775" width="4.5546875" style="267" customWidth="1"/>
    <col min="1776" max="1776" width="19.88671875" style="267" customWidth="1"/>
    <col min="1777" max="1777" width="12.44140625" style="267" customWidth="1"/>
    <col min="1778" max="1778" width="13.88671875" style="267" customWidth="1"/>
    <col min="1779" max="1779" width="12" style="267" customWidth="1"/>
    <col min="1780" max="1780" width="13" style="267" customWidth="1"/>
    <col min="1781" max="1781" width="11.109375" style="267" customWidth="1"/>
    <col min="1782" max="1783" width="13" style="267" customWidth="1"/>
    <col min="1784" max="1784" width="12.5546875" style="267" customWidth="1"/>
    <col min="1785" max="1786" width="8.109375" style="267" customWidth="1"/>
    <col min="1787" max="1787" width="13.109375" style="267" customWidth="1"/>
    <col min="1788" max="1789" width="14" style="267" customWidth="1"/>
    <col min="1790" max="1798" width="14.109375" style="267" customWidth="1"/>
    <col min="1799" max="1799" width="10.109375" style="267" customWidth="1"/>
    <col min="1800" max="1800" width="11.109375" style="267" customWidth="1"/>
    <col min="1801" max="1801" width="13.5546875" style="267" bestFit="1" customWidth="1"/>
    <col min="1802" max="1802" width="5.5546875" style="267" customWidth="1"/>
    <col min="1803" max="1803" width="6.5546875" style="267" customWidth="1"/>
    <col min="1804" max="1804" width="13.5546875" style="267" customWidth="1"/>
    <col min="1805" max="2030" width="8.88671875" style="267"/>
    <col min="2031" max="2031" width="4.5546875" style="267" customWidth="1"/>
    <col min="2032" max="2032" width="19.88671875" style="267" customWidth="1"/>
    <col min="2033" max="2033" width="12.44140625" style="267" customWidth="1"/>
    <col min="2034" max="2034" width="13.88671875" style="267" customWidth="1"/>
    <col min="2035" max="2035" width="12" style="267" customWidth="1"/>
    <col min="2036" max="2036" width="13" style="267" customWidth="1"/>
    <col min="2037" max="2037" width="11.109375" style="267" customWidth="1"/>
    <col min="2038" max="2039" width="13" style="267" customWidth="1"/>
    <col min="2040" max="2040" width="12.5546875" style="267" customWidth="1"/>
    <col min="2041" max="2042" width="8.109375" style="267" customWidth="1"/>
    <col min="2043" max="2043" width="13.109375" style="267" customWidth="1"/>
    <col min="2044" max="2045" width="14" style="267" customWidth="1"/>
    <col min="2046" max="2054" width="14.109375" style="267" customWidth="1"/>
    <col min="2055" max="2055" width="10.109375" style="267" customWidth="1"/>
    <col min="2056" max="2056" width="11.109375" style="267" customWidth="1"/>
    <col min="2057" max="2057" width="13.5546875" style="267" bestFit="1" customWidth="1"/>
    <col min="2058" max="2058" width="5.5546875" style="267" customWidth="1"/>
    <col min="2059" max="2059" width="6.5546875" style="267" customWidth="1"/>
    <col min="2060" max="2060" width="13.5546875" style="267" customWidth="1"/>
    <col min="2061" max="2286" width="8.88671875" style="267"/>
    <col min="2287" max="2287" width="4.5546875" style="267" customWidth="1"/>
    <col min="2288" max="2288" width="19.88671875" style="267" customWidth="1"/>
    <col min="2289" max="2289" width="12.44140625" style="267" customWidth="1"/>
    <col min="2290" max="2290" width="13.88671875" style="267" customWidth="1"/>
    <col min="2291" max="2291" width="12" style="267" customWidth="1"/>
    <col min="2292" max="2292" width="13" style="267" customWidth="1"/>
    <col min="2293" max="2293" width="11.109375" style="267" customWidth="1"/>
    <col min="2294" max="2295" width="13" style="267" customWidth="1"/>
    <col min="2296" max="2296" width="12.5546875" style="267" customWidth="1"/>
    <col min="2297" max="2298" width="8.109375" style="267" customWidth="1"/>
    <col min="2299" max="2299" width="13.109375" style="267" customWidth="1"/>
    <col min="2300" max="2301" width="14" style="267" customWidth="1"/>
    <col min="2302" max="2310" width="14.109375" style="267" customWidth="1"/>
    <col min="2311" max="2311" width="10.109375" style="267" customWidth="1"/>
    <col min="2312" max="2312" width="11.109375" style="267" customWidth="1"/>
    <col min="2313" max="2313" width="13.5546875" style="267" bestFit="1" customWidth="1"/>
    <col min="2314" max="2314" width="5.5546875" style="267" customWidth="1"/>
    <col min="2315" max="2315" width="6.5546875" style="267" customWidth="1"/>
    <col min="2316" max="2316" width="13.5546875" style="267" customWidth="1"/>
    <col min="2317" max="2542" width="8.88671875" style="267"/>
    <col min="2543" max="2543" width="4.5546875" style="267" customWidth="1"/>
    <col min="2544" max="2544" width="19.88671875" style="267" customWidth="1"/>
    <col min="2545" max="2545" width="12.44140625" style="267" customWidth="1"/>
    <col min="2546" max="2546" width="13.88671875" style="267" customWidth="1"/>
    <col min="2547" max="2547" width="12" style="267" customWidth="1"/>
    <col min="2548" max="2548" width="13" style="267" customWidth="1"/>
    <col min="2549" max="2549" width="11.109375" style="267" customWidth="1"/>
    <col min="2550" max="2551" width="13" style="267" customWidth="1"/>
    <col min="2552" max="2552" width="12.5546875" style="267" customWidth="1"/>
    <col min="2553" max="2554" width="8.109375" style="267" customWidth="1"/>
    <col min="2555" max="2555" width="13.109375" style="267" customWidth="1"/>
    <col min="2556" max="2557" width="14" style="267" customWidth="1"/>
    <col min="2558" max="2566" width="14.109375" style="267" customWidth="1"/>
    <col min="2567" max="2567" width="10.109375" style="267" customWidth="1"/>
    <col min="2568" max="2568" width="11.109375" style="267" customWidth="1"/>
    <col min="2569" max="2569" width="13.5546875" style="267" bestFit="1" customWidth="1"/>
    <col min="2570" max="2570" width="5.5546875" style="267" customWidth="1"/>
    <col min="2571" max="2571" width="6.5546875" style="267" customWidth="1"/>
    <col min="2572" max="2572" width="13.5546875" style="267" customWidth="1"/>
    <col min="2573" max="2798" width="8.88671875" style="267"/>
    <col min="2799" max="2799" width="4.5546875" style="267" customWidth="1"/>
    <col min="2800" max="2800" width="19.88671875" style="267" customWidth="1"/>
    <col min="2801" max="2801" width="12.44140625" style="267" customWidth="1"/>
    <col min="2802" max="2802" width="13.88671875" style="267" customWidth="1"/>
    <col min="2803" max="2803" width="12" style="267" customWidth="1"/>
    <col min="2804" max="2804" width="13" style="267" customWidth="1"/>
    <col min="2805" max="2805" width="11.109375" style="267" customWidth="1"/>
    <col min="2806" max="2807" width="13" style="267" customWidth="1"/>
    <col min="2808" max="2808" width="12.5546875" style="267" customWidth="1"/>
    <col min="2809" max="2810" width="8.109375" style="267" customWidth="1"/>
    <col min="2811" max="2811" width="13.109375" style="267" customWidth="1"/>
    <col min="2812" max="2813" width="14" style="267" customWidth="1"/>
    <col min="2814" max="2822" width="14.109375" style="267" customWidth="1"/>
    <col min="2823" max="2823" width="10.109375" style="267" customWidth="1"/>
    <col min="2824" max="2824" width="11.109375" style="267" customWidth="1"/>
    <col min="2825" max="2825" width="13.5546875" style="267" bestFit="1" customWidth="1"/>
    <col min="2826" max="2826" width="5.5546875" style="267" customWidth="1"/>
    <col min="2827" max="2827" width="6.5546875" style="267" customWidth="1"/>
    <col min="2828" max="2828" width="13.5546875" style="267" customWidth="1"/>
    <col min="2829" max="3054" width="8.88671875" style="267"/>
    <col min="3055" max="3055" width="4.5546875" style="267" customWidth="1"/>
    <col min="3056" max="3056" width="19.88671875" style="267" customWidth="1"/>
    <col min="3057" max="3057" width="12.44140625" style="267" customWidth="1"/>
    <col min="3058" max="3058" width="13.88671875" style="267" customWidth="1"/>
    <col min="3059" max="3059" width="12" style="267" customWidth="1"/>
    <col min="3060" max="3060" width="13" style="267" customWidth="1"/>
    <col min="3061" max="3061" width="11.109375" style="267" customWidth="1"/>
    <col min="3062" max="3063" width="13" style="267" customWidth="1"/>
    <col min="3064" max="3064" width="12.5546875" style="267" customWidth="1"/>
    <col min="3065" max="3066" width="8.109375" style="267" customWidth="1"/>
    <col min="3067" max="3067" width="13.109375" style="267" customWidth="1"/>
    <col min="3068" max="3069" width="14" style="267" customWidth="1"/>
    <col min="3070" max="3078" width="14.109375" style="267" customWidth="1"/>
    <col min="3079" max="3079" width="10.109375" style="267" customWidth="1"/>
    <col min="3080" max="3080" width="11.109375" style="267" customWidth="1"/>
    <col min="3081" max="3081" width="13.5546875" style="267" bestFit="1" customWidth="1"/>
    <col min="3082" max="3082" width="5.5546875" style="267" customWidth="1"/>
    <col min="3083" max="3083" width="6.5546875" style="267" customWidth="1"/>
    <col min="3084" max="3084" width="13.5546875" style="267" customWidth="1"/>
    <col min="3085" max="3310" width="8.88671875" style="267"/>
    <col min="3311" max="3311" width="4.5546875" style="267" customWidth="1"/>
    <col min="3312" max="3312" width="19.88671875" style="267" customWidth="1"/>
    <col min="3313" max="3313" width="12.44140625" style="267" customWidth="1"/>
    <col min="3314" max="3314" width="13.88671875" style="267" customWidth="1"/>
    <col min="3315" max="3315" width="12" style="267" customWidth="1"/>
    <col min="3316" max="3316" width="13" style="267" customWidth="1"/>
    <col min="3317" max="3317" width="11.109375" style="267" customWidth="1"/>
    <col min="3318" max="3319" width="13" style="267" customWidth="1"/>
    <col min="3320" max="3320" width="12.5546875" style="267" customWidth="1"/>
    <col min="3321" max="3322" width="8.109375" style="267" customWidth="1"/>
    <col min="3323" max="3323" width="13.109375" style="267" customWidth="1"/>
    <col min="3324" max="3325" width="14" style="267" customWidth="1"/>
    <col min="3326" max="3334" width="14.109375" style="267" customWidth="1"/>
    <col min="3335" max="3335" width="10.109375" style="267" customWidth="1"/>
    <col min="3336" max="3336" width="11.109375" style="267" customWidth="1"/>
    <col min="3337" max="3337" width="13.5546875" style="267" bestFit="1" customWidth="1"/>
    <col min="3338" max="3338" width="5.5546875" style="267" customWidth="1"/>
    <col min="3339" max="3339" width="6.5546875" style="267" customWidth="1"/>
    <col min="3340" max="3340" width="13.5546875" style="267" customWidth="1"/>
    <col min="3341" max="3566" width="8.88671875" style="267"/>
    <col min="3567" max="3567" width="4.5546875" style="267" customWidth="1"/>
    <col min="3568" max="3568" width="19.88671875" style="267" customWidth="1"/>
    <col min="3569" max="3569" width="12.44140625" style="267" customWidth="1"/>
    <col min="3570" max="3570" width="13.88671875" style="267" customWidth="1"/>
    <col min="3571" max="3571" width="12" style="267" customWidth="1"/>
    <col min="3572" max="3572" width="13" style="267" customWidth="1"/>
    <col min="3573" max="3573" width="11.109375" style="267" customWidth="1"/>
    <col min="3574" max="3575" width="13" style="267" customWidth="1"/>
    <col min="3576" max="3576" width="12.5546875" style="267" customWidth="1"/>
    <col min="3577" max="3578" width="8.109375" style="267" customWidth="1"/>
    <col min="3579" max="3579" width="13.109375" style="267" customWidth="1"/>
    <col min="3580" max="3581" width="14" style="267" customWidth="1"/>
    <col min="3582" max="3590" width="14.109375" style="267" customWidth="1"/>
    <col min="3591" max="3591" width="10.109375" style="267" customWidth="1"/>
    <col min="3592" max="3592" width="11.109375" style="267" customWidth="1"/>
    <col min="3593" max="3593" width="13.5546875" style="267" bestFit="1" customWidth="1"/>
    <col min="3594" max="3594" width="5.5546875" style="267" customWidth="1"/>
    <col min="3595" max="3595" width="6.5546875" style="267" customWidth="1"/>
    <col min="3596" max="3596" width="13.5546875" style="267" customWidth="1"/>
    <col min="3597" max="3822" width="8.88671875" style="267"/>
    <col min="3823" max="3823" width="4.5546875" style="267" customWidth="1"/>
    <col min="3824" max="3824" width="19.88671875" style="267" customWidth="1"/>
    <col min="3825" max="3825" width="12.44140625" style="267" customWidth="1"/>
    <col min="3826" max="3826" width="13.88671875" style="267" customWidth="1"/>
    <col min="3827" max="3827" width="12" style="267" customWidth="1"/>
    <col min="3828" max="3828" width="13" style="267" customWidth="1"/>
    <col min="3829" max="3829" width="11.109375" style="267" customWidth="1"/>
    <col min="3830" max="3831" width="13" style="267" customWidth="1"/>
    <col min="3832" max="3832" width="12.5546875" style="267" customWidth="1"/>
    <col min="3833" max="3834" width="8.109375" style="267" customWidth="1"/>
    <col min="3835" max="3835" width="13.109375" style="267" customWidth="1"/>
    <col min="3836" max="3837" width="14" style="267" customWidth="1"/>
    <col min="3838" max="3846" width="14.109375" style="267" customWidth="1"/>
    <col min="3847" max="3847" width="10.109375" style="267" customWidth="1"/>
    <col min="3848" max="3848" width="11.109375" style="267" customWidth="1"/>
    <col min="3849" max="3849" width="13.5546875" style="267" bestFit="1" customWidth="1"/>
    <col min="3850" max="3850" width="5.5546875" style="267" customWidth="1"/>
    <col min="3851" max="3851" width="6.5546875" style="267" customWidth="1"/>
    <col min="3852" max="3852" width="13.5546875" style="267" customWidth="1"/>
    <col min="3853" max="4078" width="8.88671875" style="267"/>
    <col min="4079" max="4079" width="4.5546875" style="267" customWidth="1"/>
    <col min="4080" max="4080" width="19.88671875" style="267" customWidth="1"/>
    <col min="4081" max="4081" width="12.44140625" style="267" customWidth="1"/>
    <col min="4082" max="4082" width="13.88671875" style="267" customWidth="1"/>
    <col min="4083" max="4083" width="12" style="267" customWidth="1"/>
    <col min="4084" max="4084" width="13" style="267" customWidth="1"/>
    <col min="4085" max="4085" width="11.109375" style="267" customWidth="1"/>
    <col min="4086" max="4087" width="13" style="267" customWidth="1"/>
    <col min="4088" max="4088" width="12.5546875" style="267" customWidth="1"/>
    <col min="4089" max="4090" width="8.109375" style="267" customWidth="1"/>
    <col min="4091" max="4091" width="13.109375" style="267" customWidth="1"/>
    <col min="4092" max="4093" width="14" style="267" customWidth="1"/>
    <col min="4094" max="4102" width="14.109375" style="267" customWidth="1"/>
    <col min="4103" max="4103" width="10.109375" style="267" customWidth="1"/>
    <col min="4104" max="4104" width="11.109375" style="267" customWidth="1"/>
    <col min="4105" max="4105" width="13.5546875" style="267" bestFit="1" customWidth="1"/>
    <col min="4106" max="4106" width="5.5546875" style="267" customWidth="1"/>
    <col min="4107" max="4107" width="6.5546875" style="267" customWidth="1"/>
    <col min="4108" max="4108" width="13.5546875" style="267" customWidth="1"/>
    <col min="4109" max="4334" width="8.88671875" style="267"/>
    <col min="4335" max="4335" width="4.5546875" style="267" customWidth="1"/>
    <col min="4336" max="4336" width="19.88671875" style="267" customWidth="1"/>
    <col min="4337" max="4337" width="12.44140625" style="267" customWidth="1"/>
    <col min="4338" max="4338" width="13.88671875" style="267" customWidth="1"/>
    <col min="4339" max="4339" width="12" style="267" customWidth="1"/>
    <col min="4340" max="4340" width="13" style="267" customWidth="1"/>
    <col min="4341" max="4341" width="11.109375" style="267" customWidth="1"/>
    <col min="4342" max="4343" width="13" style="267" customWidth="1"/>
    <col min="4344" max="4344" width="12.5546875" style="267" customWidth="1"/>
    <col min="4345" max="4346" width="8.109375" style="267" customWidth="1"/>
    <col min="4347" max="4347" width="13.109375" style="267" customWidth="1"/>
    <col min="4348" max="4349" width="14" style="267" customWidth="1"/>
    <col min="4350" max="4358" width="14.109375" style="267" customWidth="1"/>
    <col min="4359" max="4359" width="10.109375" style="267" customWidth="1"/>
    <col min="4360" max="4360" width="11.109375" style="267" customWidth="1"/>
    <col min="4361" max="4361" width="13.5546875" style="267" bestFit="1" customWidth="1"/>
    <col min="4362" max="4362" width="5.5546875" style="267" customWidth="1"/>
    <col min="4363" max="4363" width="6.5546875" style="267" customWidth="1"/>
    <col min="4364" max="4364" width="13.5546875" style="267" customWidth="1"/>
    <col min="4365" max="4590" width="8.88671875" style="267"/>
    <col min="4591" max="4591" width="4.5546875" style="267" customWidth="1"/>
    <col min="4592" max="4592" width="19.88671875" style="267" customWidth="1"/>
    <col min="4593" max="4593" width="12.44140625" style="267" customWidth="1"/>
    <col min="4594" max="4594" width="13.88671875" style="267" customWidth="1"/>
    <col min="4595" max="4595" width="12" style="267" customWidth="1"/>
    <col min="4596" max="4596" width="13" style="267" customWidth="1"/>
    <col min="4597" max="4597" width="11.109375" style="267" customWidth="1"/>
    <col min="4598" max="4599" width="13" style="267" customWidth="1"/>
    <col min="4600" max="4600" width="12.5546875" style="267" customWidth="1"/>
    <col min="4601" max="4602" width="8.109375" style="267" customWidth="1"/>
    <col min="4603" max="4603" width="13.109375" style="267" customWidth="1"/>
    <col min="4604" max="4605" width="14" style="267" customWidth="1"/>
    <col min="4606" max="4614" width="14.109375" style="267" customWidth="1"/>
    <col min="4615" max="4615" width="10.109375" style="267" customWidth="1"/>
    <col min="4616" max="4616" width="11.109375" style="267" customWidth="1"/>
    <col min="4617" max="4617" width="13.5546875" style="267" bestFit="1" customWidth="1"/>
    <col min="4618" max="4618" width="5.5546875" style="267" customWidth="1"/>
    <col min="4619" max="4619" width="6.5546875" style="267" customWidth="1"/>
    <col min="4620" max="4620" width="13.5546875" style="267" customWidth="1"/>
    <col min="4621" max="4846" width="8.88671875" style="267"/>
    <col min="4847" max="4847" width="4.5546875" style="267" customWidth="1"/>
    <col min="4848" max="4848" width="19.88671875" style="267" customWidth="1"/>
    <col min="4849" max="4849" width="12.44140625" style="267" customWidth="1"/>
    <col min="4850" max="4850" width="13.88671875" style="267" customWidth="1"/>
    <col min="4851" max="4851" width="12" style="267" customWidth="1"/>
    <col min="4852" max="4852" width="13" style="267" customWidth="1"/>
    <col min="4853" max="4853" width="11.109375" style="267" customWidth="1"/>
    <col min="4854" max="4855" width="13" style="267" customWidth="1"/>
    <col min="4856" max="4856" width="12.5546875" style="267" customWidth="1"/>
    <col min="4857" max="4858" width="8.109375" style="267" customWidth="1"/>
    <col min="4859" max="4859" width="13.109375" style="267" customWidth="1"/>
    <col min="4860" max="4861" width="14" style="267" customWidth="1"/>
    <col min="4862" max="4870" width="14.109375" style="267" customWidth="1"/>
    <col min="4871" max="4871" width="10.109375" style="267" customWidth="1"/>
    <col min="4872" max="4872" width="11.109375" style="267" customWidth="1"/>
    <col min="4873" max="4873" width="13.5546875" style="267" bestFit="1" customWidth="1"/>
    <col min="4874" max="4874" width="5.5546875" style="267" customWidth="1"/>
    <col min="4875" max="4875" width="6.5546875" style="267" customWidth="1"/>
    <col min="4876" max="4876" width="13.5546875" style="267" customWidth="1"/>
    <col min="4877" max="5102" width="8.88671875" style="267"/>
    <col min="5103" max="5103" width="4.5546875" style="267" customWidth="1"/>
    <col min="5104" max="5104" width="19.88671875" style="267" customWidth="1"/>
    <col min="5105" max="5105" width="12.44140625" style="267" customWidth="1"/>
    <col min="5106" max="5106" width="13.88671875" style="267" customWidth="1"/>
    <col min="5107" max="5107" width="12" style="267" customWidth="1"/>
    <col min="5108" max="5108" width="13" style="267" customWidth="1"/>
    <col min="5109" max="5109" width="11.109375" style="267" customWidth="1"/>
    <col min="5110" max="5111" width="13" style="267" customWidth="1"/>
    <col min="5112" max="5112" width="12.5546875" style="267" customWidth="1"/>
    <col min="5113" max="5114" width="8.109375" style="267" customWidth="1"/>
    <col min="5115" max="5115" width="13.109375" style="267" customWidth="1"/>
    <col min="5116" max="5117" width="14" style="267" customWidth="1"/>
    <col min="5118" max="5126" width="14.109375" style="267" customWidth="1"/>
    <col min="5127" max="5127" width="10.109375" style="267" customWidth="1"/>
    <col min="5128" max="5128" width="11.109375" style="267" customWidth="1"/>
    <col min="5129" max="5129" width="13.5546875" style="267" bestFit="1" customWidth="1"/>
    <col min="5130" max="5130" width="5.5546875" style="267" customWidth="1"/>
    <col min="5131" max="5131" width="6.5546875" style="267" customWidth="1"/>
    <col min="5132" max="5132" width="13.5546875" style="267" customWidth="1"/>
    <col min="5133" max="5358" width="8.88671875" style="267"/>
    <col min="5359" max="5359" width="4.5546875" style="267" customWidth="1"/>
    <col min="5360" max="5360" width="19.88671875" style="267" customWidth="1"/>
    <col min="5361" max="5361" width="12.44140625" style="267" customWidth="1"/>
    <col min="5362" max="5362" width="13.88671875" style="267" customWidth="1"/>
    <col min="5363" max="5363" width="12" style="267" customWidth="1"/>
    <col min="5364" max="5364" width="13" style="267" customWidth="1"/>
    <col min="5365" max="5365" width="11.109375" style="267" customWidth="1"/>
    <col min="5366" max="5367" width="13" style="267" customWidth="1"/>
    <col min="5368" max="5368" width="12.5546875" style="267" customWidth="1"/>
    <col min="5369" max="5370" width="8.109375" style="267" customWidth="1"/>
    <col min="5371" max="5371" width="13.109375" style="267" customWidth="1"/>
    <col min="5372" max="5373" width="14" style="267" customWidth="1"/>
    <col min="5374" max="5382" width="14.109375" style="267" customWidth="1"/>
    <col min="5383" max="5383" width="10.109375" style="267" customWidth="1"/>
    <col min="5384" max="5384" width="11.109375" style="267" customWidth="1"/>
    <col min="5385" max="5385" width="13.5546875" style="267" bestFit="1" customWidth="1"/>
    <col min="5386" max="5386" width="5.5546875" style="267" customWidth="1"/>
    <col min="5387" max="5387" width="6.5546875" style="267" customWidth="1"/>
    <col min="5388" max="5388" width="13.5546875" style="267" customWidth="1"/>
    <col min="5389" max="5614" width="8.88671875" style="267"/>
    <col min="5615" max="5615" width="4.5546875" style="267" customWidth="1"/>
    <col min="5616" max="5616" width="19.88671875" style="267" customWidth="1"/>
    <col min="5617" max="5617" width="12.44140625" style="267" customWidth="1"/>
    <col min="5618" max="5618" width="13.88671875" style="267" customWidth="1"/>
    <col min="5619" max="5619" width="12" style="267" customWidth="1"/>
    <col min="5620" max="5620" width="13" style="267" customWidth="1"/>
    <col min="5621" max="5621" width="11.109375" style="267" customWidth="1"/>
    <col min="5622" max="5623" width="13" style="267" customWidth="1"/>
    <col min="5624" max="5624" width="12.5546875" style="267" customWidth="1"/>
    <col min="5625" max="5626" width="8.109375" style="267" customWidth="1"/>
    <col min="5627" max="5627" width="13.109375" style="267" customWidth="1"/>
    <col min="5628" max="5629" width="14" style="267" customWidth="1"/>
    <col min="5630" max="5638" width="14.109375" style="267" customWidth="1"/>
    <col min="5639" max="5639" width="10.109375" style="267" customWidth="1"/>
    <col min="5640" max="5640" width="11.109375" style="267" customWidth="1"/>
    <col min="5641" max="5641" width="13.5546875" style="267" bestFit="1" customWidth="1"/>
    <col min="5642" max="5642" width="5.5546875" style="267" customWidth="1"/>
    <col min="5643" max="5643" width="6.5546875" style="267" customWidth="1"/>
    <col min="5644" max="5644" width="13.5546875" style="267" customWidth="1"/>
    <col min="5645" max="5870" width="8.88671875" style="267"/>
    <col min="5871" max="5871" width="4.5546875" style="267" customWidth="1"/>
    <col min="5872" max="5872" width="19.88671875" style="267" customWidth="1"/>
    <col min="5873" max="5873" width="12.44140625" style="267" customWidth="1"/>
    <col min="5874" max="5874" width="13.88671875" style="267" customWidth="1"/>
    <col min="5875" max="5875" width="12" style="267" customWidth="1"/>
    <col min="5876" max="5876" width="13" style="267" customWidth="1"/>
    <col min="5877" max="5877" width="11.109375" style="267" customWidth="1"/>
    <col min="5878" max="5879" width="13" style="267" customWidth="1"/>
    <col min="5880" max="5880" width="12.5546875" style="267" customWidth="1"/>
    <col min="5881" max="5882" width="8.109375" style="267" customWidth="1"/>
    <col min="5883" max="5883" width="13.109375" style="267" customWidth="1"/>
    <col min="5884" max="5885" width="14" style="267" customWidth="1"/>
    <col min="5886" max="5894" width="14.109375" style="267" customWidth="1"/>
    <col min="5895" max="5895" width="10.109375" style="267" customWidth="1"/>
    <col min="5896" max="5896" width="11.109375" style="267" customWidth="1"/>
    <col min="5897" max="5897" width="13.5546875" style="267" bestFit="1" customWidth="1"/>
    <col min="5898" max="5898" width="5.5546875" style="267" customWidth="1"/>
    <col min="5899" max="5899" width="6.5546875" style="267" customWidth="1"/>
    <col min="5900" max="5900" width="13.5546875" style="267" customWidth="1"/>
    <col min="5901" max="6126" width="8.88671875" style="267"/>
    <col min="6127" max="6127" width="4.5546875" style="267" customWidth="1"/>
    <col min="6128" max="6128" width="19.88671875" style="267" customWidth="1"/>
    <col min="6129" max="6129" width="12.44140625" style="267" customWidth="1"/>
    <col min="6130" max="6130" width="13.88671875" style="267" customWidth="1"/>
    <col min="6131" max="6131" width="12" style="267" customWidth="1"/>
    <col min="6132" max="6132" width="13" style="267" customWidth="1"/>
    <col min="6133" max="6133" width="11.109375" style="267" customWidth="1"/>
    <col min="6134" max="6135" width="13" style="267" customWidth="1"/>
    <col min="6136" max="6136" width="12.5546875" style="267" customWidth="1"/>
    <col min="6137" max="6138" width="8.109375" style="267" customWidth="1"/>
    <col min="6139" max="6139" width="13.109375" style="267" customWidth="1"/>
    <col min="6140" max="6141" width="14" style="267" customWidth="1"/>
    <col min="6142" max="6150" width="14.109375" style="267" customWidth="1"/>
    <col min="6151" max="6151" width="10.109375" style="267" customWidth="1"/>
    <col min="6152" max="6152" width="11.109375" style="267" customWidth="1"/>
    <col min="6153" max="6153" width="13.5546875" style="267" bestFit="1" customWidth="1"/>
    <col min="6154" max="6154" width="5.5546875" style="267" customWidth="1"/>
    <col min="6155" max="6155" width="6.5546875" style="267" customWidth="1"/>
    <col min="6156" max="6156" width="13.5546875" style="267" customWidth="1"/>
    <col min="6157" max="6382" width="8.88671875" style="267"/>
    <col min="6383" max="6383" width="4.5546875" style="267" customWidth="1"/>
    <col min="6384" max="6384" width="19.88671875" style="267" customWidth="1"/>
    <col min="6385" max="6385" width="12.44140625" style="267" customWidth="1"/>
    <col min="6386" max="6386" width="13.88671875" style="267" customWidth="1"/>
    <col min="6387" max="6387" width="12" style="267" customWidth="1"/>
    <col min="6388" max="6388" width="13" style="267" customWidth="1"/>
    <col min="6389" max="6389" width="11.109375" style="267" customWidth="1"/>
    <col min="6390" max="6391" width="13" style="267" customWidth="1"/>
    <col min="6392" max="6392" width="12.5546875" style="267" customWidth="1"/>
    <col min="6393" max="6394" width="8.109375" style="267" customWidth="1"/>
    <col min="6395" max="6395" width="13.109375" style="267" customWidth="1"/>
    <col min="6396" max="6397" width="14" style="267" customWidth="1"/>
    <col min="6398" max="6406" width="14.109375" style="267" customWidth="1"/>
    <col min="6407" max="6407" width="10.109375" style="267" customWidth="1"/>
    <col min="6408" max="6408" width="11.109375" style="267" customWidth="1"/>
    <col min="6409" max="6409" width="13.5546875" style="267" bestFit="1" customWidth="1"/>
    <col min="6410" max="6410" width="5.5546875" style="267" customWidth="1"/>
    <col min="6411" max="6411" width="6.5546875" style="267" customWidth="1"/>
    <col min="6412" max="6412" width="13.5546875" style="267" customWidth="1"/>
    <col min="6413" max="6638" width="8.88671875" style="267"/>
    <col min="6639" max="6639" width="4.5546875" style="267" customWidth="1"/>
    <col min="6640" max="6640" width="19.88671875" style="267" customWidth="1"/>
    <col min="6641" max="6641" width="12.44140625" style="267" customWidth="1"/>
    <col min="6642" max="6642" width="13.88671875" style="267" customWidth="1"/>
    <col min="6643" max="6643" width="12" style="267" customWidth="1"/>
    <col min="6644" max="6644" width="13" style="267" customWidth="1"/>
    <col min="6645" max="6645" width="11.109375" style="267" customWidth="1"/>
    <col min="6646" max="6647" width="13" style="267" customWidth="1"/>
    <col min="6648" max="6648" width="12.5546875" style="267" customWidth="1"/>
    <col min="6649" max="6650" width="8.109375" style="267" customWidth="1"/>
    <col min="6651" max="6651" width="13.109375" style="267" customWidth="1"/>
    <col min="6652" max="6653" width="14" style="267" customWidth="1"/>
    <col min="6654" max="6662" width="14.109375" style="267" customWidth="1"/>
    <col min="6663" max="6663" width="10.109375" style="267" customWidth="1"/>
    <col min="6664" max="6664" width="11.109375" style="267" customWidth="1"/>
    <col min="6665" max="6665" width="13.5546875" style="267" bestFit="1" customWidth="1"/>
    <col min="6666" max="6666" width="5.5546875" style="267" customWidth="1"/>
    <col min="6667" max="6667" width="6.5546875" style="267" customWidth="1"/>
    <col min="6668" max="6668" width="13.5546875" style="267" customWidth="1"/>
    <col min="6669" max="6894" width="8.88671875" style="267"/>
    <col min="6895" max="6895" width="4.5546875" style="267" customWidth="1"/>
    <col min="6896" max="6896" width="19.88671875" style="267" customWidth="1"/>
    <col min="6897" max="6897" width="12.44140625" style="267" customWidth="1"/>
    <col min="6898" max="6898" width="13.88671875" style="267" customWidth="1"/>
    <col min="6899" max="6899" width="12" style="267" customWidth="1"/>
    <col min="6900" max="6900" width="13" style="267" customWidth="1"/>
    <col min="6901" max="6901" width="11.109375" style="267" customWidth="1"/>
    <col min="6902" max="6903" width="13" style="267" customWidth="1"/>
    <col min="6904" max="6904" width="12.5546875" style="267" customWidth="1"/>
    <col min="6905" max="6906" width="8.109375" style="267" customWidth="1"/>
    <col min="6907" max="6907" width="13.109375" style="267" customWidth="1"/>
    <col min="6908" max="6909" width="14" style="267" customWidth="1"/>
    <col min="6910" max="6918" width="14.109375" style="267" customWidth="1"/>
    <col min="6919" max="6919" width="10.109375" style="267" customWidth="1"/>
    <col min="6920" max="6920" width="11.109375" style="267" customWidth="1"/>
    <col min="6921" max="6921" width="13.5546875" style="267" bestFit="1" customWidth="1"/>
    <col min="6922" max="6922" width="5.5546875" style="267" customWidth="1"/>
    <col min="6923" max="6923" width="6.5546875" style="267" customWidth="1"/>
    <col min="6924" max="6924" width="13.5546875" style="267" customWidth="1"/>
    <col min="6925" max="7150" width="8.88671875" style="267"/>
    <col min="7151" max="7151" width="4.5546875" style="267" customWidth="1"/>
    <col min="7152" max="7152" width="19.88671875" style="267" customWidth="1"/>
    <col min="7153" max="7153" width="12.44140625" style="267" customWidth="1"/>
    <col min="7154" max="7154" width="13.88671875" style="267" customWidth="1"/>
    <col min="7155" max="7155" width="12" style="267" customWidth="1"/>
    <col min="7156" max="7156" width="13" style="267" customWidth="1"/>
    <col min="7157" max="7157" width="11.109375" style="267" customWidth="1"/>
    <col min="7158" max="7159" width="13" style="267" customWidth="1"/>
    <col min="7160" max="7160" width="12.5546875" style="267" customWidth="1"/>
    <col min="7161" max="7162" width="8.109375" style="267" customWidth="1"/>
    <col min="7163" max="7163" width="13.109375" style="267" customWidth="1"/>
    <col min="7164" max="7165" width="14" style="267" customWidth="1"/>
    <col min="7166" max="7174" width="14.109375" style="267" customWidth="1"/>
    <col min="7175" max="7175" width="10.109375" style="267" customWidth="1"/>
    <col min="7176" max="7176" width="11.109375" style="267" customWidth="1"/>
    <col min="7177" max="7177" width="13.5546875" style="267" bestFit="1" customWidth="1"/>
    <col min="7178" max="7178" width="5.5546875" style="267" customWidth="1"/>
    <col min="7179" max="7179" width="6.5546875" style="267" customWidth="1"/>
    <col min="7180" max="7180" width="13.5546875" style="267" customWidth="1"/>
    <col min="7181" max="7406" width="8.88671875" style="267"/>
    <col min="7407" max="7407" width="4.5546875" style="267" customWidth="1"/>
    <col min="7408" max="7408" width="19.88671875" style="267" customWidth="1"/>
    <col min="7409" max="7409" width="12.44140625" style="267" customWidth="1"/>
    <col min="7410" max="7410" width="13.88671875" style="267" customWidth="1"/>
    <col min="7411" max="7411" width="12" style="267" customWidth="1"/>
    <col min="7412" max="7412" width="13" style="267" customWidth="1"/>
    <col min="7413" max="7413" width="11.109375" style="267" customWidth="1"/>
    <col min="7414" max="7415" width="13" style="267" customWidth="1"/>
    <col min="7416" max="7416" width="12.5546875" style="267" customWidth="1"/>
    <col min="7417" max="7418" width="8.109375" style="267" customWidth="1"/>
    <col min="7419" max="7419" width="13.109375" style="267" customWidth="1"/>
    <col min="7420" max="7421" width="14" style="267" customWidth="1"/>
    <col min="7422" max="7430" width="14.109375" style="267" customWidth="1"/>
    <col min="7431" max="7431" width="10.109375" style="267" customWidth="1"/>
    <col min="7432" max="7432" width="11.109375" style="267" customWidth="1"/>
    <col min="7433" max="7433" width="13.5546875" style="267" bestFit="1" customWidth="1"/>
    <col min="7434" max="7434" width="5.5546875" style="267" customWidth="1"/>
    <col min="7435" max="7435" width="6.5546875" style="267" customWidth="1"/>
    <col min="7436" max="7436" width="13.5546875" style="267" customWidth="1"/>
    <col min="7437" max="7662" width="8.88671875" style="267"/>
    <col min="7663" max="7663" width="4.5546875" style="267" customWidth="1"/>
    <col min="7664" max="7664" width="19.88671875" style="267" customWidth="1"/>
    <col min="7665" max="7665" width="12.44140625" style="267" customWidth="1"/>
    <col min="7666" max="7666" width="13.88671875" style="267" customWidth="1"/>
    <col min="7667" max="7667" width="12" style="267" customWidth="1"/>
    <col min="7668" max="7668" width="13" style="267" customWidth="1"/>
    <col min="7669" max="7669" width="11.109375" style="267" customWidth="1"/>
    <col min="7670" max="7671" width="13" style="267" customWidth="1"/>
    <col min="7672" max="7672" width="12.5546875" style="267" customWidth="1"/>
    <col min="7673" max="7674" width="8.109375" style="267" customWidth="1"/>
    <col min="7675" max="7675" width="13.109375" style="267" customWidth="1"/>
    <col min="7676" max="7677" width="14" style="267" customWidth="1"/>
    <col min="7678" max="7686" width="14.109375" style="267" customWidth="1"/>
    <col min="7687" max="7687" width="10.109375" style="267" customWidth="1"/>
    <col min="7688" max="7688" width="11.109375" style="267" customWidth="1"/>
    <col min="7689" max="7689" width="13.5546875" style="267" bestFit="1" customWidth="1"/>
    <col min="7690" max="7690" width="5.5546875" style="267" customWidth="1"/>
    <col min="7691" max="7691" width="6.5546875" style="267" customWidth="1"/>
    <col min="7692" max="7692" width="13.5546875" style="267" customWidth="1"/>
    <col min="7693" max="7918" width="8.88671875" style="267"/>
    <col min="7919" max="7919" width="4.5546875" style="267" customWidth="1"/>
    <col min="7920" max="7920" width="19.88671875" style="267" customWidth="1"/>
    <col min="7921" max="7921" width="12.44140625" style="267" customWidth="1"/>
    <col min="7922" max="7922" width="13.88671875" style="267" customWidth="1"/>
    <col min="7923" max="7923" width="12" style="267" customWidth="1"/>
    <col min="7924" max="7924" width="13" style="267" customWidth="1"/>
    <col min="7925" max="7925" width="11.109375" style="267" customWidth="1"/>
    <col min="7926" max="7927" width="13" style="267" customWidth="1"/>
    <col min="7928" max="7928" width="12.5546875" style="267" customWidth="1"/>
    <col min="7929" max="7930" width="8.109375" style="267" customWidth="1"/>
    <col min="7931" max="7931" width="13.109375" style="267" customWidth="1"/>
    <col min="7932" max="7933" width="14" style="267" customWidth="1"/>
    <col min="7934" max="7942" width="14.109375" style="267" customWidth="1"/>
    <col min="7943" max="7943" width="10.109375" style="267" customWidth="1"/>
    <col min="7944" max="7944" width="11.109375" style="267" customWidth="1"/>
    <col min="7945" max="7945" width="13.5546875" style="267" bestFit="1" customWidth="1"/>
    <col min="7946" max="7946" width="5.5546875" style="267" customWidth="1"/>
    <col min="7947" max="7947" width="6.5546875" style="267" customWidth="1"/>
    <col min="7948" max="7948" width="13.5546875" style="267" customWidth="1"/>
    <col min="7949" max="8174" width="8.88671875" style="267"/>
    <col min="8175" max="8175" width="4.5546875" style="267" customWidth="1"/>
    <col min="8176" max="8176" width="19.88671875" style="267" customWidth="1"/>
    <col min="8177" max="8177" width="12.44140625" style="267" customWidth="1"/>
    <col min="8178" max="8178" width="13.88671875" style="267" customWidth="1"/>
    <col min="8179" max="8179" width="12" style="267" customWidth="1"/>
    <col min="8180" max="8180" width="13" style="267" customWidth="1"/>
    <col min="8181" max="8181" width="11.109375" style="267" customWidth="1"/>
    <col min="8182" max="8183" width="13" style="267" customWidth="1"/>
    <col min="8184" max="8184" width="12.5546875" style="267" customWidth="1"/>
    <col min="8185" max="8186" width="8.109375" style="267" customWidth="1"/>
    <col min="8187" max="8187" width="13.109375" style="267" customWidth="1"/>
    <col min="8188" max="8189" width="14" style="267" customWidth="1"/>
    <col min="8190" max="8198" width="14.109375" style="267" customWidth="1"/>
    <col min="8199" max="8199" width="10.109375" style="267" customWidth="1"/>
    <col min="8200" max="8200" width="11.109375" style="267" customWidth="1"/>
    <col min="8201" max="8201" width="13.5546875" style="267" bestFit="1" customWidth="1"/>
    <col min="8202" max="8202" width="5.5546875" style="267" customWidth="1"/>
    <col min="8203" max="8203" width="6.5546875" style="267" customWidth="1"/>
    <col min="8204" max="8204" width="13.5546875" style="267" customWidth="1"/>
    <col min="8205" max="8430" width="8.88671875" style="267"/>
    <col min="8431" max="8431" width="4.5546875" style="267" customWidth="1"/>
    <col min="8432" max="8432" width="19.88671875" style="267" customWidth="1"/>
    <col min="8433" max="8433" width="12.44140625" style="267" customWidth="1"/>
    <col min="8434" max="8434" width="13.88671875" style="267" customWidth="1"/>
    <col min="8435" max="8435" width="12" style="267" customWidth="1"/>
    <col min="8436" max="8436" width="13" style="267" customWidth="1"/>
    <col min="8437" max="8437" width="11.109375" style="267" customWidth="1"/>
    <col min="8438" max="8439" width="13" style="267" customWidth="1"/>
    <col min="8440" max="8440" width="12.5546875" style="267" customWidth="1"/>
    <col min="8441" max="8442" width="8.109375" style="267" customWidth="1"/>
    <col min="8443" max="8443" width="13.109375" style="267" customWidth="1"/>
    <col min="8444" max="8445" width="14" style="267" customWidth="1"/>
    <col min="8446" max="8454" width="14.109375" style="267" customWidth="1"/>
    <col min="8455" max="8455" width="10.109375" style="267" customWidth="1"/>
    <col min="8456" max="8456" width="11.109375" style="267" customWidth="1"/>
    <col min="8457" max="8457" width="13.5546875" style="267" bestFit="1" customWidth="1"/>
    <col min="8458" max="8458" width="5.5546875" style="267" customWidth="1"/>
    <col min="8459" max="8459" width="6.5546875" style="267" customWidth="1"/>
    <col min="8460" max="8460" width="13.5546875" style="267" customWidth="1"/>
    <col min="8461" max="8686" width="8.88671875" style="267"/>
    <col min="8687" max="8687" width="4.5546875" style="267" customWidth="1"/>
    <col min="8688" max="8688" width="19.88671875" style="267" customWidth="1"/>
    <col min="8689" max="8689" width="12.44140625" style="267" customWidth="1"/>
    <col min="8690" max="8690" width="13.88671875" style="267" customWidth="1"/>
    <col min="8691" max="8691" width="12" style="267" customWidth="1"/>
    <col min="8692" max="8692" width="13" style="267" customWidth="1"/>
    <col min="8693" max="8693" width="11.109375" style="267" customWidth="1"/>
    <col min="8694" max="8695" width="13" style="267" customWidth="1"/>
    <col min="8696" max="8696" width="12.5546875" style="267" customWidth="1"/>
    <col min="8697" max="8698" width="8.109375" style="267" customWidth="1"/>
    <col min="8699" max="8699" width="13.109375" style="267" customWidth="1"/>
    <col min="8700" max="8701" width="14" style="267" customWidth="1"/>
    <col min="8702" max="8710" width="14.109375" style="267" customWidth="1"/>
    <col min="8711" max="8711" width="10.109375" style="267" customWidth="1"/>
    <col min="8712" max="8712" width="11.109375" style="267" customWidth="1"/>
    <col min="8713" max="8713" width="13.5546875" style="267" bestFit="1" customWidth="1"/>
    <col min="8714" max="8714" width="5.5546875" style="267" customWidth="1"/>
    <col min="8715" max="8715" width="6.5546875" style="267" customWidth="1"/>
    <col min="8716" max="8716" width="13.5546875" style="267" customWidth="1"/>
    <col min="8717" max="8942" width="8.88671875" style="267"/>
    <col min="8943" max="8943" width="4.5546875" style="267" customWidth="1"/>
    <col min="8944" max="8944" width="19.88671875" style="267" customWidth="1"/>
    <col min="8945" max="8945" width="12.44140625" style="267" customWidth="1"/>
    <col min="8946" max="8946" width="13.88671875" style="267" customWidth="1"/>
    <col min="8947" max="8947" width="12" style="267" customWidth="1"/>
    <col min="8948" max="8948" width="13" style="267" customWidth="1"/>
    <col min="8949" max="8949" width="11.109375" style="267" customWidth="1"/>
    <col min="8950" max="8951" width="13" style="267" customWidth="1"/>
    <col min="8952" max="8952" width="12.5546875" style="267" customWidth="1"/>
    <col min="8953" max="8954" width="8.109375" style="267" customWidth="1"/>
    <col min="8955" max="8955" width="13.109375" style="267" customWidth="1"/>
    <col min="8956" max="8957" width="14" style="267" customWidth="1"/>
    <col min="8958" max="8966" width="14.109375" style="267" customWidth="1"/>
    <col min="8967" max="8967" width="10.109375" style="267" customWidth="1"/>
    <col min="8968" max="8968" width="11.109375" style="267" customWidth="1"/>
    <col min="8969" max="8969" width="13.5546875" style="267" bestFit="1" customWidth="1"/>
    <col min="8970" max="8970" width="5.5546875" style="267" customWidth="1"/>
    <col min="8971" max="8971" width="6.5546875" style="267" customWidth="1"/>
    <col min="8972" max="8972" width="13.5546875" style="267" customWidth="1"/>
    <col min="8973" max="9198" width="8.88671875" style="267"/>
    <col min="9199" max="9199" width="4.5546875" style="267" customWidth="1"/>
    <col min="9200" max="9200" width="19.88671875" style="267" customWidth="1"/>
    <col min="9201" max="9201" width="12.44140625" style="267" customWidth="1"/>
    <col min="9202" max="9202" width="13.88671875" style="267" customWidth="1"/>
    <col min="9203" max="9203" width="12" style="267" customWidth="1"/>
    <col min="9204" max="9204" width="13" style="267" customWidth="1"/>
    <col min="9205" max="9205" width="11.109375" style="267" customWidth="1"/>
    <col min="9206" max="9207" width="13" style="267" customWidth="1"/>
    <col min="9208" max="9208" width="12.5546875" style="267" customWidth="1"/>
    <col min="9209" max="9210" width="8.109375" style="267" customWidth="1"/>
    <col min="9211" max="9211" width="13.109375" style="267" customWidth="1"/>
    <col min="9212" max="9213" width="14" style="267" customWidth="1"/>
    <col min="9214" max="9222" width="14.109375" style="267" customWidth="1"/>
    <col min="9223" max="9223" width="10.109375" style="267" customWidth="1"/>
    <col min="9224" max="9224" width="11.109375" style="267" customWidth="1"/>
    <col min="9225" max="9225" width="13.5546875" style="267" bestFit="1" customWidth="1"/>
    <col min="9226" max="9226" width="5.5546875" style="267" customWidth="1"/>
    <col min="9227" max="9227" width="6.5546875" style="267" customWidth="1"/>
    <col min="9228" max="9228" width="13.5546875" style="267" customWidth="1"/>
    <col min="9229" max="9454" width="8.88671875" style="267"/>
    <col min="9455" max="9455" width="4.5546875" style="267" customWidth="1"/>
    <col min="9456" max="9456" width="19.88671875" style="267" customWidth="1"/>
    <col min="9457" max="9457" width="12.44140625" style="267" customWidth="1"/>
    <col min="9458" max="9458" width="13.88671875" style="267" customWidth="1"/>
    <col min="9459" max="9459" width="12" style="267" customWidth="1"/>
    <col min="9460" max="9460" width="13" style="267" customWidth="1"/>
    <col min="9461" max="9461" width="11.109375" style="267" customWidth="1"/>
    <col min="9462" max="9463" width="13" style="267" customWidth="1"/>
    <col min="9464" max="9464" width="12.5546875" style="267" customWidth="1"/>
    <col min="9465" max="9466" width="8.109375" style="267" customWidth="1"/>
    <col min="9467" max="9467" width="13.109375" style="267" customWidth="1"/>
    <col min="9468" max="9469" width="14" style="267" customWidth="1"/>
    <col min="9470" max="9478" width="14.109375" style="267" customWidth="1"/>
    <col min="9479" max="9479" width="10.109375" style="267" customWidth="1"/>
    <col min="9480" max="9480" width="11.109375" style="267" customWidth="1"/>
    <col min="9481" max="9481" width="13.5546875" style="267" bestFit="1" customWidth="1"/>
    <col min="9482" max="9482" width="5.5546875" style="267" customWidth="1"/>
    <col min="9483" max="9483" width="6.5546875" style="267" customWidth="1"/>
    <col min="9484" max="9484" width="13.5546875" style="267" customWidth="1"/>
    <col min="9485" max="9710" width="8.88671875" style="267"/>
    <col min="9711" max="9711" width="4.5546875" style="267" customWidth="1"/>
    <col min="9712" max="9712" width="19.88671875" style="267" customWidth="1"/>
    <col min="9713" max="9713" width="12.44140625" style="267" customWidth="1"/>
    <col min="9714" max="9714" width="13.88671875" style="267" customWidth="1"/>
    <col min="9715" max="9715" width="12" style="267" customWidth="1"/>
    <col min="9716" max="9716" width="13" style="267" customWidth="1"/>
    <col min="9717" max="9717" width="11.109375" style="267" customWidth="1"/>
    <col min="9718" max="9719" width="13" style="267" customWidth="1"/>
    <col min="9720" max="9720" width="12.5546875" style="267" customWidth="1"/>
    <col min="9721" max="9722" width="8.109375" style="267" customWidth="1"/>
    <col min="9723" max="9723" width="13.109375" style="267" customWidth="1"/>
    <col min="9724" max="9725" width="14" style="267" customWidth="1"/>
    <col min="9726" max="9734" width="14.109375" style="267" customWidth="1"/>
    <col min="9735" max="9735" width="10.109375" style="267" customWidth="1"/>
    <col min="9736" max="9736" width="11.109375" style="267" customWidth="1"/>
    <col min="9737" max="9737" width="13.5546875" style="267" bestFit="1" customWidth="1"/>
    <col min="9738" max="9738" width="5.5546875" style="267" customWidth="1"/>
    <col min="9739" max="9739" width="6.5546875" style="267" customWidth="1"/>
    <col min="9740" max="9740" width="13.5546875" style="267" customWidth="1"/>
    <col min="9741" max="9966" width="8.88671875" style="267"/>
    <col min="9967" max="9967" width="4.5546875" style="267" customWidth="1"/>
    <col min="9968" max="9968" width="19.88671875" style="267" customWidth="1"/>
    <col min="9969" max="9969" width="12.44140625" style="267" customWidth="1"/>
    <col min="9970" max="9970" width="13.88671875" style="267" customWidth="1"/>
    <col min="9971" max="9971" width="12" style="267" customWidth="1"/>
    <col min="9972" max="9972" width="13" style="267" customWidth="1"/>
    <col min="9973" max="9973" width="11.109375" style="267" customWidth="1"/>
    <col min="9974" max="9975" width="13" style="267" customWidth="1"/>
    <col min="9976" max="9976" width="12.5546875" style="267" customWidth="1"/>
    <col min="9977" max="9978" width="8.109375" style="267" customWidth="1"/>
    <col min="9979" max="9979" width="13.109375" style="267" customWidth="1"/>
    <col min="9980" max="9981" width="14" style="267" customWidth="1"/>
    <col min="9982" max="9990" width="14.109375" style="267" customWidth="1"/>
    <col min="9991" max="9991" width="10.109375" style="267" customWidth="1"/>
    <col min="9992" max="9992" width="11.109375" style="267" customWidth="1"/>
    <col min="9993" max="9993" width="13.5546875" style="267" bestFit="1" customWidth="1"/>
    <col min="9994" max="9994" width="5.5546875" style="267" customWidth="1"/>
    <col min="9995" max="9995" width="6.5546875" style="267" customWidth="1"/>
    <col min="9996" max="9996" width="13.5546875" style="267" customWidth="1"/>
    <col min="9997" max="10222" width="8.88671875" style="267"/>
    <col min="10223" max="10223" width="4.5546875" style="267" customWidth="1"/>
    <col min="10224" max="10224" width="19.88671875" style="267" customWidth="1"/>
    <col min="10225" max="10225" width="12.44140625" style="267" customWidth="1"/>
    <col min="10226" max="10226" width="13.88671875" style="267" customWidth="1"/>
    <col min="10227" max="10227" width="12" style="267" customWidth="1"/>
    <col min="10228" max="10228" width="13" style="267" customWidth="1"/>
    <col min="10229" max="10229" width="11.109375" style="267" customWidth="1"/>
    <col min="10230" max="10231" width="13" style="267" customWidth="1"/>
    <col min="10232" max="10232" width="12.5546875" style="267" customWidth="1"/>
    <col min="10233" max="10234" width="8.109375" style="267" customWidth="1"/>
    <col min="10235" max="10235" width="13.109375" style="267" customWidth="1"/>
    <col min="10236" max="10237" width="14" style="267" customWidth="1"/>
    <col min="10238" max="10246" width="14.109375" style="267" customWidth="1"/>
    <col min="10247" max="10247" width="10.109375" style="267" customWidth="1"/>
    <col min="10248" max="10248" width="11.109375" style="267" customWidth="1"/>
    <col min="10249" max="10249" width="13.5546875" style="267" bestFit="1" customWidth="1"/>
    <col min="10250" max="10250" width="5.5546875" style="267" customWidth="1"/>
    <col min="10251" max="10251" width="6.5546875" style="267" customWidth="1"/>
    <col min="10252" max="10252" width="13.5546875" style="267" customWidth="1"/>
    <col min="10253" max="10478" width="8.88671875" style="267"/>
    <col min="10479" max="10479" width="4.5546875" style="267" customWidth="1"/>
    <col min="10480" max="10480" width="19.88671875" style="267" customWidth="1"/>
    <col min="10481" max="10481" width="12.44140625" style="267" customWidth="1"/>
    <col min="10482" max="10482" width="13.88671875" style="267" customWidth="1"/>
    <col min="10483" max="10483" width="12" style="267" customWidth="1"/>
    <col min="10484" max="10484" width="13" style="267" customWidth="1"/>
    <col min="10485" max="10485" width="11.109375" style="267" customWidth="1"/>
    <col min="10486" max="10487" width="13" style="267" customWidth="1"/>
    <col min="10488" max="10488" width="12.5546875" style="267" customWidth="1"/>
    <col min="10489" max="10490" width="8.109375" style="267" customWidth="1"/>
    <col min="10491" max="10491" width="13.109375" style="267" customWidth="1"/>
    <col min="10492" max="10493" width="14" style="267" customWidth="1"/>
    <col min="10494" max="10502" width="14.109375" style="267" customWidth="1"/>
    <col min="10503" max="10503" width="10.109375" style="267" customWidth="1"/>
    <col min="10504" max="10504" width="11.109375" style="267" customWidth="1"/>
    <col min="10505" max="10505" width="13.5546875" style="267" bestFit="1" customWidth="1"/>
    <col min="10506" max="10506" width="5.5546875" style="267" customWidth="1"/>
    <col min="10507" max="10507" width="6.5546875" style="267" customWidth="1"/>
    <col min="10508" max="10508" width="13.5546875" style="267" customWidth="1"/>
    <col min="10509" max="10734" width="8.88671875" style="267"/>
    <col min="10735" max="10735" width="4.5546875" style="267" customWidth="1"/>
    <col min="10736" max="10736" width="19.88671875" style="267" customWidth="1"/>
    <col min="10737" max="10737" width="12.44140625" style="267" customWidth="1"/>
    <col min="10738" max="10738" width="13.88671875" style="267" customWidth="1"/>
    <col min="10739" max="10739" width="12" style="267" customWidth="1"/>
    <col min="10740" max="10740" width="13" style="267" customWidth="1"/>
    <col min="10741" max="10741" width="11.109375" style="267" customWidth="1"/>
    <col min="10742" max="10743" width="13" style="267" customWidth="1"/>
    <col min="10744" max="10744" width="12.5546875" style="267" customWidth="1"/>
    <col min="10745" max="10746" width="8.109375" style="267" customWidth="1"/>
    <col min="10747" max="10747" width="13.109375" style="267" customWidth="1"/>
    <col min="10748" max="10749" width="14" style="267" customWidth="1"/>
    <col min="10750" max="10758" width="14.109375" style="267" customWidth="1"/>
    <col min="10759" max="10759" width="10.109375" style="267" customWidth="1"/>
    <col min="10760" max="10760" width="11.109375" style="267" customWidth="1"/>
    <col min="10761" max="10761" width="13.5546875" style="267" bestFit="1" customWidth="1"/>
    <col min="10762" max="10762" width="5.5546875" style="267" customWidth="1"/>
    <col min="10763" max="10763" width="6.5546875" style="267" customWidth="1"/>
    <col min="10764" max="10764" width="13.5546875" style="267" customWidth="1"/>
    <col min="10765" max="10990" width="8.88671875" style="267"/>
    <col min="10991" max="10991" width="4.5546875" style="267" customWidth="1"/>
    <col min="10992" max="10992" width="19.88671875" style="267" customWidth="1"/>
    <col min="10993" max="10993" width="12.44140625" style="267" customWidth="1"/>
    <col min="10994" max="10994" width="13.88671875" style="267" customWidth="1"/>
    <col min="10995" max="10995" width="12" style="267" customWidth="1"/>
    <col min="10996" max="10996" width="13" style="267" customWidth="1"/>
    <col min="10997" max="10997" width="11.109375" style="267" customWidth="1"/>
    <col min="10998" max="10999" width="13" style="267" customWidth="1"/>
    <col min="11000" max="11000" width="12.5546875" style="267" customWidth="1"/>
    <col min="11001" max="11002" width="8.109375" style="267" customWidth="1"/>
    <col min="11003" max="11003" width="13.109375" style="267" customWidth="1"/>
    <col min="11004" max="11005" width="14" style="267" customWidth="1"/>
    <col min="11006" max="11014" width="14.109375" style="267" customWidth="1"/>
    <col min="11015" max="11015" width="10.109375" style="267" customWidth="1"/>
    <col min="11016" max="11016" width="11.109375" style="267" customWidth="1"/>
    <col min="11017" max="11017" width="13.5546875" style="267" bestFit="1" customWidth="1"/>
    <col min="11018" max="11018" width="5.5546875" style="267" customWidth="1"/>
    <col min="11019" max="11019" width="6.5546875" style="267" customWidth="1"/>
    <col min="11020" max="11020" width="13.5546875" style="267" customWidth="1"/>
    <col min="11021" max="11246" width="8.88671875" style="267"/>
    <col min="11247" max="11247" width="4.5546875" style="267" customWidth="1"/>
    <col min="11248" max="11248" width="19.88671875" style="267" customWidth="1"/>
    <col min="11249" max="11249" width="12.44140625" style="267" customWidth="1"/>
    <col min="11250" max="11250" width="13.88671875" style="267" customWidth="1"/>
    <col min="11251" max="11251" width="12" style="267" customWidth="1"/>
    <col min="11252" max="11252" width="13" style="267" customWidth="1"/>
    <col min="11253" max="11253" width="11.109375" style="267" customWidth="1"/>
    <col min="11254" max="11255" width="13" style="267" customWidth="1"/>
    <col min="11256" max="11256" width="12.5546875" style="267" customWidth="1"/>
    <col min="11257" max="11258" width="8.109375" style="267" customWidth="1"/>
    <col min="11259" max="11259" width="13.109375" style="267" customWidth="1"/>
    <col min="11260" max="11261" width="14" style="267" customWidth="1"/>
    <col min="11262" max="11270" width="14.109375" style="267" customWidth="1"/>
    <col min="11271" max="11271" width="10.109375" style="267" customWidth="1"/>
    <col min="11272" max="11272" width="11.109375" style="267" customWidth="1"/>
    <col min="11273" max="11273" width="13.5546875" style="267" bestFit="1" customWidth="1"/>
    <col min="11274" max="11274" width="5.5546875" style="267" customWidth="1"/>
    <col min="11275" max="11275" width="6.5546875" style="267" customWidth="1"/>
    <col min="11276" max="11276" width="13.5546875" style="267" customWidth="1"/>
    <col min="11277" max="11502" width="8.88671875" style="267"/>
    <col min="11503" max="11503" width="4.5546875" style="267" customWidth="1"/>
    <col min="11504" max="11504" width="19.88671875" style="267" customWidth="1"/>
    <col min="11505" max="11505" width="12.44140625" style="267" customWidth="1"/>
    <col min="11506" max="11506" width="13.88671875" style="267" customWidth="1"/>
    <col min="11507" max="11507" width="12" style="267" customWidth="1"/>
    <col min="11508" max="11508" width="13" style="267" customWidth="1"/>
    <col min="11509" max="11509" width="11.109375" style="267" customWidth="1"/>
    <col min="11510" max="11511" width="13" style="267" customWidth="1"/>
    <col min="11512" max="11512" width="12.5546875" style="267" customWidth="1"/>
    <col min="11513" max="11514" width="8.109375" style="267" customWidth="1"/>
    <col min="11515" max="11515" width="13.109375" style="267" customWidth="1"/>
    <col min="11516" max="11517" width="14" style="267" customWidth="1"/>
    <col min="11518" max="11526" width="14.109375" style="267" customWidth="1"/>
    <col min="11527" max="11527" width="10.109375" style="267" customWidth="1"/>
    <col min="11528" max="11528" width="11.109375" style="267" customWidth="1"/>
    <col min="11529" max="11529" width="13.5546875" style="267" bestFit="1" customWidth="1"/>
    <col min="11530" max="11530" width="5.5546875" style="267" customWidth="1"/>
    <col min="11531" max="11531" width="6.5546875" style="267" customWidth="1"/>
    <col min="11532" max="11532" width="13.5546875" style="267" customWidth="1"/>
    <col min="11533" max="11758" width="8.88671875" style="267"/>
    <col min="11759" max="11759" width="4.5546875" style="267" customWidth="1"/>
    <col min="11760" max="11760" width="19.88671875" style="267" customWidth="1"/>
    <col min="11761" max="11761" width="12.44140625" style="267" customWidth="1"/>
    <col min="11762" max="11762" width="13.88671875" style="267" customWidth="1"/>
    <col min="11763" max="11763" width="12" style="267" customWidth="1"/>
    <col min="11764" max="11764" width="13" style="267" customWidth="1"/>
    <col min="11765" max="11765" width="11.109375" style="267" customWidth="1"/>
    <col min="11766" max="11767" width="13" style="267" customWidth="1"/>
    <col min="11768" max="11768" width="12.5546875" style="267" customWidth="1"/>
    <col min="11769" max="11770" width="8.109375" style="267" customWidth="1"/>
    <col min="11771" max="11771" width="13.109375" style="267" customWidth="1"/>
    <col min="11772" max="11773" width="14" style="267" customWidth="1"/>
    <col min="11774" max="11782" width="14.109375" style="267" customWidth="1"/>
    <col min="11783" max="11783" width="10.109375" style="267" customWidth="1"/>
    <col min="11784" max="11784" width="11.109375" style="267" customWidth="1"/>
    <col min="11785" max="11785" width="13.5546875" style="267" bestFit="1" customWidth="1"/>
    <col min="11786" max="11786" width="5.5546875" style="267" customWidth="1"/>
    <col min="11787" max="11787" width="6.5546875" style="267" customWidth="1"/>
    <col min="11788" max="11788" width="13.5546875" style="267" customWidth="1"/>
    <col min="11789" max="12014" width="8.88671875" style="267"/>
    <col min="12015" max="12015" width="4.5546875" style="267" customWidth="1"/>
    <col min="12016" max="12016" width="19.88671875" style="267" customWidth="1"/>
    <col min="12017" max="12017" width="12.44140625" style="267" customWidth="1"/>
    <col min="12018" max="12018" width="13.88671875" style="267" customWidth="1"/>
    <col min="12019" max="12019" width="12" style="267" customWidth="1"/>
    <col min="12020" max="12020" width="13" style="267" customWidth="1"/>
    <col min="12021" max="12021" width="11.109375" style="267" customWidth="1"/>
    <col min="12022" max="12023" width="13" style="267" customWidth="1"/>
    <col min="12024" max="12024" width="12.5546875" style="267" customWidth="1"/>
    <col min="12025" max="12026" width="8.109375" style="267" customWidth="1"/>
    <col min="12027" max="12027" width="13.109375" style="267" customWidth="1"/>
    <col min="12028" max="12029" width="14" style="267" customWidth="1"/>
    <col min="12030" max="12038" width="14.109375" style="267" customWidth="1"/>
    <col min="12039" max="12039" width="10.109375" style="267" customWidth="1"/>
    <col min="12040" max="12040" width="11.109375" style="267" customWidth="1"/>
    <col min="12041" max="12041" width="13.5546875" style="267" bestFit="1" customWidth="1"/>
    <col min="12042" max="12042" width="5.5546875" style="267" customWidth="1"/>
    <col min="12043" max="12043" width="6.5546875" style="267" customWidth="1"/>
    <col min="12044" max="12044" width="13.5546875" style="267" customWidth="1"/>
    <col min="12045" max="12270" width="8.88671875" style="267"/>
    <col min="12271" max="12271" width="4.5546875" style="267" customWidth="1"/>
    <col min="12272" max="12272" width="19.88671875" style="267" customWidth="1"/>
    <col min="12273" max="12273" width="12.44140625" style="267" customWidth="1"/>
    <col min="12274" max="12274" width="13.88671875" style="267" customWidth="1"/>
    <col min="12275" max="12275" width="12" style="267" customWidth="1"/>
    <col min="12276" max="12276" width="13" style="267" customWidth="1"/>
    <col min="12277" max="12277" width="11.109375" style="267" customWidth="1"/>
    <col min="12278" max="12279" width="13" style="267" customWidth="1"/>
    <col min="12280" max="12280" width="12.5546875" style="267" customWidth="1"/>
    <col min="12281" max="12282" width="8.109375" style="267" customWidth="1"/>
    <col min="12283" max="12283" width="13.109375" style="267" customWidth="1"/>
    <col min="12284" max="12285" width="14" style="267" customWidth="1"/>
    <col min="12286" max="12294" width="14.109375" style="267" customWidth="1"/>
    <col min="12295" max="12295" width="10.109375" style="267" customWidth="1"/>
    <col min="12296" max="12296" width="11.109375" style="267" customWidth="1"/>
    <col min="12297" max="12297" width="13.5546875" style="267" bestFit="1" customWidth="1"/>
    <col min="12298" max="12298" width="5.5546875" style="267" customWidth="1"/>
    <col min="12299" max="12299" width="6.5546875" style="267" customWidth="1"/>
    <col min="12300" max="12300" width="13.5546875" style="267" customWidth="1"/>
    <col min="12301" max="12526" width="8.88671875" style="267"/>
    <col min="12527" max="12527" width="4.5546875" style="267" customWidth="1"/>
    <col min="12528" max="12528" width="19.88671875" style="267" customWidth="1"/>
    <col min="12529" max="12529" width="12.44140625" style="267" customWidth="1"/>
    <col min="12530" max="12530" width="13.88671875" style="267" customWidth="1"/>
    <col min="12531" max="12531" width="12" style="267" customWidth="1"/>
    <col min="12532" max="12532" width="13" style="267" customWidth="1"/>
    <col min="12533" max="12533" width="11.109375" style="267" customWidth="1"/>
    <col min="12534" max="12535" width="13" style="267" customWidth="1"/>
    <col min="12536" max="12536" width="12.5546875" style="267" customWidth="1"/>
    <col min="12537" max="12538" width="8.109375" style="267" customWidth="1"/>
    <col min="12539" max="12539" width="13.109375" style="267" customWidth="1"/>
    <col min="12540" max="12541" width="14" style="267" customWidth="1"/>
    <col min="12542" max="12550" width="14.109375" style="267" customWidth="1"/>
    <col min="12551" max="12551" width="10.109375" style="267" customWidth="1"/>
    <col min="12552" max="12552" width="11.109375" style="267" customWidth="1"/>
    <col min="12553" max="12553" width="13.5546875" style="267" bestFit="1" customWidth="1"/>
    <col min="12554" max="12554" width="5.5546875" style="267" customWidth="1"/>
    <col min="12555" max="12555" width="6.5546875" style="267" customWidth="1"/>
    <col min="12556" max="12556" width="13.5546875" style="267" customWidth="1"/>
    <col min="12557" max="12782" width="8.88671875" style="267"/>
    <col min="12783" max="12783" width="4.5546875" style="267" customWidth="1"/>
    <col min="12784" max="12784" width="19.88671875" style="267" customWidth="1"/>
    <col min="12785" max="12785" width="12.44140625" style="267" customWidth="1"/>
    <col min="12786" max="12786" width="13.88671875" style="267" customWidth="1"/>
    <col min="12787" max="12787" width="12" style="267" customWidth="1"/>
    <col min="12788" max="12788" width="13" style="267" customWidth="1"/>
    <col min="12789" max="12789" width="11.109375" style="267" customWidth="1"/>
    <col min="12790" max="12791" width="13" style="267" customWidth="1"/>
    <col min="12792" max="12792" width="12.5546875" style="267" customWidth="1"/>
    <col min="12793" max="12794" width="8.109375" style="267" customWidth="1"/>
    <col min="12795" max="12795" width="13.109375" style="267" customWidth="1"/>
    <col min="12796" max="12797" width="14" style="267" customWidth="1"/>
    <col min="12798" max="12806" width="14.109375" style="267" customWidth="1"/>
    <col min="12807" max="12807" width="10.109375" style="267" customWidth="1"/>
    <col min="12808" max="12808" width="11.109375" style="267" customWidth="1"/>
    <col min="12809" max="12809" width="13.5546875" style="267" bestFit="1" customWidth="1"/>
    <col min="12810" max="12810" width="5.5546875" style="267" customWidth="1"/>
    <col min="12811" max="12811" width="6.5546875" style="267" customWidth="1"/>
    <col min="12812" max="12812" width="13.5546875" style="267" customWidth="1"/>
    <col min="12813" max="13038" width="8.88671875" style="267"/>
    <col min="13039" max="13039" width="4.5546875" style="267" customWidth="1"/>
    <col min="13040" max="13040" width="19.88671875" style="267" customWidth="1"/>
    <col min="13041" max="13041" width="12.44140625" style="267" customWidth="1"/>
    <col min="13042" max="13042" width="13.88671875" style="267" customWidth="1"/>
    <col min="13043" max="13043" width="12" style="267" customWidth="1"/>
    <col min="13044" max="13044" width="13" style="267" customWidth="1"/>
    <col min="13045" max="13045" width="11.109375" style="267" customWidth="1"/>
    <col min="13046" max="13047" width="13" style="267" customWidth="1"/>
    <col min="13048" max="13048" width="12.5546875" style="267" customWidth="1"/>
    <col min="13049" max="13050" width="8.109375" style="267" customWidth="1"/>
    <col min="13051" max="13051" width="13.109375" style="267" customWidth="1"/>
    <col min="13052" max="13053" width="14" style="267" customWidth="1"/>
    <col min="13054" max="13062" width="14.109375" style="267" customWidth="1"/>
    <col min="13063" max="13063" width="10.109375" style="267" customWidth="1"/>
    <col min="13064" max="13064" width="11.109375" style="267" customWidth="1"/>
    <col min="13065" max="13065" width="13.5546875" style="267" bestFit="1" customWidth="1"/>
    <col min="13066" max="13066" width="5.5546875" style="267" customWidth="1"/>
    <col min="13067" max="13067" width="6.5546875" style="267" customWidth="1"/>
    <col min="13068" max="13068" width="13.5546875" style="267" customWidth="1"/>
    <col min="13069" max="13294" width="8.88671875" style="267"/>
    <col min="13295" max="13295" width="4.5546875" style="267" customWidth="1"/>
    <col min="13296" max="13296" width="19.88671875" style="267" customWidth="1"/>
    <col min="13297" max="13297" width="12.44140625" style="267" customWidth="1"/>
    <col min="13298" max="13298" width="13.88671875" style="267" customWidth="1"/>
    <col min="13299" max="13299" width="12" style="267" customWidth="1"/>
    <col min="13300" max="13300" width="13" style="267" customWidth="1"/>
    <col min="13301" max="13301" width="11.109375" style="267" customWidth="1"/>
    <col min="13302" max="13303" width="13" style="267" customWidth="1"/>
    <col min="13304" max="13304" width="12.5546875" style="267" customWidth="1"/>
    <col min="13305" max="13306" width="8.109375" style="267" customWidth="1"/>
    <col min="13307" max="13307" width="13.109375" style="267" customWidth="1"/>
    <col min="13308" max="13309" width="14" style="267" customWidth="1"/>
    <col min="13310" max="13318" width="14.109375" style="267" customWidth="1"/>
    <col min="13319" max="13319" width="10.109375" style="267" customWidth="1"/>
    <col min="13320" max="13320" width="11.109375" style="267" customWidth="1"/>
    <col min="13321" max="13321" width="13.5546875" style="267" bestFit="1" customWidth="1"/>
    <col min="13322" max="13322" width="5.5546875" style="267" customWidth="1"/>
    <col min="13323" max="13323" width="6.5546875" style="267" customWidth="1"/>
    <col min="13324" max="13324" width="13.5546875" style="267" customWidth="1"/>
    <col min="13325" max="13550" width="8.88671875" style="267"/>
    <col min="13551" max="13551" width="4.5546875" style="267" customWidth="1"/>
    <col min="13552" max="13552" width="19.88671875" style="267" customWidth="1"/>
    <col min="13553" max="13553" width="12.44140625" style="267" customWidth="1"/>
    <col min="13554" max="13554" width="13.88671875" style="267" customWidth="1"/>
    <col min="13555" max="13555" width="12" style="267" customWidth="1"/>
    <col min="13556" max="13556" width="13" style="267" customWidth="1"/>
    <col min="13557" max="13557" width="11.109375" style="267" customWidth="1"/>
    <col min="13558" max="13559" width="13" style="267" customWidth="1"/>
    <col min="13560" max="13560" width="12.5546875" style="267" customWidth="1"/>
    <col min="13561" max="13562" width="8.109375" style="267" customWidth="1"/>
    <col min="13563" max="13563" width="13.109375" style="267" customWidth="1"/>
    <col min="13564" max="13565" width="14" style="267" customWidth="1"/>
    <col min="13566" max="13574" width="14.109375" style="267" customWidth="1"/>
    <col min="13575" max="13575" width="10.109375" style="267" customWidth="1"/>
    <col min="13576" max="13576" width="11.109375" style="267" customWidth="1"/>
    <col min="13577" max="13577" width="13.5546875" style="267" bestFit="1" customWidth="1"/>
    <col min="13578" max="13578" width="5.5546875" style="267" customWidth="1"/>
    <col min="13579" max="13579" width="6.5546875" style="267" customWidth="1"/>
    <col min="13580" max="13580" width="13.5546875" style="267" customWidth="1"/>
    <col min="13581" max="13806" width="8.88671875" style="267"/>
    <col min="13807" max="13807" width="4.5546875" style="267" customWidth="1"/>
    <col min="13808" max="13808" width="19.88671875" style="267" customWidth="1"/>
    <col min="13809" max="13809" width="12.44140625" style="267" customWidth="1"/>
    <col min="13810" max="13810" width="13.88671875" style="267" customWidth="1"/>
    <col min="13811" max="13811" width="12" style="267" customWidth="1"/>
    <col min="13812" max="13812" width="13" style="267" customWidth="1"/>
    <col min="13813" max="13813" width="11.109375" style="267" customWidth="1"/>
    <col min="13814" max="13815" width="13" style="267" customWidth="1"/>
    <col min="13816" max="13816" width="12.5546875" style="267" customWidth="1"/>
    <col min="13817" max="13818" width="8.109375" style="267" customWidth="1"/>
    <col min="13819" max="13819" width="13.109375" style="267" customWidth="1"/>
    <col min="13820" max="13821" width="14" style="267" customWidth="1"/>
    <col min="13822" max="13830" width="14.109375" style="267" customWidth="1"/>
    <col min="13831" max="13831" width="10.109375" style="267" customWidth="1"/>
    <col min="13832" max="13832" width="11.109375" style="267" customWidth="1"/>
    <col min="13833" max="13833" width="13.5546875" style="267" bestFit="1" customWidth="1"/>
    <col min="13834" max="13834" width="5.5546875" style="267" customWidth="1"/>
    <col min="13835" max="13835" width="6.5546875" style="267" customWidth="1"/>
    <col min="13836" max="13836" width="13.5546875" style="267" customWidth="1"/>
    <col min="13837" max="14062" width="8.88671875" style="267"/>
    <col min="14063" max="14063" width="4.5546875" style="267" customWidth="1"/>
    <col min="14064" max="14064" width="19.88671875" style="267" customWidth="1"/>
    <col min="14065" max="14065" width="12.44140625" style="267" customWidth="1"/>
    <col min="14066" max="14066" width="13.88671875" style="267" customWidth="1"/>
    <col min="14067" max="14067" width="12" style="267" customWidth="1"/>
    <col min="14068" max="14068" width="13" style="267" customWidth="1"/>
    <col min="14069" max="14069" width="11.109375" style="267" customWidth="1"/>
    <col min="14070" max="14071" width="13" style="267" customWidth="1"/>
    <col min="14072" max="14072" width="12.5546875" style="267" customWidth="1"/>
    <col min="14073" max="14074" width="8.109375" style="267" customWidth="1"/>
    <col min="14075" max="14075" width="13.109375" style="267" customWidth="1"/>
    <col min="14076" max="14077" width="14" style="267" customWidth="1"/>
    <col min="14078" max="14086" width="14.109375" style="267" customWidth="1"/>
    <col min="14087" max="14087" width="10.109375" style="267" customWidth="1"/>
    <col min="14088" max="14088" width="11.109375" style="267" customWidth="1"/>
    <col min="14089" max="14089" width="13.5546875" style="267" bestFit="1" customWidth="1"/>
    <col min="14090" max="14090" width="5.5546875" style="267" customWidth="1"/>
    <col min="14091" max="14091" width="6.5546875" style="267" customWidth="1"/>
    <col min="14092" max="14092" width="13.5546875" style="267" customWidth="1"/>
    <col min="14093" max="14318" width="8.88671875" style="267"/>
    <col min="14319" max="14319" width="4.5546875" style="267" customWidth="1"/>
    <col min="14320" max="14320" width="19.88671875" style="267" customWidth="1"/>
    <col min="14321" max="14321" width="12.44140625" style="267" customWidth="1"/>
    <col min="14322" max="14322" width="13.88671875" style="267" customWidth="1"/>
    <col min="14323" max="14323" width="12" style="267" customWidth="1"/>
    <col min="14324" max="14324" width="13" style="267" customWidth="1"/>
    <col min="14325" max="14325" width="11.109375" style="267" customWidth="1"/>
    <col min="14326" max="14327" width="13" style="267" customWidth="1"/>
    <col min="14328" max="14328" width="12.5546875" style="267" customWidth="1"/>
    <col min="14329" max="14330" width="8.109375" style="267" customWidth="1"/>
    <col min="14331" max="14331" width="13.109375" style="267" customWidth="1"/>
    <col min="14332" max="14333" width="14" style="267" customWidth="1"/>
    <col min="14334" max="14342" width="14.109375" style="267" customWidth="1"/>
    <col min="14343" max="14343" width="10.109375" style="267" customWidth="1"/>
    <col min="14344" max="14344" width="11.109375" style="267" customWidth="1"/>
    <col min="14345" max="14345" width="13.5546875" style="267" bestFit="1" customWidth="1"/>
    <col min="14346" max="14346" width="5.5546875" style="267" customWidth="1"/>
    <col min="14347" max="14347" width="6.5546875" style="267" customWidth="1"/>
    <col min="14348" max="14348" width="13.5546875" style="267" customWidth="1"/>
    <col min="14349" max="14574" width="8.88671875" style="267"/>
    <col min="14575" max="14575" width="4.5546875" style="267" customWidth="1"/>
    <col min="14576" max="14576" width="19.88671875" style="267" customWidth="1"/>
    <col min="14577" max="14577" width="12.44140625" style="267" customWidth="1"/>
    <col min="14578" max="14578" width="13.88671875" style="267" customWidth="1"/>
    <col min="14579" max="14579" width="12" style="267" customWidth="1"/>
    <col min="14580" max="14580" width="13" style="267" customWidth="1"/>
    <col min="14581" max="14581" width="11.109375" style="267" customWidth="1"/>
    <col min="14582" max="14583" width="13" style="267" customWidth="1"/>
    <col min="14584" max="14584" width="12.5546875" style="267" customWidth="1"/>
    <col min="14585" max="14586" width="8.109375" style="267" customWidth="1"/>
    <col min="14587" max="14587" width="13.109375" style="267" customWidth="1"/>
    <col min="14588" max="14589" width="14" style="267" customWidth="1"/>
    <col min="14590" max="14598" width="14.109375" style="267" customWidth="1"/>
    <col min="14599" max="14599" width="10.109375" style="267" customWidth="1"/>
    <col min="14600" max="14600" width="11.109375" style="267" customWidth="1"/>
    <col min="14601" max="14601" width="13.5546875" style="267" bestFit="1" customWidth="1"/>
    <col min="14602" max="14602" width="5.5546875" style="267" customWidth="1"/>
    <col min="14603" max="14603" width="6.5546875" style="267" customWidth="1"/>
    <col min="14604" max="14604" width="13.5546875" style="267" customWidth="1"/>
    <col min="14605" max="14830" width="8.88671875" style="267"/>
    <col min="14831" max="14831" width="4.5546875" style="267" customWidth="1"/>
    <col min="14832" max="14832" width="19.88671875" style="267" customWidth="1"/>
    <col min="14833" max="14833" width="12.44140625" style="267" customWidth="1"/>
    <col min="14834" max="14834" width="13.88671875" style="267" customWidth="1"/>
    <col min="14835" max="14835" width="12" style="267" customWidth="1"/>
    <col min="14836" max="14836" width="13" style="267" customWidth="1"/>
    <col min="14837" max="14837" width="11.109375" style="267" customWidth="1"/>
    <col min="14838" max="14839" width="13" style="267" customWidth="1"/>
    <col min="14840" max="14840" width="12.5546875" style="267" customWidth="1"/>
    <col min="14841" max="14842" width="8.109375" style="267" customWidth="1"/>
    <col min="14843" max="14843" width="13.109375" style="267" customWidth="1"/>
    <col min="14844" max="14845" width="14" style="267" customWidth="1"/>
    <col min="14846" max="14854" width="14.109375" style="267" customWidth="1"/>
    <col min="14855" max="14855" width="10.109375" style="267" customWidth="1"/>
    <col min="14856" max="14856" width="11.109375" style="267" customWidth="1"/>
    <col min="14857" max="14857" width="13.5546875" style="267" bestFit="1" customWidth="1"/>
    <col min="14858" max="14858" width="5.5546875" style="267" customWidth="1"/>
    <col min="14859" max="14859" width="6.5546875" style="267" customWidth="1"/>
    <col min="14860" max="14860" width="13.5546875" style="267" customWidth="1"/>
    <col min="14861" max="15086" width="8.88671875" style="267"/>
    <col min="15087" max="15087" width="4.5546875" style="267" customWidth="1"/>
    <col min="15088" max="15088" width="19.88671875" style="267" customWidth="1"/>
    <col min="15089" max="15089" width="12.44140625" style="267" customWidth="1"/>
    <col min="15090" max="15090" width="13.88671875" style="267" customWidth="1"/>
    <col min="15091" max="15091" width="12" style="267" customWidth="1"/>
    <col min="15092" max="15092" width="13" style="267" customWidth="1"/>
    <col min="15093" max="15093" width="11.109375" style="267" customWidth="1"/>
    <col min="15094" max="15095" width="13" style="267" customWidth="1"/>
    <col min="15096" max="15096" width="12.5546875" style="267" customWidth="1"/>
    <col min="15097" max="15098" width="8.109375" style="267" customWidth="1"/>
    <col min="15099" max="15099" width="13.109375" style="267" customWidth="1"/>
    <col min="15100" max="15101" width="14" style="267" customWidth="1"/>
    <col min="15102" max="15110" width="14.109375" style="267" customWidth="1"/>
    <col min="15111" max="15111" width="10.109375" style="267" customWidth="1"/>
    <col min="15112" max="15112" width="11.109375" style="267" customWidth="1"/>
    <col min="15113" max="15113" width="13.5546875" style="267" bestFit="1" customWidth="1"/>
    <col min="15114" max="15114" width="5.5546875" style="267" customWidth="1"/>
    <col min="15115" max="15115" width="6.5546875" style="267" customWidth="1"/>
    <col min="15116" max="15116" width="13.5546875" style="267" customWidth="1"/>
    <col min="15117" max="15342" width="8.88671875" style="267"/>
    <col min="15343" max="15343" width="4.5546875" style="267" customWidth="1"/>
    <col min="15344" max="15344" width="19.88671875" style="267" customWidth="1"/>
    <col min="15345" max="15345" width="12.44140625" style="267" customWidth="1"/>
    <col min="15346" max="15346" width="13.88671875" style="267" customWidth="1"/>
    <col min="15347" max="15347" width="12" style="267" customWidth="1"/>
    <col min="15348" max="15348" width="13" style="267" customWidth="1"/>
    <col min="15349" max="15349" width="11.109375" style="267" customWidth="1"/>
    <col min="15350" max="15351" width="13" style="267" customWidth="1"/>
    <col min="15352" max="15352" width="12.5546875" style="267" customWidth="1"/>
    <col min="15353" max="15354" width="8.109375" style="267" customWidth="1"/>
    <col min="15355" max="15355" width="13.109375" style="267" customWidth="1"/>
    <col min="15356" max="15357" width="14" style="267" customWidth="1"/>
    <col min="15358" max="15366" width="14.109375" style="267" customWidth="1"/>
    <col min="15367" max="15367" width="10.109375" style="267" customWidth="1"/>
    <col min="15368" max="15368" width="11.109375" style="267" customWidth="1"/>
    <col min="15369" max="15369" width="13.5546875" style="267" bestFit="1" customWidth="1"/>
    <col min="15370" max="15370" width="5.5546875" style="267" customWidth="1"/>
    <col min="15371" max="15371" width="6.5546875" style="267" customWidth="1"/>
    <col min="15372" max="15372" width="13.5546875" style="267" customWidth="1"/>
    <col min="15373" max="15598" width="8.88671875" style="267"/>
    <col min="15599" max="15599" width="4.5546875" style="267" customWidth="1"/>
    <col min="15600" max="15600" width="19.88671875" style="267" customWidth="1"/>
    <col min="15601" max="15601" width="12.44140625" style="267" customWidth="1"/>
    <col min="15602" max="15602" width="13.88671875" style="267" customWidth="1"/>
    <col min="15603" max="15603" width="12" style="267" customWidth="1"/>
    <col min="15604" max="15604" width="13" style="267" customWidth="1"/>
    <col min="15605" max="15605" width="11.109375" style="267" customWidth="1"/>
    <col min="15606" max="15607" width="13" style="267" customWidth="1"/>
    <col min="15608" max="15608" width="12.5546875" style="267" customWidth="1"/>
    <col min="15609" max="15610" width="8.109375" style="267" customWidth="1"/>
    <col min="15611" max="15611" width="13.109375" style="267" customWidth="1"/>
    <col min="15612" max="15613" width="14" style="267" customWidth="1"/>
    <col min="15614" max="15622" width="14.109375" style="267" customWidth="1"/>
    <col min="15623" max="15623" width="10.109375" style="267" customWidth="1"/>
    <col min="15624" max="15624" width="11.109375" style="267" customWidth="1"/>
    <col min="15625" max="15625" width="13.5546875" style="267" bestFit="1" customWidth="1"/>
    <col min="15626" max="15626" width="5.5546875" style="267" customWidth="1"/>
    <col min="15627" max="15627" width="6.5546875" style="267" customWidth="1"/>
    <col min="15628" max="15628" width="13.5546875" style="267" customWidth="1"/>
    <col min="15629" max="15854" width="8.88671875" style="267"/>
    <col min="15855" max="15855" width="4.5546875" style="267" customWidth="1"/>
    <col min="15856" max="15856" width="19.88671875" style="267" customWidth="1"/>
    <col min="15857" max="15857" width="12.44140625" style="267" customWidth="1"/>
    <col min="15858" max="15858" width="13.88671875" style="267" customWidth="1"/>
    <col min="15859" max="15859" width="12" style="267" customWidth="1"/>
    <col min="15860" max="15860" width="13" style="267" customWidth="1"/>
    <col min="15861" max="15861" width="11.109375" style="267" customWidth="1"/>
    <col min="15862" max="15863" width="13" style="267" customWidth="1"/>
    <col min="15864" max="15864" width="12.5546875" style="267" customWidth="1"/>
    <col min="15865" max="15866" width="8.109375" style="267" customWidth="1"/>
    <col min="15867" max="15867" width="13.109375" style="267" customWidth="1"/>
    <col min="15868" max="15869" width="14" style="267" customWidth="1"/>
    <col min="15870" max="15878" width="14.109375" style="267" customWidth="1"/>
    <col min="15879" max="15879" width="10.109375" style="267" customWidth="1"/>
    <col min="15880" max="15880" width="11.109375" style="267" customWidth="1"/>
    <col min="15881" max="15881" width="13.5546875" style="267" bestFit="1" customWidth="1"/>
    <col min="15882" max="15882" width="5.5546875" style="267" customWidth="1"/>
    <col min="15883" max="15883" width="6.5546875" style="267" customWidth="1"/>
    <col min="15884" max="15884" width="13.5546875" style="267" customWidth="1"/>
    <col min="15885" max="16110" width="8.88671875" style="267"/>
    <col min="16111" max="16111" width="4.5546875" style="267" customWidth="1"/>
    <col min="16112" max="16112" width="19.88671875" style="267" customWidth="1"/>
    <col min="16113" max="16113" width="12.44140625" style="267" customWidth="1"/>
    <col min="16114" max="16114" width="13.88671875" style="267" customWidth="1"/>
    <col min="16115" max="16115" width="12" style="267" customWidth="1"/>
    <col min="16116" max="16116" width="13" style="267" customWidth="1"/>
    <col min="16117" max="16117" width="11.109375" style="267" customWidth="1"/>
    <col min="16118" max="16119" width="13" style="267" customWidth="1"/>
    <col min="16120" max="16120" width="12.5546875" style="267" customWidth="1"/>
    <col min="16121" max="16122" width="8.109375" style="267" customWidth="1"/>
    <col min="16123" max="16123" width="13.109375" style="267" customWidth="1"/>
    <col min="16124" max="16125" width="14" style="267" customWidth="1"/>
    <col min="16126" max="16134" width="14.109375" style="267" customWidth="1"/>
    <col min="16135" max="16135" width="10.109375" style="267" customWidth="1"/>
    <col min="16136" max="16136" width="11.109375" style="267" customWidth="1"/>
    <col min="16137" max="16137" width="13.5546875" style="267" bestFit="1" customWidth="1"/>
    <col min="16138" max="16138" width="5.5546875" style="267" customWidth="1"/>
    <col min="16139" max="16139" width="6.5546875" style="267" customWidth="1"/>
    <col min="16140" max="16140" width="13.5546875" style="267" customWidth="1"/>
    <col min="16141" max="16384" width="8.88671875" style="267"/>
  </cols>
  <sheetData>
    <row r="1" spans="1:16" s="24" customFormat="1" x14ac:dyDescent="0.3">
      <c r="A1" s="22" t="s">
        <v>3</v>
      </c>
      <c r="B1" s="22"/>
      <c r="C1" s="22"/>
      <c r="D1" s="327"/>
      <c r="F1" s="327"/>
      <c r="G1" s="327"/>
      <c r="H1" s="327"/>
      <c r="I1" s="327"/>
      <c r="J1" s="327"/>
      <c r="K1" s="327"/>
    </row>
    <row r="2" spans="1:16" s="24" customFormat="1" ht="15" customHeight="1" x14ac:dyDescent="0.25">
      <c r="A2" s="26" t="s">
        <v>5</v>
      </c>
      <c r="B2" s="26"/>
      <c r="C2" s="26"/>
      <c r="D2" s="1016"/>
      <c r="E2" s="2506"/>
      <c r="F2" s="2506"/>
      <c r="G2" s="2506"/>
      <c r="H2" s="2506"/>
      <c r="I2" s="2506"/>
      <c r="J2" s="2506"/>
      <c r="K2" s="1016"/>
    </row>
    <row r="3" spans="1:16" s="262" customFormat="1" ht="14.25" customHeight="1" x14ac:dyDescent="0.3">
      <c r="A3" s="265"/>
      <c r="B3" s="263"/>
      <c r="C3" s="263"/>
      <c r="D3" s="264"/>
      <c r="E3" s="264"/>
      <c r="F3" s="264"/>
      <c r="G3" s="264"/>
      <c r="H3" s="264"/>
      <c r="I3" s="264"/>
      <c r="J3" s="301"/>
      <c r="K3" s="263"/>
      <c r="L3" s="263"/>
      <c r="M3" s="263"/>
      <c r="N3" s="263"/>
      <c r="O3" s="263"/>
      <c r="P3" s="263"/>
    </row>
    <row r="4" spans="1:16" s="262" customFormat="1" ht="14.25" customHeight="1" x14ac:dyDescent="0.3">
      <c r="A4" s="2535" t="s">
        <v>1895</v>
      </c>
      <c r="B4" s="2535"/>
      <c r="C4" s="2535"/>
      <c r="D4" s="2535"/>
      <c r="E4" s="2535"/>
      <c r="F4" s="2535"/>
      <c r="G4" s="2535"/>
      <c r="H4" s="2535"/>
      <c r="I4" s="2535"/>
      <c r="J4" s="2535"/>
      <c r="K4" s="263"/>
      <c r="L4" s="263"/>
      <c r="M4" s="263"/>
      <c r="N4" s="263"/>
      <c r="O4" s="263"/>
      <c r="P4" s="263"/>
    </row>
    <row r="5" spans="1:16" ht="21.75" customHeight="1" thickBot="1" x14ac:dyDescent="0.35">
      <c r="A5" s="266"/>
      <c r="B5" s="267"/>
      <c r="C5" s="267"/>
    </row>
    <row r="6" spans="1:16" s="299" customFormat="1" ht="28.5" customHeight="1" thickTop="1" x14ac:dyDescent="0.3">
      <c r="A6" s="2508" t="s">
        <v>0</v>
      </c>
      <c r="B6" s="2510" t="s">
        <v>281</v>
      </c>
      <c r="C6" s="2512" t="s">
        <v>310</v>
      </c>
      <c r="D6" s="2513" t="s">
        <v>727</v>
      </c>
      <c r="E6" s="2513" t="s">
        <v>447</v>
      </c>
      <c r="F6" s="2502" t="s">
        <v>1896</v>
      </c>
      <c r="G6" s="2502" t="s">
        <v>411</v>
      </c>
      <c r="H6" s="2502" t="s">
        <v>381</v>
      </c>
      <c r="I6" s="2502" t="s">
        <v>1244</v>
      </c>
      <c r="J6" s="2504" t="s">
        <v>319</v>
      </c>
    </row>
    <row r="7" spans="1:16" s="299" customFormat="1" ht="51" customHeight="1" x14ac:dyDescent="0.3">
      <c r="A7" s="2509"/>
      <c r="B7" s="2511"/>
      <c r="C7" s="2511"/>
      <c r="D7" s="2514"/>
      <c r="E7" s="2515"/>
      <c r="F7" s="2503"/>
      <c r="G7" s="2503"/>
      <c r="H7" s="2503"/>
      <c r="I7" s="2503"/>
      <c r="J7" s="2505"/>
      <c r="L7" s="2534"/>
      <c r="M7" s="2534"/>
    </row>
    <row r="8" spans="1:16" s="299" customFormat="1" ht="30.75" customHeight="1" x14ac:dyDescent="0.25">
      <c r="A8" s="1905">
        <v>6</v>
      </c>
      <c r="B8" s="1906" t="s">
        <v>291</v>
      </c>
      <c r="C8" s="1906" t="s">
        <v>2311</v>
      </c>
      <c r="D8" s="1907">
        <v>15000000</v>
      </c>
      <c r="E8" s="1908">
        <v>24</v>
      </c>
      <c r="F8" s="1907"/>
      <c r="G8" s="1907"/>
      <c r="H8" s="485">
        <f>D8/24*E8-F8-G8</f>
        <v>15000000</v>
      </c>
      <c r="I8" s="1909"/>
      <c r="J8" s="1910" t="s">
        <v>2364</v>
      </c>
    </row>
    <row r="9" spans="1:16" s="299" customFormat="1" ht="29.25" customHeight="1" x14ac:dyDescent="0.25">
      <c r="A9" s="1728">
        <v>1</v>
      </c>
      <c r="B9" s="345" t="s">
        <v>296</v>
      </c>
      <c r="C9" s="345" t="s">
        <v>355</v>
      </c>
      <c r="D9" s="485">
        <v>8000000</v>
      </c>
      <c r="E9" s="1837">
        <v>23.5</v>
      </c>
      <c r="F9" s="485">
        <v>823000</v>
      </c>
      <c r="G9" s="485">
        <f>'Tổng thu chi T5-&gt; 29.11'!J337</f>
        <v>6956000</v>
      </c>
      <c r="H9" s="485">
        <f>D9/24*E9-F9-G9</f>
        <v>54333.333333333023</v>
      </c>
      <c r="I9" s="1689"/>
      <c r="J9" s="2026" t="s">
        <v>2363</v>
      </c>
    </row>
    <row r="10" spans="1:16" s="299" customFormat="1" ht="21" customHeight="1" x14ac:dyDescent="0.25">
      <c r="A10" s="1728">
        <v>2</v>
      </c>
      <c r="B10" s="991" t="s">
        <v>365</v>
      </c>
      <c r="C10" s="345" t="s">
        <v>366</v>
      </c>
      <c r="D10" s="485">
        <v>5000000</v>
      </c>
      <c r="E10" s="1838">
        <v>24</v>
      </c>
      <c r="F10" s="485">
        <v>2947000</v>
      </c>
      <c r="G10" s="485"/>
      <c r="H10" s="485">
        <f t="shared" ref="H10:H15" si="0">D10/24*E10-F10-G10</f>
        <v>2053000</v>
      </c>
      <c r="I10" s="1689"/>
      <c r="J10" s="2026" t="s">
        <v>2363</v>
      </c>
    </row>
    <row r="11" spans="1:16" s="299" customFormat="1" ht="34.5" customHeight="1" x14ac:dyDescent="0.25">
      <c r="A11" s="1728">
        <v>3</v>
      </c>
      <c r="B11" s="345" t="s">
        <v>885</v>
      </c>
      <c r="C11" s="345" t="s">
        <v>366</v>
      </c>
      <c r="D11" s="485">
        <v>4000000</v>
      </c>
      <c r="E11" s="1838">
        <v>20</v>
      </c>
      <c r="F11" s="485">
        <v>1378000</v>
      </c>
      <c r="G11" s="485"/>
      <c r="H11" s="485">
        <f t="shared" si="0"/>
        <v>1955333.333333333</v>
      </c>
      <c r="I11" s="1689"/>
      <c r="J11" s="2026" t="s">
        <v>2363</v>
      </c>
    </row>
    <row r="12" spans="1:16" customFormat="1" ht="23.25" customHeight="1" x14ac:dyDescent="0.3">
      <c r="A12" s="360">
        <v>1</v>
      </c>
      <c r="B12" s="1764" t="s">
        <v>1160</v>
      </c>
      <c r="C12" s="1762" t="s">
        <v>428</v>
      </c>
      <c r="D12" s="363">
        <v>8000000</v>
      </c>
      <c r="E12" s="1776">
        <v>26</v>
      </c>
      <c r="F12" s="1742"/>
      <c r="G12" s="480"/>
      <c r="H12" s="485">
        <f t="shared" si="0"/>
        <v>8666666.666666666</v>
      </c>
      <c r="I12" s="1742"/>
      <c r="J12" s="2026" t="s">
        <v>2363</v>
      </c>
    </row>
    <row r="13" spans="1:16" s="299" customFormat="1" ht="26.25" customHeight="1" x14ac:dyDescent="0.25">
      <c r="A13" s="1728">
        <v>4</v>
      </c>
      <c r="B13" s="345" t="s">
        <v>370</v>
      </c>
      <c r="C13" s="345" t="s">
        <v>371</v>
      </c>
      <c r="D13" s="485">
        <v>8000000</v>
      </c>
      <c r="E13" s="1838">
        <v>23</v>
      </c>
      <c r="F13" s="485"/>
      <c r="G13" s="485"/>
      <c r="H13" s="485">
        <f t="shared" si="0"/>
        <v>7666666.666666666</v>
      </c>
      <c r="I13" s="1689"/>
      <c r="J13" s="2026" t="s">
        <v>2363</v>
      </c>
    </row>
    <row r="14" spans="1:16" s="299" customFormat="1" ht="38.25" customHeight="1" x14ac:dyDescent="0.25">
      <c r="A14" s="1728">
        <v>6</v>
      </c>
      <c r="B14" s="495" t="s">
        <v>724</v>
      </c>
      <c r="C14" s="495" t="s">
        <v>725</v>
      </c>
      <c r="D14" s="496">
        <v>5000000</v>
      </c>
      <c r="E14" s="1838">
        <v>24</v>
      </c>
      <c r="F14" s="496"/>
      <c r="G14" s="496"/>
      <c r="H14" s="485">
        <f t="shared" si="0"/>
        <v>5000000</v>
      </c>
      <c r="I14" s="1690"/>
      <c r="J14" s="2026" t="s">
        <v>2363</v>
      </c>
    </row>
    <row r="15" spans="1:16" s="299" customFormat="1" ht="30.75" customHeight="1" x14ac:dyDescent="0.25">
      <c r="A15" s="1728">
        <v>5</v>
      </c>
      <c r="B15" s="495" t="s">
        <v>1350</v>
      </c>
      <c r="C15" s="345" t="s">
        <v>371</v>
      </c>
      <c r="D15" s="496">
        <v>4000000</v>
      </c>
      <c r="E15" s="1838">
        <v>24</v>
      </c>
      <c r="F15" s="496"/>
      <c r="G15" s="496"/>
      <c r="H15" s="485">
        <f t="shared" si="0"/>
        <v>4000000</v>
      </c>
      <c r="I15" s="1690"/>
      <c r="J15" s="2027" t="s">
        <v>2362</v>
      </c>
    </row>
    <row r="16" spans="1:16" s="300" customFormat="1" ht="23.25" customHeight="1" thickBot="1" x14ac:dyDescent="0.35">
      <c r="A16" s="498"/>
      <c r="B16" s="499" t="s">
        <v>377</v>
      </c>
      <c r="C16" s="500"/>
      <c r="D16" s="502">
        <f>SUM(D8:D15)</f>
        <v>57000000</v>
      </c>
      <c r="E16" s="501"/>
      <c r="F16" s="501">
        <f>SUBTOTAL(9,F8:F15)</f>
        <v>5148000</v>
      </c>
      <c r="G16" s="501"/>
      <c r="H16" s="502">
        <f>SUBTOTAL(9,H8:H15)</f>
        <v>44395999.999999993</v>
      </c>
      <c r="I16" s="1691"/>
      <c r="J16" s="503"/>
    </row>
    <row r="17" spans="1:10" ht="10.5" customHeight="1" thickTop="1" x14ac:dyDescent="0.3"/>
    <row r="18" spans="1:10" x14ac:dyDescent="0.3">
      <c r="J18" s="275"/>
    </row>
    <row r="19" spans="1:10" s="303" customFormat="1" x14ac:dyDescent="0.3">
      <c r="A19" s="302"/>
      <c r="B19" s="303" t="s">
        <v>1897</v>
      </c>
      <c r="E19" s="304"/>
      <c r="F19" s="304"/>
      <c r="G19" s="304" t="s">
        <v>303</v>
      </c>
      <c r="J19" s="305"/>
    </row>
    <row r="20" spans="1:10" x14ac:dyDescent="0.3">
      <c r="A20" s="267"/>
      <c r="B20" s="1662" t="s">
        <v>1101</v>
      </c>
      <c r="C20" s="267"/>
      <c r="D20" s="267"/>
      <c r="E20" s="1662"/>
      <c r="F20" s="1662"/>
      <c r="G20" s="1662" t="s">
        <v>243</v>
      </c>
      <c r="H20" s="267"/>
      <c r="I20" s="267"/>
      <c r="J20" s="275"/>
    </row>
  </sheetData>
  <mergeCells count="13">
    <mergeCell ref="J6:J7"/>
    <mergeCell ref="L7:M7"/>
    <mergeCell ref="F6:F7"/>
    <mergeCell ref="G6:G7"/>
    <mergeCell ref="E2:J2"/>
    <mergeCell ref="A4:J4"/>
    <mergeCell ref="A6:A7"/>
    <mergeCell ref="B6:B7"/>
    <mergeCell ref="C6:C7"/>
    <mergeCell ref="D6:D7"/>
    <mergeCell ref="E6:E7"/>
    <mergeCell ref="I6:I7"/>
    <mergeCell ref="H6:H7"/>
  </mergeCells>
  <pageMargins left="0.7" right="0.7" top="0.75" bottom="0.75" header="0.3" footer="0.3"/>
  <pageSetup paperSize="9" orientation="landscape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topLeftCell="A7" workbookViewId="0">
      <selection activeCell="F19" sqref="F19"/>
    </sheetView>
  </sheetViews>
  <sheetFormatPr defaultColWidth="8.88671875" defaultRowHeight="16.8" x14ac:dyDescent="0.3"/>
  <cols>
    <col min="1" max="1" width="3.5546875" style="271" customWidth="1"/>
    <col min="2" max="2" width="17.109375" style="272" customWidth="1"/>
    <col min="3" max="3" width="17.109375" style="1078" customWidth="1"/>
    <col min="4" max="4" width="10.5546875" style="268" customWidth="1"/>
    <col min="5" max="5" width="6" style="268" customWidth="1"/>
    <col min="6" max="7" width="8.109375" style="268" customWidth="1"/>
    <col min="8" max="8" width="9.109375" style="268" customWidth="1"/>
    <col min="9" max="10" width="9.88671875" style="268" customWidth="1"/>
    <col min="11" max="11" width="20.5546875" style="269" customWidth="1"/>
    <col min="12" max="12" width="6.5546875" style="267" customWidth="1"/>
    <col min="13" max="13" width="13.5546875" style="267" customWidth="1"/>
    <col min="14" max="239" width="8.88671875" style="267"/>
    <col min="240" max="240" width="4.5546875" style="267" customWidth="1"/>
    <col min="241" max="241" width="19.88671875" style="267" customWidth="1"/>
    <col min="242" max="242" width="12.44140625" style="267" customWidth="1"/>
    <col min="243" max="243" width="13.88671875" style="267" customWidth="1"/>
    <col min="244" max="244" width="12" style="267" customWidth="1"/>
    <col min="245" max="245" width="13" style="267" customWidth="1"/>
    <col min="246" max="246" width="11.109375" style="267" customWidth="1"/>
    <col min="247" max="248" width="13" style="267" customWidth="1"/>
    <col min="249" max="249" width="12.5546875" style="267" customWidth="1"/>
    <col min="250" max="251" width="8.109375" style="267" customWidth="1"/>
    <col min="252" max="252" width="13.109375" style="267" customWidth="1"/>
    <col min="253" max="254" width="14" style="267" customWidth="1"/>
    <col min="255" max="263" width="14.109375" style="267" customWidth="1"/>
    <col min="264" max="264" width="10.109375" style="267" customWidth="1"/>
    <col min="265" max="265" width="11.109375" style="267" customWidth="1"/>
    <col min="266" max="266" width="13.5546875" style="267" bestFit="1" customWidth="1"/>
    <col min="267" max="267" width="5.5546875" style="267" customWidth="1"/>
    <col min="268" max="268" width="6.5546875" style="267" customWidth="1"/>
    <col min="269" max="269" width="13.5546875" style="267" customWidth="1"/>
    <col min="270" max="495" width="8.88671875" style="267"/>
    <col min="496" max="496" width="4.5546875" style="267" customWidth="1"/>
    <col min="497" max="497" width="19.88671875" style="267" customWidth="1"/>
    <col min="498" max="498" width="12.44140625" style="267" customWidth="1"/>
    <col min="499" max="499" width="13.88671875" style="267" customWidth="1"/>
    <col min="500" max="500" width="12" style="267" customWidth="1"/>
    <col min="501" max="501" width="13" style="267" customWidth="1"/>
    <col min="502" max="502" width="11.109375" style="267" customWidth="1"/>
    <col min="503" max="504" width="13" style="267" customWidth="1"/>
    <col min="505" max="505" width="12.5546875" style="267" customWidth="1"/>
    <col min="506" max="507" width="8.109375" style="267" customWidth="1"/>
    <col min="508" max="508" width="13.109375" style="267" customWidth="1"/>
    <col min="509" max="510" width="14" style="267" customWidth="1"/>
    <col min="511" max="519" width="14.109375" style="267" customWidth="1"/>
    <col min="520" max="520" width="10.109375" style="267" customWidth="1"/>
    <col min="521" max="521" width="11.109375" style="267" customWidth="1"/>
    <col min="522" max="522" width="13.5546875" style="267" bestFit="1" customWidth="1"/>
    <col min="523" max="523" width="5.5546875" style="267" customWidth="1"/>
    <col min="524" max="524" width="6.5546875" style="267" customWidth="1"/>
    <col min="525" max="525" width="13.5546875" style="267" customWidth="1"/>
    <col min="526" max="751" width="8.88671875" style="267"/>
    <col min="752" max="752" width="4.5546875" style="267" customWidth="1"/>
    <col min="753" max="753" width="19.88671875" style="267" customWidth="1"/>
    <col min="754" max="754" width="12.44140625" style="267" customWidth="1"/>
    <col min="755" max="755" width="13.88671875" style="267" customWidth="1"/>
    <col min="756" max="756" width="12" style="267" customWidth="1"/>
    <col min="757" max="757" width="13" style="267" customWidth="1"/>
    <col min="758" max="758" width="11.109375" style="267" customWidth="1"/>
    <col min="759" max="760" width="13" style="267" customWidth="1"/>
    <col min="761" max="761" width="12.5546875" style="267" customWidth="1"/>
    <col min="762" max="763" width="8.109375" style="267" customWidth="1"/>
    <col min="764" max="764" width="13.109375" style="267" customWidth="1"/>
    <col min="765" max="766" width="14" style="267" customWidth="1"/>
    <col min="767" max="775" width="14.109375" style="267" customWidth="1"/>
    <col min="776" max="776" width="10.109375" style="267" customWidth="1"/>
    <col min="777" max="777" width="11.109375" style="267" customWidth="1"/>
    <col min="778" max="778" width="13.5546875" style="267" bestFit="1" customWidth="1"/>
    <col min="779" max="779" width="5.5546875" style="267" customWidth="1"/>
    <col min="780" max="780" width="6.5546875" style="267" customWidth="1"/>
    <col min="781" max="781" width="13.5546875" style="267" customWidth="1"/>
    <col min="782" max="1007" width="8.88671875" style="267"/>
    <col min="1008" max="1008" width="4.5546875" style="267" customWidth="1"/>
    <col min="1009" max="1009" width="19.88671875" style="267" customWidth="1"/>
    <col min="1010" max="1010" width="12.44140625" style="267" customWidth="1"/>
    <col min="1011" max="1011" width="13.88671875" style="267" customWidth="1"/>
    <col min="1012" max="1012" width="12" style="267" customWidth="1"/>
    <col min="1013" max="1013" width="13" style="267" customWidth="1"/>
    <col min="1014" max="1014" width="11.109375" style="267" customWidth="1"/>
    <col min="1015" max="1016" width="13" style="267" customWidth="1"/>
    <col min="1017" max="1017" width="12.5546875" style="267" customWidth="1"/>
    <col min="1018" max="1019" width="8.109375" style="267" customWidth="1"/>
    <col min="1020" max="1020" width="13.109375" style="267" customWidth="1"/>
    <col min="1021" max="1022" width="14" style="267" customWidth="1"/>
    <col min="1023" max="1031" width="14.109375" style="267" customWidth="1"/>
    <col min="1032" max="1032" width="10.109375" style="267" customWidth="1"/>
    <col min="1033" max="1033" width="11.109375" style="267" customWidth="1"/>
    <col min="1034" max="1034" width="13.5546875" style="267" bestFit="1" customWidth="1"/>
    <col min="1035" max="1035" width="5.5546875" style="267" customWidth="1"/>
    <col min="1036" max="1036" width="6.5546875" style="267" customWidth="1"/>
    <col min="1037" max="1037" width="13.5546875" style="267" customWidth="1"/>
    <col min="1038" max="1263" width="8.88671875" style="267"/>
    <col min="1264" max="1264" width="4.5546875" style="267" customWidth="1"/>
    <col min="1265" max="1265" width="19.88671875" style="267" customWidth="1"/>
    <col min="1266" max="1266" width="12.44140625" style="267" customWidth="1"/>
    <col min="1267" max="1267" width="13.88671875" style="267" customWidth="1"/>
    <col min="1268" max="1268" width="12" style="267" customWidth="1"/>
    <col min="1269" max="1269" width="13" style="267" customWidth="1"/>
    <col min="1270" max="1270" width="11.109375" style="267" customWidth="1"/>
    <col min="1271" max="1272" width="13" style="267" customWidth="1"/>
    <col min="1273" max="1273" width="12.5546875" style="267" customWidth="1"/>
    <col min="1274" max="1275" width="8.109375" style="267" customWidth="1"/>
    <col min="1276" max="1276" width="13.109375" style="267" customWidth="1"/>
    <col min="1277" max="1278" width="14" style="267" customWidth="1"/>
    <col min="1279" max="1287" width="14.109375" style="267" customWidth="1"/>
    <col min="1288" max="1288" width="10.109375" style="267" customWidth="1"/>
    <col min="1289" max="1289" width="11.109375" style="267" customWidth="1"/>
    <col min="1290" max="1290" width="13.5546875" style="267" bestFit="1" customWidth="1"/>
    <col min="1291" max="1291" width="5.5546875" style="267" customWidth="1"/>
    <col min="1292" max="1292" width="6.5546875" style="267" customWidth="1"/>
    <col min="1293" max="1293" width="13.5546875" style="267" customWidth="1"/>
    <col min="1294" max="1519" width="8.88671875" style="267"/>
    <col min="1520" max="1520" width="4.5546875" style="267" customWidth="1"/>
    <col min="1521" max="1521" width="19.88671875" style="267" customWidth="1"/>
    <col min="1522" max="1522" width="12.44140625" style="267" customWidth="1"/>
    <col min="1523" max="1523" width="13.88671875" style="267" customWidth="1"/>
    <col min="1524" max="1524" width="12" style="267" customWidth="1"/>
    <col min="1525" max="1525" width="13" style="267" customWidth="1"/>
    <col min="1526" max="1526" width="11.109375" style="267" customWidth="1"/>
    <col min="1527" max="1528" width="13" style="267" customWidth="1"/>
    <col min="1529" max="1529" width="12.5546875" style="267" customWidth="1"/>
    <col min="1530" max="1531" width="8.109375" style="267" customWidth="1"/>
    <col min="1532" max="1532" width="13.109375" style="267" customWidth="1"/>
    <col min="1533" max="1534" width="14" style="267" customWidth="1"/>
    <col min="1535" max="1543" width="14.109375" style="267" customWidth="1"/>
    <col min="1544" max="1544" width="10.109375" style="267" customWidth="1"/>
    <col min="1545" max="1545" width="11.109375" style="267" customWidth="1"/>
    <col min="1546" max="1546" width="13.5546875" style="267" bestFit="1" customWidth="1"/>
    <col min="1547" max="1547" width="5.5546875" style="267" customWidth="1"/>
    <col min="1548" max="1548" width="6.5546875" style="267" customWidth="1"/>
    <col min="1549" max="1549" width="13.5546875" style="267" customWidth="1"/>
    <col min="1550" max="1775" width="8.88671875" style="267"/>
    <col min="1776" max="1776" width="4.5546875" style="267" customWidth="1"/>
    <col min="1777" max="1777" width="19.88671875" style="267" customWidth="1"/>
    <col min="1778" max="1778" width="12.44140625" style="267" customWidth="1"/>
    <col min="1779" max="1779" width="13.88671875" style="267" customWidth="1"/>
    <col min="1780" max="1780" width="12" style="267" customWidth="1"/>
    <col min="1781" max="1781" width="13" style="267" customWidth="1"/>
    <col min="1782" max="1782" width="11.109375" style="267" customWidth="1"/>
    <col min="1783" max="1784" width="13" style="267" customWidth="1"/>
    <col min="1785" max="1785" width="12.5546875" style="267" customWidth="1"/>
    <col min="1786" max="1787" width="8.109375" style="267" customWidth="1"/>
    <col min="1788" max="1788" width="13.109375" style="267" customWidth="1"/>
    <col min="1789" max="1790" width="14" style="267" customWidth="1"/>
    <col min="1791" max="1799" width="14.109375" style="267" customWidth="1"/>
    <col min="1800" max="1800" width="10.109375" style="267" customWidth="1"/>
    <col min="1801" max="1801" width="11.109375" style="267" customWidth="1"/>
    <col min="1802" max="1802" width="13.5546875" style="267" bestFit="1" customWidth="1"/>
    <col min="1803" max="1803" width="5.5546875" style="267" customWidth="1"/>
    <col min="1804" max="1804" width="6.5546875" style="267" customWidth="1"/>
    <col min="1805" max="1805" width="13.5546875" style="267" customWidth="1"/>
    <col min="1806" max="2031" width="8.88671875" style="267"/>
    <col min="2032" max="2032" width="4.5546875" style="267" customWidth="1"/>
    <col min="2033" max="2033" width="19.88671875" style="267" customWidth="1"/>
    <col min="2034" max="2034" width="12.44140625" style="267" customWidth="1"/>
    <col min="2035" max="2035" width="13.88671875" style="267" customWidth="1"/>
    <col min="2036" max="2036" width="12" style="267" customWidth="1"/>
    <col min="2037" max="2037" width="13" style="267" customWidth="1"/>
    <col min="2038" max="2038" width="11.109375" style="267" customWidth="1"/>
    <col min="2039" max="2040" width="13" style="267" customWidth="1"/>
    <col min="2041" max="2041" width="12.5546875" style="267" customWidth="1"/>
    <col min="2042" max="2043" width="8.109375" style="267" customWidth="1"/>
    <col min="2044" max="2044" width="13.109375" style="267" customWidth="1"/>
    <col min="2045" max="2046" width="14" style="267" customWidth="1"/>
    <col min="2047" max="2055" width="14.109375" style="267" customWidth="1"/>
    <col min="2056" max="2056" width="10.109375" style="267" customWidth="1"/>
    <col min="2057" max="2057" width="11.109375" style="267" customWidth="1"/>
    <col min="2058" max="2058" width="13.5546875" style="267" bestFit="1" customWidth="1"/>
    <col min="2059" max="2059" width="5.5546875" style="267" customWidth="1"/>
    <col min="2060" max="2060" width="6.5546875" style="267" customWidth="1"/>
    <col min="2061" max="2061" width="13.5546875" style="267" customWidth="1"/>
    <col min="2062" max="2287" width="8.88671875" style="267"/>
    <col min="2288" max="2288" width="4.5546875" style="267" customWidth="1"/>
    <col min="2289" max="2289" width="19.88671875" style="267" customWidth="1"/>
    <col min="2290" max="2290" width="12.44140625" style="267" customWidth="1"/>
    <col min="2291" max="2291" width="13.88671875" style="267" customWidth="1"/>
    <col min="2292" max="2292" width="12" style="267" customWidth="1"/>
    <col min="2293" max="2293" width="13" style="267" customWidth="1"/>
    <col min="2294" max="2294" width="11.109375" style="267" customWidth="1"/>
    <col min="2295" max="2296" width="13" style="267" customWidth="1"/>
    <col min="2297" max="2297" width="12.5546875" style="267" customWidth="1"/>
    <col min="2298" max="2299" width="8.109375" style="267" customWidth="1"/>
    <col min="2300" max="2300" width="13.109375" style="267" customWidth="1"/>
    <col min="2301" max="2302" width="14" style="267" customWidth="1"/>
    <col min="2303" max="2311" width="14.109375" style="267" customWidth="1"/>
    <col min="2312" max="2312" width="10.109375" style="267" customWidth="1"/>
    <col min="2313" max="2313" width="11.109375" style="267" customWidth="1"/>
    <col min="2314" max="2314" width="13.5546875" style="267" bestFit="1" customWidth="1"/>
    <col min="2315" max="2315" width="5.5546875" style="267" customWidth="1"/>
    <col min="2316" max="2316" width="6.5546875" style="267" customWidth="1"/>
    <col min="2317" max="2317" width="13.5546875" style="267" customWidth="1"/>
    <col min="2318" max="2543" width="8.88671875" style="267"/>
    <col min="2544" max="2544" width="4.5546875" style="267" customWidth="1"/>
    <col min="2545" max="2545" width="19.88671875" style="267" customWidth="1"/>
    <col min="2546" max="2546" width="12.44140625" style="267" customWidth="1"/>
    <col min="2547" max="2547" width="13.88671875" style="267" customWidth="1"/>
    <col min="2548" max="2548" width="12" style="267" customWidth="1"/>
    <col min="2549" max="2549" width="13" style="267" customWidth="1"/>
    <col min="2550" max="2550" width="11.109375" style="267" customWidth="1"/>
    <col min="2551" max="2552" width="13" style="267" customWidth="1"/>
    <col min="2553" max="2553" width="12.5546875" style="267" customWidth="1"/>
    <col min="2554" max="2555" width="8.109375" style="267" customWidth="1"/>
    <col min="2556" max="2556" width="13.109375" style="267" customWidth="1"/>
    <col min="2557" max="2558" width="14" style="267" customWidth="1"/>
    <col min="2559" max="2567" width="14.109375" style="267" customWidth="1"/>
    <col min="2568" max="2568" width="10.109375" style="267" customWidth="1"/>
    <col min="2569" max="2569" width="11.109375" style="267" customWidth="1"/>
    <col min="2570" max="2570" width="13.5546875" style="267" bestFit="1" customWidth="1"/>
    <col min="2571" max="2571" width="5.5546875" style="267" customWidth="1"/>
    <col min="2572" max="2572" width="6.5546875" style="267" customWidth="1"/>
    <col min="2573" max="2573" width="13.5546875" style="267" customWidth="1"/>
    <col min="2574" max="2799" width="8.88671875" style="267"/>
    <col min="2800" max="2800" width="4.5546875" style="267" customWidth="1"/>
    <col min="2801" max="2801" width="19.88671875" style="267" customWidth="1"/>
    <col min="2802" max="2802" width="12.44140625" style="267" customWidth="1"/>
    <col min="2803" max="2803" width="13.88671875" style="267" customWidth="1"/>
    <col min="2804" max="2804" width="12" style="267" customWidth="1"/>
    <col min="2805" max="2805" width="13" style="267" customWidth="1"/>
    <col min="2806" max="2806" width="11.109375" style="267" customWidth="1"/>
    <col min="2807" max="2808" width="13" style="267" customWidth="1"/>
    <col min="2809" max="2809" width="12.5546875" style="267" customWidth="1"/>
    <col min="2810" max="2811" width="8.109375" style="267" customWidth="1"/>
    <col min="2812" max="2812" width="13.109375" style="267" customWidth="1"/>
    <col min="2813" max="2814" width="14" style="267" customWidth="1"/>
    <col min="2815" max="2823" width="14.109375" style="267" customWidth="1"/>
    <col min="2824" max="2824" width="10.109375" style="267" customWidth="1"/>
    <col min="2825" max="2825" width="11.109375" style="267" customWidth="1"/>
    <col min="2826" max="2826" width="13.5546875" style="267" bestFit="1" customWidth="1"/>
    <col min="2827" max="2827" width="5.5546875" style="267" customWidth="1"/>
    <col min="2828" max="2828" width="6.5546875" style="267" customWidth="1"/>
    <col min="2829" max="2829" width="13.5546875" style="267" customWidth="1"/>
    <col min="2830" max="3055" width="8.88671875" style="267"/>
    <col min="3056" max="3056" width="4.5546875" style="267" customWidth="1"/>
    <col min="3057" max="3057" width="19.88671875" style="267" customWidth="1"/>
    <col min="3058" max="3058" width="12.44140625" style="267" customWidth="1"/>
    <col min="3059" max="3059" width="13.88671875" style="267" customWidth="1"/>
    <col min="3060" max="3060" width="12" style="267" customWidth="1"/>
    <col min="3061" max="3061" width="13" style="267" customWidth="1"/>
    <col min="3062" max="3062" width="11.109375" style="267" customWidth="1"/>
    <col min="3063" max="3064" width="13" style="267" customWidth="1"/>
    <col min="3065" max="3065" width="12.5546875" style="267" customWidth="1"/>
    <col min="3066" max="3067" width="8.109375" style="267" customWidth="1"/>
    <col min="3068" max="3068" width="13.109375" style="267" customWidth="1"/>
    <col min="3069" max="3070" width="14" style="267" customWidth="1"/>
    <col min="3071" max="3079" width="14.109375" style="267" customWidth="1"/>
    <col min="3080" max="3080" width="10.109375" style="267" customWidth="1"/>
    <col min="3081" max="3081" width="11.109375" style="267" customWidth="1"/>
    <col min="3082" max="3082" width="13.5546875" style="267" bestFit="1" customWidth="1"/>
    <col min="3083" max="3083" width="5.5546875" style="267" customWidth="1"/>
    <col min="3084" max="3084" width="6.5546875" style="267" customWidth="1"/>
    <col min="3085" max="3085" width="13.5546875" style="267" customWidth="1"/>
    <col min="3086" max="3311" width="8.88671875" style="267"/>
    <col min="3312" max="3312" width="4.5546875" style="267" customWidth="1"/>
    <col min="3313" max="3313" width="19.88671875" style="267" customWidth="1"/>
    <col min="3314" max="3314" width="12.44140625" style="267" customWidth="1"/>
    <col min="3315" max="3315" width="13.88671875" style="267" customWidth="1"/>
    <col min="3316" max="3316" width="12" style="267" customWidth="1"/>
    <col min="3317" max="3317" width="13" style="267" customWidth="1"/>
    <col min="3318" max="3318" width="11.109375" style="267" customWidth="1"/>
    <col min="3319" max="3320" width="13" style="267" customWidth="1"/>
    <col min="3321" max="3321" width="12.5546875" style="267" customWidth="1"/>
    <col min="3322" max="3323" width="8.109375" style="267" customWidth="1"/>
    <col min="3324" max="3324" width="13.109375" style="267" customWidth="1"/>
    <col min="3325" max="3326" width="14" style="267" customWidth="1"/>
    <col min="3327" max="3335" width="14.109375" style="267" customWidth="1"/>
    <col min="3336" max="3336" width="10.109375" style="267" customWidth="1"/>
    <col min="3337" max="3337" width="11.109375" style="267" customWidth="1"/>
    <col min="3338" max="3338" width="13.5546875" style="267" bestFit="1" customWidth="1"/>
    <col min="3339" max="3339" width="5.5546875" style="267" customWidth="1"/>
    <col min="3340" max="3340" width="6.5546875" style="267" customWidth="1"/>
    <col min="3341" max="3341" width="13.5546875" style="267" customWidth="1"/>
    <col min="3342" max="3567" width="8.88671875" style="267"/>
    <col min="3568" max="3568" width="4.5546875" style="267" customWidth="1"/>
    <col min="3569" max="3569" width="19.88671875" style="267" customWidth="1"/>
    <col min="3570" max="3570" width="12.44140625" style="267" customWidth="1"/>
    <col min="3571" max="3571" width="13.88671875" style="267" customWidth="1"/>
    <col min="3572" max="3572" width="12" style="267" customWidth="1"/>
    <col min="3573" max="3573" width="13" style="267" customWidth="1"/>
    <col min="3574" max="3574" width="11.109375" style="267" customWidth="1"/>
    <col min="3575" max="3576" width="13" style="267" customWidth="1"/>
    <col min="3577" max="3577" width="12.5546875" style="267" customWidth="1"/>
    <col min="3578" max="3579" width="8.109375" style="267" customWidth="1"/>
    <col min="3580" max="3580" width="13.109375" style="267" customWidth="1"/>
    <col min="3581" max="3582" width="14" style="267" customWidth="1"/>
    <col min="3583" max="3591" width="14.109375" style="267" customWidth="1"/>
    <col min="3592" max="3592" width="10.109375" style="267" customWidth="1"/>
    <col min="3593" max="3593" width="11.109375" style="267" customWidth="1"/>
    <col min="3594" max="3594" width="13.5546875" style="267" bestFit="1" customWidth="1"/>
    <col min="3595" max="3595" width="5.5546875" style="267" customWidth="1"/>
    <col min="3596" max="3596" width="6.5546875" style="267" customWidth="1"/>
    <col min="3597" max="3597" width="13.5546875" style="267" customWidth="1"/>
    <col min="3598" max="3823" width="8.88671875" style="267"/>
    <col min="3824" max="3824" width="4.5546875" style="267" customWidth="1"/>
    <col min="3825" max="3825" width="19.88671875" style="267" customWidth="1"/>
    <col min="3826" max="3826" width="12.44140625" style="267" customWidth="1"/>
    <col min="3827" max="3827" width="13.88671875" style="267" customWidth="1"/>
    <col min="3828" max="3828" width="12" style="267" customWidth="1"/>
    <col min="3829" max="3829" width="13" style="267" customWidth="1"/>
    <col min="3830" max="3830" width="11.109375" style="267" customWidth="1"/>
    <col min="3831" max="3832" width="13" style="267" customWidth="1"/>
    <col min="3833" max="3833" width="12.5546875" style="267" customWidth="1"/>
    <col min="3834" max="3835" width="8.109375" style="267" customWidth="1"/>
    <col min="3836" max="3836" width="13.109375" style="267" customWidth="1"/>
    <col min="3837" max="3838" width="14" style="267" customWidth="1"/>
    <col min="3839" max="3847" width="14.109375" style="267" customWidth="1"/>
    <col min="3848" max="3848" width="10.109375" style="267" customWidth="1"/>
    <col min="3849" max="3849" width="11.109375" style="267" customWidth="1"/>
    <col min="3850" max="3850" width="13.5546875" style="267" bestFit="1" customWidth="1"/>
    <col min="3851" max="3851" width="5.5546875" style="267" customWidth="1"/>
    <col min="3852" max="3852" width="6.5546875" style="267" customWidth="1"/>
    <col min="3853" max="3853" width="13.5546875" style="267" customWidth="1"/>
    <col min="3854" max="4079" width="8.88671875" style="267"/>
    <col min="4080" max="4080" width="4.5546875" style="267" customWidth="1"/>
    <col min="4081" max="4081" width="19.88671875" style="267" customWidth="1"/>
    <col min="4082" max="4082" width="12.44140625" style="267" customWidth="1"/>
    <col min="4083" max="4083" width="13.88671875" style="267" customWidth="1"/>
    <col min="4084" max="4084" width="12" style="267" customWidth="1"/>
    <col min="4085" max="4085" width="13" style="267" customWidth="1"/>
    <col min="4086" max="4086" width="11.109375" style="267" customWidth="1"/>
    <col min="4087" max="4088" width="13" style="267" customWidth="1"/>
    <col min="4089" max="4089" width="12.5546875" style="267" customWidth="1"/>
    <col min="4090" max="4091" width="8.109375" style="267" customWidth="1"/>
    <col min="4092" max="4092" width="13.109375" style="267" customWidth="1"/>
    <col min="4093" max="4094" width="14" style="267" customWidth="1"/>
    <col min="4095" max="4103" width="14.109375" style="267" customWidth="1"/>
    <col min="4104" max="4104" width="10.109375" style="267" customWidth="1"/>
    <col min="4105" max="4105" width="11.109375" style="267" customWidth="1"/>
    <col min="4106" max="4106" width="13.5546875" style="267" bestFit="1" customWidth="1"/>
    <col min="4107" max="4107" width="5.5546875" style="267" customWidth="1"/>
    <col min="4108" max="4108" width="6.5546875" style="267" customWidth="1"/>
    <col min="4109" max="4109" width="13.5546875" style="267" customWidth="1"/>
    <col min="4110" max="4335" width="8.88671875" style="267"/>
    <col min="4336" max="4336" width="4.5546875" style="267" customWidth="1"/>
    <col min="4337" max="4337" width="19.88671875" style="267" customWidth="1"/>
    <col min="4338" max="4338" width="12.44140625" style="267" customWidth="1"/>
    <col min="4339" max="4339" width="13.88671875" style="267" customWidth="1"/>
    <col min="4340" max="4340" width="12" style="267" customWidth="1"/>
    <col min="4341" max="4341" width="13" style="267" customWidth="1"/>
    <col min="4342" max="4342" width="11.109375" style="267" customWidth="1"/>
    <col min="4343" max="4344" width="13" style="267" customWidth="1"/>
    <col min="4345" max="4345" width="12.5546875" style="267" customWidth="1"/>
    <col min="4346" max="4347" width="8.109375" style="267" customWidth="1"/>
    <col min="4348" max="4348" width="13.109375" style="267" customWidth="1"/>
    <col min="4349" max="4350" width="14" style="267" customWidth="1"/>
    <col min="4351" max="4359" width="14.109375" style="267" customWidth="1"/>
    <col min="4360" max="4360" width="10.109375" style="267" customWidth="1"/>
    <col min="4361" max="4361" width="11.109375" style="267" customWidth="1"/>
    <col min="4362" max="4362" width="13.5546875" style="267" bestFit="1" customWidth="1"/>
    <col min="4363" max="4363" width="5.5546875" style="267" customWidth="1"/>
    <col min="4364" max="4364" width="6.5546875" style="267" customWidth="1"/>
    <col min="4365" max="4365" width="13.5546875" style="267" customWidth="1"/>
    <col min="4366" max="4591" width="8.88671875" style="267"/>
    <col min="4592" max="4592" width="4.5546875" style="267" customWidth="1"/>
    <col min="4593" max="4593" width="19.88671875" style="267" customWidth="1"/>
    <col min="4594" max="4594" width="12.44140625" style="267" customWidth="1"/>
    <col min="4595" max="4595" width="13.88671875" style="267" customWidth="1"/>
    <col min="4596" max="4596" width="12" style="267" customWidth="1"/>
    <col min="4597" max="4597" width="13" style="267" customWidth="1"/>
    <col min="4598" max="4598" width="11.109375" style="267" customWidth="1"/>
    <col min="4599" max="4600" width="13" style="267" customWidth="1"/>
    <col min="4601" max="4601" width="12.5546875" style="267" customWidth="1"/>
    <col min="4602" max="4603" width="8.109375" style="267" customWidth="1"/>
    <col min="4604" max="4604" width="13.109375" style="267" customWidth="1"/>
    <col min="4605" max="4606" width="14" style="267" customWidth="1"/>
    <col min="4607" max="4615" width="14.109375" style="267" customWidth="1"/>
    <col min="4616" max="4616" width="10.109375" style="267" customWidth="1"/>
    <col min="4617" max="4617" width="11.109375" style="267" customWidth="1"/>
    <col min="4618" max="4618" width="13.5546875" style="267" bestFit="1" customWidth="1"/>
    <col min="4619" max="4619" width="5.5546875" style="267" customWidth="1"/>
    <col min="4620" max="4620" width="6.5546875" style="267" customWidth="1"/>
    <col min="4621" max="4621" width="13.5546875" style="267" customWidth="1"/>
    <col min="4622" max="4847" width="8.88671875" style="267"/>
    <col min="4848" max="4848" width="4.5546875" style="267" customWidth="1"/>
    <col min="4849" max="4849" width="19.88671875" style="267" customWidth="1"/>
    <col min="4850" max="4850" width="12.44140625" style="267" customWidth="1"/>
    <col min="4851" max="4851" width="13.88671875" style="267" customWidth="1"/>
    <col min="4852" max="4852" width="12" style="267" customWidth="1"/>
    <col min="4853" max="4853" width="13" style="267" customWidth="1"/>
    <col min="4854" max="4854" width="11.109375" style="267" customWidth="1"/>
    <col min="4855" max="4856" width="13" style="267" customWidth="1"/>
    <col min="4857" max="4857" width="12.5546875" style="267" customWidth="1"/>
    <col min="4858" max="4859" width="8.109375" style="267" customWidth="1"/>
    <col min="4860" max="4860" width="13.109375" style="267" customWidth="1"/>
    <col min="4861" max="4862" width="14" style="267" customWidth="1"/>
    <col min="4863" max="4871" width="14.109375" style="267" customWidth="1"/>
    <col min="4872" max="4872" width="10.109375" style="267" customWidth="1"/>
    <col min="4873" max="4873" width="11.109375" style="267" customWidth="1"/>
    <col min="4874" max="4874" width="13.5546875" style="267" bestFit="1" customWidth="1"/>
    <col min="4875" max="4875" width="5.5546875" style="267" customWidth="1"/>
    <col min="4876" max="4876" width="6.5546875" style="267" customWidth="1"/>
    <col min="4877" max="4877" width="13.5546875" style="267" customWidth="1"/>
    <col min="4878" max="5103" width="8.88671875" style="267"/>
    <col min="5104" max="5104" width="4.5546875" style="267" customWidth="1"/>
    <col min="5105" max="5105" width="19.88671875" style="267" customWidth="1"/>
    <col min="5106" max="5106" width="12.44140625" style="267" customWidth="1"/>
    <col min="5107" max="5107" width="13.88671875" style="267" customWidth="1"/>
    <col min="5108" max="5108" width="12" style="267" customWidth="1"/>
    <col min="5109" max="5109" width="13" style="267" customWidth="1"/>
    <col min="5110" max="5110" width="11.109375" style="267" customWidth="1"/>
    <col min="5111" max="5112" width="13" style="267" customWidth="1"/>
    <col min="5113" max="5113" width="12.5546875" style="267" customWidth="1"/>
    <col min="5114" max="5115" width="8.109375" style="267" customWidth="1"/>
    <col min="5116" max="5116" width="13.109375" style="267" customWidth="1"/>
    <col min="5117" max="5118" width="14" style="267" customWidth="1"/>
    <col min="5119" max="5127" width="14.109375" style="267" customWidth="1"/>
    <col min="5128" max="5128" width="10.109375" style="267" customWidth="1"/>
    <col min="5129" max="5129" width="11.109375" style="267" customWidth="1"/>
    <col min="5130" max="5130" width="13.5546875" style="267" bestFit="1" customWidth="1"/>
    <col min="5131" max="5131" width="5.5546875" style="267" customWidth="1"/>
    <col min="5132" max="5132" width="6.5546875" style="267" customWidth="1"/>
    <col min="5133" max="5133" width="13.5546875" style="267" customWidth="1"/>
    <col min="5134" max="5359" width="8.88671875" style="267"/>
    <col min="5360" max="5360" width="4.5546875" style="267" customWidth="1"/>
    <col min="5361" max="5361" width="19.88671875" style="267" customWidth="1"/>
    <col min="5362" max="5362" width="12.44140625" style="267" customWidth="1"/>
    <col min="5363" max="5363" width="13.88671875" style="267" customWidth="1"/>
    <col min="5364" max="5364" width="12" style="267" customWidth="1"/>
    <col min="5365" max="5365" width="13" style="267" customWidth="1"/>
    <col min="5366" max="5366" width="11.109375" style="267" customWidth="1"/>
    <col min="5367" max="5368" width="13" style="267" customWidth="1"/>
    <col min="5369" max="5369" width="12.5546875" style="267" customWidth="1"/>
    <col min="5370" max="5371" width="8.109375" style="267" customWidth="1"/>
    <col min="5372" max="5372" width="13.109375" style="267" customWidth="1"/>
    <col min="5373" max="5374" width="14" style="267" customWidth="1"/>
    <col min="5375" max="5383" width="14.109375" style="267" customWidth="1"/>
    <col min="5384" max="5384" width="10.109375" style="267" customWidth="1"/>
    <col min="5385" max="5385" width="11.109375" style="267" customWidth="1"/>
    <col min="5386" max="5386" width="13.5546875" style="267" bestFit="1" customWidth="1"/>
    <col min="5387" max="5387" width="5.5546875" style="267" customWidth="1"/>
    <col min="5388" max="5388" width="6.5546875" style="267" customWidth="1"/>
    <col min="5389" max="5389" width="13.5546875" style="267" customWidth="1"/>
    <col min="5390" max="5615" width="8.88671875" style="267"/>
    <col min="5616" max="5616" width="4.5546875" style="267" customWidth="1"/>
    <col min="5617" max="5617" width="19.88671875" style="267" customWidth="1"/>
    <col min="5618" max="5618" width="12.44140625" style="267" customWidth="1"/>
    <col min="5619" max="5619" width="13.88671875" style="267" customWidth="1"/>
    <col min="5620" max="5620" width="12" style="267" customWidth="1"/>
    <col min="5621" max="5621" width="13" style="267" customWidth="1"/>
    <col min="5622" max="5622" width="11.109375" style="267" customWidth="1"/>
    <col min="5623" max="5624" width="13" style="267" customWidth="1"/>
    <col min="5625" max="5625" width="12.5546875" style="267" customWidth="1"/>
    <col min="5626" max="5627" width="8.109375" style="267" customWidth="1"/>
    <col min="5628" max="5628" width="13.109375" style="267" customWidth="1"/>
    <col min="5629" max="5630" width="14" style="267" customWidth="1"/>
    <col min="5631" max="5639" width="14.109375" style="267" customWidth="1"/>
    <col min="5640" max="5640" width="10.109375" style="267" customWidth="1"/>
    <col min="5641" max="5641" width="11.109375" style="267" customWidth="1"/>
    <col min="5642" max="5642" width="13.5546875" style="267" bestFit="1" customWidth="1"/>
    <col min="5643" max="5643" width="5.5546875" style="267" customWidth="1"/>
    <col min="5644" max="5644" width="6.5546875" style="267" customWidth="1"/>
    <col min="5645" max="5645" width="13.5546875" style="267" customWidth="1"/>
    <col min="5646" max="5871" width="8.88671875" style="267"/>
    <col min="5872" max="5872" width="4.5546875" style="267" customWidth="1"/>
    <col min="5873" max="5873" width="19.88671875" style="267" customWidth="1"/>
    <col min="5874" max="5874" width="12.44140625" style="267" customWidth="1"/>
    <col min="5875" max="5875" width="13.88671875" style="267" customWidth="1"/>
    <col min="5876" max="5876" width="12" style="267" customWidth="1"/>
    <col min="5877" max="5877" width="13" style="267" customWidth="1"/>
    <col min="5878" max="5878" width="11.109375" style="267" customWidth="1"/>
    <col min="5879" max="5880" width="13" style="267" customWidth="1"/>
    <col min="5881" max="5881" width="12.5546875" style="267" customWidth="1"/>
    <col min="5882" max="5883" width="8.109375" style="267" customWidth="1"/>
    <col min="5884" max="5884" width="13.109375" style="267" customWidth="1"/>
    <col min="5885" max="5886" width="14" style="267" customWidth="1"/>
    <col min="5887" max="5895" width="14.109375" style="267" customWidth="1"/>
    <col min="5896" max="5896" width="10.109375" style="267" customWidth="1"/>
    <col min="5897" max="5897" width="11.109375" style="267" customWidth="1"/>
    <col min="5898" max="5898" width="13.5546875" style="267" bestFit="1" customWidth="1"/>
    <col min="5899" max="5899" width="5.5546875" style="267" customWidth="1"/>
    <col min="5900" max="5900" width="6.5546875" style="267" customWidth="1"/>
    <col min="5901" max="5901" width="13.5546875" style="267" customWidth="1"/>
    <col min="5902" max="6127" width="8.88671875" style="267"/>
    <col min="6128" max="6128" width="4.5546875" style="267" customWidth="1"/>
    <col min="6129" max="6129" width="19.88671875" style="267" customWidth="1"/>
    <col min="6130" max="6130" width="12.44140625" style="267" customWidth="1"/>
    <col min="6131" max="6131" width="13.88671875" style="267" customWidth="1"/>
    <col min="6132" max="6132" width="12" style="267" customWidth="1"/>
    <col min="6133" max="6133" width="13" style="267" customWidth="1"/>
    <col min="6134" max="6134" width="11.109375" style="267" customWidth="1"/>
    <col min="6135" max="6136" width="13" style="267" customWidth="1"/>
    <col min="6137" max="6137" width="12.5546875" style="267" customWidth="1"/>
    <col min="6138" max="6139" width="8.109375" style="267" customWidth="1"/>
    <col min="6140" max="6140" width="13.109375" style="267" customWidth="1"/>
    <col min="6141" max="6142" width="14" style="267" customWidth="1"/>
    <col min="6143" max="6151" width="14.109375" style="267" customWidth="1"/>
    <col min="6152" max="6152" width="10.109375" style="267" customWidth="1"/>
    <col min="6153" max="6153" width="11.109375" style="267" customWidth="1"/>
    <col min="6154" max="6154" width="13.5546875" style="267" bestFit="1" customWidth="1"/>
    <col min="6155" max="6155" width="5.5546875" style="267" customWidth="1"/>
    <col min="6156" max="6156" width="6.5546875" style="267" customWidth="1"/>
    <col min="6157" max="6157" width="13.5546875" style="267" customWidth="1"/>
    <col min="6158" max="6383" width="8.88671875" style="267"/>
    <col min="6384" max="6384" width="4.5546875" style="267" customWidth="1"/>
    <col min="6385" max="6385" width="19.88671875" style="267" customWidth="1"/>
    <col min="6386" max="6386" width="12.44140625" style="267" customWidth="1"/>
    <col min="6387" max="6387" width="13.88671875" style="267" customWidth="1"/>
    <col min="6388" max="6388" width="12" style="267" customWidth="1"/>
    <col min="6389" max="6389" width="13" style="267" customWidth="1"/>
    <col min="6390" max="6390" width="11.109375" style="267" customWidth="1"/>
    <col min="6391" max="6392" width="13" style="267" customWidth="1"/>
    <col min="6393" max="6393" width="12.5546875" style="267" customWidth="1"/>
    <col min="6394" max="6395" width="8.109375" style="267" customWidth="1"/>
    <col min="6396" max="6396" width="13.109375" style="267" customWidth="1"/>
    <col min="6397" max="6398" width="14" style="267" customWidth="1"/>
    <col min="6399" max="6407" width="14.109375" style="267" customWidth="1"/>
    <col min="6408" max="6408" width="10.109375" style="267" customWidth="1"/>
    <col min="6409" max="6409" width="11.109375" style="267" customWidth="1"/>
    <col min="6410" max="6410" width="13.5546875" style="267" bestFit="1" customWidth="1"/>
    <col min="6411" max="6411" width="5.5546875" style="267" customWidth="1"/>
    <col min="6412" max="6412" width="6.5546875" style="267" customWidth="1"/>
    <col min="6413" max="6413" width="13.5546875" style="267" customWidth="1"/>
    <col min="6414" max="6639" width="8.88671875" style="267"/>
    <col min="6640" max="6640" width="4.5546875" style="267" customWidth="1"/>
    <col min="6641" max="6641" width="19.88671875" style="267" customWidth="1"/>
    <col min="6642" max="6642" width="12.44140625" style="267" customWidth="1"/>
    <col min="6643" max="6643" width="13.88671875" style="267" customWidth="1"/>
    <col min="6644" max="6644" width="12" style="267" customWidth="1"/>
    <col min="6645" max="6645" width="13" style="267" customWidth="1"/>
    <col min="6646" max="6646" width="11.109375" style="267" customWidth="1"/>
    <col min="6647" max="6648" width="13" style="267" customWidth="1"/>
    <col min="6649" max="6649" width="12.5546875" style="267" customWidth="1"/>
    <col min="6650" max="6651" width="8.109375" style="267" customWidth="1"/>
    <col min="6652" max="6652" width="13.109375" style="267" customWidth="1"/>
    <col min="6653" max="6654" width="14" style="267" customWidth="1"/>
    <col min="6655" max="6663" width="14.109375" style="267" customWidth="1"/>
    <col min="6664" max="6664" width="10.109375" style="267" customWidth="1"/>
    <col min="6665" max="6665" width="11.109375" style="267" customWidth="1"/>
    <col min="6666" max="6666" width="13.5546875" style="267" bestFit="1" customWidth="1"/>
    <col min="6667" max="6667" width="5.5546875" style="267" customWidth="1"/>
    <col min="6668" max="6668" width="6.5546875" style="267" customWidth="1"/>
    <col min="6669" max="6669" width="13.5546875" style="267" customWidth="1"/>
    <col min="6670" max="6895" width="8.88671875" style="267"/>
    <col min="6896" max="6896" width="4.5546875" style="267" customWidth="1"/>
    <col min="6897" max="6897" width="19.88671875" style="267" customWidth="1"/>
    <col min="6898" max="6898" width="12.44140625" style="267" customWidth="1"/>
    <col min="6899" max="6899" width="13.88671875" style="267" customWidth="1"/>
    <col min="6900" max="6900" width="12" style="267" customWidth="1"/>
    <col min="6901" max="6901" width="13" style="267" customWidth="1"/>
    <col min="6902" max="6902" width="11.109375" style="267" customWidth="1"/>
    <col min="6903" max="6904" width="13" style="267" customWidth="1"/>
    <col min="6905" max="6905" width="12.5546875" style="267" customWidth="1"/>
    <col min="6906" max="6907" width="8.109375" style="267" customWidth="1"/>
    <col min="6908" max="6908" width="13.109375" style="267" customWidth="1"/>
    <col min="6909" max="6910" width="14" style="267" customWidth="1"/>
    <col min="6911" max="6919" width="14.109375" style="267" customWidth="1"/>
    <col min="6920" max="6920" width="10.109375" style="267" customWidth="1"/>
    <col min="6921" max="6921" width="11.109375" style="267" customWidth="1"/>
    <col min="6922" max="6922" width="13.5546875" style="267" bestFit="1" customWidth="1"/>
    <col min="6923" max="6923" width="5.5546875" style="267" customWidth="1"/>
    <col min="6924" max="6924" width="6.5546875" style="267" customWidth="1"/>
    <col min="6925" max="6925" width="13.5546875" style="267" customWidth="1"/>
    <col min="6926" max="7151" width="8.88671875" style="267"/>
    <col min="7152" max="7152" width="4.5546875" style="267" customWidth="1"/>
    <col min="7153" max="7153" width="19.88671875" style="267" customWidth="1"/>
    <col min="7154" max="7154" width="12.44140625" style="267" customWidth="1"/>
    <col min="7155" max="7155" width="13.88671875" style="267" customWidth="1"/>
    <col min="7156" max="7156" width="12" style="267" customWidth="1"/>
    <col min="7157" max="7157" width="13" style="267" customWidth="1"/>
    <col min="7158" max="7158" width="11.109375" style="267" customWidth="1"/>
    <col min="7159" max="7160" width="13" style="267" customWidth="1"/>
    <col min="7161" max="7161" width="12.5546875" style="267" customWidth="1"/>
    <col min="7162" max="7163" width="8.109375" style="267" customWidth="1"/>
    <col min="7164" max="7164" width="13.109375" style="267" customWidth="1"/>
    <col min="7165" max="7166" width="14" style="267" customWidth="1"/>
    <col min="7167" max="7175" width="14.109375" style="267" customWidth="1"/>
    <col min="7176" max="7176" width="10.109375" style="267" customWidth="1"/>
    <col min="7177" max="7177" width="11.109375" style="267" customWidth="1"/>
    <col min="7178" max="7178" width="13.5546875" style="267" bestFit="1" customWidth="1"/>
    <col min="7179" max="7179" width="5.5546875" style="267" customWidth="1"/>
    <col min="7180" max="7180" width="6.5546875" style="267" customWidth="1"/>
    <col min="7181" max="7181" width="13.5546875" style="267" customWidth="1"/>
    <col min="7182" max="7407" width="8.88671875" style="267"/>
    <col min="7408" max="7408" width="4.5546875" style="267" customWidth="1"/>
    <col min="7409" max="7409" width="19.88671875" style="267" customWidth="1"/>
    <col min="7410" max="7410" width="12.44140625" style="267" customWidth="1"/>
    <col min="7411" max="7411" width="13.88671875" style="267" customWidth="1"/>
    <col min="7412" max="7412" width="12" style="267" customWidth="1"/>
    <col min="7413" max="7413" width="13" style="267" customWidth="1"/>
    <col min="7414" max="7414" width="11.109375" style="267" customWidth="1"/>
    <col min="7415" max="7416" width="13" style="267" customWidth="1"/>
    <col min="7417" max="7417" width="12.5546875" style="267" customWidth="1"/>
    <col min="7418" max="7419" width="8.109375" style="267" customWidth="1"/>
    <col min="7420" max="7420" width="13.109375" style="267" customWidth="1"/>
    <col min="7421" max="7422" width="14" style="267" customWidth="1"/>
    <col min="7423" max="7431" width="14.109375" style="267" customWidth="1"/>
    <col min="7432" max="7432" width="10.109375" style="267" customWidth="1"/>
    <col min="7433" max="7433" width="11.109375" style="267" customWidth="1"/>
    <col min="7434" max="7434" width="13.5546875" style="267" bestFit="1" customWidth="1"/>
    <col min="7435" max="7435" width="5.5546875" style="267" customWidth="1"/>
    <col min="7436" max="7436" width="6.5546875" style="267" customWidth="1"/>
    <col min="7437" max="7437" width="13.5546875" style="267" customWidth="1"/>
    <col min="7438" max="7663" width="8.88671875" style="267"/>
    <col min="7664" max="7664" width="4.5546875" style="267" customWidth="1"/>
    <col min="7665" max="7665" width="19.88671875" style="267" customWidth="1"/>
    <col min="7666" max="7666" width="12.44140625" style="267" customWidth="1"/>
    <col min="7667" max="7667" width="13.88671875" style="267" customWidth="1"/>
    <col min="7668" max="7668" width="12" style="267" customWidth="1"/>
    <col min="7669" max="7669" width="13" style="267" customWidth="1"/>
    <col min="7670" max="7670" width="11.109375" style="267" customWidth="1"/>
    <col min="7671" max="7672" width="13" style="267" customWidth="1"/>
    <col min="7673" max="7673" width="12.5546875" style="267" customWidth="1"/>
    <col min="7674" max="7675" width="8.109375" style="267" customWidth="1"/>
    <col min="7676" max="7676" width="13.109375" style="267" customWidth="1"/>
    <col min="7677" max="7678" width="14" style="267" customWidth="1"/>
    <col min="7679" max="7687" width="14.109375" style="267" customWidth="1"/>
    <col min="7688" max="7688" width="10.109375" style="267" customWidth="1"/>
    <col min="7689" max="7689" width="11.109375" style="267" customWidth="1"/>
    <col min="7690" max="7690" width="13.5546875" style="267" bestFit="1" customWidth="1"/>
    <col min="7691" max="7691" width="5.5546875" style="267" customWidth="1"/>
    <col min="7692" max="7692" width="6.5546875" style="267" customWidth="1"/>
    <col min="7693" max="7693" width="13.5546875" style="267" customWidth="1"/>
    <col min="7694" max="7919" width="8.88671875" style="267"/>
    <col min="7920" max="7920" width="4.5546875" style="267" customWidth="1"/>
    <col min="7921" max="7921" width="19.88671875" style="267" customWidth="1"/>
    <col min="7922" max="7922" width="12.44140625" style="267" customWidth="1"/>
    <col min="7923" max="7923" width="13.88671875" style="267" customWidth="1"/>
    <col min="7924" max="7924" width="12" style="267" customWidth="1"/>
    <col min="7925" max="7925" width="13" style="267" customWidth="1"/>
    <col min="7926" max="7926" width="11.109375" style="267" customWidth="1"/>
    <col min="7927" max="7928" width="13" style="267" customWidth="1"/>
    <col min="7929" max="7929" width="12.5546875" style="267" customWidth="1"/>
    <col min="7930" max="7931" width="8.109375" style="267" customWidth="1"/>
    <col min="7932" max="7932" width="13.109375" style="267" customWidth="1"/>
    <col min="7933" max="7934" width="14" style="267" customWidth="1"/>
    <col min="7935" max="7943" width="14.109375" style="267" customWidth="1"/>
    <col min="7944" max="7944" width="10.109375" style="267" customWidth="1"/>
    <col min="7945" max="7945" width="11.109375" style="267" customWidth="1"/>
    <col min="7946" max="7946" width="13.5546875" style="267" bestFit="1" customWidth="1"/>
    <col min="7947" max="7947" width="5.5546875" style="267" customWidth="1"/>
    <col min="7948" max="7948" width="6.5546875" style="267" customWidth="1"/>
    <col min="7949" max="7949" width="13.5546875" style="267" customWidth="1"/>
    <col min="7950" max="8175" width="8.88671875" style="267"/>
    <col min="8176" max="8176" width="4.5546875" style="267" customWidth="1"/>
    <col min="8177" max="8177" width="19.88671875" style="267" customWidth="1"/>
    <col min="8178" max="8178" width="12.44140625" style="267" customWidth="1"/>
    <col min="8179" max="8179" width="13.88671875" style="267" customWidth="1"/>
    <col min="8180" max="8180" width="12" style="267" customWidth="1"/>
    <col min="8181" max="8181" width="13" style="267" customWidth="1"/>
    <col min="8182" max="8182" width="11.109375" style="267" customWidth="1"/>
    <col min="8183" max="8184" width="13" style="267" customWidth="1"/>
    <col min="8185" max="8185" width="12.5546875" style="267" customWidth="1"/>
    <col min="8186" max="8187" width="8.109375" style="267" customWidth="1"/>
    <col min="8188" max="8188" width="13.109375" style="267" customWidth="1"/>
    <col min="8189" max="8190" width="14" style="267" customWidth="1"/>
    <col min="8191" max="8199" width="14.109375" style="267" customWidth="1"/>
    <col min="8200" max="8200" width="10.109375" style="267" customWidth="1"/>
    <col min="8201" max="8201" width="11.109375" style="267" customWidth="1"/>
    <col min="8202" max="8202" width="13.5546875" style="267" bestFit="1" customWidth="1"/>
    <col min="8203" max="8203" width="5.5546875" style="267" customWidth="1"/>
    <col min="8204" max="8204" width="6.5546875" style="267" customWidth="1"/>
    <col min="8205" max="8205" width="13.5546875" style="267" customWidth="1"/>
    <col min="8206" max="8431" width="8.88671875" style="267"/>
    <col min="8432" max="8432" width="4.5546875" style="267" customWidth="1"/>
    <col min="8433" max="8433" width="19.88671875" style="267" customWidth="1"/>
    <col min="8434" max="8434" width="12.44140625" style="267" customWidth="1"/>
    <col min="8435" max="8435" width="13.88671875" style="267" customWidth="1"/>
    <col min="8436" max="8436" width="12" style="267" customWidth="1"/>
    <col min="8437" max="8437" width="13" style="267" customWidth="1"/>
    <col min="8438" max="8438" width="11.109375" style="267" customWidth="1"/>
    <col min="8439" max="8440" width="13" style="267" customWidth="1"/>
    <col min="8441" max="8441" width="12.5546875" style="267" customWidth="1"/>
    <col min="8442" max="8443" width="8.109375" style="267" customWidth="1"/>
    <col min="8444" max="8444" width="13.109375" style="267" customWidth="1"/>
    <col min="8445" max="8446" width="14" style="267" customWidth="1"/>
    <col min="8447" max="8455" width="14.109375" style="267" customWidth="1"/>
    <col min="8456" max="8456" width="10.109375" style="267" customWidth="1"/>
    <col min="8457" max="8457" width="11.109375" style="267" customWidth="1"/>
    <col min="8458" max="8458" width="13.5546875" style="267" bestFit="1" customWidth="1"/>
    <col min="8459" max="8459" width="5.5546875" style="267" customWidth="1"/>
    <col min="8460" max="8460" width="6.5546875" style="267" customWidth="1"/>
    <col min="8461" max="8461" width="13.5546875" style="267" customWidth="1"/>
    <col min="8462" max="8687" width="8.88671875" style="267"/>
    <col min="8688" max="8688" width="4.5546875" style="267" customWidth="1"/>
    <col min="8689" max="8689" width="19.88671875" style="267" customWidth="1"/>
    <col min="8690" max="8690" width="12.44140625" style="267" customWidth="1"/>
    <col min="8691" max="8691" width="13.88671875" style="267" customWidth="1"/>
    <col min="8692" max="8692" width="12" style="267" customWidth="1"/>
    <col min="8693" max="8693" width="13" style="267" customWidth="1"/>
    <col min="8694" max="8694" width="11.109375" style="267" customWidth="1"/>
    <col min="8695" max="8696" width="13" style="267" customWidth="1"/>
    <col min="8697" max="8697" width="12.5546875" style="267" customWidth="1"/>
    <col min="8698" max="8699" width="8.109375" style="267" customWidth="1"/>
    <col min="8700" max="8700" width="13.109375" style="267" customWidth="1"/>
    <col min="8701" max="8702" width="14" style="267" customWidth="1"/>
    <col min="8703" max="8711" width="14.109375" style="267" customWidth="1"/>
    <col min="8712" max="8712" width="10.109375" style="267" customWidth="1"/>
    <col min="8713" max="8713" width="11.109375" style="267" customWidth="1"/>
    <col min="8714" max="8714" width="13.5546875" style="267" bestFit="1" customWidth="1"/>
    <col min="8715" max="8715" width="5.5546875" style="267" customWidth="1"/>
    <col min="8716" max="8716" width="6.5546875" style="267" customWidth="1"/>
    <col min="8717" max="8717" width="13.5546875" style="267" customWidth="1"/>
    <col min="8718" max="8943" width="8.88671875" style="267"/>
    <col min="8944" max="8944" width="4.5546875" style="267" customWidth="1"/>
    <col min="8945" max="8945" width="19.88671875" style="267" customWidth="1"/>
    <col min="8946" max="8946" width="12.44140625" style="267" customWidth="1"/>
    <col min="8947" max="8947" width="13.88671875" style="267" customWidth="1"/>
    <col min="8948" max="8948" width="12" style="267" customWidth="1"/>
    <col min="8949" max="8949" width="13" style="267" customWidth="1"/>
    <col min="8950" max="8950" width="11.109375" style="267" customWidth="1"/>
    <col min="8951" max="8952" width="13" style="267" customWidth="1"/>
    <col min="8953" max="8953" width="12.5546875" style="267" customWidth="1"/>
    <col min="8954" max="8955" width="8.109375" style="267" customWidth="1"/>
    <col min="8956" max="8956" width="13.109375" style="267" customWidth="1"/>
    <col min="8957" max="8958" width="14" style="267" customWidth="1"/>
    <col min="8959" max="8967" width="14.109375" style="267" customWidth="1"/>
    <col min="8968" max="8968" width="10.109375" style="267" customWidth="1"/>
    <col min="8969" max="8969" width="11.109375" style="267" customWidth="1"/>
    <col min="8970" max="8970" width="13.5546875" style="267" bestFit="1" customWidth="1"/>
    <col min="8971" max="8971" width="5.5546875" style="267" customWidth="1"/>
    <col min="8972" max="8972" width="6.5546875" style="267" customWidth="1"/>
    <col min="8973" max="8973" width="13.5546875" style="267" customWidth="1"/>
    <col min="8974" max="9199" width="8.88671875" style="267"/>
    <col min="9200" max="9200" width="4.5546875" style="267" customWidth="1"/>
    <col min="9201" max="9201" width="19.88671875" style="267" customWidth="1"/>
    <col min="9202" max="9202" width="12.44140625" style="267" customWidth="1"/>
    <col min="9203" max="9203" width="13.88671875" style="267" customWidth="1"/>
    <col min="9204" max="9204" width="12" style="267" customWidth="1"/>
    <col min="9205" max="9205" width="13" style="267" customWidth="1"/>
    <col min="9206" max="9206" width="11.109375" style="267" customWidth="1"/>
    <col min="9207" max="9208" width="13" style="267" customWidth="1"/>
    <col min="9209" max="9209" width="12.5546875" style="267" customWidth="1"/>
    <col min="9210" max="9211" width="8.109375" style="267" customWidth="1"/>
    <col min="9212" max="9212" width="13.109375" style="267" customWidth="1"/>
    <col min="9213" max="9214" width="14" style="267" customWidth="1"/>
    <col min="9215" max="9223" width="14.109375" style="267" customWidth="1"/>
    <col min="9224" max="9224" width="10.109375" style="267" customWidth="1"/>
    <col min="9225" max="9225" width="11.109375" style="267" customWidth="1"/>
    <col min="9226" max="9226" width="13.5546875" style="267" bestFit="1" customWidth="1"/>
    <col min="9227" max="9227" width="5.5546875" style="267" customWidth="1"/>
    <col min="9228" max="9228" width="6.5546875" style="267" customWidth="1"/>
    <col min="9229" max="9229" width="13.5546875" style="267" customWidth="1"/>
    <col min="9230" max="9455" width="8.88671875" style="267"/>
    <col min="9456" max="9456" width="4.5546875" style="267" customWidth="1"/>
    <col min="9457" max="9457" width="19.88671875" style="267" customWidth="1"/>
    <col min="9458" max="9458" width="12.44140625" style="267" customWidth="1"/>
    <col min="9459" max="9459" width="13.88671875" style="267" customWidth="1"/>
    <col min="9460" max="9460" width="12" style="267" customWidth="1"/>
    <col min="9461" max="9461" width="13" style="267" customWidth="1"/>
    <col min="9462" max="9462" width="11.109375" style="267" customWidth="1"/>
    <col min="9463" max="9464" width="13" style="267" customWidth="1"/>
    <col min="9465" max="9465" width="12.5546875" style="267" customWidth="1"/>
    <col min="9466" max="9467" width="8.109375" style="267" customWidth="1"/>
    <col min="9468" max="9468" width="13.109375" style="267" customWidth="1"/>
    <col min="9469" max="9470" width="14" style="267" customWidth="1"/>
    <col min="9471" max="9479" width="14.109375" style="267" customWidth="1"/>
    <col min="9480" max="9480" width="10.109375" style="267" customWidth="1"/>
    <col min="9481" max="9481" width="11.109375" style="267" customWidth="1"/>
    <col min="9482" max="9482" width="13.5546875" style="267" bestFit="1" customWidth="1"/>
    <col min="9483" max="9483" width="5.5546875" style="267" customWidth="1"/>
    <col min="9484" max="9484" width="6.5546875" style="267" customWidth="1"/>
    <col min="9485" max="9485" width="13.5546875" style="267" customWidth="1"/>
    <col min="9486" max="9711" width="8.88671875" style="267"/>
    <col min="9712" max="9712" width="4.5546875" style="267" customWidth="1"/>
    <col min="9713" max="9713" width="19.88671875" style="267" customWidth="1"/>
    <col min="9714" max="9714" width="12.44140625" style="267" customWidth="1"/>
    <col min="9715" max="9715" width="13.88671875" style="267" customWidth="1"/>
    <col min="9716" max="9716" width="12" style="267" customWidth="1"/>
    <col min="9717" max="9717" width="13" style="267" customWidth="1"/>
    <col min="9718" max="9718" width="11.109375" style="267" customWidth="1"/>
    <col min="9719" max="9720" width="13" style="267" customWidth="1"/>
    <col min="9721" max="9721" width="12.5546875" style="267" customWidth="1"/>
    <col min="9722" max="9723" width="8.109375" style="267" customWidth="1"/>
    <col min="9724" max="9724" width="13.109375" style="267" customWidth="1"/>
    <col min="9725" max="9726" width="14" style="267" customWidth="1"/>
    <col min="9727" max="9735" width="14.109375" style="267" customWidth="1"/>
    <col min="9736" max="9736" width="10.109375" style="267" customWidth="1"/>
    <col min="9737" max="9737" width="11.109375" style="267" customWidth="1"/>
    <col min="9738" max="9738" width="13.5546875" style="267" bestFit="1" customWidth="1"/>
    <col min="9739" max="9739" width="5.5546875" style="267" customWidth="1"/>
    <col min="9740" max="9740" width="6.5546875" style="267" customWidth="1"/>
    <col min="9741" max="9741" width="13.5546875" style="267" customWidth="1"/>
    <col min="9742" max="9967" width="8.88671875" style="267"/>
    <col min="9968" max="9968" width="4.5546875" style="267" customWidth="1"/>
    <col min="9969" max="9969" width="19.88671875" style="267" customWidth="1"/>
    <col min="9970" max="9970" width="12.44140625" style="267" customWidth="1"/>
    <col min="9971" max="9971" width="13.88671875" style="267" customWidth="1"/>
    <col min="9972" max="9972" width="12" style="267" customWidth="1"/>
    <col min="9973" max="9973" width="13" style="267" customWidth="1"/>
    <col min="9974" max="9974" width="11.109375" style="267" customWidth="1"/>
    <col min="9975" max="9976" width="13" style="267" customWidth="1"/>
    <col min="9977" max="9977" width="12.5546875" style="267" customWidth="1"/>
    <col min="9978" max="9979" width="8.109375" style="267" customWidth="1"/>
    <col min="9980" max="9980" width="13.109375" style="267" customWidth="1"/>
    <col min="9981" max="9982" width="14" style="267" customWidth="1"/>
    <col min="9983" max="9991" width="14.109375" style="267" customWidth="1"/>
    <col min="9992" max="9992" width="10.109375" style="267" customWidth="1"/>
    <col min="9993" max="9993" width="11.109375" style="267" customWidth="1"/>
    <col min="9994" max="9994" width="13.5546875" style="267" bestFit="1" customWidth="1"/>
    <col min="9995" max="9995" width="5.5546875" style="267" customWidth="1"/>
    <col min="9996" max="9996" width="6.5546875" style="267" customWidth="1"/>
    <col min="9997" max="9997" width="13.5546875" style="267" customWidth="1"/>
    <col min="9998" max="10223" width="8.88671875" style="267"/>
    <col min="10224" max="10224" width="4.5546875" style="267" customWidth="1"/>
    <col min="10225" max="10225" width="19.88671875" style="267" customWidth="1"/>
    <col min="10226" max="10226" width="12.44140625" style="267" customWidth="1"/>
    <col min="10227" max="10227" width="13.88671875" style="267" customWidth="1"/>
    <col min="10228" max="10228" width="12" style="267" customWidth="1"/>
    <col min="10229" max="10229" width="13" style="267" customWidth="1"/>
    <col min="10230" max="10230" width="11.109375" style="267" customWidth="1"/>
    <col min="10231" max="10232" width="13" style="267" customWidth="1"/>
    <col min="10233" max="10233" width="12.5546875" style="267" customWidth="1"/>
    <col min="10234" max="10235" width="8.109375" style="267" customWidth="1"/>
    <col min="10236" max="10236" width="13.109375" style="267" customWidth="1"/>
    <col min="10237" max="10238" width="14" style="267" customWidth="1"/>
    <col min="10239" max="10247" width="14.109375" style="267" customWidth="1"/>
    <col min="10248" max="10248" width="10.109375" style="267" customWidth="1"/>
    <col min="10249" max="10249" width="11.109375" style="267" customWidth="1"/>
    <col min="10250" max="10250" width="13.5546875" style="267" bestFit="1" customWidth="1"/>
    <col min="10251" max="10251" width="5.5546875" style="267" customWidth="1"/>
    <col min="10252" max="10252" width="6.5546875" style="267" customWidth="1"/>
    <col min="10253" max="10253" width="13.5546875" style="267" customWidth="1"/>
    <col min="10254" max="10479" width="8.88671875" style="267"/>
    <col min="10480" max="10480" width="4.5546875" style="267" customWidth="1"/>
    <col min="10481" max="10481" width="19.88671875" style="267" customWidth="1"/>
    <col min="10482" max="10482" width="12.44140625" style="267" customWidth="1"/>
    <col min="10483" max="10483" width="13.88671875" style="267" customWidth="1"/>
    <col min="10484" max="10484" width="12" style="267" customWidth="1"/>
    <col min="10485" max="10485" width="13" style="267" customWidth="1"/>
    <col min="10486" max="10486" width="11.109375" style="267" customWidth="1"/>
    <col min="10487" max="10488" width="13" style="267" customWidth="1"/>
    <col min="10489" max="10489" width="12.5546875" style="267" customWidth="1"/>
    <col min="10490" max="10491" width="8.109375" style="267" customWidth="1"/>
    <col min="10492" max="10492" width="13.109375" style="267" customWidth="1"/>
    <col min="10493" max="10494" width="14" style="267" customWidth="1"/>
    <col min="10495" max="10503" width="14.109375" style="267" customWidth="1"/>
    <col min="10504" max="10504" width="10.109375" style="267" customWidth="1"/>
    <col min="10505" max="10505" width="11.109375" style="267" customWidth="1"/>
    <col min="10506" max="10506" width="13.5546875" style="267" bestFit="1" customWidth="1"/>
    <col min="10507" max="10507" width="5.5546875" style="267" customWidth="1"/>
    <col min="10508" max="10508" width="6.5546875" style="267" customWidth="1"/>
    <col min="10509" max="10509" width="13.5546875" style="267" customWidth="1"/>
    <col min="10510" max="10735" width="8.88671875" style="267"/>
    <col min="10736" max="10736" width="4.5546875" style="267" customWidth="1"/>
    <col min="10737" max="10737" width="19.88671875" style="267" customWidth="1"/>
    <col min="10738" max="10738" width="12.44140625" style="267" customWidth="1"/>
    <col min="10739" max="10739" width="13.88671875" style="267" customWidth="1"/>
    <col min="10740" max="10740" width="12" style="267" customWidth="1"/>
    <col min="10741" max="10741" width="13" style="267" customWidth="1"/>
    <col min="10742" max="10742" width="11.109375" style="267" customWidth="1"/>
    <col min="10743" max="10744" width="13" style="267" customWidth="1"/>
    <col min="10745" max="10745" width="12.5546875" style="267" customWidth="1"/>
    <col min="10746" max="10747" width="8.109375" style="267" customWidth="1"/>
    <col min="10748" max="10748" width="13.109375" style="267" customWidth="1"/>
    <col min="10749" max="10750" width="14" style="267" customWidth="1"/>
    <col min="10751" max="10759" width="14.109375" style="267" customWidth="1"/>
    <col min="10760" max="10760" width="10.109375" style="267" customWidth="1"/>
    <col min="10761" max="10761" width="11.109375" style="267" customWidth="1"/>
    <col min="10762" max="10762" width="13.5546875" style="267" bestFit="1" customWidth="1"/>
    <col min="10763" max="10763" width="5.5546875" style="267" customWidth="1"/>
    <col min="10764" max="10764" width="6.5546875" style="267" customWidth="1"/>
    <col min="10765" max="10765" width="13.5546875" style="267" customWidth="1"/>
    <col min="10766" max="10991" width="8.88671875" style="267"/>
    <col min="10992" max="10992" width="4.5546875" style="267" customWidth="1"/>
    <col min="10993" max="10993" width="19.88671875" style="267" customWidth="1"/>
    <col min="10994" max="10994" width="12.44140625" style="267" customWidth="1"/>
    <col min="10995" max="10995" width="13.88671875" style="267" customWidth="1"/>
    <col min="10996" max="10996" width="12" style="267" customWidth="1"/>
    <col min="10997" max="10997" width="13" style="267" customWidth="1"/>
    <col min="10998" max="10998" width="11.109375" style="267" customWidth="1"/>
    <col min="10999" max="11000" width="13" style="267" customWidth="1"/>
    <col min="11001" max="11001" width="12.5546875" style="267" customWidth="1"/>
    <col min="11002" max="11003" width="8.109375" style="267" customWidth="1"/>
    <col min="11004" max="11004" width="13.109375" style="267" customWidth="1"/>
    <col min="11005" max="11006" width="14" style="267" customWidth="1"/>
    <col min="11007" max="11015" width="14.109375" style="267" customWidth="1"/>
    <col min="11016" max="11016" width="10.109375" style="267" customWidth="1"/>
    <col min="11017" max="11017" width="11.109375" style="267" customWidth="1"/>
    <col min="11018" max="11018" width="13.5546875" style="267" bestFit="1" customWidth="1"/>
    <col min="11019" max="11019" width="5.5546875" style="267" customWidth="1"/>
    <col min="11020" max="11020" width="6.5546875" style="267" customWidth="1"/>
    <col min="11021" max="11021" width="13.5546875" style="267" customWidth="1"/>
    <col min="11022" max="11247" width="8.88671875" style="267"/>
    <col min="11248" max="11248" width="4.5546875" style="267" customWidth="1"/>
    <col min="11249" max="11249" width="19.88671875" style="267" customWidth="1"/>
    <col min="11250" max="11250" width="12.44140625" style="267" customWidth="1"/>
    <col min="11251" max="11251" width="13.88671875" style="267" customWidth="1"/>
    <col min="11252" max="11252" width="12" style="267" customWidth="1"/>
    <col min="11253" max="11253" width="13" style="267" customWidth="1"/>
    <col min="11254" max="11254" width="11.109375" style="267" customWidth="1"/>
    <col min="11255" max="11256" width="13" style="267" customWidth="1"/>
    <col min="11257" max="11257" width="12.5546875" style="267" customWidth="1"/>
    <col min="11258" max="11259" width="8.109375" style="267" customWidth="1"/>
    <col min="11260" max="11260" width="13.109375" style="267" customWidth="1"/>
    <col min="11261" max="11262" width="14" style="267" customWidth="1"/>
    <col min="11263" max="11271" width="14.109375" style="267" customWidth="1"/>
    <col min="11272" max="11272" width="10.109375" style="267" customWidth="1"/>
    <col min="11273" max="11273" width="11.109375" style="267" customWidth="1"/>
    <col min="11274" max="11274" width="13.5546875" style="267" bestFit="1" customWidth="1"/>
    <col min="11275" max="11275" width="5.5546875" style="267" customWidth="1"/>
    <col min="11276" max="11276" width="6.5546875" style="267" customWidth="1"/>
    <col min="11277" max="11277" width="13.5546875" style="267" customWidth="1"/>
    <col min="11278" max="11503" width="8.88671875" style="267"/>
    <col min="11504" max="11504" width="4.5546875" style="267" customWidth="1"/>
    <col min="11505" max="11505" width="19.88671875" style="267" customWidth="1"/>
    <col min="11506" max="11506" width="12.44140625" style="267" customWidth="1"/>
    <col min="11507" max="11507" width="13.88671875" style="267" customWidth="1"/>
    <col min="11508" max="11508" width="12" style="267" customWidth="1"/>
    <col min="11509" max="11509" width="13" style="267" customWidth="1"/>
    <col min="11510" max="11510" width="11.109375" style="267" customWidth="1"/>
    <col min="11511" max="11512" width="13" style="267" customWidth="1"/>
    <col min="11513" max="11513" width="12.5546875" style="267" customWidth="1"/>
    <col min="11514" max="11515" width="8.109375" style="267" customWidth="1"/>
    <col min="11516" max="11516" width="13.109375" style="267" customWidth="1"/>
    <col min="11517" max="11518" width="14" style="267" customWidth="1"/>
    <col min="11519" max="11527" width="14.109375" style="267" customWidth="1"/>
    <col min="11528" max="11528" width="10.109375" style="267" customWidth="1"/>
    <col min="11529" max="11529" width="11.109375" style="267" customWidth="1"/>
    <col min="11530" max="11530" width="13.5546875" style="267" bestFit="1" customWidth="1"/>
    <col min="11531" max="11531" width="5.5546875" style="267" customWidth="1"/>
    <col min="11532" max="11532" width="6.5546875" style="267" customWidth="1"/>
    <col min="11533" max="11533" width="13.5546875" style="267" customWidth="1"/>
    <col min="11534" max="11759" width="8.88671875" style="267"/>
    <col min="11760" max="11760" width="4.5546875" style="267" customWidth="1"/>
    <col min="11761" max="11761" width="19.88671875" style="267" customWidth="1"/>
    <col min="11762" max="11762" width="12.44140625" style="267" customWidth="1"/>
    <col min="11763" max="11763" width="13.88671875" style="267" customWidth="1"/>
    <col min="11764" max="11764" width="12" style="267" customWidth="1"/>
    <col min="11765" max="11765" width="13" style="267" customWidth="1"/>
    <col min="11766" max="11766" width="11.109375" style="267" customWidth="1"/>
    <col min="11767" max="11768" width="13" style="267" customWidth="1"/>
    <col min="11769" max="11769" width="12.5546875" style="267" customWidth="1"/>
    <col min="11770" max="11771" width="8.109375" style="267" customWidth="1"/>
    <col min="11772" max="11772" width="13.109375" style="267" customWidth="1"/>
    <col min="11773" max="11774" width="14" style="267" customWidth="1"/>
    <col min="11775" max="11783" width="14.109375" style="267" customWidth="1"/>
    <col min="11784" max="11784" width="10.109375" style="267" customWidth="1"/>
    <col min="11785" max="11785" width="11.109375" style="267" customWidth="1"/>
    <col min="11786" max="11786" width="13.5546875" style="267" bestFit="1" customWidth="1"/>
    <col min="11787" max="11787" width="5.5546875" style="267" customWidth="1"/>
    <col min="11788" max="11788" width="6.5546875" style="267" customWidth="1"/>
    <col min="11789" max="11789" width="13.5546875" style="267" customWidth="1"/>
    <col min="11790" max="12015" width="8.88671875" style="267"/>
    <col min="12016" max="12016" width="4.5546875" style="267" customWidth="1"/>
    <col min="12017" max="12017" width="19.88671875" style="267" customWidth="1"/>
    <col min="12018" max="12018" width="12.44140625" style="267" customWidth="1"/>
    <col min="12019" max="12019" width="13.88671875" style="267" customWidth="1"/>
    <col min="12020" max="12020" width="12" style="267" customWidth="1"/>
    <col min="12021" max="12021" width="13" style="267" customWidth="1"/>
    <col min="12022" max="12022" width="11.109375" style="267" customWidth="1"/>
    <col min="12023" max="12024" width="13" style="267" customWidth="1"/>
    <col min="12025" max="12025" width="12.5546875" style="267" customWidth="1"/>
    <col min="12026" max="12027" width="8.109375" style="267" customWidth="1"/>
    <col min="12028" max="12028" width="13.109375" style="267" customWidth="1"/>
    <col min="12029" max="12030" width="14" style="267" customWidth="1"/>
    <col min="12031" max="12039" width="14.109375" style="267" customWidth="1"/>
    <col min="12040" max="12040" width="10.109375" style="267" customWidth="1"/>
    <col min="12041" max="12041" width="11.109375" style="267" customWidth="1"/>
    <col min="12042" max="12042" width="13.5546875" style="267" bestFit="1" customWidth="1"/>
    <col min="12043" max="12043" width="5.5546875" style="267" customWidth="1"/>
    <col min="12044" max="12044" width="6.5546875" style="267" customWidth="1"/>
    <col min="12045" max="12045" width="13.5546875" style="267" customWidth="1"/>
    <col min="12046" max="12271" width="8.88671875" style="267"/>
    <col min="12272" max="12272" width="4.5546875" style="267" customWidth="1"/>
    <col min="12273" max="12273" width="19.88671875" style="267" customWidth="1"/>
    <col min="12274" max="12274" width="12.44140625" style="267" customWidth="1"/>
    <col min="12275" max="12275" width="13.88671875" style="267" customWidth="1"/>
    <col min="12276" max="12276" width="12" style="267" customWidth="1"/>
    <col min="12277" max="12277" width="13" style="267" customWidth="1"/>
    <col min="12278" max="12278" width="11.109375" style="267" customWidth="1"/>
    <col min="12279" max="12280" width="13" style="267" customWidth="1"/>
    <col min="12281" max="12281" width="12.5546875" style="267" customWidth="1"/>
    <col min="12282" max="12283" width="8.109375" style="267" customWidth="1"/>
    <col min="12284" max="12284" width="13.109375" style="267" customWidth="1"/>
    <col min="12285" max="12286" width="14" style="267" customWidth="1"/>
    <col min="12287" max="12295" width="14.109375" style="267" customWidth="1"/>
    <col min="12296" max="12296" width="10.109375" style="267" customWidth="1"/>
    <col min="12297" max="12297" width="11.109375" style="267" customWidth="1"/>
    <col min="12298" max="12298" width="13.5546875" style="267" bestFit="1" customWidth="1"/>
    <col min="12299" max="12299" width="5.5546875" style="267" customWidth="1"/>
    <col min="12300" max="12300" width="6.5546875" style="267" customWidth="1"/>
    <col min="12301" max="12301" width="13.5546875" style="267" customWidth="1"/>
    <col min="12302" max="12527" width="8.88671875" style="267"/>
    <col min="12528" max="12528" width="4.5546875" style="267" customWidth="1"/>
    <col min="12529" max="12529" width="19.88671875" style="267" customWidth="1"/>
    <col min="12530" max="12530" width="12.44140625" style="267" customWidth="1"/>
    <col min="12531" max="12531" width="13.88671875" style="267" customWidth="1"/>
    <col min="12532" max="12532" width="12" style="267" customWidth="1"/>
    <col min="12533" max="12533" width="13" style="267" customWidth="1"/>
    <col min="12534" max="12534" width="11.109375" style="267" customWidth="1"/>
    <col min="12535" max="12536" width="13" style="267" customWidth="1"/>
    <col min="12537" max="12537" width="12.5546875" style="267" customWidth="1"/>
    <col min="12538" max="12539" width="8.109375" style="267" customWidth="1"/>
    <col min="12540" max="12540" width="13.109375" style="267" customWidth="1"/>
    <col min="12541" max="12542" width="14" style="267" customWidth="1"/>
    <col min="12543" max="12551" width="14.109375" style="267" customWidth="1"/>
    <col min="12552" max="12552" width="10.109375" style="267" customWidth="1"/>
    <col min="12553" max="12553" width="11.109375" style="267" customWidth="1"/>
    <col min="12554" max="12554" width="13.5546875" style="267" bestFit="1" customWidth="1"/>
    <col min="12555" max="12555" width="5.5546875" style="267" customWidth="1"/>
    <col min="12556" max="12556" width="6.5546875" style="267" customWidth="1"/>
    <col min="12557" max="12557" width="13.5546875" style="267" customWidth="1"/>
    <col min="12558" max="12783" width="8.88671875" style="267"/>
    <col min="12784" max="12784" width="4.5546875" style="267" customWidth="1"/>
    <col min="12785" max="12785" width="19.88671875" style="267" customWidth="1"/>
    <col min="12786" max="12786" width="12.44140625" style="267" customWidth="1"/>
    <col min="12787" max="12787" width="13.88671875" style="267" customWidth="1"/>
    <col min="12788" max="12788" width="12" style="267" customWidth="1"/>
    <col min="12789" max="12789" width="13" style="267" customWidth="1"/>
    <col min="12790" max="12790" width="11.109375" style="267" customWidth="1"/>
    <col min="12791" max="12792" width="13" style="267" customWidth="1"/>
    <col min="12793" max="12793" width="12.5546875" style="267" customWidth="1"/>
    <col min="12794" max="12795" width="8.109375" style="267" customWidth="1"/>
    <col min="12796" max="12796" width="13.109375" style="267" customWidth="1"/>
    <col min="12797" max="12798" width="14" style="267" customWidth="1"/>
    <col min="12799" max="12807" width="14.109375" style="267" customWidth="1"/>
    <col min="12808" max="12808" width="10.109375" style="267" customWidth="1"/>
    <col min="12809" max="12809" width="11.109375" style="267" customWidth="1"/>
    <col min="12810" max="12810" width="13.5546875" style="267" bestFit="1" customWidth="1"/>
    <col min="12811" max="12811" width="5.5546875" style="267" customWidth="1"/>
    <col min="12812" max="12812" width="6.5546875" style="267" customWidth="1"/>
    <col min="12813" max="12813" width="13.5546875" style="267" customWidth="1"/>
    <col min="12814" max="13039" width="8.88671875" style="267"/>
    <col min="13040" max="13040" width="4.5546875" style="267" customWidth="1"/>
    <col min="13041" max="13041" width="19.88671875" style="267" customWidth="1"/>
    <col min="13042" max="13042" width="12.44140625" style="267" customWidth="1"/>
    <col min="13043" max="13043" width="13.88671875" style="267" customWidth="1"/>
    <col min="13044" max="13044" width="12" style="267" customWidth="1"/>
    <col min="13045" max="13045" width="13" style="267" customWidth="1"/>
    <col min="13046" max="13046" width="11.109375" style="267" customWidth="1"/>
    <col min="13047" max="13048" width="13" style="267" customWidth="1"/>
    <col min="13049" max="13049" width="12.5546875" style="267" customWidth="1"/>
    <col min="13050" max="13051" width="8.109375" style="267" customWidth="1"/>
    <col min="13052" max="13052" width="13.109375" style="267" customWidth="1"/>
    <col min="13053" max="13054" width="14" style="267" customWidth="1"/>
    <col min="13055" max="13063" width="14.109375" style="267" customWidth="1"/>
    <col min="13064" max="13064" width="10.109375" style="267" customWidth="1"/>
    <col min="13065" max="13065" width="11.109375" style="267" customWidth="1"/>
    <col min="13066" max="13066" width="13.5546875" style="267" bestFit="1" customWidth="1"/>
    <col min="13067" max="13067" width="5.5546875" style="267" customWidth="1"/>
    <col min="13068" max="13068" width="6.5546875" style="267" customWidth="1"/>
    <col min="13069" max="13069" width="13.5546875" style="267" customWidth="1"/>
    <col min="13070" max="13295" width="8.88671875" style="267"/>
    <col min="13296" max="13296" width="4.5546875" style="267" customWidth="1"/>
    <col min="13297" max="13297" width="19.88671875" style="267" customWidth="1"/>
    <col min="13298" max="13298" width="12.44140625" style="267" customWidth="1"/>
    <col min="13299" max="13299" width="13.88671875" style="267" customWidth="1"/>
    <col min="13300" max="13300" width="12" style="267" customWidth="1"/>
    <col min="13301" max="13301" width="13" style="267" customWidth="1"/>
    <col min="13302" max="13302" width="11.109375" style="267" customWidth="1"/>
    <col min="13303" max="13304" width="13" style="267" customWidth="1"/>
    <col min="13305" max="13305" width="12.5546875" style="267" customWidth="1"/>
    <col min="13306" max="13307" width="8.109375" style="267" customWidth="1"/>
    <col min="13308" max="13308" width="13.109375" style="267" customWidth="1"/>
    <col min="13309" max="13310" width="14" style="267" customWidth="1"/>
    <col min="13311" max="13319" width="14.109375" style="267" customWidth="1"/>
    <col min="13320" max="13320" width="10.109375" style="267" customWidth="1"/>
    <col min="13321" max="13321" width="11.109375" style="267" customWidth="1"/>
    <col min="13322" max="13322" width="13.5546875" style="267" bestFit="1" customWidth="1"/>
    <col min="13323" max="13323" width="5.5546875" style="267" customWidth="1"/>
    <col min="13324" max="13324" width="6.5546875" style="267" customWidth="1"/>
    <col min="13325" max="13325" width="13.5546875" style="267" customWidth="1"/>
    <col min="13326" max="13551" width="8.88671875" style="267"/>
    <col min="13552" max="13552" width="4.5546875" style="267" customWidth="1"/>
    <col min="13553" max="13553" width="19.88671875" style="267" customWidth="1"/>
    <col min="13554" max="13554" width="12.44140625" style="267" customWidth="1"/>
    <col min="13555" max="13555" width="13.88671875" style="267" customWidth="1"/>
    <col min="13556" max="13556" width="12" style="267" customWidth="1"/>
    <col min="13557" max="13557" width="13" style="267" customWidth="1"/>
    <col min="13558" max="13558" width="11.109375" style="267" customWidth="1"/>
    <col min="13559" max="13560" width="13" style="267" customWidth="1"/>
    <col min="13561" max="13561" width="12.5546875" style="267" customWidth="1"/>
    <col min="13562" max="13563" width="8.109375" style="267" customWidth="1"/>
    <col min="13564" max="13564" width="13.109375" style="267" customWidth="1"/>
    <col min="13565" max="13566" width="14" style="267" customWidth="1"/>
    <col min="13567" max="13575" width="14.109375" style="267" customWidth="1"/>
    <col min="13576" max="13576" width="10.109375" style="267" customWidth="1"/>
    <col min="13577" max="13577" width="11.109375" style="267" customWidth="1"/>
    <col min="13578" max="13578" width="13.5546875" style="267" bestFit="1" customWidth="1"/>
    <col min="13579" max="13579" width="5.5546875" style="267" customWidth="1"/>
    <col min="13580" max="13580" width="6.5546875" style="267" customWidth="1"/>
    <col min="13581" max="13581" width="13.5546875" style="267" customWidth="1"/>
    <col min="13582" max="13807" width="8.88671875" style="267"/>
    <col min="13808" max="13808" width="4.5546875" style="267" customWidth="1"/>
    <col min="13809" max="13809" width="19.88671875" style="267" customWidth="1"/>
    <col min="13810" max="13810" width="12.44140625" style="267" customWidth="1"/>
    <col min="13811" max="13811" width="13.88671875" style="267" customWidth="1"/>
    <col min="13812" max="13812" width="12" style="267" customWidth="1"/>
    <col min="13813" max="13813" width="13" style="267" customWidth="1"/>
    <col min="13814" max="13814" width="11.109375" style="267" customWidth="1"/>
    <col min="13815" max="13816" width="13" style="267" customWidth="1"/>
    <col min="13817" max="13817" width="12.5546875" style="267" customWidth="1"/>
    <col min="13818" max="13819" width="8.109375" style="267" customWidth="1"/>
    <col min="13820" max="13820" width="13.109375" style="267" customWidth="1"/>
    <col min="13821" max="13822" width="14" style="267" customWidth="1"/>
    <col min="13823" max="13831" width="14.109375" style="267" customWidth="1"/>
    <col min="13832" max="13832" width="10.109375" style="267" customWidth="1"/>
    <col min="13833" max="13833" width="11.109375" style="267" customWidth="1"/>
    <col min="13834" max="13834" width="13.5546875" style="267" bestFit="1" customWidth="1"/>
    <col min="13835" max="13835" width="5.5546875" style="267" customWidth="1"/>
    <col min="13836" max="13836" width="6.5546875" style="267" customWidth="1"/>
    <col min="13837" max="13837" width="13.5546875" style="267" customWidth="1"/>
    <col min="13838" max="14063" width="8.88671875" style="267"/>
    <col min="14064" max="14064" width="4.5546875" style="267" customWidth="1"/>
    <col min="14065" max="14065" width="19.88671875" style="267" customWidth="1"/>
    <col min="14066" max="14066" width="12.44140625" style="267" customWidth="1"/>
    <col min="14067" max="14067" width="13.88671875" style="267" customWidth="1"/>
    <col min="14068" max="14068" width="12" style="267" customWidth="1"/>
    <col min="14069" max="14069" width="13" style="267" customWidth="1"/>
    <col min="14070" max="14070" width="11.109375" style="267" customWidth="1"/>
    <col min="14071" max="14072" width="13" style="267" customWidth="1"/>
    <col min="14073" max="14073" width="12.5546875" style="267" customWidth="1"/>
    <col min="14074" max="14075" width="8.109375" style="267" customWidth="1"/>
    <col min="14076" max="14076" width="13.109375" style="267" customWidth="1"/>
    <col min="14077" max="14078" width="14" style="267" customWidth="1"/>
    <col min="14079" max="14087" width="14.109375" style="267" customWidth="1"/>
    <col min="14088" max="14088" width="10.109375" style="267" customWidth="1"/>
    <col min="14089" max="14089" width="11.109375" style="267" customWidth="1"/>
    <col min="14090" max="14090" width="13.5546875" style="267" bestFit="1" customWidth="1"/>
    <col min="14091" max="14091" width="5.5546875" style="267" customWidth="1"/>
    <col min="14092" max="14092" width="6.5546875" style="267" customWidth="1"/>
    <col min="14093" max="14093" width="13.5546875" style="267" customWidth="1"/>
    <col min="14094" max="14319" width="8.88671875" style="267"/>
    <col min="14320" max="14320" width="4.5546875" style="267" customWidth="1"/>
    <col min="14321" max="14321" width="19.88671875" style="267" customWidth="1"/>
    <col min="14322" max="14322" width="12.44140625" style="267" customWidth="1"/>
    <col min="14323" max="14323" width="13.88671875" style="267" customWidth="1"/>
    <col min="14324" max="14324" width="12" style="267" customWidth="1"/>
    <col min="14325" max="14325" width="13" style="267" customWidth="1"/>
    <col min="14326" max="14326" width="11.109375" style="267" customWidth="1"/>
    <col min="14327" max="14328" width="13" style="267" customWidth="1"/>
    <col min="14329" max="14329" width="12.5546875" style="267" customWidth="1"/>
    <col min="14330" max="14331" width="8.109375" style="267" customWidth="1"/>
    <col min="14332" max="14332" width="13.109375" style="267" customWidth="1"/>
    <col min="14333" max="14334" width="14" style="267" customWidth="1"/>
    <col min="14335" max="14343" width="14.109375" style="267" customWidth="1"/>
    <col min="14344" max="14344" width="10.109375" style="267" customWidth="1"/>
    <col min="14345" max="14345" width="11.109375" style="267" customWidth="1"/>
    <col min="14346" max="14346" width="13.5546875" style="267" bestFit="1" customWidth="1"/>
    <col min="14347" max="14347" width="5.5546875" style="267" customWidth="1"/>
    <col min="14348" max="14348" width="6.5546875" style="267" customWidth="1"/>
    <col min="14349" max="14349" width="13.5546875" style="267" customWidth="1"/>
    <col min="14350" max="14575" width="8.88671875" style="267"/>
    <col min="14576" max="14576" width="4.5546875" style="267" customWidth="1"/>
    <col min="14577" max="14577" width="19.88671875" style="267" customWidth="1"/>
    <col min="14578" max="14578" width="12.44140625" style="267" customWidth="1"/>
    <col min="14579" max="14579" width="13.88671875" style="267" customWidth="1"/>
    <col min="14580" max="14580" width="12" style="267" customWidth="1"/>
    <col min="14581" max="14581" width="13" style="267" customWidth="1"/>
    <col min="14582" max="14582" width="11.109375" style="267" customWidth="1"/>
    <col min="14583" max="14584" width="13" style="267" customWidth="1"/>
    <col min="14585" max="14585" width="12.5546875" style="267" customWidth="1"/>
    <col min="14586" max="14587" width="8.109375" style="267" customWidth="1"/>
    <col min="14588" max="14588" width="13.109375" style="267" customWidth="1"/>
    <col min="14589" max="14590" width="14" style="267" customWidth="1"/>
    <col min="14591" max="14599" width="14.109375" style="267" customWidth="1"/>
    <col min="14600" max="14600" width="10.109375" style="267" customWidth="1"/>
    <col min="14601" max="14601" width="11.109375" style="267" customWidth="1"/>
    <col min="14602" max="14602" width="13.5546875" style="267" bestFit="1" customWidth="1"/>
    <col min="14603" max="14603" width="5.5546875" style="267" customWidth="1"/>
    <col min="14604" max="14604" width="6.5546875" style="267" customWidth="1"/>
    <col min="14605" max="14605" width="13.5546875" style="267" customWidth="1"/>
    <col min="14606" max="14831" width="8.88671875" style="267"/>
    <col min="14832" max="14832" width="4.5546875" style="267" customWidth="1"/>
    <col min="14833" max="14833" width="19.88671875" style="267" customWidth="1"/>
    <col min="14834" max="14834" width="12.44140625" style="267" customWidth="1"/>
    <col min="14835" max="14835" width="13.88671875" style="267" customWidth="1"/>
    <col min="14836" max="14836" width="12" style="267" customWidth="1"/>
    <col min="14837" max="14837" width="13" style="267" customWidth="1"/>
    <col min="14838" max="14838" width="11.109375" style="267" customWidth="1"/>
    <col min="14839" max="14840" width="13" style="267" customWidth="1"/>
    <col min="14841" max="14841" width="12.5546875" style="267" customWidth="1"/>
    <col min="14842" max="14843" width="8.109375" style="267" customWidth="1"/>
    <col min="14844" max="14844" width="13.109375" style="267" customWidth="1"/>
    <col min="14845" max="14846" width="14" style="267" customWidth="1"/>
    <col min="14847" max="14855" width="14.109375" style="267" customWidth="1"/>
    <col min="14856" max="14856" width="10.109375" style="267" customWidth="1"/>
    <col min="14857" max="14857" width="11.109375" style="267" customWidth="1"/>
    <col min="14858" max="14858" width="13.5546875" style="267" bestFit="1" customWidth="1"/>
    <col min="14859" max="14859" width="5.5546875" style="267" customWidth="1"/>
    <col min="14860" max="14860" width="6.5546875" style="267" customWidth="1"/>
    <col min="14861" max="14861" width="13.5546875" style="267" customWidth="1"/>
    <col min="14862" max="15087" width="8.88671875" style="267"/>
    <col min="15088" max="15088" width="4.5546875" style="267" customWidth="1"/>
    <col min="15089" max="15089" width="19.88671875" style="267" customWidth="1"/>
    <col min="15090" max="15090" width="12.44140625" style="267" customWidth="1"/>
    <col min="15091" max="15091" width="13.88671875" style="267" customWidth="1"/>
    <col min="15092" max="15092" width="12" style="267" customWidth="1"/>
    <col min="15093" max="15093" width="13" style="267" customWidth="1"/>
    <col min="15094" max="15094" width="11.109375" style="267" customWidth="1"/>
    <col min="15095" max="15096" width="13" style="267" customWidth="1"/>
    <col min="15097" max="15097" width="12.5546875" style="267" customWidth="1"/>
    <col min="15098" max="15099" width="8.109375" style="267" customWidth="1"/>
    <col min="15100" max="15100" width="13.109375" style="267" customWidth="1"/>
    <col min="15101" max="15102" width="14" style="267" customWidth="1"/>
    <col min="15103" max="15111" width="14.109375" style="267" customWidth="1"/>
    <col min="15112" max="15112" width="10.109375" style="267" customWidth="1"/>
    <col min="15113" max="15113" width="11.109375" style="267" customWidth="1"/>
    <col min="15114" max="15114" width="13.5546875" style="267" bestFit="1" customWidth="1"/>
    <col min="15115" max="15115" width="5.5546875" style="267" customWidth="1"/>
    <col min="15116" max="15116" width="6.5546875" style="267" customWidth="1"/>
    <col min="15117" max="15117" width="13.5546875" style="267" customWidth="1"/>
    <col min="15118" max="15343" width="8.88671875" style="267"/>
    <col min="15344" max="15344" width="4.5546875" style="267" customWidth="1"/>
    <col min="15345" max="15345" width="19.88671875" style="267" customWidth="1"/>
    <col min="15346" max="15346" width="12.44140625" style="267" customWidth="1"/>
    <col min="15347" max="15347" width="13.88671875" style="267" customWidth="1"/>
    <col min="15348" max="15348" width="12" style="267" customWidth="1"/>
    <col min="15349" max="15349" width="13" style="267" customWidth="1"/>
    <col min="15350" max="15350" width="11.109375" style="267" customWidth="1"/>
    <col min="15351" max="15352" width="13" style="267" customWidth="1"/>
    <col min="15353" max="15353" width="12.5546875" style="267" customWidth="1"/>
    <col min="15354" max="15355" width="8.109375" style="267" customWidth="1"/>
    <col min="15356" max="15356" width="13.109375" style="267" customWidth="1"/>
    <col min="15357" max="15358" width="14" style="267" customWidth="1"/>
    <col min="15359" max="15367" width="14.109375" style="267" customWidth="1"/>
    <col min="15368" max="15368" width="10.109375" style="267" customWidth="1"/>
    <col min="15369" max="15369" width="11.109375" style="267" customWidth="1"/>
    <col min="15370" max="15370" width="13.5546875" style="267" bestFit="1" customWidth="1"/>
    <col min="15371" max="15371" width="5.5546875" style="267" customWidth="1"/>
    <col min="15372" max="15372" width="6.5546875" style="267" customWidth="1"/>
    <col min="15373" max="15373" width="13.5546875" style="267" customWidth="1"/>
    <col min="15374" max="15599" width="8.88671875" style="267"/>
    <col min="15600" max="15600" width="4.5546875" style="267" customWidth="1"/>
    <col min="15601" max="15601" width="19.88671875" style="267" customWidth="1"/>
    <col min="15602" max="15602" width="12.44140625" style="267" customWidth="1"/>
    <col min="15603" max="15603" width="13.88671875" style="267" customWidth="1"/>
    <col min="15604" max="15604" width="12" style="267" customWidth="1"/>
    <col min="15605" max="15605" width="13" style="267" customWidth="1"/>
    <col min="15606" max="15606" width="11.109375" style="267" customWidth="1"/>
    <col min="15607" max="15608" width="13" style="267" customWidth="1"/>
    <col min="15609" max="15609" width="12.5546875" style="267" customWidth="1"/>
    <col min="15610" max="15611" width="8.109375" style="267" customWidth="1"/>
    <col min="15612" max="15612" width="13.109375" style="267" customWidth="1"/>
    <col min="15613" max="15614" width="14" style="267" customWidth="1"/>
    <col min="15615" max="15623" width="14.109375" style="267" customWidth="1"/>
    <col min="15624" max="15624" width="10.109375" style="267" customWidth="1"/>
    <col min="15625" max="15625" width="11.109375" style="267" customWidth="1"/>
    <col min="15626" max="15626" width="13.5546875" style="267" bestFit="1" customWidth="1"/>
    <col min="15627" max="15627" width="5.5546875" style="267" customWidth="1"/>
    <col min="15628" max="15628" width="6.5546875" style="267" customWidth="1"/>
    <col min="15629" max="15629" width="13.5546875" style="267" customWidth="1"/>
    <col min="15630" max="15855" width="8.88671875" style="267"/>
    <col min="15856" max="15856" width="4.5546875" style="267" customWidth="1"/>
    <col min="15857" max="15857" width="19.88671875" style="267" customWidth="1"/>
    <col min="15858" max="15858" width="12.44140625" style="267" customWidth="1"/>
    <col min="15859" max="15859" width="13.88671875" style="267" customWidth="1"/>
    <col min="15860" max="15860" width="12" style="267" customWidth="1"/>
    <col min="15861" max="15861" width="13" style="267" customWidth="1"/>
    <col min="15862" max="15862" width="11.109375" style="267" customWidth="1"/>
    <col min="15863" max="15864" width="13" style="267" customWidth="1"/>
    <col min="15865" max="15865" width="12.5546875" style="267" customWidth="1"/>
    <col min="15866" max="15867" width="8.109375" style="267" customWidth="1"/>
    <col min="15868" max="15868" width="13.109375" style="267" customWidth="1"/>
    <col min="15869" max="15870" width="14" style="267" customWidth="1"/>
    <col min="15871" max="15879" width="14.109375" style="267" customWidth="1"/>
    <col min="15880" max="15880" width="10.109375" style="267" customWidth="1"/>
    <col min="15881" max="15881" width="11.109375" style="267" customWidth="1"/>
    <col min="15882" max="15882" width="13.5546875" style="267" bestFit="1" customWidth="1"/>
    <col min="15883" max="15883" width="5.5546875" style="267" customWidth="1"/>
    <col min="15884" max="15884" width="6.5546875" style="267" customWidth="1"/>
    <col min="15885" max="15885" width="13.5546875" style="267" customWidth="1"/>
    <col min="15886" max="16111" width="8.88671875" style="267"/>
    <col min="16112" max="16112" width="4.5546875" style="267" customWidth="1"/>
    <col min="16113" max="16113" width="19.88671875" style="267" customWidth="1"/>
    <col min="16114" max="16114" width="12.44140625" style="267" customWidth="1"/>
    <col min="16115" max="16115" width="13.88671875" style="267" customWidth="1"/>
    <col min="16116" max="16116" width="12" style="267" customWidth="1"/>
    <col min="16117" max="16117" width="13" style="267" customWidth="1"/>
    <col min="16118" max="16118" width="11.109375" style="267" customWidth="1"/>
    <col min="16119" max="16120" width="13" style="267" customWidth="1"/>
    <col min="16121" max="16121" width="12.5546875" style="267" customWidth="1"/>
    <col min="16122" max="16123" width="8.109375" style="267" customWidth="1"/>
    <col min="16124" max="16124" width="13.109375" style="267" customWidth="1"/>
    <col min="16125" max="16126" width="14" style="267" customWidth="1"/>
    <col min="16127" max="16135" width="14.109375" style="267" customWidth="1"/>
    <col min="16136" max="16136" width="10.109375" style="267" customWidth="1"/>
    <col min="16137" max="16137" width="11.109375" style="267" customWidth="1"/>
    <col min="16138" max="16138" width="13.5546875" style="267" bestFit="1" customWidth="1"/>
    <col min="16139" max="16139" width="5.5546875" style="267" customWidth="1"/>
    <col min="16140" max="16140" width="6.5546875" style="267" customWidth="1"/>
    <col min="16141" max="16141" width="13.5546875" style="267" customWidth="1"/>
    <col min="16142" max="16384" width="8.88671875" style="267"/>
  </cols>
  <sheetData>
    <row r="1" spans="1:17" s="24" customFormat="1" x14ac:dyDescent="0.3">
      <c r="A1" s="22" t="s">
        <v>3</v>
      </c>
      <c r="B1" s="22"/>
      <c r="C1" s="22"/>
      <c r="D1" s="327"/>
      <c r="F1" s="327" t="s">
        <v>1361</v>
      </c>
      <c r="G1" s="327"/>
      <c r="H1" s="327"/>
      <c r="I1" s="327"/>
      <c r="J1" s="327"/>
      <c r="K1" s="327"/>
      <c r="L1" s="327"/>
    </row>
    <row r="2" spans="1:17" s="24" customFormat="1" ht="15" customHeight="1" x14ac:dyDescent="0.25">
      <c r="A2" s="26" t="s">
        <v>5</v>
      </c>
      <c r="B2" s="26"/>
      <c r="C2" s="26"/>
      <c r="D2" s="1016"/>
      <c r="E2" s="2506" t="s">
        <v>6</v>
      </c>
      <c r="F2" s="2506"/>
      <c r="G2" s="2506"/>
      <c r="H2" s="2506"/>
      <c r="I2" s="2506"/>
      <c r="J2" s="2506"/>
      <c r="K2" s="2506"/>
      <c r="L2" s="1016"/>
    </row>
    <row r="3" spans="1:17" s="262" customFormat="1" ht="14.25" customHeight="1" x14ac:dyDescent="0.3">
      <c r="A3" s="265"/>
      <c r="B3" s="263"/>
      <c r="C3" s="263"/>
      <c r="D3" s="264"/>
      <c r="E3" s="264"/>
      <c r="F3" s="264"/>
      <c r="G3" s="264"/>
      <c r="H3" s="264"/>
      <c r="I3" s="264"/>
      <c r="J3" s="264"/>
      <c r="K3" s="301"/>
      <c r="L3" s="263"/>
      <c r="M3" s="263"/>
      <c r="N3" s="263"/>
      <c r="O3" s="263"/>
      <c r="P3" s="263"/>
      <c r="Q3" s="263"/>
    </row>
    <row r="4" spans="1:17" s="262" customFormat="1" ht="14.25" customHeight="1" x14ac:dyDescent="0.3">
      <c r="A4" s="2535" t="s">
        <v>1246</v>
      </c>
      <c r="B4" s="2535"/>
      <c r="C4" s="2535"/>
      <c r="D4" s="2535"/>
      <c r="E4" s="2535"/>
      <c r="F4" s="2535"/>
      <c r="G4" s="2535"/>
      <c r="H4" s="2535"/>
      <c r="I4" s="2535"/>
      <c r="J4" s="2535"/>
      <c r="K4" s="2535"/>
      <c r="L4" s="263"/>
      <c r="M4" s="263"/>
      <c r="N4" s="263"/>
      <c r="O4" s="263"/>
      <c r="P4" s="263"/>
      <c r="Q4" s="263"/>
    </row>
    <row r="5" spans="1:17" ht="21.75" customHeight="1" thickBot="1" x14ac:dyDescent="0.35">
      <c r="A5" s="266"/>
      <c r="B5" s="267"/>
      <c r="C5" s="267"/>
    </row>
    <row r="6" spans="1:17" s="299" customFormat="1" ht="28.5" customHeight="1" thickTop="1" x14ac:dyDescent="0.3">
      <c r="A6" s="2508" t="s">
        <v>0</v>
      </c>
      <c r="B6" s="2510" t="s">
        <v>281</v>
      </c>
      <c r="C6" s="2512" t="s">
        <v>310</v>
      </c>
      <c r="D6" s="2513" t="s">
        <v>727</v>
      </c>
      <c r="E6" s="2513" t="s">
        <v>447</v>
      </c>
      <c r="F6" s="2536" t="s">
        <v>380</v>
      </c>
      <c r="G6" s="2537"/>
      <c r="H6" s="2538"/>
      <c r="I6" s="2513" t="s">
        <v>1247</v>
      </c>
      <c r="J6" s="2502" t="s">
        <v>381</v>
      </c>
      <c r="K6" s="2504" t="s">
        <v>319</v>
      </c>
    </row>
    <row r="7" spans="1:17" s="299" customFormat="1" ht="49.5" customHeight="1" x14ac:dyDescent="0.3">
      <c r="A7" s="2509"/>
      <c r="B7" s="2511"/>
      <c r="C7" s="2511"/>
      <c r="D7" s="2514"/>
      <c r="E7" s="2515"/>
      <c r="F7" s="1077" t="s">
        <v>1081</v>
      </c>
      <c r="G7" s="1077" t="s">
        <v>1082</v>
      </c>
      <c r="H7" s="1077" t="s">
        <v>1083</v>
      </c>
      <c r="I7" s="2515"/>
      <c r="J7" s="2503"/>
      <c r="K7" s="2505"/>
      <c r="M7" s="2534"/>
      <c r="N7" s="2534"/>
    </row>
    <row r="8" spans="1:17" s="299" customFormat="1" ht="30.75" customHeight="1" x14ac:dyDescent="0.25">
      <c r="A8" s="1905">
        <v>6</v>
      </c>
      <c r="B8" s="1906" t="s">
        <v>291</v>
      </c>
      <c r="C8" s="1906" t="s">
        <v>2311</v>
      </c>
      <c r="D8" s="1907">
        <v>15000000</v>
      </c>
      <c r="E8" s="1908">
        <v>25</v>
      </c>
      <c r="F8" s="1907"/>
      <c r="G8" s="1907"/>
      <c r="H8" s="485"/>
      <c r="I8" s="1909"/>
      <c r="J8" s="2095">
        <f>D8/25*E8</f>
        <v>15000000</v>
      </c>
      <c r="K8" s="1910" t="s">
        <v>2364</v>
      </c>
    </row>
    <row r="9" spans="1:17" s="299" customFormat="1" ht="29.25" customHeight="1" x14ac:dyDescent="0.25">
      <c r="A9" s="484">
        <v>1</v>
      </c>
      <c r="B9" s="345" t="s">
        <v>296</v>
      </c>
      <c r="C9" s="345" t="s">
        <v>355</v>
      </c>
      <c r="D9" s="485">
        <v>8000000</v>
      </c>
      <c r="E9" s="1838">
        <v>25</v>
      </c>
      <c r="F9" s="485"/>
      <c r="G9" s="485"/>
      <c r="H9" s="485"/>
      <c r="I9" s="485"/>
      <c r="J9" s="2095">
        <f>D9/25*E9</f>
        <v>8000000</v>
      </c>
      <c r="K9" s="2026" t="s">
        <v>2363</v>
      </c>
    </row>
    <row r="10" spans="1:17" s="299" customFormat="1" ht="28.5" customHeight="1" x14ac:dyDescent="0.25">
      <c r="A10" s="484">
        <v>2</v>
      </c>
      <c r="B10" s="991" t="s">
        <v>365</v>
      </c>
      <c r="C10" s="345" t="s">
        <v>366</v>
      </c>
      <c r="D10" s="485">
        <v>5000000</v>
      </c>
      <c r="E10" s="1838">
        <v>25</v>
      </c>
      <c r="F10" s="485"/>
      <c r="G10" s="485"/>
      <c r="H10" s="485"/>
      <c r="I10" s="485"/>
      <c r="J10" s="485">
        <f t="shared" ref="J10:J15" si="0">D10/25*E10</f>
        <v>5000000</v>
      </c>
      <c r="K10" s="2026" t="s">
        <v>2363</v>
      </c>
    </row>
    <row r="11" spans="1:17" s="299" customFormat="1" ht="34.5" customHeight="1" x14ac:dyDescent="0.25">
      <c r="A11" s="484">
        <v>3</v>
      </c>
      <c r="B11" s="345" t="s">
        <v>885</v>
      </c>
      <c r="C11" s="345" t="s">
        <v>366</v>
      </c>
      <c r="D11" s="485">
        <v>4000000</v>
      </c>
      <c r="E11" s="1838">
        <v>25</v>
      </c>
      <c r="F11" s="485"/>
      <c r="G11" s="485"/>
      <c r="H11" s="485"/>
      <c r="I11" s="485"/>
      <c r="J11" s="485">
        <f t="shared" si="0"/>
        <v>4000000</v>
      </c>
      <c r="K11" s="2026" t="s">
        <v>2363</v>
      </c>
    </row>
    <row r="12" spans="1:17" s="299" customFormat="1" ht="26.25" customHeight="1" x14ac:dyDescent="0.25">
      <c r="A12" s="484">
        <v>4</v>
      </c>
      <c r="B12" s="345" t="s">
        <v>370</v>
      </c>
      <c r="C12" s="345" t="s">
        <v>371</v>
      </c>
      <c r="D12" s="485">
        <v>8000000</v>
      </c>
      <c r="E12" s="1838">
        <f>25-7</f>
        <v>18</v>
      </c>
      <c r="F12" s="485"/>
      <c r="G12" s="485"/>
      <c r="H12" s="485"/>
      <c r="I12" s="485"/>
      <c r="J12" s="485">
        <f t="shared" si="0"/>
        <v>5760000</v>
      </c>
      <c r="K12" s="2026" t="s">
        <v>2363</v>
      </c>
    </row>
    <row r="13" spans="1:17" customFormat="1" ht="14.4" x14ac:dyDescent="0.3">
      <c r="A13" s="484">
        <v>5</v>
      </c>
      <c r="B13" s="1764" t="s">
        <v>1160</v>
      </c>
      <c r="C13" s="1762" t="s">
        <v>428</v>
      </c>
      <c r="D13" s="363">
        <v>8000000</v>
      </c>
      <c r="E13" s="1776">
        <v>25</v>
      </c>
      <c r="F13" s="1742"/>
      <c r="G13" s="480"/>
      <c r="H13" s="1743">
        <f t="shared" ref="H13" si="1">D13/26*E13-F13-G13</f>
        <v>7692307.692307692</v>
      </c>
      <c r="I13" s="1742"/>
      <c r="J13" s="485">
        <f t="shared" si="0"/>
        <v>8000000</v>
      </c>
      <c r="K13" s="2026" t="s">
        <v>2363</v>
      </c>
    </row>
    <row r="14" spans="1:17" s="299" customFormat="1" ht="27.75" customHeight="1" x14ac:dyDescent="0.25">
      <c r="A14" s="484">
        <v>6</v>
      </c>
      <c r="B14" s="495" t="s">
        <v>724</v>
      </c>
      <c r="C14" s="495" t="s">
        <v>725</v>
      </c>
      <c r="D14" s="496">
        <v>5000000</v>
      </c>
      <c r="E14" s="1838">
        <v>25</v>
      </c>
      <c r="F14" s="496"/>
      <c r="G14" s="496"/>
      <c r="H14" s="496"/>
      <c r="I14" s="496"/>
      <c r="J14" s="485">
        <f t="shared" si="0"/>
        <v>5000000</v>
      </c>
      <c r="K14" s="2026" t="s">
        <v>2363</v>
      </c>
    </row>
    <row r="15" spans="1:17" s="299" customFormat="1" ht="30.75" customHeight="1" x14ac:dyDescent="0.25">
      <c r="A15" s="484">
        <v>7</v>
      </c>
      <c r="B15" s="495" t="s">
        <v>1350</v>
      </c>
      <c r="C15" s="345" t="s">
        <v>371</v>
      </c>
      <c r="D15" s="496">
        <v>4000000</v>
      </c>
      <c r="E15" s="1838">
        <v>25</v>
      </c>
      <c r="F15" s="496"/>
      <c r="G15" s="496"/>
      <c r="H15" s="496"/>
      <c r="I15" s="496"/>
      <c r="J15" s="485">
        <f t="shared" si="0"/>
        <v>4000000</v>
      </c>
      <c r="K15" s="2027" t="s">
        <v>2362</v>
      </c>
    </row>
    <row r="16" spans="1:17" s="300" customFormat="1" ht="23.25" customHeight="1" thickBot="1" x14ac:dyDescent="0.35">
      <c r="A16" s="498"/>
      <c r="B16" s="499" t="s">
        <v>377</v>
      </c>
      <c r="C16" s="500"/>
      <c r="D16" s="502">
        <f>SUBTOTAL(9,D8:D15)</f>
        <v>57000000</v>
      </c>
      <c r="E16" s="1880"/>
      <c r="F16" s="501">
        <f t="shared" ref="F16:I16" si="2">SUBTOTAL(9,F9:F15)</f>
        <v>0</v>
      </c>
      <c r="G16" s="501">
        <f t="shared" si="2"/>
        <v>0</v>
      </c>
      <c r="H16" s="501">
        <f>SUBTOTAL(9,H8:H15)</f>
        <v>7692307.692307692</v>
      </c>
      <c r="I16" s="501">
        <f t="shared" si="2"/>
        <v>0</v>
      </c>
      <c r="J16" s="502">
        <f>SUBTOTAL(9,J8:J15)</f>
        <v>54760000</v>
      </c>
      <c r="K16" s="503"/>
    </row>
    <row r="17" spans="1:11" ht="10.5" customHeight="1" thickTop="1" x14ac:dyDescent="0.3"/>
    <row r="18" spans="1:11" x14ac:dyDescent="0.3">
      <c r="K18" s="275"/>
    </row>
    <row r="19" spans="1:11" s="303" customFormat="1" x14ac:dyDescent="0.3">
      <c r="A19" s="302"/>
      <c r="B19" s="303" t="s">
        <v>378</v>
      </c>
      <c r="E19" s="304"/>
      <c r="F19" s="304"/>
      <c r="G19" s="304"/>
      <c r="I19" s="304" t="s">
        <v>303</v>
      </c>
      <c r="K19" s="305"/>
    </row>
    <row r="20" spans="1:11" x14ac:dyDescent="0.3">
      <c r="A20" s="267"/>
      <c r="B20" s="1075" t="s">
        <v>1101</v>
      </c>
      <c r="C20" s="267"/>
      <c r="D20" s="267"/>
      <c r="E20" s="1075"/>
      <c r="F20" s="1075"/>
      <c r="G20" s="1075"/>
      <c r="H20" s="267"/>
      <c r="I20" s="1075" t="s">
        <v>243</v>
      </c>
      <c r="J20" s="267"/>
      <c r="K20" s="275"/>
    </row>
  </sheetData>
  <mergeCells count="12">
    <mergeCell ref="E2:K2"/>
    <mergeCell ref="I6:I7"/>
    <mergeCell ref="J6:J7"/>
    <mergeCell ref="K6:K7"/>
    <mergeCell ref="M7:N7"/>
    <mergeCell ref="A4:K4"/>
    <mergeCell ref="A6:A7"/>
    <mergeCell ref="B6:B7"/>
    <mergeCell ref="C6:C7"/>
    <mergeCell ref="D6:D7"/>
    <mergeCell ref="E6:E7"/>
    <mergeCell ref="F6:H6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8"/>
  <sheetViews>
    <sheetView topLeftCell="A6" workbookViewId="0">
      <selection activeCell="C16" sqref="C16"/>
    </sheetView>
  </sheetViews>
  <sheetFormatPr defaultColWidth="8.88671875" defaultRowHeight="16.8" x14ac:dyDescent="0.3"/>
  <cols>
    <col min="1" max="1" width="4.5546875" style="271" customWidth="1"/>
    <col min="2" max="2" width="15.109375" style="272" customWidth="1"/>
    <col min="3" max="3" width="22.109375" style="469" customWidth="1"/>
    <col min="4" max="4" width="12" style="268" customWidth="1"/>
    <col min="5" max="5" width="9.44140625" style="268" customWidth="1"/>
    <col min="6" max="8" width="9.88671875" style="268" customWidth="1"/>
    <col min="9" max="9" width="11.5546875" style="268" customWidth="1"/>
    <col min="10" max="10" width="11" style="269" customWidth="1"/>
    <col min="11" max="11" width="13.5546875" style="267" customWidth="1"/>
    <col min="12" max="237" width="8.88671875" style="267"/>
    <col min="238" max="238" width="4.5546875" style="267" customWidth="1"/>
    <col min="239" max="239" width="19.88671875" style="267" customWidth="1"/>
    <col min="240" max="240" width="12.44140625" style="267" customWidth="1"/>
    <col min="241" max="241" width="13.88671875" style="267" customWidth="1"/>
    <col min="242" max="242" width="12" style="267" customWidth="1"/>
    <col min="243" max="243" width="13" style="267" customWidth="1"/>
    <col min="244" max="244" width="11.109375" style="267" customWidth="1"/>
    <col min="245" max="246" width="13" style="267" customWidth="1"/>
    <col min="247" max="247" width="12.5546875" style="267" customWidth="1"/>
    <col min="248" max="249" width="8.109375" style="267" customWidth="1"/>
    <col min="250" max="250" width="13.109375" style="267" customWidth="1"/>
    <col min="251" max="252" width="14" style="267" customWidth="1"/>
    <col min="253" max="261" width="14.109375" style="267" customWidth="1"/>
    <col min="262" max="262" width="10.109375" style="267" customWidth="1"/>
    <col min="263" max="263" width="11.109375" style="267" customWidth="1"/>
    <col min="264" max="264" width="13.5546875" style="267" bestFit="1" customWidth="1"/>
    <col min="265" max="265" width="5.5546875" style="267" customWidth="1"/>
    <col min="266" max="266" width="6.5546875" style="267" customWidth="1"/>
    <col min="267" max="267" width="13.5546875" style="267" customWidth="1"/>
    <col min="268" max="493" width="8.88671875" style="267"/>
    <col min="494" max="494" width="4.5546875" style="267" customWidth="1"/>
    <col min="495" max="495" width="19.88671875" style="267" customWidth="1"/>
    <col min="496" max="496" width="12.44140625" style="267" customWidth="1"/>
    <col min="497" max="497" width="13.88671875" style="267" customWidth="1"/>
    <col min="498" max="498" width="12" style="267" customWidth="1"/>
    <col min="499" max="499" width="13" style="267" customWidth="1"/>
    <col min="500" max="500" width="11.109375" style="267" customWidth="1"/>
    <col min="501" max="502" width="13" style="267" customWidth="1"/>
    <col min="503" max="503" width="12.5546875" style="267" customWidth="1"/>
    <col min="504" max="505" width="8.109375" style="267" customWidth="1"/>
    <col min="506" max="506" width="13.109375" style="267" customWidth="1"/>
    <col min="507" max="508" width="14" style="267" customWidth="1"/>
    <col min="509" max="517" width="14.109375" style="267" customWidth="1"/>
    <col min="518" max="518" width="10.109375" style="267" customWidth="1"/>
    <col min="519" max="519" width="11.109375" style="267" customWidth="1"/>
    <col min="520" max="520" width="13.5546875" style="267" bestFit="1" customWidth="1"/>
    <col min="521" max="521" width="5.5546875" style="267" customWidth="1"/>
    <col min="522" max="522" width="6.5546875" style="267" customWidth="1"/>
    <col min="523" max="523" width="13.5546875" style="267" customWidth="1"/>
    <col min="524" max="749" width="8.88671875" style="267"/>
    <col min="750" max="750" width="4.5546875" style="267" customWidth="1"/>
    <col min="751" max="751" width="19.88671875" style="267" customWidth="1"/>
    <col min="752" max="752" width="12.44140625" style="267" customWidth="1"/>
    <col min="753" max="753" width="13.88671875" style="267" customWidth="1"/>
    <col min="754" max="754" width="12" style="267" customWidth="1"/>
    <col min="755" max="755" width="13" style="267" customWidth="1"/>
    <col min="756" max="756" width="11.109375" style="267" customWidth="1"/>
    <col min="757" max="758" width="13" style="267" customWidth="1"/>
    <col min="759" max="759" width="12.5546875" style="267" customWidth="1"/>
    <col min="760" max="761" width="8.109375" style="267" customWidth="1"/>
    <col min="762" max="762" width="13.109375" style="267" customWidth="1"/>
    <col min="763" max="764" width="14" style="267" customWidth="1"/>
    <col min="765" max="773" width="14.109375" style="267" customWidth="1"/>
    <col min="774" max="774" width="10.109375" style="267" customWidth="1"/>
    <col min="775" max="775" width="11.109375" style="267" customWidth="1"/>
    <col min="776" max="776" width="13.5546875" style="267" bestFit="1" customWidth="1"/>
    <col min="777" max="777" width="5.5546875" style="267" customWidth="1"/>
    <col min="778" max="778" width="6.5546875" style="267" customWidth="1"/>
    <col min="779" max="779" width="13.5546875" style="267" customWidth="1"/>
    <col min="780" max="1005" width="8.88671875" style="267"/>
    <col min="1006" max="1006" width="4.5546875" style="267" customWidth="1"/>
    <col min="1007" max="1007" width="19.88671875" style="267" customWidth="1"/>
    <col min="1008" max="1008" width="12.44140625" style="267" customWidth="1"/>
    <col min="1009" max="1009" width="13.88671875" style="267" customWidth="1"/>
    <col min="1010" max="1010" width="12" style="267" customWidth="1"/>
    <col min="1011" max="1011" width="13" style="267" customWidth="1"/>
    <col min="1012" max="1012" width="11.109375" style="267" customWidth="1"/>
    <col min="1013" max="1014" width="13" style="267" customWidth="1"/>
    <col min="1015" max="1015" width="12.5546875" style="267" customWidth="1"/>
    <col min="1016" max="1017" width="8.109375" style="267" customWidth="1"/>
    <col min="1018" max="1018" width="13.109375" style="267" customWidth="1"/>
    <col min="1019" max="1020" width="14" style="267" customWidth="1"/>
    <col min="1021" max="1029" width="14.109375" style="267" customWidth="1"/>
    <col min="1030" max="1030" width="10.109375" style="267" customWidth="1"/>
    <col min="1031" max="1031" width="11.109375" style="267" customWidth="1"/>
    <col min="1032" max="1032" width="13.5546875" style="267" bestFit="1" customWidth="1"/>
    <col min="1033" max="1033" width="5.5546875" style="267" customWidth="1"/>
    <col min="1034" max="1034" width="6.5546875" style="267" customWidth="1"/>
    <col min="1035" max="1035" width="13.5546875" style="267" customWidth="1"/>
    <col min="1036" max="1261" width="8.88671875" style="267"/>
    <col min="1262" max="1262" width="4.5546875" style="267" customWidth="1"/>
    <col min="1263" max="1263" width="19.88671875" style="267" customWidth="1"/>
    <col min="1264" max="1264" width="12.44140625" style="267" customWidth="1"/>
    <col min="1265" max="1265" width="13.88671875" style="267" customWidth="1"/>
    <col min="1266" max="1266" width="12" style="267" customWidth="1"/>
    <col min="1267" max="1267" width="13" style="267" customWidth="1"/>
    <col min="1268" max="1268" width="11.109375" style="267" customWidth="1"/>
    <col min="1269" max="1270" width="13" style="267" customWidth="1"/>
    <col min="1271" max="1271" width="12.5546875" style="267" customWidth="1"/>
    <col min="1272" max="1273" width="8.109375" style="267" customWidth="1"/>
    <col min="1274" max="1274" width="13.109375" style="267" customWidth="1"/>
    <col min="1275" max="1276" width="14" style="267" customWidth="1"/>
    <col min="1277" max="1285" width="14.109375" style="267" customWidth="1"/>
    <col min="1286" max="1286" width="10.109375" style="267" customWidth="1"/>
    <col min="1287" max="1287" width="11.109375" style="267" customWidth="1"/>
    <col min="1288" max="1288" width="13.5546875" style="267" bestFit="1" customWidth="1"/>
    <col min="1289" max="1289" width="5.5546875" style="267" customWidth="1"/>
    <col min="1290" max="1290" width="6.5546875" style="267" customWidth="1"/>
    <col min="1291" max="1291" width="13.5546875" style="267" customWidth="1"/>
    <col min="1292" max="1517" width="8.88671875" style="267"/>
    <col min="1518" max="1518" width="4.5546875" style="267" customWidth="1"/>
    <col min="1519" max="1519" width="19.88671875" style="267" customWidth="1"/>
    <col min="1520" max="1520" width="12.44140625" style="267" customWidth="1"/>
    <col min="1521" max="1521" width="13.88671875" style="267" customWidth="1"/>
    <col min="1522" max="1522" width="12" style="267" customWidth="1"/>
    <col min="1523" max="1523" width="13" style="267" customWidth="1"/>
    <col min="1524" max="1524" width="11.109375" style="267" customWidth="1"/>
    <col min="1525" max="1526" width="13" style="267" customWidth="1"/>
    <col min="1527" max="1527" width="12.5546875" style="267" customWidth="1"/>
    <col min="1528" max="1529" width="8.109375" style="267" customWidth="1"/>
    <col min="1530" max="1530" width="13.109375" style="267" customWidth="1"/>
    <col min="1531" max="1532" width="14" style="267" customWidth="1"/>
    <col min="1533" max="1541" width="14.109375" style="267" customWidth="1"/>
    <col min="1542" max="1542" width="10.109375" style="267" customWidth="1"/>
    <col min="1543" max="1543" width="11.109375" style="267" customWidth="1"/>
    <col min="1544" max="1544" width="13.5546875" style="267" bestFit="1" customWidth="1"/>
    <col min="1545" max="1545" width="5.5546875" style="267" customWidth="1"/>
    <col min="1546" max="1546" width="6.5546875" style="267" customWidth="1"/>
    <col min="1547" max="1547" width="13.5546875" style="267" customWidth="1"/>
    <col min="1548" max="1773" width="8.88671875" style="267"/>
    <col min="1774" max="1774" width="4.5546875" style="267" customWidth="1"/>
    <col min="1775" max="1775" width="19.88671875" style="267" customWidth="1"/>
    <col min="1776" max="1776" width="12.44140625" style="267" customWidth="1"/>
    <col min="1777" max="1777" width="13.88671875" style="267" customWidth="1"/>
    <col min="1778" max="1778" width="12" style="267" customWidth="1"/>
    <col min="1779" max="1779" width="13" style="267" customWidth="1"/>
    <col min="1780" max="1780" width="11.109375" style="267" customWidth="1"/>
    <col min="1781" max="1782" width="13" style="267" customWidth="1"/>
    <col min="1783" max="1783" width="12.5546875" style="267" customWidth="1"/>
    <col min="1784" max="1785" width="8.109375" style="267" customWidth="1"/>
    <col min="1786" max="1786" width="13.109375" style="267" customWidth="1"/>
    <col min="1787" max="1788" width="14" style="267" customWidth="1"/>
    <col min="1789" max="1797" width="14.109375" style="267" customWidth="1"/>
    <col min="1798" max="1798" width="10.109375" style="267" customWidth="1"/>
    <col min="1799" max="1799" width="11.109375" style="267" customWidth="1"/>
    <col min="1800" max="1800" width="13.5546875" style="267" bestFit="1" customWidth="1"/>
    <col min="1801" max="1801" width="5.5546875" style="267" customWidth="1"/>
    <col min="1802" max="1802" width="6.5546875" style="267" customWidth="1"/>
    <col min="1803" max="1803" width="13.5546875" style="267" customWidth="1"/>
    <col min="1804" max="2029" width="8.88671875" style="267"/>
    <col min="2030" max="2030" width="4.5546875" style="267" customWidth="1"/>
    <col min="2031" max="2031" width="19.88671875" style="267" customWidth="1"/>
    <col min="2032" max="2032" width="12.44140625" style="267" customWidth="1"/>
    <col min="2033" max="2033" width="13.88671875" style="267" customWidth="1"/>
    <col min="2034" max="2034" width="12" style="267" customWidth="1"/>
    <col min="2035" max="2035" width="13" style="267" customWidth="1"/>
    <col min="2036" max="2036" width="11.109375" style="267" customWidth="1"/>
    <col min="2037" max="2038" width="13" style="267" customWidth="1"/>
    <col min="2039" max="2039" width="12.5546875" style="267" customWidth="1"/>
    <col min="2040" max="2041" width="8.109375" style="267" customWidth="1"/>
    <col min="2042" max="2042" width="13.109375" style="267" customWidth="1"/>
    <col min="2043" max="2044" width="14" style="267" customWidth="1"/>
    <col min="2045" max="2053" width="14.109375" style="267" customWidth="1"/>
    <col min="2054" max="2054" width="10.109375" style="267" customWidth="1"/>
    <col min="2055" max="2055" width="11.109375" style="267" customWidth="1"/>
    <col min="2056" max="2056" width="13.5546875" style="267" bestFit="1" customWidth="1"/>
    <col min="2057" max="2057" width="5.5546875" style="267" customWidth="1"/>
    <col min="2058" max="2058" width="6.5546875" style="267" customWidth="1"/>
    <col min="2059" max="2059" width="13.5546875" style="267" customWidth="1"/>
    <col min="2060" max="2285" width="8.88671875" style="267"/>
    <col min="2286" max="2286" width="4.5546875" style="267" customWidth="1"/>
    <col min="2287" max="2287" width="19.88671875" style="267" customWidth="1"/>
    <col min="2288" max="2288" width="12.44140625" style="267" customWidth="1"/>
    <col min="2289" max="2289" width="13.88671875" style="267" customWidth="1"/>
    <col min="2290" max="2290" width="12" style="267" customWidth="1"/>
    <col min="2291" max="2291" width="13" style="267" customWidth="1"/>
    <col min="2292" max="2292" width="11.109375" style="267" customWidth="1"/>
    <col min="2293" max="2294" width="13" style="267" customWidth="1"/>
    <col min="2295" max="2295" width="12.5546875" style="267" customWidth="1"/>
    <col min="2296" max="2297" width="8.109375" style="267" customWidth="1"/>
    <col min="2298" max="2298" width="13.109375" style="267" customWidth="1"/>
    <col min="2299" max="2300" width="14" style="267" customWidth="1"/>
    <col min="2301" max="2309" width="14.109375" style="267" customWidth="1"/>
    <col min="2310" max="2310" width="10.109375" style="267" customWidth="1"/>
    <col min="2311" max="2311" width="11.109375" style="267" customWidth="1"/>
    <col min="2312" max="2312" width="13.5546875" style="267" bestFit="1" customWidth="1"/>
    <col min="2313" max="2313" width="5.5546875" style="267" customWidth="1"/>
    <col min="2314" max="2314" width="6.5546875" style="267" customWidth="1"/>
    <col min="2315" max="2315" width="13.5546875" style="267" customWidth="1"/>
    <col min="2316" max="2541" width="8.88671875" style="267"/>
    <col min="2542" max="2542" width="4.5546875" style="267" customWidth="1"/>
    <col min="2543" max="2543" width="19.88671875" style="267" customWidth="1"/>
    <col min="2544" max="2544" width="12.44140625" style="267" customWidth="1"/>
    <col min="2545" max="2545" width="13.88671875" style="267" customWidth="1"/>
    <col min="2546" max="2546" width="12" style="267" customWidth="1"/>
    <col min="2547" max="2547" width="13" style="267" customWidth="1"/>
    <col min="2548" max="2548" width="11.109375" style="267" customWidth="1"/>
    <col min="2549" max="2550" width="13" style="267" customWidth="1"/>
    <col min="2551" max="2551" width="12.5546875" style="267" customWidth="1"/>
    <col min="2552" max="2553" width="8.109375" style="267" customWidth="1"/>
    <col min="2554" max="2554" width="13.109375" style="267" customWidth="1"/>
    <col min="2555" max="2556" width="14" style="267" customWidth="1"/>
    <col min="2557" max="2565" width="14.109375" style="267" customWidth="1"/>
    <col min="2566" max="2566" width="10.109375" style="267" customWidth="1"/>
    <col min="2567" max="2567" width="11.109375" style="267" customWidth="1"/>
    <col min="2568" max="2568" width="13.5546875" style="267" bestFit="1" customWidth="1"/>
    <col min="2569" max="2569" width="5.5546875" style="267" customWidth="1"/>
    <col min="2570" max="2570" width="6.5546875" style="267" customWidth="1"/>
    <col min="2571" max="2571" width="13.5546875" style="267" customWidth="1"/>
    <col min="2572" max="2797" width="8.88671875" style="267"/>
    <col min="2798" max="2798" width="4.5546875" style="267" customWidth="1"/>
    <col min="2799" max="2799" width="19.88671875" style="267" customWidth="1"/>
    <col min="2800" max="2800" width="12.44140625" style="267" customWidth="1"/>
    <col min="2801" max="2801" width="13.88671875" style="267" customWidth="1"/>
    <col min="2802" max="2802" width="12" style="267" customWidth="1"/>
    <col min="2803" max="2803" width="13" style="267" customWidth="1"/>
    <col min="2804" max="2804" width="11.109375" style="267" customWidth="1"/>
    <col min="2805" max="2806" width="13" style="267" customWidth="1"/>
    <col min="2807" max="2807" width="12.5546875" style="267" customWidth="1"/>
    <col min="2808" max="2809" width="8.109375" style="267" customWidth="1"/>
    <col min="2810" max="2810" width="13.109375" style="267" customWidth="1"/>
    <col min="2811" max="2812" width="14" style="267" customWidth="1"/>
    <col min="2813" max="2821" width="14.109375" style="267" customWidth="1"/>
    <col min="2822" max="2822" width="10.109375" style="267" customWidth="1"/>
    <col min="2823" max="2823" width="11.109375" style="267" customWidth="1"/>
    <col min="2824" max="2824" width="13.5546875" style="267" bestFit="1" customWidth="1"/>
    <col min="2825" max="2825" width="5.5546875" style="267" customWidth="1"/>
    <col min="2826" max="2826" width="6.5546875" style="267" customWidth="1"/>
    <col min="2827" max="2827" width="13.5546875" style="267" customWidth="1"/>
    <col min="2828" max="3053" width="8.88671875" style="267"/>
    <col min="3054" max="3054" width="4.5546875" style="267" customWidth="1"/>
    <col min="3055" max="3055" width="19.88671875" style="267" customWidth="1"/>
    <col min="3056" max="3056" width="12.44140625" style="267" customWidth="1"/>
    <col min="3057" max="3057" width="13.88671875" style="267" customWidth="1"/>
    <col min="3058" max="3058" width="12" style="267" customWidth="1"/>
    <col min="3059" max="3059" width="13" style="267" customWidth="1"/>
    <col min="3060" max="3060" width="11.109375" style="267" customWidth="1"/>
    <col min="3061" max="3062" width="13" style="267" customWidth="1"/>
    <col min="3063" max="3063" width="12.5546875" style="267" customWidth="1"/>
    <col min="3064" max="3065" width="8.109375" style="267" customWidth="1"/>
    <col min="3066" max="3066" width="13.109375" style="267" customWidth="1"/>
    <col min="3067" max="3068" width="14" style="267" customWidth="1"/>
    <col min="3069" max="3077" width="14.109375" style="267" customWidth="1"/>
    <col min="3078" max="3078" width="10.109375" style="267" customWidth="1"/>
    <col min="3079" max="3079" width="11.109375" style="267" customWidth="1"/>
    <col min="3080" max="3080" width="13.5546875" style="267" bestFit="1" customWidth="1"/>
    <col min="3081" max="3081" width="5.5546875" style="267" customWidth="1"/>
    <col min="3082" max="3082" width="6.5546875" style="267" customWidth="1"/>
    <col min="3083" max="3083" width="13.5546875" style="267" customWidth="1"/>
    <col min="3084" max="3309" width="8.88671875" style="267"/>
    <col min="3310" max="3310" width="4.5546875" style="267" customWidth="1"/>
    <col min="3311" max="3311" width="19.88671875" style="267" customWidth="1"/>
    <col min="3312" max="3312" width="12.44140625" style="267" customWidth="1"/>
    <col min="3313" max="3313" width="13.88671875" style="267" customWidth="1"/>
    <col min="3314" max="3314" width="12" style="267" customWidth="1"/>
    <col min="3315" max="3315" width="13" style="267" customWidth="1"/>
    <col min="3316" max="3316" width="11.109375" style="267" customWidth="1"/>
    <col min="3317" max="3318" width="13" style="267" customWidth="1"/>
    <col min="3319" max="3319" width="12.5546875" style="267" customWidth="1"/>
    <col min="3320" max="3321" width="8.109375" style="267" customWidth="1"/>
    <col min="3322" max="3322" width="13.109375" style="267" customWidth="1"/>
    <col min="3323" max="3324" width="14" style="267" customWidth="1"/>
    <col min="3325" max="3333" width="14.109375" style="267" customWidth="1"/>
    <col min="3334" max="3334" width="10.109375" style="267" customWidth="1"/>
    <col min="3335" max="3335" width="11.109375" style="267" customWidth="1"/>
    <col min="3336" max="3336" width="13.5546875" style="267" bestFit="1" customWidth="1"/>
    <col min="3337" max="3337" width="5.5546875" style="267" customWidth="1"/>
    <col min="3338" max="3338" width="6.5546875" style="267" customWidth="1"/>
    <col min="3339" max="3339" width="13.5546875" style="267" customWidth="1"/>
    <col min="3340" max="3565" width="8.88671875" style="267"/>
    <col min="3566" max="3566" width="4.5546875" style="267" customWidth="1"/>
    <col min="3567" max="3567" width="19.88671875" style="267" customWidth="1"/>
    <col min="3568" max="3568" width="12.44140625" style="267" customWidth="1"/>
    <col min="3569" max="3569" width="13.88671875" style="267" customWidth="1"/>
    <col min="3570" max="3570" width="12" style="267" customWidth="1"/>
    <col min="3571" max="3571" width="13" style="267" customWidth="1"/>
    <col min="3572" max="3572" width="11.109375" style="267" customWidth="1"/>
    <col min="3573" max="3574" width="13" style="267" customWidth="1"/>
    <col min="3575" max="3575" width="12.5546875" style="267" customWidth="1"/>
    <col min="3576" max="3577" width="8.109375" style="267" customWidth="1"/>
    <col min="3578" max="3578" width="13.109375" style="267" customWidth="1"/>
    <col min="3579" max="3580" width="14" style="267" customWidth="1"/>
    <col min="3581" max="3589" width="14.109375" style="267" customWidth="1"/>
    <col min="3590" max="3590" width="10.109375" style="267" customWidth="1"/>
    <col min="3591" max="3591" width="11.109375" style="267" customWidth="1"/>
    <col min="3592" max="3592" width="13.5546875" style="267" bestFit="1" customWidth="1"/>
    <col min="3593" max="3593" width="5.5546875" style="267" customWidth="1"/>
    <col min="3594" max="3594" width="6.5546875" style="267" customWidth="1"/>
    <col min="3595" max="3595" width="13.5546875" style="267" customWidth="1"/>
    <col min="3596" max="3821" width="8.88671875" style="267"/>
    <col min="3822" max="3822" width="4.5546875" style="267" customWidth="1"/>
    <col min="3823" max="3823" width="19.88671875" style="267" customWidth="1"/>
    <col min="3824" max="3824" width="12.44140625" style="267" customWidth="1"/>
    <col min="3825" max="3825" width="13.88671875" style="267" customWidth="1"/>
    <col min="3826" max="3826" width="12" style="267" customWidth="1"/>
    <col min="3827" max="3827" width="13" style="267" customWidth="1"/>
    <col min="3828" max="3828" width="11.109375" style="267" customWidth="1"/>
    <col min="3829" max="3830" width="13" style="267" customWidth="1"/>
    <col min="3831" max="3831" width="12.5546875" style="267" customWidth="1"/>
    <col min="3832" max="3833" width="8.109375" style="267" customWidth="1"/>
    <col min="3834" max="3834" width="13.109375" style="267" customWidth="1"/>
    <col min="3835" max="3836" width="14" style="267" customWidth="1"/>
    <col min="3837" max="3845" width="14.109375" style="267" customWidth="1"/>
    <col min="3846" max="3846" width="10.109375" style="267" customWidth="1"/>
    <col min="3847" max="3847" width="11.109375" style="267" customWidth="1"/>
    <col min="3848" max="3848" width="13.5546875" style="267" bestFit="1" customWidth="1"/>
    <col min="3849" max="3849" width="5.5546875" style="267" customWidth="1"/>
    <col min="3850" max="3850" width="6.5546875" style="267" customWidth="1"/>
    <col min="3851" max="3851" width="13.5546875" style="267" customWidth="1"/>
    <col min="3852" max="4077" width="8.88671875" style="267"/>
    <col min="4078" max="4078" width="4.5546875" style="267" customWidth="1"/>
    <col min="4079" max="4079" width="19.88671875" style="267" customWidth="1"/>
    <col min="4080" max="4080" width="12.44140625" style="267" customWidth="1"/>
    <col min="4081" max="4081" width="13.88671875" style="267" customWidth="1"/>
    <col min="4082" max="4082" width="12" style="267" customWidth="1"/>
    <col min="4083" max="4083" width="13" style="267" customWidth="1"/>
    <col min="4084" max="4084" width="11.109375" style="267" customWidth="1"/>
    <col min="4085" max="4086" width="13" style="267" customWidth="1"/>
    <col min="4087" max="4087" width="12.5546875" style="267" customWidth="1"/>
    <col min="4088" max="4089" width="8.109375" style="267" customWidth="1"/>
    <col min="4090" max="4090" width="13.109375" style="267" customWidth="1"/>
    <col min="4091" max="4092" width="14" style="267" customWidth="1"/>
    <col min="4093" max="4101" width="14.109375" style="267" customWidth="1"/>
    <col min="4102" max="4102" width="10.109375" style="267" customWidth="1"/>
    <col min="4103" max="4103" width="11.109375" style="267" customWidth="1"/>
    <col min="4104" max="4104" width="13.5546875" style="267" bestFit="1" customWidth="1"/>
    <col min="4105" max="4105" width="5.5546875" style="267" customWidth="1"/>
    <col min="4106" max="4106" width="6.5546875" style="267" customWidth="1"/>
    <col min="4107" max="4107" width="13.5546875" style="267" customWidth="1"/>
    <col min="4108" max="4333" width="8.88671875" style="267"/>
    <col min="4334" max="4334" width="4.5546875" style="267" customWidth="1"/>
    <col min="4335" max="4335" width="19.88671875" style="267" customWidth="1"/>
    <col min="4336" max="4336" width="12.44140625" style="267" customWidth="1"/>
    <col min="4337" max="4337" width="13.88671875" style="267" customWidth="1"/>
    <col min="4338" max="4338" width="12" style="267" customWidth="1"/>
    <col min="4339" max="4339" width="13" style="267" customWidth="1"/>
    <col min="4340" max="4340" width="11.109375" style="267" customWidth="1"/>
    <col min="4341" max="4342" width="13" style="267" customWidth="1"/>
    <col min="4343" max="4343" width="12.5546875" style="267" customWidth="1"/>
    <col min="4344" max="4345" width="8.109375" style="267" customWidth="1"/>
    <col min="4346" max="4346" width="13.109375" style="267" customWidth="1"/>
    <col min="4347" max="4348" width="14" style="267" customWidth="1"/>
    <col min="4349" max="4357" width="14.109375" style="267" customWidth="1"/>
    <col min="4358" max="4358" width="10.109375" style="267" customWidth="1"/>
    <col min="4359" max="4359" width="11.109375" style="267" customWidth="1"/>
    <col min="4360" max="4360" width="13.5546875" style="267" bestFit="1" customWidth="1"/>
    <col min="4361" max="4361" width="5.5546875" style="267" customWidth="1"/>
    <col min="4362" max="4362" width="6.5546875" style="267" customWidth="1"/>
    <col min="4363" max="4363" width="13.5546875" style="267" customWidth="1"/>
    <col min="4364" max="4589" width="8.88671875" style="267"/>
    <col min="4590" max="4590" width="4.5546875" style="267" customWidth="1"/>
    <col min="4591" max="4591" width="19.88671875" style="267" customWidth="1"/>
    <col min="4592" max="4592" width="12.44140625" style="267" customWidth="1"/>
    <col min="4593" max="4593" width="13.88671875" style="267" customWidth="1"/>
    <col min="4594" max="4594" width="12" style="267" customWidth="1"/>
    <col min="4595" max="4595" width="13" style="267" customWidth="1"/>
    <col min="4596" max="4596" width="11.109375" style="267" customWidth="1"/>
    <col min="4597" max="4598" width="13" style="267" customWidth="1"/>
    <col min="4599" max="4599" width="12.5546875" style="267" customWidth="1"/>
    <col min="4600" max="4601" width="8.109375" style="267" customWidth="1"/>
    <col min="4602" max="4602" width="13.109375" style="267" customWidth="1"/>
    <col min="4603" max="4604" width="14" style="267" customWidth="1"/>
    <col min="4605" max="4613" width="14.109375" style="267" customWidth="1"/>
    <col min="4614" max="4614" width="10.109375" style="267" customWidth="1"/>
    <col min="4615" max="4615" width="11.109375" style="267" customWidth="1"/>
    <col min="4616" max="4616" width="13.5546875" style="267" bestFit="1" customWidth="1"/>
    <col min="4617" max="4617" width="5.5546875" style="267" customWidth="1"/>
    <col min="4618" max="4618" width="6.5546875" style="267" customWidth="1"/>
    <col min="4619" max="4619" width="13.5546875" style="267" customWidth="1"/>
    <col min="4620" max="4845" width="8.88671875" style="267"/>
    <col min="4846" max="4846" width="4.5546875" style="267" customWidth="1"/>
    <col min="4847" max="4847" width="19.88671875" style="267" customWidth="1"/>
    <col min="4848" max="4848" width="12.44140625" style="267" customWidth="1"/>
    <col min="4849" max="4849" width="13.88671875" style="267" customWidth="1"/>
    <col min="4850" max="4850" width="12" style="267" customWidth="1"/>
    <col min="4851" max="4851" width="13" style="267" customWidth="1"/>
    <col min="4852" max="4852" width="11.109375" style="267" customWidth="1"/>
    <col min="4853" max="4854" width="13" style="267" customWidth="1"/>
    <col min="4855" max="4855" width="12.5546875" style="267" customWidth="1"/>
    <col min="4856" max="4857" width="8.109375" style="267" customWidth="1"/>
    <col min="4858" max="4858" width="13.109375" style="267" customWidth="1"/>
    <col min="4859" max="4860" width="14" style="267" customWidth="1"/>
    <col min="4861" max="4869" width="14.109375" style="267" customWidth="1"/>
    <col min="4870" max="4870" width="10.109375" style="267" customWidth="1"/>
    <col min="4871" max="4871" width="11.109375" style="267" customWidth="1"/>
    <col min="4872" max="4872" width="13.5546875" style="267" bestFit="1" customWidth="1"/>
    <col min="4873" max="4873" width="5.5546875" style="267" customWidth="1"/>
    <col min="4874" max="4874" width="6.5546875" style="267" customWidth="1"/>
    <col min="4875" max="4875" width="13.5546875" style="267" customWidth="1"/>
    <col min="4876" max="5101" width="8.88671875" style="267"/>
    <col min="5102" max="5102" width="4.5546875" style="267" customWidth="1"/>
    <col min="5103" max="5103" width="19.88671875" style="267" customWidth="1"/>
    <col min="5104" max="5104" width="12.44140625" style="267" customWidth="1"/>
    <col min="5105" max="5105" width="13.88671875" style="267" customWidth="1"/>
    <col min="5106" max="5106" width="12" style="267" customWidth="1"/>
    <col min="5107" max="5107" width="13" style="267" customWidth="1"/>
    <col min="5108" max="5108" width="11.109375" style="267" customWidth="1"/>
    <col min="5109" max="5110" width="13" style="267" customWidth="1"/>
    <col min="5111" max="5111" width="12.5546875" style="267" customWidth="1"/>
    <col min="5112" max="5113" width="8.109375" style="267" customWidth="1"/>
    <col min="5114" max="5114" width="13.109375" style="267" customWidth="1"/>
    <col min="5115" max="5116" width="14" style="267" customWidth="1"/>
    <col min="5117" max="5125" width="14.109375" style="267" customWidth="1"/>
    <col min="5126" max="5126" width="10.109375" style="267" customWidth="1"/>
    <col min="5127" max="5127" width="11.109375" style="267" customWidth="1"/>
    <col min="5128" max="5128" width="13.5546875" style="267" bestFit="1" customWidth="1"/>
    <col min="5129" max="5129" width="5.5546875" style="267" customWidth="1"/>
    <col min="5130" max="5130" width="6.5546875" style="267" customWidth="1"/>
    <col min="5131" max="5131" width="13.5546875" style="267" customWidth="1"/>
    <col min="5132" max="5357" width="8.88671875" style="267"/>
    <col min="5358" max="5358" width="4.5546875" style="267" customWidth="1"/>
    <col min="5359" max="5359" width="19.88671875" style="267" customWidth="1"/>
    <col min="5360" max="5360" width="12.44140625" style="267" customWidth="1"/>
    <col min="5361" max="5361" width="13.88671875" style="267" customWidth="1"/>
    <col min="5362" max="5362" width="12" style="267" customWidth="1"/>
    <col min="5363" max="5363" width="13" style="267" customWidth="1"/>
    <col min="5364" max="5364" width="11.109375" style="267" customWidth="1"/>
    <col min="5365" max="5366" width="13" style="267" customWidth="1"/>
    <col min="5367" max="5367" width="12.5546875" style="267" customWidth="1"/>
    <col min="5368" max="5369" width="8.109375" style="267" customWidth="1"/>
    <col min="5370" max="5370" width="13.109375" style="267" customWidth="1"/>
    <col min="5371" max="5372" width="14" style="267" customWidth="1"/>
    <col min="5373" max="5381" width="14.109375" style="267" customWidth="1"/>
    <col min="5382" max="5382" width="10.109375" style="267" customWidth="1"/>
    <col min="5383" max="5383" width="11.109375" style="267" customWidth="1"/>
    <col min="5384" max="5384" width="13.5546875" style="267" bestFit="1" customWidth="1"/>
    <col min="5385" max="5385" width="5.5546875" style="267" customWidth="1"/>
    <col min="5386" max="5386" width="6.5546875" style="267" customWidth="1"/>
    <col min="5387" max="5387" width="13.5546875" style="267" customWidth="1"/>
    <col min="5388" max="5613" width="8.88671875" style="267"/>
    <col min="5614" max="5614" width="4.5546875" style="267" customWidth="1"/>
    <col min="5615" max="5615" width="19.88671875" style="267" customWidth="1"/>
    <col min="5616" max="5616" width="12.44140625" style="267" customWidth="1"/>
    <col min="5617" max="5617" width="13.88671875" style="267" customWidth="1"/>
    <col min="5618" max="5618" width="12" style="267" customWidth="1"/>
    <col min="5619" max="5619" width="13" style="267" customWidth="1"/>
    <col min="5620" max="5620" width="11.109375" style="267" customWidth="1"/>
    <col min="5621" max="5622" width="13" style="267" customWidth="1"/>
    <col min="5623" max="5623" width="12.5546875" style="267" customWidth="1"/>
    <col min="5624" max="5625" width="8.109375" style="267" customWidth="1"/>
    <col min="5626" max="5626" width="13.109375" style="267" customWidth="1"/>
    <col min="5627" max="5628" width="14" style="267" customWidth="1"/>
    <col min="5629" max="5637" width="14.109375" style="267" customWidth="1"/>
    <col min="5638" max="5638" width="10.109375" style="267" customWidth="1"/>
    <col min="5639" max="5639" width="11.109375" style="267" customWidth="1"/>
    <col min="5640" max="5640" width="13.5546875" style="267" bestFit="1" customWidth="1"/>
    <col min="5641" max="5641" width="5.5546875" style="267" customWidth="1"/>
    <col min="5642" max="5642" width="6.5546875" style="267" customWidth="1"/>
    <col min="5643" max="5643" width="13.5546875" style="267" customWidth="1"/>
    <col min="5644" max="5869" width="8.88671875" style="267"/>
    <col min="5870" max="5870" width="4.5546875" style="267" customWidth="1"/>
    <col min="5871" max="5871" width="19.88671875" style="267" customWidth="1"/>
    <col min="5872" max="5872" width="12.44140625" style="267" customWidth="1"/>
    <col min="5873" max="5873" width="13.88671875" style="267" customWidth="1"/>
    <col min="5874" max="5874" width="12" style="267" customWidth="1"/>
    <col min="5875" max="5875" width="13" style="267" customWidth="1"/>
    <col min="5876" max="5876" width="11.109375" style="267" customWidth="1"/>
    <col min="5877" max="5878" width="13" style="267" customWidth="1"/>
    <col min="5879" max="5879" width="12.5546875" style="267" customWidth="1"/>
    <col min="5880" max="5881" width="8.109375" style="267" customWidth="1"/>
    <col min="5882" max="5882" width="13.109375" style="267" customWidth="1"/>
    <col min="5883" max="5884" width="14" style="267" customWidth="1"/>
    <col min="5885" max="5893" width="14.109375" style="267" customWidth="1"/>
    <col min="5894" max="5894" width="10.109375" style="267" customWidth="1"/>
    <col min="5895" max="5895" width="11.109375" style="267" customWidth="1"/>
    <col min="5896" max="5896" width="13.5546875" style="267" bestFit="1" customWidth="1"/>
    <col min="5897" max="5897" width="5.5546875" style="267" customWidth="1"/>
    <col min="5898" max="5898" width="6.5546875" style="267" customWidth="1"/>
    <col min="5899" max="5899" width="13.5546875" style="267" customWidth="1"/>
    <col min="5900" max="6125" width="8.88671875" style="267"/>
    <col min="6126" max="6126" width="4.5546875" style="267" customWidth="1"/>
    <col min="6127" max="6127" width="19.88671875" style="267" customWidth="1"/>
    <col min="6128" max="6128" width="12.44140625" style="267" customWidth="1"/>
    <col min="6129" max="6129" width="13.88671875" style="267" customWidth="1"/>
    <col min="6130" max="6130" width="12" style="267" customWidth="1"/>
    <col min="6131" max="6131" width="13" style="267" customWidth="1"/>
    <col min="6132" max="6132" width="11.109375" style="267" customWidth="1"/>
    <col min="6133" max="6134" width="13" style="267" customWidth="1"/>
    <col min="6135" max="6135" width="12.5546875" style="267" customWidth="1"/>
    <col min="6136" max="6137" width="8.109375" style="267" customWidth="1"/>
    <col min="6138" max="6138" width="13.109375" style="267" customWidth="1"/>
    <col min="6139" max="6140" width="14" style="267" customWidth="1"/>
    <col min="6141" max="6149" width="14.109375" style="267" customWidth="1"/>
    <col min="6150" max="6150" width="10.109375" style="267" customWidth="1"/>
    <col min="6151" max="6151" width="11.109375" style="267" customWidth="1"/>
    <col min="6152" max="6152" width="13.5546875" style="267" bestFit="1" customWidth="1"/>
    <col min="6153" max="6153" width="5.5546875" style="267" customWidth="1"/>
    <col min="6154" max="6154" width="6.5546875" style="267" customWidth="1"/>
    <col min="6155" max="6155" width="13.5546875" style="267" customWidth="1"/>
    <col min="6156" max="6381" width="8.88671875" style="267"/>
    <col min="6382" max="6382" width="4.5546875" style="267" customWidth="1"/>
    <col min="6383" max="6383" width="19.88671875" style="267" customWidth="1"/>
    <col min="6384" max="6384" width="12.44140625" style="267" customWidth="1"/>
    <col min="6385" max="6385" width="13.88671875" style="267" customWidth="1"/>
    <col min="6386" max="6386" width="12" style="267" customWidth="1"/>
    <col min="6387" max="6387" width="13" style="267" customWidth="1"/>
    <col min="6388" max="6388" width="11.109375" style="267" customWidth="1"/>
    <col min="6389" max="6390" width="13" style="267" customWidth="1"/>
    <col min="6391" max="6391" width="12.5546875" style="267" customWidth="1"/>
    <col min="6392" max="6393" width="8.109375" style="267" customWidth="1"/>
    <col min="6394" max="6394" width="13.109375" style="267" customWidth="1"/>
    <col min="6395" max="6396" width="14" style="267" customWidth="1"/>
    <col min="6397" max="6405" width="14.109375" style="267" customWidth="1"/>
    <col min="6406" max="6406" width="10.109375" style="267" customWidth="1"/>
    <col min="6407" max="6407" width="11.109375" style="267" customWidth="1"/>
    <col min="6408" max="6408" width="13.5546875" style="267" bestFit="1" customWidth="1"/>
    <col min="6409" max="6409" width="5.5546875" style="267" customWidth="1"/>
    <col min="6410" max="6410" width="6.5546875" style="267" customWidth="1"/>
    <col min="6411" max="6411" width="13.5546875" style="267" customWidth="1"/>
    <col min="6412" max="6637" width="8.88671875" style="267"/>
    <col min="6638" max="6638" width="4.5546875" style="267" customWidth="1"/>
    <col min="6639" max="6639" width="19.88671875" style="267" customWidth="1"/>
    <col min="6640" max="6640" width="12.44140625" style="267" customWidth="1"/>
    <col min="6641" max="6641" width="13.88671875" style="267" customWidth="1"/>
    <col min="6642" max="6642" width="12" style="267" customWidth="1"/>
    <col min="6643" max="6643" width="13" style="267" customWidth="1"/>
    <col min="6644" max="6644" width="11.109375" style="267" customWidth="1"/>
    <col min="6645" max="6646" width="13" style="267" customWidth="1"/>
    <col min="6647" max="6647" width="12.5546875" style="267" customWidth="1"/>
    <col min="6648" max="6649" width="8.109375" style="267" customWidth="1"/>
    <col min="6650" max="6650" width="13.109375" style="267" customWidth="1"/>
    <col min="6651" max="6652" width="14" style="267" customWidth="1"/>
    <col min="6653" max="6661" width="14.109375" style="267" customWidth="1"/>
    <col min="6662" max="6662" width="10.109375" style="267" customWidth="1"/>
    <col min="6663" max="6663" width="11.109375" style="267" customWidth="1"/>
    <col min="6664" max="6664" width="13.5546875" style="267" bestFit="1" customWidth="1"/>
    <col min="6665" max="6665" width="5.5546875" style="267" customWidth="1"/>
    <col min="6666" max="6666" width="6.5546875" style="267" customWidth="1"/>
    <col min="6667" max="6667" width="13.5546875" style="267" customWidth="1"/>
    <col min="6668" max="6893" width="8.88671875" style="267"/>
    <col min="6894" max="6894" width="4.5546875" style="267" customWidth="1"/>
    <col min="6895" max="6895" width="19.88671875" style="267" customWidth="1"/>
    <col min="6896" max="6896" width="12.44140625" style="267" customWidth="1"/>
    <col min="6897" max="6897" width="13.88671875" style="267" customWidth="1"/>
    <col min="6898" max="6898" width="12" style="267" customWidth="1"/>
    <col min="6899" max="6899" width="13" style="267" customWidth="1"/>
    <col min="6900" max="6900" width="11.109375" style="267" customWidth="1"/>
    <col min="6901" max="6902" width="13" style="267" customWidth="1"/>
    <col min="6903" max="6903" width="12.5546875" style="267" customWidth="1"/>
    <col min="6904" max="6905" width="8.109375" style="267" customWidth="1"/>
    <col min="6906" max="6906" width="13.109375" style="267" customWidth="1"/>
    <col min="6907" max="6908" width="14" style="267" customWidth="1"/>
    <col min="6909" max="6917" width="14.109375" style="267" customWidth="1"/>
    <col min="6918" max="6918" width="10.109375" style="267" customWidth="1"/>
    <col min="6919" max="6919" width="11.109375" style="267" customWidth="1"/>
    <col min="6920" max="6920" width="13.5546875" style="267" bestFit="1" customWidth="1"/>
    <col min="6921" max="6921" width="5.5546875" style="267" customWidth="1"/>
    <col min="6922" max="6922" width="6.5546875" style="267" customWidth="1"/>
    <col min="6923" max="6923" width="13.5546875" style="267" customWidth="1"/>
    <col min="6924" max="7149" width="8.88671875" style="267"/>
    <col min="7150" max="7150" width="4.5546875" style="267" customWidth="1"/>
    <col min="7151" max="7151" width="19.88671875" style="267" customWidth="1"/>
    <col min="7152" max="7152" width="12.44140625" style="267" customWidth="1"/>
    <col min="7153" max="7153" width="13.88671875" style="267" customWidth="1"/>
    <col min="7154" max="7154" width="12" style="267" customWidth="1"/>
    <col min="7155" max="7155" width="13" style="267" customWidth="1"/>
    <col min="7156" max="7156" width="11.109375" style="267" customWidth="1"/>
    <col min="7157" max="7158" width="13" style="267" customWidth="1"/>
    <col min="7159" max="7159" width="12.5546875" style="267" customWidth="1"/>
    <col min="7160" max="7161" width="8.109375" style="267" customWidth="1"/>
    <col min="7162" max="7162" width="13.109375" style="267" customWidth="1"/>
    <col min="7163" max="7164" width="14" style="267" customWidth="1"/>
    <col min="7165" max="7173" width="14.109375" style="267" customWidth="1"/>
    <col min="7174" max="7174" width="10.109375" style="267" customWidth="1"/>
    <col min="7175" max="7175" width="11.109375" style="267" customWidth="1"/>
    <col min="7176" max="7176" width="13.5546875" style="267" bestFit="1" customWidth="1"/>
    <col min="7177" max="7177" width="5.5546875" style="267" customWidth="1"/>
    <col min="7178" max="7178" width="6.5546875" style="267" customWidth="1"/>
    <col min="7179" max="7179" width="13.5546875" style="267" customWidth="1"/>
    <col min="7180" max="7405" width="8.88671875" style="267"/>
    <col min="7406" max="7406" width="4.5546875" style="267" customWidth="1"/>
    <col min="7407" max="7407" width="19.88671875" style="267" customWidth="1"/>
    <col min="7408" max="7408" width="12.44140625" style="267" customWidth="1"/>
    <col min="7409" max="7409" width="13.88671875" style="267" customWidth="1"/>
    <col min="7410" max="7410" width="12" style="267" customWidth="1"/>
    <col min="7411" max="7411" width="13" style="267" customWidth="1"/>
    <col min="7412" max="7412" width="11.109375" style="267" customWidth="1"/>
    <col min="7413" max="7414" width="13" style="267" customWidth="1"/>
    <col min="7415" max="7415" width="12.5546875" style="267" customWidth="1"/>
    <col min="7416" max="7417" width="8.109375" style="267" customWidth="1"/>
    <col min="7418" max="7418" width="13.109375" style="267" customWidth="1"/>
    <col min="7419" max="7420" width="14" style="267" customWidth="1"/>
    <col min="7421" max="7429" width="14.109375" style="267" customWidth="1"/>
    <col min="7430" max="7430" width="10.109375" style="267" customWidth="1"/>
    <col min="7431" max="7431" width="11.109375" style="267" customWidth="1"/>
    <col min="7432" max="7432" width="13.5546875" style="267" bestFit="1" customWidth="1"/>
    <col min="7433" max="7433" width="5.5546875" style="267" customWidth="1"/>
    <col min="7434" max="7434" width="6.5546875" style="267" customWidth="1"/>
    <col min="7435" max="7435" width="13.5546875" style="267" customWidth="1"/>
    <col min="7436" max="7661" width="8.88671875" style="267"/>
    <col min="7662" max="7662" width="4.5546875" style="267" customWidth="1"/>
    <col min="7663" max="7663" width="19.88671875" style="267" customWidth="1"/>
    <col min="7664" max="7664" width="12.44140625" style="267" customWidth="1"/>
    <col min="7665" max="7665" width="13.88671875" style="267" customWidth="1"/>
    <col min="7666" max="7666" width="12" style="267" customWidth="1"/>
    <col min="7667" max="7667" width="13" style="267" customWidth="1"/>
    <col min="7668" max="7668" width="11.109375" style="267" customWidth="1"/>
    <col min="7669" max="7670" width="13" style="267" customWidth="1"/>
    <col min="7671" max="7671" width="12.5546875" style="267" customWidth="1"/>
    <col min="7672" max="7673" width="8.109375" style="267" customWidth="1"/>
    <col min="7674" max="7674" width="13.109375" style="267" customWidth="1"/>
    <col min="7675" max="7676" width="14" style="267" customWidth="1"/>
    <col min="7677" max="7685" width="14.109375" style="267" customWidth="1"/>
    <col min="7686" max="7686" width="10.109375" style="267" customWidth="1"/>
    <col min="7687" max="7687" width="11.109375" style="267" customWidth="1"/>
    <col min="7688" max="7688" width="13.5546875" style="267" bestFit="1" customWidth="1"/>
    <col min="7689" max="7689" width="5.5546875" style="267" customWidth="1"/>
    <col min="7690" max="7690" width="6.5546875" style="267" customWidth="1"/>
    <col min="7691" max="7691" width="13.5546875" style="267" customWidth="1"/>
    <col min="7692" max="7917" width="8.88671875" style="267"/>
    <col min="7918" max="7918" width="4.5546875" style="267" customWidth="1"/>
    <col min="7919" max="7919" width="19.88671875" style="267" customWidth="1"/>
    <col min="7920" max="7920" width="12.44140625" style="267" customWidth="1"/>
    <col min="7921" max="7921" width="13.88671875" style="267" customWidth="1"/>
    <col min="7922" max="7922" width="12" style="267" customWidth="1"/>
    <col min="7923" max="7923" width="13" style="267" customWidth="1"/>
    <col min="7924" max="7924" width="11.109375" style="267" customWidth="1"/>
    <col min="7925" max="7926" width="13" style="267" customWidth="1"/>
    <col min="7927" max="7927" width="12.5546875" style="267" customWidth="1"/>
    <col min="7928" max="7929" width="8.109375" style="267" customWidth="1"/>
    <col min="7930" max="7930" width="13.109375" style="267" customWidth="1"/>
    <col min="7931" max="7932" width="14" style="267" customWidth="1"/>
    <col min="7933" max="7941" width="14.109375" style="267" customWidth="1"/>
    <col min="7942" max="7942" width="10.109375" style="267" customWidth="1"/>
    <col min="7943" max="7943" width="11.109375" style="267" customWidth="1"/>
    <col min="7944" max="7944" width="13.5546875" style="267" bestFit="1" customWidth="1"/>
    <col min="7945" max="7945" width="5.5546875" style="267" customWidth="1"/>
    <col min="7946" max="7946" width="6.5546875" style="267" customWidth="1"/>
    <col min="7947" max="7947" width="13.5546875" style="267" customWidth="1"/>
    <col min="7948" max="8173" width="8.88671875" style="267"/>
    <col min="8174" max="8174" width="4.5546875" style="267" customWidth="1"/>
    <col min="8175" max="8175" width="19.88671875" style="267" customWidth="1"/>
    <col min="8176" max="8176" width="12.44140625" style="267" customWidth="1"/>
    <col min="8177" max="8177" width="13.88671875" style="267" customWidth="1"/>
    <col min="8178" max="8178" width="12" style="267" customWidth="1"/>
    <col min="8179" max="8179" width="13" style="267" customWidth="1"/>
    <col min="8180" max="8180" width="11.109375" style="267" customWidth="1"/>
    <col min="8181" max="8182" width="13" style="267" customWidth="1"/>
    <col min="8183" max="8183" width="12.5546875" style="267" customWidth="1"/>
    <col min="8184" max="8185" width="8.109375" style="267" customWidth="1"/>
    <col min="8186" max="8186" width="13.109375" style="267" customWidth="1"/>
    <col min="8187" max="8188" width="14" style="267" customWidth="1"/>
    <col min="8189" max="8197" width="14.109375" style="267" customWidth="1"/>
    <col min="8198" max="8198" width="10.109375" style="267" customWidth="1"/>
    <col min="8199" max="8199" width="11.109375" style="267" customWidth="1"/>
    <col min="8200" max="8200" width="13.5546875" style="267" bestFit="1" customWidth="1"/>
    <col min="8201" max="8201" width="5.5546875" style="267" customWidth="1"/>
    <col min="8202" max="8202" width="6.5546875" style="267" customWidth="1"/>
    <col min="8203" max="8203" width="13.5546875" style="267" customWidth="1"/>
    <col min="8204" max="8429" width="8.88671875" style="267"/>
    <col min="8430" max="8430" width="4.5546875" style="267" customWidth="1"/>
    <col min="8431" max="8431" width="19.88671875" style="267" customWidth="1"/>
    <col min="8432" max="8432" width="12.44140625" style="267" customWidth="1"/>
    <col min="8433" max="8433" width="13.88671875" style="267" customWidth="1"/>
    <col min="8434" max="8434" width="12" style="267" customWidth="1"/>
    <col min="8435" max="8435" width="13" style="267" customWidth="1"/>
    <col min="8436" max="8436" width="11.109375" style="267" customWidth="1"/>
    <col min="8437" max="8438" width="13" style="267" customWidth="1"/>
    <col min="8439" max="8439" width="12.5546875" style="267" customWidth="1"/>
    <col min="8440" max="8441" width="8.109375" style="267" customWidth="1"/>
    <col min="8442" max="8442" width="13.109375" style="267" customWidth="1"/>
    <col min="8443" max="8444" width="14" style="267" customWidth="1"/>
    <col min="8445" max="8453" width="14.109375" style="267" customWidth="1"/>
    <col min="8454" max="8454" width="10.109375" style="267" customWidth="1"/>
    <col min="8455" max="8455" width="11.109375" style="267" customWidth="1"/>
    <col min="8456" max="8456" width="13.5546875" style="267" bestFit="1" customWidth="1"/>
    <col min="8457" max="8457" width="5.5546875" style="267" customWidth="1"/>
    <col min="8458" max="8458" width="6.5546875" style="267" customWidth="1"/>
    <col min="8459" max="8459" width="13.5546875" style="267" customWidth="1"/>
    <col min="8460" max="8685" width="8.88671875" style="267"/>
    <col min="8686" max="8686" width="4.5546875" style="267" customWidth="1"/>
    <col min="8687" max="8687" width="19.88671875" style="267" customWidth="1"/>
    <col min="8688" max="8688" width="12.44140625" style="267" customWidth="1"/>
    <col min="8689" max="8689" width="13.88671875" style="267" customWidth="1"/>
    <col min="8690" max="8690" width="12" style="267" customWidth="1"/>
    <col min="8691" max="8691" width="13" style="267" customWidth="1"/>
    <col min="8692" max="8692" width="11.109375" style="267" customWidth="1"/>
    <col min="8693" max="8694" width="13" style="267" customWidth="1"/>
    <col min="8695" max="8695" width="12.5546875" style="267" customWidth="1"/>
    <col min="8696" max="8697" width="8.109375" style="267" customWidth="1"/>
    <col min="8698" max="8698" width="13.109375" style="267" customWidth="1"/>
    <col min="8699" max="8700" width="14" style="267" customWidth="1"/>
    <col min="8701" max="8709" width="14.109375" style="267" customWidth="1"/>
    <col min="8710" max="8710" width="10.109375" style="267" customWidth="1"/>
    <col min="8711" max="8711" width="11.109375" style="267" customWidth="1"/>
    <col min="8712" max="8712" width="13.5546875" style="267" bestFit="1" customWidth="1"/>
    <col min="8713" max="8713" width="5.5546875" style="267" customWidth="1"/>
    <col min="8714" max="8714" width="6.5546875" style="267" customWidth="1"/>
    <col min="8715" max="8715" width="13.5546875" style="267" customWidth="1"/>
    <col min="8716" max="8941" width="8.88671875" style="267"/>
    <col min="8942" max="8942" width="4.5546875" style="267" customWidth="1"/>
    <col min="8943" max="8943" width="19.88671875" style="267" customWidth="1"/>
    <col min="8944" max="8944" width="12.44140625" style="267" customWidth="1"/>
    <col min="8945" max="8945" width="13.88671875" style="267" customWidth="1"/>
    <col min="8946" max="8946" width="12" style="267" customWidth="1"/>
    <col min="8947" max="8947" width="13" style="267" customWidth="1"/>
    <col min="8948" max="8948" width="11.109375" style="267" customWidth="1"/>
    <col min="8949" max="8950" width="13" style="267" customWidth="1"/>
    <col min="8951" max="8951" width="12.5546875" style="267" customWidth="1"/>
    <col min="8952" max="8953" width="8.109375" style="267" customWidth="1"/>
    <col min="8954" max="8954" width="13.109375" style="267" customWidth="1"/>
    <col min="8955" max="8956" width="14" style="267" customWidth="1"/>
    <col min="8957" max="8965" width="14.109375" style="267" customWidth="1"/>
    <col min="8966" max="8966" width="10.109375" style="267" customWidth="1"/>
    <col min="8967" max="8967" width="11.109375" style="267" customWidth="1"/>
    <col min="8968" max="8968" width="13.5546875" style="267" bestFit="1" customWidth="1"/>
    <col min="8969" max="8969" width="5.5546875" style="267" customWidth="1"/>
    <col min="8970" max="8970" width="6.5546875" style="267" customWidth="1"/>
    <col min="8971" max="8971" width="13.5546875" style="267" customWidth="1"/>
    <col min="8972" max="9197" width="8.88671875" style="267"/>
    <col min="9198" max="9198" width="4.5546875" style="267" customWidth="1"/>
    <col min="9199" max="9199" width="19.88671875" style="267" customWidth="1"/>
    <col min="9200" max="9200" width="12.44140625" style="267" customWidth="1"/>
    <col min="9201" max="9201" width="13.88671875" style="267" customWidth="1"/>
    <col min="9202" max="9202" width="12" style="267" customWidth="1"/>
    <col min="9203" max="9203" width="13" style="267" customWidth="1"/>
    <col min="9204" max="9204" width="11.109375" style="267" customWidth="1"/>
    <col min="9205" max="9206" width="13" style="267" customWidth="1"/>
    <col min="9207" max="9207" width="12.5546875" style="267" customWidth="1"/>
    <col min="9208" max="9209" width="8.109375" style="267" customWidth="1"/>
    <col min="9210" max="9210" width="13.109375" style="267" customWidth="1"/>
    <col min="9211" max="9212" width="14" style="267" customWidth="1"/>
    <col min="9213" max="9221" width="14.109375" style="267" customWidth="1"/>
    <col min="9222" max="9222" width="10.109375" style="267" customWidth="1"/>
    <col min="9223" max="9223" width="11.109375" style="267" customWidth="1"/>
    <col min="9224" max="9224" width="13.5546875" style="267" bestFit="1" customWidth="1"/>
    <col min="9225" max="9225" width="5.5546875" style="267" customWidth="1"/>
    <col min="9226" max="9226" width="6.5546875" style="267" customWidth="1"/>
    <col min="9227" max="9227" width="13.5546875" style="267" customWidth="1"/>
    <col min="9228" max="9453" width="8.88671875" style="267"/>
    <col min="9454" max="9454" width="4.5546875" style="267" customWidth="1"/>
    <col min="9455" max="9455" width="19.88671875" style="267" customWidth="1"/>
    <col min="9456" max="9456" width="12.44140625" style="267" customWidth="1"/>
    <col min="9457" max="9457" width="13.88671875" style="267" customWidth="1"/>
    <col min="9458" max="9458" width="12" style="267" customWidth="1"/>
    <col min="9459" max="9459" width="13" style="267" customWidth="1"/>
    <col min="9460" max="9460" width="11.109375" style="267" customWidth="1"/>
    <col min="9461" max="9462" width="13" style="267" customWidth="1"/>
    <col min="9463" max="9463" width="12.5546875" style="267" customWidth="1"/>
    <col min="9464" max="9465" width="8.109375" style="267" customWidth="1"/>
    <col min="9466" max="9466" width="13.109375" style="267" customWidth="1"/>
    <col min="9467" max="9468" width="14" style="267" customWidth="1"/>
    <col min="9469" max="9477" width="14.109375" style="267" customWidth="1"/>
    <col min="9478" max="9478" width="10.109375" style="267" customWidth="1"/>
    <col min="9479" max="9479" width="11.109375" style="267" customWidth="1"/>
    <col min="9480" max="9480" width="13.5546875" style="267" bestFit="1" customWidth="1"/>
    <col min="9481" max="9481" width="5.5546875" style="267" customWidth="1"/>
    <col min="9482" max="9482" width="6.5546875" style="267" customWidth="1"/>
    <col min="9483" max="9483" width="13.5546875" style="267" customWidth="1"/>
    <col min="9484" max="9709" width="8.88671875" style="267"/>
    <col min="9710" max="9710" width="4.5546875" style="267" customWidth="1"/>
    <col min="9711" max="9711" width="19.88671875" style="267" customWidth="1"/>
    <col min="9712" max="9712" width="12.44140625" style="267" customWidth="1"/>
    <col min="9713" max="9713" width="13.88671875" style="267" customWidth="1"/>
    <col min="9714" max="9714" width="12" style="267" customWidth="1"/>
    <col min="9715" max="9715" width="13" style="267" customWidth="1"/>
    <col min="9716" max="9716" width="11.109375" style="267" customWidth="1"/>
    <col min="9717" max="9718" width="13" style="267" customWidth="1"/>
    <col min="9719" max="9719" width="12.5546875" style="267" customWidth="1"/>
    <col min="9720" max="9721" width="8.109375" style="267" customWidth="1"/>
    <col min="9722" max="9722" width="13.109375" style="267" customWidth="1"/>
    <col min="9723" max="9724" width="14" style="267" customWidth="1"/>
    <col min="9725" max="9733" width="14.109375" style="267" customWidth="1"/>
    <col min="9734" max="9734" width="10.109375" style="267" customWidth="1"/>
    <col min="9735" max="9735" width="11.109375" style="267" customWidth="1"/>
    <col min="9736" max="9736" width="13.5546875" style="267" bestFit="1" customWidth="1"/>
    <col min="9737" max="9737" width="5.5546875" style="267" customWidth="1"/>
    <col min="9738" max="9738" width="6.5546875" style="267" customWidth="1"/>
    <col min="9739" max="9739" width="13.5546875" style="267" customWidth="1"/>
    <col min="9740" max="9965" width="8.88671875" style="267"/>
    <col min="9966" max="9966" width="4.5546875" style="267" customWidth="1"/>
    <col min="9967" max="9967" width="19.88671875" style="267" customWidth="1"/>
    <col min="9968" max="9968" width="12.44140625" style="267" customWidth="1"/>
    <col min="9969" max="9969" width="13.88671875" style="267" customWidth="1"/>
    <col min="9970" max="9970" width="12" style="267" customWidth="1"/>
    <col min="9971" max="9971" width="13" style="267" customWidth="1"/>
    <col min="9972" max="9972" width="11.109375" style="267" customWidth="1"/>
    <col min="9973" max="9974" width="13" style="267" customWidth="1"/>
    <col min="9975" max="9975" width="12.5546875" style="267" customWidth="1"/>
    <col min="9976" max="9977" width="8.109375" style="267" customWidth="1"/>
    <col min="9978" max="9978" width="13.109375" style="267" customWidth="1"/>
    <col min="9979" max="9980" width="14" style="267" customWidth="1"/>
    <col min="9981" max="9989" width="14.109375" style="267" customWidth="1"/>
    <col min="9990" max="9990" width="10.109375" style="267" customWidth="1"/>
    <col min="9991" max="9991" width="11.109375" style="267" customWidth="1"/>
    <col min="9992" max="9992" width="13.5546875" style="267" bestFit="1" customWidth="1"/>
    <col min="9993" max="9993" width="5.5546875" style="267" customWidth="1"/>
    <col min="9994" max="9994" width="6.5546875" style="267" customWidth="1"/>
    <col min="9995" max="9995" width="13.5546875" style="267" customWidth="1"/>
    <col min="9996" max="10221" width="8.88671875" style="267"/>
    <col min="10222" max="10222" width="4.5546875" style="267" customWidth="1"/>
    <col min="10223" max="10223" width="19.88671875" style="267" customWidth="1"/>
    <col min="10224" max="10224" width="12.44140625" style="267" customWidth="1"/>
    <col min="10225" max="10225" width="13.88671875" style="267" customWidth="1"/>
    <col min="10226" max="10226" width="12" style="267" customWidth="1"/>
    <col min="10227" max="10227" width="13" style="267" customWidth="1"/>
    <col min="10228" max="10228" width="11.109375" style="267" customWidth="1"/>
    <col min="10229" max="10230" width="13" style="267" customWidth="1"/>
    <col min="10231" max="10231" width="12.5546875" style="267" customWidth="1"/>
    <col min="10232" max="10233" width="8.109375" style="267" customWidth="1"/>
    <col min="10234" max="10234" width="13.109375" style="267" customWidth="1"/>
    <col min="10235" max="10236" width="14" style="267" customWidth="1"/>
    <col min="10237" max="10245" width="14.109375" style="267" customWidth="1"/>
    <col min="10246" max="10246" width="10.109375" style="267" customWidth="1"/>
    <col min="10247" max="10247" width="11.109375" style="267" customWidth="1"/>
    <col min="10248" max="10248" width="13.5546875" style="267" bestFit="1" customWidth="1"/>
    <col min="10249" max="10249" width="5.5546875" style="267" customWidth="1"/>
    <col min="10250" max="10250" width="6.5546875" style="267" customWidth="1"/>
    <col min="10251" max="10251" width="13.5546875" style="267" customWidth="1"/>
    <col min="10252" max="10477" width="8.88671875" style="267"/>
    <col min="10478" max="10478" width="4.5546875" style="267" customWidth="1"/>
    <col min="10479" max="10479" width="19.88671875" style="267" customWidth="1"/>
    <col min="10480" max="10480" width="12.44140625" style="267" customWidth="1"/>
    <col min="10481" max="10481" width="13.88671875" style="267" customWidth="1"/>
    <col min="10482" max="10482" width="12" style="267" customWidth="1"/>
    <col min="10483" max="10483" width="13" style="267" customWidth="1"/>
    <col min="10484" max="10484" width="11.109375" style="267" customWidth="1"/>
    <col min="10485" max="10486" width="13" style="267" customWidth="1"/>
    <col min="10487" max="10487" width="12.5546875" style="267" customWidth="1"/>
    <col min="10488" max="10489" width="8.109375" style="267" customWidth="1"/>
    <col min="10490" max="10490" width="13.109375" style="267" customWidth="1"/>
    <col min="10491" max="10492" width="14" style="267" customWidth="1"/>
    <col min="10493" max="10501" width="14.109375" style="267" customWidth="1"/>
    <col min="10502" max="10502" width="10.109375" style="267" customWidth="1"/>
    <col min="10503" max="10503" width="11.109375" style="267" customWidth="1"/>
    <col min="10504" max="10504" width="13.5546875" style="267" bestFit="1" customWidth="1"/>
    <col min="10505" max="10505" width="5.5546875" style="267" customWidth="1"/>
    <col min="10506" max="10506" width="6.5546875" style="267" customWidth="1"/>
    <col min="10507" max="10507" width="13.5546875" style="267" customWidth="1"/>
    <col min="10508" max="10733" width="8.88671875" style="267"/>
    <col min="10734" max="10734" width="4.5546875" style="267" customWidth="1"/>
    <col min="10735" max="10735" width="19.88671875" style="267" customWidth="1"/>
    <col min="10736" max="10736" width="12.44140625" style="267" customWidth="1"/>
    <col min="10737" max="10737" width="13.88671875" style="267" customWidth="1"/>
    <col min="10738" max="10738" width="12" style="267" customWidth="1"/>
    <col min="10739" max="10739" width="13" style="267" customWidth="1"/>
    <col min="10740" max="10740" width="11.109375" style="267" customWidth="1"/>
    <col min="10741" max="10742" width="13" style="267" customWidth="1"/>
    <col min="10743" max="10743" width="12.5546875" style="267" customWidth="1"/>
    <col min="10744" max="10745" width="8.109375" style="267" customWidth="1"/>
    <col min="10746" max="10746" width="13.109375" style="267" customWidth="1"/>
    <col min="10747" max="10748" width="14" style="267" customWidth="1"/>
    <col min="10749" max="10757" width="14.109375" style="267" customWidth="1"/>
    <col min="10758" max="10758" width="10.109375" style="267" customWidth="1"/>
    <col min="10759" max="10759" width="11.109375" style="267" customWidth="1"/>
    <col min="10760" max="10760" width="13.5546875" style="267" bestFit="1" customWidth="1"/>
    <col min="10761" max="10761" width="5.5546875" style="267" customWidth="1"/>
    <col min="10762" max="10762" width="6.5546875" style="267" customWidth="1"/>
    <col min="10763" max="10763" width="13.5546875" style="267" customWidth="1"/>
    <col min="10764" max="10989" width="8.88671875" style="267"/>
    <col min="10990" max="10990" width="4.5546875" style="267" customWidth="1"/>
    <col min="10991" max="10991" width="19.88671875" style="267" customWidth="1"/>
    <col min="10992" max="10992" width="12.44140625" style="267" customWidth="1"/>
    <col min="10993" max="10993" width="13.88671875" style="267" customWidth="1"/>
    <col min="10994" max="10994" width="12" style="267" customWidth="1"/>
    <col min="10995" max="10995" width="13" style="267" customWidth="1"/>
    <col min="10996" max="10996" width="11.109375" style="267" customWidth="1"/>
    <col min="10997" max="10998" width="13" style="267" customWidth="1"/>
    <col min="10999" max="10999" width="12.5546875" style="267" customWidth="1"/>
    <col min="11000" max="11001" width="8.109375" style="267" customWidth="1"/>
    <col min="11002" max="11002" width="13.109375" style="267" customWidth="1"/>
    <col min="11003" max="11004" width="14" style="267" customWidth="1"/>
    <col min="11005" max="11013" width="14.109375" style="267" customWidth="1"/>
    <col min="11014" max="11014" width="10.109375" style="267" customWidth="1"/>
    <col min="11015" max="11015" width="11.109375" style="267" customWidth="1"/>
    <col min="11016" max="11016" width="13.5546875" style="267" bestFit="1" customWidth="1"/>
    <col min="11017" max="11017" width="5.5546875" style="267" customWidth="1"/>
    <col min="11018" max="11018" width="6.5546875" style="267" customWidth="1"/>
    <col min="11019" max="11019" width="13.5546875" style="267" customWidth="1"/>
    <col min="11020" max="11245" width="8.88671875" style="267"/>
    <col min="11246" max="11246" width="4.5546875" style="267" customWidth="1"/>
    <col min="11247" max="11247" width="19.88671875" style="267" customWidth="1"/>
    <col min="11248" max="11248" width="12.44140625" style="267" customWidth="1"/>
    <col min="11249" max="11249" width="13.88671875" style="267" customWidth="1"/>
    <col min="11250" max="11250" width="12" style="267" customWidth="1"/>
    <col min="11251" max="11251" width="13" style="267" customWidth="1"/>
    <col min="11252" max="11252" width="11.109375" style="267" customWidth="1"/>
    <col min="11253" max="11254" width="13" style="267" customWidth="1"/>
    <col min="11255" max="11255" width="12.5546875" style="267" customWidth="1"/>
    <col min="11256" max="11257" width="8.109375" style="267" customWidth="1"/>
    <col min="11258" max="11258" width="13.109375" style="267" customWidth="1"/>
    <col min="11259" max="11260" width="14" style="267" customWidth="1"/>
    <col min="11261" max="11269" width="14.109375" style="267" customWidth="1"/>
    <col min="11270" max="11270" width="10.109375" style="267" customWidth="1"/>
    <col min="11271" max="11271" width="11.109375" style="267" customWidth="1"/>
    <col min="11272" max="11272" width="13.5546875" style="267" bestFit="1" customWidth="1"/>
    <col min="11273" max="11273" width="5.5546875" style="267" customWidth="1"/>
    <col min="11274" max="11274" width="6.5546875" style="267" customWidth="1"/>
    <col min="11275" max="11275" width="13.5546875" style="267" customWidth="1"/>
    <col min="11276" max="11501" width="8.88671875" style="267"/>
    <col min="11502" max="11502" width="4.5546875" style="267" customWidth="1"/>
    <col min="11503" max="11503" width="19.88671875" style="267" customWidth="1"/>
    <col min="11504" max="11504" width="12.44140625" style="267" customWidth="1"/>
    <col min="11505" max="11505" width="13.88671875" style="267" customWidth="1"/>
    <col min="11506" max="11506" width="12" style="267" customWidth="1"/>
    <col min="11507" max="11507" width="13" style="267" customWidth="1"/>
    <col min="11508" max="11508" width="11.109375" style="267" customWidth="1"/>
    <col min="11509" max="11510" width="13" style="267" customWidth="1"/>
    <col min="11511" max="11511" width="12.5546875" style="267" customWidth="1"/>
    <col min="11512" max="11513" width="8.109375" style="267" customWidth="1"/>
    <col min="11514" max="11514" width="13.109375" style="267" customWidth="1"/>
    <col min="11515" max="11516" width="14" style="267" customWidth="1"/>
    <col min="11517" max="11525" width="14.109375" style="267" customWidth="1"/>
    <col min="11526" max="11526" width="10.109375" style="267" customWidth="1"/>
    <col min="11527" max="11527" width="11.109375" style="267" customWidth="1"/>
    <col min="11528" max="11528" width="13.5546875" style="267" bestFit="1" customWidth="1"/>
    <col min="11529" max="11529" width="5.5546875" style="267" customWidth="1"/>
    <col min="11530" max="11530" width="6.5546875" style="267" customWidth="1"/>
    <col min="11531" max="11531" width="13.5546875" style="267" customWidth="1"/>
    <col min="11532" max="11757" width="8.88671875" style="267"/>
    <col min="11758" max="11758" width="4.5546875" style="267" customWidth="1"/>
    <col min="11759" max="11759" width="19.88671875" style="267" customWidth="1"/>
    <col min="11760" max="11760" width="12.44140625" style="267" customWidth="1"/>
    <col min="11761" max="11761" width="13.88671875" style="267" customWidth="1"/>
    <col min="11762" max="11762" width="12" style="267" customWidth="1"/>
    <col min="11763" max="11763" width="13" style="267" customWidth="1"/>
    <col min="11764" max="11764" width="11.109375" style="267" customWidth="1"/>
    <col min="11765" max="11766" width="13" style="267" customWidth="1"/>
    <col min="11767" max="11767" width="12.5546875" style="267" customWidth="1"/>
    <col min="11768" max="11769" width="8.109375" style="267" customWidth="1"/>
    <col min="11770" max="11770" width="13.109375" style="267" customWidth="1"/>
    <col min="11771" max="11772" width="14" style="267" customWidth="1"/>
    <col min="11773" max="11781" width="14.109375" style="267" customWidth="1"/>
    <col min="11782" max="11782" width="10.109375" style="267" customWidth="1"/>
    <col min="11783" max="11783" width="11.109375" style="267" customWidth="1"/>
    <col min="11784" max="11784" width="13.5546875" style="267" bestFit="1" customWidth="1"/>
    <col min="11785" max="11785" width="5.5546875" style="267" customWidth="1"/>
    <col min="11786" max="11786" width="6.5546875" style="267" customWidth="1"/>
    <col min="11787" max="11787" width="13.5546875" style="267" customWidth="1"/>
    <col min="11788" max="12013" width="8.88671875" style="267"/>
    <col min="12014" max="12014" width="4.5546875" style="267" customWidth="1"/>
    <col min="12015" max="12015" width="19.88671875" style="267" customWidth="1"/>
    <col min="12016" max="12016" width="12.44140625" style="267" customWidth="1"/>
    <col min="12017" max="12017" width="13.88671875" style="267" customWidth="1"/>
    <col min="12018" max="12018" width="12" style="267" customWidth="1"/>
    <col min="12019" max="12019" width="13" style="267" customWidth="1"/>
    <col min="12020" max="12020" width="11.109375" style="267" customWidth="1"/>
    <col min="12021" max="12022" width="13" style="267" customWidth="1"/>
    <col min="12023" max="12023" width="12.5546875" style="267" customWidth="1"/>
    <col min="12024" max="12025" width="8.109375" style="267" customWidth="1"/>
    <col min="12026" max="12026" width="13.109375" style="267" customWidth="1"/>
    <col min="12027" max="12028" width="14" style="267" customWidth="1"/>
    <col min="12029" max="12037" width="14.109375" style="267" customWidth="1"/>
    <col min="12038" max="12038" width="10.109375" style="267" customWidth="1"/>
    <col min="12039" max="12039" width="11.109375" style="267" customWidth="1"/>
    <col min="12040" max="12040" width="13.5546875" style="267" bestFit="1" customWidth="1"/>
    <col min="12041" max="12041" width="5.5546875" style="267" customWidth="1"/>
    <col min="12042" max="12042" width="6.5546875" style="267" customWidth="1"/>
    <col min="12043" max="12043" width="13.5546875" style="267" customWidth="1"/>
    <col min="12044" max="12269" width="8.88671875" style="267"/>
    <col min="12270" max="12270" width="4.5546875" style="267" customWidth="1"/>
    <col min="12271" max="12271" width="19.88671875" style="267" customWidth="1"/>
    <col min="12272" max="12272" width="12.44140625" style="267" customWidth="1"/>
    <col min="12273" max="12273" width="13.88671875" style="267" customWidth="1"/>
    <col min="12274" max="12274" width="12" style="267" customWidth="1"/>
    <col min="12275" max="12275" width="13" style="267" customWidth="1"/>
    <col min="12276" max="12276" width="11.109375" style="267" customWidth="1"/>
    <col min="12277" max="12278" width="13" style="267" customWidth="1"/>
    <col min="12279" max="12279" width="12.5546875" style="267" customWidth="1"/>
    <col min="12280" max="12281" width="8.109375" style="267" customWidth="1"/>
    <col min="12282" max="12282" width="13.109375" style="267" customWidth="1"/>
    <col min="12283" max="12284" width="14" style="267" customWidth="1"/>
    <col min="12285" max="12293" width="14.109375" style="267" customWidth="1"/>
    <col min="12294" max="12294" width="10.109375" style="267" customWidth="1"/>
    <col min="12295" max="12295" width="11.109375" style="267" customWidth="1"/>
    <col min="12296" max="12296" width="13.5546875" style="267" bestFit="1" customWidth="1"/>
    <col min="12297" max="12297" width="5.5546875" style="267" customWidth="1"/>
    <col min="12298" max="12298" width="6.5546875" style="267" customWidth="1"/>
    <col min="12299" max="12299" width="13.5546875" style="267" customWidth="1"/>
    <col min="12300" max="12525" width="8.88671875" style="267"/>
    <col min="12526" max="12526" width="4.5546875" style="267" customWidth="1"/>
    <col min="12527" max="12527" width="19.88671875" style="267" customWidth="1"/>
    <col min="12528" max="12528" width="12.44140625" style="267" customWidth="1"/>
    <col min="12529" max="12529" width="13.88671875" style="267" customWidth="1"/>
    <col min="12530" max="12530" width="12" style="267" customWidth="1"/>
    <col min="12531" max="12531" width="13" style="267" customWidth="1"/>
    <col min="12532" max="12532" width="11.109375" style="267" customWidth="1"/>
    <col min="12533" max="12534" width="13" style="267" customWidth="1"/>
    <col min="12535" max="12535" width="12.5546875" style="267" customWidth="1"/>
    <col min="12536" max="12537" width="8.109375" style="267" customWidth="1"/>
    <col min="12538" max="12538" width="13.109375" style="267" customWidth="1"/>
    <col min="12539" max="12540" width="14" style="267" customWidth="1"/>
    <col min="12541" max="12549" width="14.109375" style="267" customWidth="1"/>
    <col min="12550" max="12550" width="10.109375" style="267" customWidth="1"/>
    <col min="12551" max="12551" width="11.109375" style="267" customWidth="1"/>
    <col min="12552" max="12552" width="13.5546875" style="267" bestFit="1" customWidth="1"/>
    <col min="12553" max="12553" width="5.5546875" style="267" customWidth="1"/>
    <col min="12554" max="12554" width="6.5546875" style="267" customWidth="1"/>
    <col min="12555" max="12555" width="13.5546875" style="267" customWidth="1"/>
    <col min="12556" max="12781" width="8.88671875" style="267"/>
    <col min="12782" max="12782" width="4.5546875" style="267" customWidth="1"/>
    <col min="12783" max="12783" width="19.88671875" style="267" customWidth="1"/>
    <col min="12784" max="12784" width="12.44140625" style="267" customWidth="1"/>
    <col min="12785" max="12785" width="13.88671875" style="267" customWidth="1"/>
    <col min="12786" max="12786" width="12" style="267" customWidth="1"/>
    <col min="12787" max="12787" width="13" style="267" customWidth="1"/>
    <col min="12788" max="12788" width="11.109375" style="267" customWidth="1"/>
    <col min="12789" max="12790" width="13" style="267" customWidth="1"/>
    <col min="12791" max="12791" width="12.5546875" style="267" customWidth="1"/>
    <col min="12792" max="12793" width="8.109375" style="267" customWidth="1"/>
    <col min="12794" max="12794" width="13.109375" style="267" customWidth="1"/>
    <col min="12795" max="12796" width="14" style="267" customWidth="1"/>
    <col min="12797" max="12805" width="14.109375" style="267" customWidth="1"/>
    <col min="12806" max="12806" width="10.109375" style="267" customWidth="1"/>
    <col min="12807" max="12807" width="11.109375" style="267" customWidth="1"/>
    <col min="12808" max="12808" width="13.5546875" style="267" bestFit="1" customWidth="1"/>
    <col min="12809" max="12809" width="5.5546875" style="267" customWidth="1"/>
    <col min="12810" max="12810" width="6.5546875" style="267" customWidth="1"/>
    <col min="12811" max="12811" width="13.5546875" style="267" customWidth="1"/>
    <col min="12812" max="13037" width="8.88671875" style="267"/>
    <col min="13038" max="13038" width="4.5546875" style="267" customWidth="1"/>
    <col min="13039" max="13039" width="19.88671875" style="267" customWidth="1"/>
    <col min="13040" max="13040" width="12.44140625" style="267" customWidth="1"/>
    <col min="13041" max="13041" width="13.88671875" style="267" customWidth="1"/>
    <col min="13042" max="13042" width="12" style="267" customWidth="1"/>
    <col min="13043" max="13043" width="13" style="267" customWidth="1"/>
    <col min="13044" max="13044" width="11.109375" style="267" customWidth="1"/>
    <col min="13045" max="13046" width="13" style="267" customWidth="1"/>
    <col min="13047" max="13047" width="12.5546875" style="267" customWidth="1"/>
    <col min="13048" max="13049" width="8.109375" style="267" customWidth="1"/>
    <col min="13050" max="13050" width="13.109375" style="267" customWidth="1"/>
    <col min="13051" max="13052" width="14" style="267" customWidth="1"/>
    <col min="13053" max="13061" width="14.109375" style="267" customWidth="1"/>
    <col min="13062" max="13062" width="10.109375" style="267" customWidth="1"/>
    <col min="13063" max="13063" width="11.109375" style="267" customWidth="1"/>
    <col min="13064" max="13064" width="13.5546875" style="267" bestFit="1" customWidth="1"/>
    <col min="13065" max="13065" width="5.5546875" style="267" customWidth="1"/>
    <col min="13066" max="13066" width="6.5546875" style="267" customWidth="1"/>
    <col min="13067" max="13067" width="13.5546875" style="267" customWidth="1"/>
    <col min="13068" max="13293" width="8.88671875" style="267"/>
    <col min="13294" max="13294" width="4.5546875" style="267" customWidth="1"/>
    <col min="13295" max="13295" width="19.88671875" style="267" customWidth="1"/>
    <col min="13296" max="13296" width="12.44140625" style="267" customWidth="1"/>
    <col min="13297" max="13297" width="13.88671875" style="267" customWidth="1"/>
    <col min="13298" max="13298" width="12" style="267" customWidth="1"/>
    <col min="13299" max="13299" width="13" style="267" customWidth="1"/>
    <col min="13300" max="13300" width="11.109375" style="267" customWidth="1"/>
    <col min="13301" max="13302" width="13" style="267" customWidth="1"/>
    <col min="13303" max="13303" width="12.5546875" style="267" customWidth="1"/>
    <col min="13304" max="13305" width="8.109375" style="267" customWidth="1"/>
    <col min="13306" max="13306" width="13.109375" style="267" customWidth="1"/>
    <col min="13307" max="13308" width="14" style="267" customWidth="1"/>
    <col min="13309" max="13317" width="14.109375" style="267" customWidth="1"/>
    <col min="13318" max="13318" width="10.109375" style="267" customWidth="1"/>
    <col min="13319" max="13319" width="11.109375" style="267" customWidth="1"/>
    <col min="13320" max="13320" width="13.5546875" style="267" bestFit="1" customWidth="1"/>
    <col min="13321" max="13321" width="5.5546875" style="267" customWidth="1"/>
    <col min="13322" max="13322" width="6.5546875" style="267" customWidth="1"/>
    <col min="13323" max="13323" width="13.5546875" style="267" customWidth="1"/>
    <col min="13324" max="13549" width="8.88671875" style="267"/>
    <col min="13550" max="13550" width="4.5546875" style="267" customWidth="1"/>
    <col min="13551" max="13551" width="19.88671875" style="267" customWidth="1"/>
    <col min="13552" max="13552" width="12.44140625" style="267" customWidth="1"/>
    <col min="13553" max="13553" width="13.88671875" style="267" customWidth="1"/>
    <col min="13554" max="13554" width="12" style="267" customWidth="1"/>
    <col min="13555" max="13555" width="13" style="267" customWidth="1"/>
    <col min="13556" max="13556" width="11.109375" style="267" customWidth="1"/>
    <col min="13557" max="13558" width="13" style="267" customWidth="1"/>
    <col min="13559" max="13559" width="12.5546875" style="267" customWidth="1"/>
    <col min="13560" max="13561" width="8.109375" style="267" customWidth="1"/>
    <col min="13562" max="13562" width="13.109375" style="267" customWidth="1"/>
    <col min="13563" max="13564" width="14" style="267" customWidth="1"/>
    <col min="13565" max="13573" width="14.109375" style="267" customWidth="1"/>
    <col min="13574" max="13574" width="10.109375" style="267" customWidth="1"/>
    <col min="13575" max="13575" width="11.109375" style="267" customWidth="1"/>
    <col min="13576" max="13576" width="13.5546875" style="267" bestFit="1" customWidth="1"/>
    <col min="13577" max="13577" width="5.5546875" style="267" customWidth="1"/>
    <col min="13578" max="13578" width="6.5546875" style="267" customWidth="1"/>
    <col min="13579" max="13579" width="13.5546875" style="267" customWidth="1"/>
    <col min="13580" max="13805" width="8.88671875" style="267"/>
    <col min="13806" max="13806" width="4.5546875" style="267" customWidth="1"/>
    <col min="13807" max="13807" width="19.88671875" style="267" customWidth="1"/>
    <col min="13808" max="13808" width="12.44140625" style="267" customWidth="1"/>
    <col min="13809" max="13809" width="13.88671875" style="267" customWidth="1"/>
    <col min="13810" max="13810" width="12" style="267" customWidth="1"/>
    <col min="13811" max="13811" width="13" style="267" customWidth="1"/>
    <col min="13812" max="13812" width="11.109375" style="267" customWidth="1"/>
    <col min="13813" max="13814" width="13" style="267" customWidth="1"/>
    <col min="13815" max="13815" width="12.5546875" style="267" customWidth="1"/>
    <col min="13816" max="13817" width="8.109375" style="267" customWidth="1"/>
    <col min="13818" max="13818" width="13.109375" style="267" customWidth="1"/>
    <col min="13819" max="13820" width="14" style="267" customWidth="1"/>
    <col min="13821" max="13829" width="14.109375" style="267" customWidth="1"/>
    <col min="13830" max="13830" width="10.109375" style="267" customWidth="1"/>
    <col min="13831" max="13831" width="11.109375" style="267" customWidth="1"/>
    <col min="13832" max="13832" width="13.5546875" style="267" bestFit="1" customWidth="1"/>
    <col min="13833" max="13833" width="5.5546875" style="267" customWidth="1"/>
    <col min="13834" max="13834" width="6.5546875" style="267" customWidth="1"/>
    <col min="13835" max="13835" width="13.5546875" style="267" customWidth="1"/>
    <col min="13836" max="14061" width="8.88671875" style="267"/>
    <col min="14062" max="14062" width="4.5546875" style="267" customWidth="1"/>
    <col min="14063" max="14063" width="19.88671875" style="267" customWidth="1"/>
    <col min="14064" max="14064" width="12.44140625" style="267" customWidth="1"/>
    <col min="14065" max="14065" width="13.88671875" style="267" customWidth="1"/>
    <col min="14066" max="14066" width="12" style="267" customWidth="1"/>
    <col min="14067" max="14067" width="13" style="267" customWidth="1"/>
    <col min="14068" max="14068" width="11.109375" style="267" customWidth="1"/>
    <col min="14069" max="14070" width="13" style="267" customWidth="1"/>
    <col min="14071" max="14071" width="12.5546875" style="267" customWidth="1"/>
    <col min="14072" max="14073" width="8.109375" style="267" customWidth="1"/>
    <col min="14074" max="14074" width="13.109375" style="267" customWidth="1"/>
    <col min="14075" max="14076" width="14" style="267" customWidth="1"/>
    <col min="14077" max="14085" width="14.109375" style="267" customWidth="1"/>
    <col min="14086" max="14086" width="10.109375" style="267" customWidth="1"/>
    <col min="14087" max="14087" width="11.109375" style="267" customWidth="1"/>
    <col min="14088" max="14088" width="13.5546875" style="267" bestFit="1" customWidth="1"/>
    <col min="14089" max="14089" width="5.5546875" style="267" customWidth="1"/>
    <col min="14090" max="14090" width="6.5546875" style="267" customWidth="1"/>
    <col min="14091" max="14091" width="13.5546875" style="267" customWidth="1"/>
    <col min="14092" max="14317" width="8.88671875" style="267"/>
    <col min="14318" max="14318" width="4.5546875" style="267" customWidth="1"/>
    <col min="14319" max="14319" width="19.88671875" style="267" customWidth="1"/>
    <col min="14320" max="14320" width="12.44140625" style="267" customWidth="1"/>
    <col min="14321" max="14321" width="13.88671875" style="267" customWidth="1"/>
    <col min="14322" max="14322" width="12" style="267" customWidth="1"/>
    <col min="14323" max="14323" width="13" style="267" customWidth="1"/>
    <col min="14324" max="14324" width="11.109375" style="267" customWidth="1"/>
    <col min="14325" max="14326" width="13" style="267" customWidth="1"/>
    <col min="14327" max="14327" width="12.5546875" style="267" customWidth="1"/>
    <col min="14328" max="14329" width="8.109375" style="267" customWidth="1"/>
    <col min="14330" max="14330" width="13.109375" style="267" customWidth="1"/>
    <col min="14331" max="14332" width="14" style="267" customWidth="1"/>
    <col min="14333" max="14341" width="14.109375" style="267" customWidth="1"/>
    <col min="14342" max="14342" width="10.109375" style="267" customWidth="1"/>
    <col min="14343" max="14343" width="11.109375" style="267" customWidth="1"/>
    <col min="14344" max="14344" width="13.5546875" style="267" bestFit="1" customWidth="1"/>
    <col min="14345" max="14345" width="5.5546875" style="267" customWidth="1"/>
    <col min="14346" max="14346" width="6.5546875" style="267" customWidth="1"/>
    <col min="14347" max="14347" width="13.5546875" style="267" customWidth="1"/>
    <col min="14348" max="14573" width="8.88671875" style="267"/>
    <col min="14574" max="14574" width="4.5546875" style="267" customWidth="1"/>
    <col min="14575" max="14575" width="19.88671875" style="267" customWidth="1"/>
    <col min="14576" max="14576" width="12.44140625" style="267" customWidth="1"/>
    <col min="14577" max="14577" width="13.88671875" style="267" customWidth="1"/>
    <col min="14578" max="14578" width="12" style="267" customWidth="1"/>
    <col min="14579" max="14579" width="13" style="267" customWidth="1"/>
    <col min="14580" max="14580" width="11.109375" style="267" customWidth="1"/>
    <col min="14581" max="14582" width="13" style="267" customWidth="1"/>
    <col min="14583" max="14583" width="12.5546875" style="267" customWidth="1"/>
    <col min="14584" max="14585" width="8.109375" style="267" customWidth="1"/>
    <col min="14586" max="14586" width="13.109375" style="267" customWidth="1"/>
    <col min="14587" max="14588" width="14" style="267" customWidth="1"/>
    <col min="14589" max="14597" width="14.109375" style="267" customWidth="1"/>
    <col min="14598" max="14598" width="10.109375" style="267" customWidth="1"/>
    <col min="14599" max="14599" width="11.109375" style="267" customWidth="1"/>
    <col min="14600" max="14600" width="13.5546875" style="267" bestFit="1" customWidth="1"/>
    <col min="14601" max="14601" width="5.5546875" style="267" customWidth="1"/>
    <col min="14602" max="14602" width="6.5546875" style="267" customWidth="1"/>
    <col min="14603" max="14603" width="13.5546875" style="267" customWidth="1"/>
    <col min="14604" max="14829" width="8.88671875" style="267"/>
    <col min="14830" max="14830" width="4.5546875" style="267" customWidth="1"/>
    <col min="14831" max="14831" width="19.88671875" style="267" customWidth="1"/>
    <col min="14832" max="14832" width="12.44140625" style="267" customWidth="1"/>
    <col min="14833" max="14833" width="13.88671875" style="267" customWidth="1"/>
    <col min="14834" max="14834" width="12" style="267" customWidth="1"/>
    <col min="14835" max="14835" width="13" style="267" customWidth="1"/>
    <col min="14836" max="14836" width="11.109375" style="267" customWidth="1"/>
    <col min="14837" max="14838" width="13" style="267" customWidth="1"/>
    <col min="14839" max="14839" width="12.5546875" style="267" customWidth="1"/>
    <col min="14840" max="14841" width="8.109375" style="267" customWidth="1"/>
    <col min="14842" max="14842" width="13.109375" style="267" customWidth="1"/>
    <col min="14843" max="14844" width="14" style="267" customWidth="1"/>
    <col min="14845" max="14853" width="14.109375" style="267" customWidth="1"/>
    <col min="14854" max="14854" width="10.109375" style="267" customWidth="1"/>
    <col min="14855" max="14855" width="11.109375" style="267" customWidth="1"/>
    <col min="14856" max="14856" width="13.5546875" style="267" bestFit="1" customWidth="1"/>
    <col min="14857" max="14857" width="5.5546875" style="267" customWidth="1"/>
    <col min="14858" max="14858" width="6.5546875" style="267" customWidth="1"/>
    <col min="14859" max="14859" width="13.5546875" style="267" customWidth="1"/>
    <col min="14860" max="15085" width="8.88671875" style="267"/>
    <col min="15086" max="15086" width="4.5546875" style="267" customWidth="1"/>
    <col min="15087" max="15087" width="19.88671875" style="267" customWidth="1"/>
    <col min="15088" max="15088" width="12.44140625" style="267" customWidth="1"/>
    <col min="15089" max="15089" width="13.88671875" style="267" customWidth="1"/>
    <col min="15090" max="15090" width="12" style="267" customWidth="1"/>
    <col min="15091" max="15091" width="13" style="267" customWidth="1"/>
    <col min="15092" max="15092" width="11.109375" style="267" customWidth="1"/>
    <col min="15093" max="15094" width="13" style="267" customWidth="1"/>
    <col min="15095" max="15095" width="12.5546875" style="267" customWidth="1"/>
    <col min="15096" max="15097" width="8.109375" style="267" customWidth="1"/>
    <col min="15098" max="15098" width="13.109375" style="267" customWidth="1"/>
    <col min="15099" max="15100" width="14" style="267" customWidth="1"/>
    <col min="15101" max="15109" width="14.109375" style="267" customWidth="1"/>
    <col min="15110" max="15110" width="10.109375" style="267" customWidth="1"/>
    <col min="15111" max="15111" width="11.109375" style="267" customWidth="1"/>
    <col min="15112" max="15112" width="13.5546875" style="267" bestFit="1" customWidth="1"/>
    <col min="15113" max="15113" width="5.5546875" style="267" customWidth="1"/>
    <col min="15114" max="15114" width="6.5546875" style="267" customWidth="1"/>
    <col min="15115" max="15115" width="13.5546875" style="267" customWidth="1"/>
    <col min="15116" max="15341" width="8.88671875" style="267"/>
    <col min="15342" max="15342" width="4.5546875" style="267" customWidth="1"/>
    <col min="15343" max="15343" width="19.88671875" style="267" customWidth="1"/>
    <col min="15344" max="15344" width="12.44140625" style="267" customWidth="1"/>
    <col min="15345" max="15345" width="13.88671875" style="267" customWidth="1"/>
    <col min="15346" max="15346" width="12" style="267" customWidth="1"/>
    <col min="15347" max="15347" width="13" style="267" customWidth="1"/>
    <col min="15348" max="15348" width="11.109375" style="267" customWidth="1"/>
    <col min="15349" max="15350" width="13" style="267" customWidth="1"/>
    <col min="15351" max="15351" width="12.5546875" style="267" customWidth="1"/>
    <col min="15352" max="15353" width="8.109375" style="267" customWidth="1"/>
    <col min="15354" max="15354" width="13.109375" style="267" customWidth="1"/>
    <col min="15355" max="15356" width="14" style="267" customWidth="1"/>
    <col min="15357" max="15365" width="14.109375" style="267" customWidth="1"/>
    <col min="15366" max="15366" width="10.109375" style="267" customWidth="1"/>
    <col min="15367" max="15367" width="11.109375" style="267" customWidth="1"/>
    <col min="15368" max="15368" width="13.5546875" style="267" bestFit="1" customWidth="1"/>
    <col min="15369" max="15369" width="5.5546875" style="267" customWidth="1"/>
    <col min="15370" max="15370" width="6.5546875" style="267" customWidth="1"/>
    <col min="15371" max="15371" width="13.5546875" style="267" customWidth="1"/>
    <col min="15372" max="15597" width="8.88671875" style="267"/>
    <col min="15598" max="15598" width="4.5546875" style="267" customWidth="1"/>
    <col min="15599" max="15599" width="19.88671875" style="267" customWidth="1"/>
    <col min="15600" max="15600" width="12.44140625" style="267" customWidth="1"/>
    <col min="15601" max="15601" width="13.88671875" style="267" customWidth="1"/>
    <col min="15602" max="15602" width="12" style="267" customWidth="1"/>
    <col min="15603" max="15603" width="13" style="267" customWidth="1"/>
    <col min="15604" max="15604" width="11.109375" style="267" customWidth="1"/>
    <col min="15605" max="15606" width="13" style="267" customWidth="1"/>
    <col min="15607" max="15607" width="12.5546875" style="267" customWidth="1"/>
    <col min="15608" max="15609" width="8.109375" style="267" customWidth="1"/>
    <col min="15610" max="15610" width="13.109375" style="267" customWidth="1"/>
    <col min="15611" max="15612" width="14" style="267" customWidth="1"/>
    <col min="15613" max="15621" width="14.109375" style="267" customWidth="1"/>
    <col min="15622" max="15622" width="10.109375" style="267" customWidth="1"/>
    <col min="15623" max="15623" width="11.109375" style="267" customWidth="1"/>
    <col min="15624" max="15624" width="13.5546875" style="267" bestFit="1" customWidth="1"/>
    <col min="15625" max="15625" width="5.5546875" style="267" customWidth="1"/>
    <col min="15626" max="15626" width="6.5546875" style="267" customWidth="1"/>
    <col min="15627" max="15627" width="13.5546875" style="267" customWidth="1"/>
    <col min="15628" max="15853" width="8.88671875" style="267"/>
    <col min="15854" max="15854" width="4.5546875" style="267" customWidth="1"/>
    <col min="15855" max="15855" width="19.88671875" style="267" customWidth="1"/>
    <col min="15856" max="15856" width="12.44140625" style="267" customWidth="1"/>
    <col min="15857" max="15857" width="13.88671875" style="267" customWidth="1"/>
    <col min="15858" max="15858" width="12" style="267" customWidth="1"/>
    <col min="15859" max="15859" width="13" style="267" customWidth="1"/>
    <col min="15860" max="15860" width="11.109375" style="267" customWidth="1"/>
    <col min="15861" max="15862" width="13" style="267" customWidth="1"/>
    <col min="15863" max="15863" width="12.5546875" style="267" customWidth="1"/>
    <col min="15864" max="15865" width="8.109375" style="267" customWidth="1"/>
    <col min="15866" max="15866" width="13.109375" style="267" customWidth="1"/>
    <col min="15867" max="15868" width="14" style="267" customWidth="1"/>
    <col min="15869" max="15877" width="14.109375" style="267" customWidth="1"/>
    <col min="15878" max="15878" width="10.109375" style="267" customWidth="1"/>
    <col min="15879" max="15879" width="11.109375" style="267" customWidth="1"/>
    <col min="15880" max="15880" width="13.5546875" style="267" bestFit="1" customWidth="1"/>
    <col min="15881" max="15881" width="5.5546875" style="267" customWidth="1"/>
    <col min="15882" max="15882" width="6.5546875" style="267" customWidth="1"/>
    <col min="15883" max="15883" width="13.5546875" style="267" customWidth="1"/>
    <col min="15884" max="16109" width="8.88671875" style="267"/>
    <col min="16110" max="16110" width="4.5546875" style="267" customWidth="1"/>
    <col min="16111" max="16111" width="19.88671875" style="267" customWidth="1"/>
    <col min="16112" max="16112" width="12.44140625" style="267" customWidth="1"/>
    <col min="16113" max="16113" width="13.88671875" style="267" customWidth="1"/>
    <col min="16114" max="16114" width="12" style="267" customWidth="1"/>
    <col min="16115" max="16115" width="13" style="267" customWidth="1"/>
    <col min="16116" max="16116" width="11.109375" style="267" customWidth="1"/>
    <col min="16117" max="16118" width="13" style="267" customWidth="1"/>
    <col min="16119" max="16119" width="12.5546875" style="267" customWidth="1"/>
    <col min="16120" max="16121" width="8.109375" style="267" customWidth="1"/>
    <col min="16122" max="16122" width="13.109375" style="267" customWidth="1"/>
    <col min="16123" max="16124" width="14" style="267" customWidth="1"/>
    <col min="16125" max="16133" width="14.109375" style="267" customWidth="1"/>
    <col min="16134" max="16134" width="10.109375" style="267" customWidth="1"/>
    <col min="16135" max="16135" width="11.109375" style="267" customWidth="1"/>
    <col min="16136" max="16136" width="13.5546875" style="267" bestFit="1" customWidth="1"/>
    <col min="16137" max="16137" width="5.5546875" style="267" customWidth="1"/>
    <col min="16138" max="16138" width="6.5546875" style="267" customWidth="1"/>
    <col min="16139" max="16139" width="13.5546875" style="267" customWidth="1"/>
    <col min="16140" max="16384" width="8.88671875" style="267"/>
  </cols>
  <sheetData>
    <row r="1" spans="1:15" s="24" customFormat="1" x14ac:dyDescent="0.3">
      <c r="A1" s="22" t="s">
        <v>3</v>
      </c>
      <c r="B1" s="22"/>
      <c r="C1" s="22"/>
      <c r="E1" s="2539" t="s">
        <v>4</v>
      </c>
      <c r="F1" s="2539"/>
      <c r="G1" s="2539"/>
      <c r="H1" s="2539"/>
      <c r="I1" s="2539"/>
      <c r="J1" s="327"/>
    </row>
    <row r="2" spans="1:15" s="24" customFormat="1" ht="15" customHeight="1" x14ac:dyDescent="0.25">
      <c r="A2" s="26" t="s">
        <v>5</v>
      </c>
      <c r="B2" s="26"/>
      <c r="C2" s="26"/>
      <c r="D2" s="2506" t="s">
        <v>6</v>
      </c>
      <c r="E2" s="2506"/>
      <c r="F2" s="2506"/>
      <c r="G2" s="2506"/>
      <c r="H2" s="2506"/>
      <c r="I2" s="2506"/>
      <c r="J2" s="2506"/>
    </row>
    <row r="3" spans="1:15" s="262" customFormat="1" ht="14.25" customHeight="1" x14ac:dyDescent="0.3">
      <c r="A3" s="265"/>
      <c r="B3" s="263"/>
      <c r="C3" s="263"/>
      <c r="D3" s="264"/>
      <c r="E3" s="264"/>
      <c r="F3" s="264"/>
      <c r="G3" s="264"/>
      <c r="H3" s="264"/>
      <c r="I3" s="264"/>
      <c r="J3" s="301"/>
      <c r="K3" s="263"/>
      <c r="L3" s="263"/>
      <c r="M3" s="263"/>
      <c r="N3" s="263"/>
      <c r="O3" s="263"/>
    </row>
    <row r="4" spans="1:15" s="262" customFormat="1" ht="14.25" customHeight="1" x14ac:dyDescent="0.3">
      <c r="A4" s="2535" t="s">
        <v>1245</v>
      </c>
      <c r="B4" s="2535"/>
      <c r="C4" s="2535"/>
      <c r="D4" s="2535"/>
      <c r="E4" s="2535"/>
      <c r="F4" s="2535"/>
      <c r="G4" s="2535"/>
      <c r="H4" s="2535"/>
      <c r="I4" s="2535"/>
      <c r="J4" s="2535"/>
      <c r="K4" s="263"/>
      <c r="L4" s="263"/>
      <c r="M4" s="263"/>
      <c r="N4" s="263"/>
      <c r="O4" s="263"/>
    </row>
    <row r="5" spans="1:15" ht="21.75" customHeight="1" thickBot="1" x14ac:dyDescent="0.35">
      <c r="A5" s="266"/>
      <c r="B5" s="267"/>
      <c r="C5" s="267"/>
    </row>
    <row r="6" spans="1:15" s="299" customFormat="1" ht="28.5" customHeight="1" thickTop="1" x14ac:dyDescent="0.3">
      <c r="A6" s="2508" t="s">
        <v>0</v>
      </c>
      <c r="B6" s="2510" t="s">
        <v>281</v>
      </c>
      <c r="C6" s="2512" t="s">
        <v>310</v>
      </c>
      <c r="D6" s="2513" t="s">
        <v>727</v>
      </c>
      <c r="E6" s="2513" t="s">
        <v>447</v>
      </c>
      <c r="F6" s="2540" t="s">
        <v>380</v>
      </c>
      <c r="G6" s="2540"/>
      <c r="H6" s="2513" t="s">
        <v>737</v>
      </c>
      <c r="I6" s="2540" t="s">
        <v>381</v>
      </c>
      <c r="J6" s="2504" t="s">
        <v>319</v>
      </c>
    </row>
    <row r="7" spans="1:15" s="299" customFormat="1" ht="49.5" customHeight="1" x14ac:dyDescent="0.3">
      <c r="A7" s="2509"/>
      <c r="B7" s="2511"/>
      <c r="C7" s="2511"/>
      <c r="D7" s="2514"/>
      <c r="E7" s="2515"/>
      <c r="F7" s="483" t="s">
        <v>382</v>
      </c>
      <c r="G7" s="483" t="s">
        <v>411</v>
      </c>
      <c r="H7" s="2515"/>
      <c r="I7" s="2514"/>
      <c r="J7" s="2505"/>
      <c r="K7" s="2534"/>
      <c r="L7" s="2534"/>
    </row>
    <row r="8" spans="1:15" s="299" customFormat="1" ht="20.25" customHeight="1" x14ac:dyDescent="0.25">
      <c r="A8" s="1266">
        <v>1</v>
      </c>
      <c r="B8" s="487" t="s">
        <v>295</v>
      </c>
      <c r="C8" s="345" t="s">
        <v>349</v>
      </c>
      <c r="D8" s="1267">
        <v>8000000</v>
      </c>
      <c r="E8" s="1267">
        <v>10</v>
      </c>
      <c r="F8" s="1267"/>
      <c r="G8" s="1267"/>
      <c r="H8" s="1267"/>
      <c r="I8" s="1267">
        <f>D8/23*E8</f>
        <v>3478260.8695652173</v>
      </c>
      <c r="J8" s="1268"/>
    </row>
    <row r="9" spans="1:15" s="299" customFormat="1" ht="20.25" customHeight="1" x14ac:dyDescent="0.25">
      <c r="A9" s="484">
        <v>2</v>
      </c>
      <c r="B9" s="487" t="s">
        <v>296</v>
      </c>
      <c r="C9" s="345" t="s">
        <v>355</v>
      </c>
      <c r="D9" s="485">
        <v>8000000</v>
      </c>
      <c r="E9" s="485">
        <v>23</v>
      </c>
      <c r="F9" s="485"/>
      <c r="G9" s="485"/>
      <c r="H9" s="485"/>
      <c r="I9" s="485">
        <f>D9/23*E9-F9+H9</f>
        <v>8000000</v>
      </c>
      <c r="J9" s="486"/>
    </row>
    <row r="10" spans="1:15" s="299" customFormat="1" ht="66.75" customHeight="1" x14ac:dyDescent="0.25">
      <c r="A10" s="1266">
        <v>3</v>
      </c>
      <c r="B10" s="488" t="s">
        <v>365</v>
      </c>
      <c r="C10" s="345" t="s">
        <v>366</v>
      </c>
      <c r="D10" s="485">
        <v>5000000</v>
      </c>
      <c r="E10" s="485">
        <v>23</v>
      </c>
      <c r="F10" s="485"/>
      <c r="G10" s="485"/>
      <c r="H10" s="485"/>
      <c r="I10" s="485">
        <f>D10/23*E10-F10-G10</f>
        <v>5000000</v>
      </c>
      <c r="J10" s="489"/>
    </row>
    <row r="11" spans="1:15" s="299" customFormat="1" ht="26.25" customHeight="1" x14ac:dyDescent="0.25">
      <c r="A11" s="484">
        <v>4</v>
      </c>
      <c r="B11" s="487" t="s">
        <v>370</v>
      </c>
      <c r="C11" s="345" t="s">
        <v>371</v>
      </c>
      <c r="D11" s="485">
        <v>8000000</v>
      </c>
      <c r="E11" s="490">
        <v>23</v>
      </c>
      <c r="F11" s="485"/>
      <c r="G11" s="485"/>
      <c r="H11" s="485"/>
      <c r="I11" s="485">
        <f>D11/23*E11-F11-G11+H11</f>
        <v>8000000</v>
      </c>
      <c r="J11" s="489"/>
    </row>
    <row r="12" spans="1:15" s="299" customFormat="1" ht="78.75" customHeight="1" x14ac:dyDescent="0.25">
      <c r="A12" s="494">
        <v>5</v>
      </c>
      <c r="B12" s="495" t="s">
        <v>724</v>
      </c>
      <c r="C12" s="495" t="s">
        <v>725</v>
      </c>
      <c r="D12" s="496">
        <v>5000000</v>
      </c>
      <c r="E12" s="485">
        <v>23</v>
      </c>
      <c r="F12" s="496"/>
      <c r="G12" s="496"/>
      <c r="H12" s="496"/>
      <c r="I12" s="496">
        <v>0</v>
      </c>
      <c r="J12" s="497" t="s">
        <v>1249</v>
      </c>
    </row>
    <row r="13" spans="1:15" s="299" customFormat="1" ht="47.25" customHeight="1" x14ac:dyDescent="0.25">
      <c r="A13" s="1266">
        <v>6</v>
      </c>
      <c r="B13" s="487" t="s">
        <v>1350</v>
      </c>
      <c r="C13" s="345" t="s">
        <v>371</v>
      </c>
      <c r="D13" s="485">
        <v>4000000</v>
      </c>
      <c r="E13" s="490">
        <v>23</v>
      </c>
      <c r="F13" s="485"/>
      <c r="G13" s="485"/>
      <c r="H13" s="485"/>
      <c r="I13" s="485">
        <f>D13/23*E13-F13-G13+H13</f>
        <v>4000000</v>
      </c>
      <c r="J13" s="497" t="s">
        <v>1352</v>
      </c>
    </row>
    <row r="14" spans="1:15" s="300" customFormat="1" ht="23.25" customHeight="1" thickBot="1" x14ac:dyDescent="0.35">
      <c r="A14" s="498"/>
      <c r="B14" s="499" t="s">
        <v>377</v>
      </c>
      <c r="C14" s="500"/>
      <c r="D14" s="501">
        <f>SUBTOTAL(9,D8:D13)</f>
        <v>38000000</v>
      </c>
      <c r="E14" s="501"/>
      <c r="F14" s="501">
        <f>SUBTOTAL(9,F8:F13)</f>
        <v>0</v>
      </c>
      <c r="G14" s="501">
        <f>SUBTOTAL(9,G8:G13)</f>
        <v>0</v>
      </c>
      <c r="H14" s="501"/>
      <c r="I14" s="502">
        <f>SUBTOTAL(9,I8:I13)</f>
        <v>28478260.869565219</v>
      </c>
      <c r="J14" s="503"/>
    </row>
    <row r="15" spans="1:15" ht="10.5" customHeight="1" thickTop="1" x14ac:dyDescent="0.3"/>
    <row r="16" spans="1:15" x14ac:dyDescent="0.3">
      <c r="J16" s="275"/>
    </row>
    <row r="17" spans="1:10" s="303" customFormat="1" x14ac:dyDescent="0.3">
      <c r="A17" s="302"/>
      <c r="B17" s="303" t="s">
        <v>378</v>
      </c>
      <c r="E17" s="304"/>
      <c r="F17" s="304"/>
      <c r="I17" s="304" t="s">
        <v>303</v>
      </c>
      <c r="J17" s="305"/>
    </row>
    <row r="18" spans="1:10" x14ac:dyDescent="0.3">
      <c r="A18" s="267"/>
      <c r="B18" s="274" t="s">
        <v>464</v>
      </c>
      <c r="C18" s="267"/>
      <c r="D18" s="267"/>
      <c r="E18" s="274"/>
      <c r="F18" s="274"/>
      <c r="G18" s="267"/>
      <c r="H18" s="267"/>
      <c r="I18" s="274" t="s">
        <v>243</v>
      </c>
      <c r="J18" s="275"/>
    </row>
  </sheetData>
  <mergeCells count="13">
    <mergeCell ref="E1:I1"/>
    <mergeCell ref="J6:J7"/>
    <mergeCell ref="K7:L7"/>
    <mergeCell ref="D2:J2"/>
    <mergeCell ref="A4:J4"/>
    <mergeCell ref="A6:A7"/>
    <mergeCell ref="B6:B7"/>
    <mergeCell ref="C6:C7"/>
    <mergeCell ref="D6:D7"/>
    <mergeCell ref="E6:E7"/>
    <mergeCell ref="F6:G6"/>
    <mergeCell ref="I6:I7"/>
    <mergeCell ref="H6:H7"/>
  </mergeCells>
  <pageMargins left="0.70866141732283472" right="0" top="0.74803149606299213" bottom="0.74803149606299213" header="0.31496062992125984" footer="0.31496062992125984"/>
  <pageSetup paperSize="9" orientation="landscape" horizontalDpi="4294967293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H7" zoomScaleNormal="100" workbookViewId="0">
      <selection activeCell="P29" sqref="P29"/>
    </sheetView>
  </sheetViews>
  <sheetFormatPr defaultColWidth="9.109375" defaultRowHeight="13.8" x14ac:dyDescent="0.25"/>
  <cols>
    <col min="1" max="1" width="3.109375" style="1" customWidth="1"/>
    <col min="2" max="2" width="6.109375" style="1" customWidth="1"/>
    <col min="3" max="3" width="5" style="6" customWidth="1"/>
    <col min="4" max="4" width="13" style="1" customWidth="1"/>
    <col min="5" max="5" width="3.44140625" style="1" customWidth="1"/>
    <col min="6" max="6" width="12.33203125" style="1" customWidth="1"/>
    <col min="7" max="7" width="4.5546875" style="13" customWidth="1"/>
    <col min="8" max="8" width="10.88671875" style="1" customWidth="1"/>
    <col min="9" max="9" width="10.44140625" style="1" customWidth="1"/>
    <col min="10" max="10" width="11.109375" style="1" customWidth="1"/>
    <col min="11" max="11" width="11.88671875" style="1" customWidth="1"/>
    <col min="12" max="12" width="9.6640625" style="1" customWidth="1"/>
    <col min="13" max="13" width="10.6640625" style="1" customWidth="1"/>
    <col min="14" max="14" width="9" style="1" customWidth="1"/>
    <col min="15" max="15" width="8.88671875" style="1" customWidth="1"/>
    <col min="16" max="16" width="11.109375" style="116" customWidth="1"/>
    <col min="17" max="17" width="11" style="116" customWidth="1"/>
    <col min="18" max="18" width="10.33203125" style="1" customWidth="1"/>
    <col min="19" max="19" width="9.88671875" style="1" customWidth="1"/>
    <col min="20" max="16384" width="9.109375" style="1"/>
  </cols>
  <sheetData>
    <row r="1" spans="1:19" ht="16.8" x14ac:dyDescent="0.3">
      <c r="A1" s="5" t="s">
        <v>3</v>
      </c>
      <c r="N1" s="111" t="s">
        <v>4</v>
      </c>
      <c r="O1" s="111"/>
      <c r="P1" s="111"/>
      <c r="Q1" s="111"/>
      <c r="R1" s="111"/>
    </row>
    <row r="2" spans="1:19" ht="15.6" x14ac:dyDescent="0.25">
      <c r="A2" s="7" t="s">
        <v>5</v>
      </c>
      <c r="N2" s="2117" t="s">
        <v>6</v>
      </c>
      <c r="O2" s="2117"/>
      <c r="P2" s="2117"/>
      <c r="Q2" s="2117"/>
      <c r="R2" s="2117"/>
    </row>
    <row r="3" spans="1:19" ht="7.5" customHeight="1" x14ac:dyDescent="0.25">
      <c r="A3" s="20"/>
      <c r="C3" s="1"/>
      <c r="D3" s="13"/>
      <c r="P3" s="1117"/>
      <c r="Q3" s="1117"/>
      <c r="R3" s="1117"/>
      <c r="S3" s="1117"/>
    </row>
    <row r="4" spans="1:19" ht="20.399999999999999" x14ac:dyDescent="0.35">
      <c r="A4" s="2124" t="s">
        <v>1288</v>
      </c>
      <c r="B4" s="2124"/>
      <c r="C4" s="2124"/>
      <c r="D4" s="2124"/>
      <c r="E4" s="2124"/>
      <c r="F4" s="2124"/>
      <c r="G4" s="2124"/>
      <c r="H4" s="2124"/>
      <c r="I4" s="2124"/>
      <c r="J4" s="2124"/>
      <c r="K4" s="2124"/>
      <c r="L4" s="2124"/>
      <c r="M4" s="2124"/>
      <c r="N4" s="2124"/>
      <c r="O4" s="2124"/>
      <c r="P4" s="2124"/>
      <c r="Q4" s="2124"/>
      <c r="R4" s="2124"/>
      <c r="S4" s="2124"/>
    </row>
    <row r="5" spans="1:19" ht="13.5" customHeight="1" thickBot="1" x14ac:dyDescent="0.3">
      <c r="A5" s="2125" t="s">
        <v>1867</v>
      </c>
      <c r="B5" s="2125"/>
      <c r="C5" s="2125"/>
      <c r="D5" s="2125"/>
      <c r="E5" s="2125"/>
      <c r="F5" s="2125"/>
      <c r="G5" s="2125"/>
      <c r="H5" s="2125"/>
      <c r="I5" s="2125"/>
      <c r="J5" s="2125"/>
      <c r="K5" s="2125"/>
      <c r="L5" s="2125"/>
      <c r="M5" s="2125"/>
      <c r="N5" s="2125"/>
      <c r="O5" s="2125"/>
      <c r="P5" s="2125"/>
      <c r="Q5" s="2125"/>
      <c r="R5" s="2125"/>
      <c r="S5" s="2125"/>
    </row>
    <row r="6" spans="1:19" s="88" customFormat="1" ht="12" customHeight="1" thickTop="1" x14ac:dyDescent="0.25">
      <c r="A6" s="2162" t="s">
        <v>0</v>
      </c>
      <c r="B6" s="2126" t="s">
        <v>10</v>
      </c>
      <c r="C6" s="2128" t="s">
        <v>11</v>
      </c>
      <c r="D6" s="2126" t="s">
        <v>209</v>
      </c>
      <c r="E6" s="2156" t="s">
        <v>211</v>
      </c>
      <c r="F6" s="2157"/>
      <c r="G6" s="2158"/>
      <c r="H6" s="2122" t="s">
        <v>216</v>
      </c>
      <c r="I6" s="2123"/>
      <c r="J6" s="2123"/>
      <c r="K6" s="2123"/>
      <c r="L6" s="2123"/>
      <c r="M6" s="2123"/>
      <c r="N6" s="2171" t="s">
        <v>217</v>
      </c>
      <c r="O6" s="2172"/>
      <c r="P6" s="2172"/>
      <c r="Q6" s="2173"/>
      <c r="R6" s="2165" t="s">
        <v>1278</v>
      </c>
      <c r="S6" s="2165" t="s">
        <v>1</v>
      </c>
    </row>
    <row r="7" spans="1:19" s="88" customFormat="1" ht="13.5" customHeight="1" x14ac:dyDescent="0.25">
      <c r="A7" s="2163"/>
      <c r="B7" s="2127"/>
      <c r="C7" s="2129"/>
      <c r="D7" s="2127"/>
      <c r="E7" s="2159"/>
      <c r="F7" s="2160"/>
      <c r="G7" s="2161"/>
      <c r="H7" s="2120" t="s">
        <v>215</v>
      </c>
      <c r="I7" s="2118" t="s">
        <v>210</v>
      </c>
      <c r="J7" s="2118" t="s">
        <v>1290</v>
      </c>
      <c r="K7" s="2118" t="s">
        <v>218</v>
      </c>
      <c r="L7" s="2118" t="s">
        <v>213</v>
      </c>
      <c r="M7" s="2120" t="s">
        <v>219</v>
      </c>
      <c r="N7" s="2120" t="s">
        <v>1287</v>
      </c>
      <c r="O7" s="2168" t="s">
        <v>1275</v>
      </c>
      <c r="P7" s="2169"/>
      <c r="Q7" s="2170"/>
      <c r="R7" s="2166"/>
      <c r="S7" s="2166"/>
    </row>
    <row r="8" spans="1:19" s="88" customFormat="1" ht="61.5" customHeight="1" x14ac:dyDescent="0.25">
      <c r="A8" s="2164"/>
      <c r="B8" s="2121"/>
      <c r="C8" s="2130"/>
      <c r="D8" s="2121"/>
      <c r="E8" s="1120" t="s">
        <v>11</v>
      </c>
      <c r="F8" s="1120" t="s">
        <v>149</v>
      </c>
      <c r="G8" s="1120" t="s">
        <v>212</v>
      </c>
      <c r="H8" s="2121"/>
      <c r="I8" s="2119"/>
      <c r="J8" s="2119"/>
      <c r="K8" s="2119"/>
      <c r="L8" s="2119"/>
      <c r="M8" s="2121"/>
      <c r="N8" s="2121"/>
      <c r="O8" s="1120" t="s">
        <v>1289</v>
      </c>
      <c r="P8" s="1158" t="s">
        <v>1276</v>
      </c>
      <c r="Q8" s="1158" t="s">
        <v>1274</v>
      </c>
      <c r="R8" s="2167"/>
      <c r="S8" s="2167"/>
    </row>
    <row r="9" spans="1:19" s="88" customFormat="1" ht="13.5" customHeight="1" x14ac:dyDescent="0.25">
      <c r="A9" s="1080">
        <v>1</v>
      </c>
      <c r="B9" s="1081" t="s">
        <v>12</v>
      </c>
      <c r="C9" s="1082">
        <v>0.5</v>
      </c>
      <c r="D9" s="966">
        <f>C9*1200000000/100%</f>
        <v>600000000</v>
      </c>
      <c r="E9" s="967"/>
      <c r="F9" s="968"/>
      <c r="G9" s="969"/>
      <c r="H9" s="887">
        <f>D9/2</f>
        <v>300000000</v>
      </c>
      <c r="I9" s="1067"/>
      <c r="J9" s="1326">
        <v>199536090</v>
      </c>
      <c r="K9" s="887">
        <f>3*12000000</f>
        <v>36000000</v>
      </c>
      <c r="L9" s="887"/>
      <c r="M9" s="887">
        <f>H9-I9-J9-K9-L9</f>
        <v>64463910</v>
      </c>
      <c r="N9" s="887">
        <f>D9/2</f>
        <v>300000000</v>
      </c>
      <c r="O9" s="887"/>
      <c r="P9" s="1083">
        <f>M26</f>
        <v>270000000</v>
      </c>
      <c r="Q9" s="1128">
        <v>30000000</v>
      </c>
      <c r="R9" s="1134">
        <f>J9+K9+P9+Q9</f>
        <v>535536090</v>
      </c>
      <c r="S9" s="1134"/>
    </row>
    <row r="10" spans="1:19" s="88" customFormat="1" ht="22.5" customHeight="1" x14ac:dyDescent="0.25">
      <c r="A10" s="126">
        <v>2</v>
      </c>
      <c r="B10" s="964" t="s">
        <v>13</v>
      </c>
      <c r="C10" s="965">
        <v>0.06</v>
      </c>
      <c r="D10" s="966">
        <f t="shared" ref="D10:D15" si="0">C10*1200000000/100%</f>
        <v>72000000</v>
      </c>
      <c r="E10" s="967"/>
      <c r="F10" s="968"/>
      <c r="G10" s="969"/>
      <c r="H10" s="878">
        <f t="shared" ref="H10:H14" si="1">D10/2</f>
        <v>36000000</v>
      </c>
      <c r="I10" s="129">
        <v>40000000</v>
      </c>
      <c r="J10" s="129">
        <v>8135800</v>
      </c>
      <c r="K10" s="878">
        <f>3*8000000</f>
        <v>24000000</v>
      </c>
      <c r="L10" s="878"/>
      <c r="M10" s="1105">
        <f>H10-I10-J10-K10</f>
        <v>-36135800</v>
      </c>
      <c r="N10" s="1105">
        <f>D10/2</f>
        <v>36000000</v>
      </c>
      <c r="O10" s="1105">
        <f>36000000-36135800</f>
        <v>-135800</v>
      </c>
      <c r="P10" s="970"/>
      <c r="Q10" s="1129"/>
      <c r="R10" s="1136">
        <f>I10+J10+K10-135800</f>
        <v>72000000</v>
      </c>
      <c r="S10" s="1146" t="s">
        <v>1291</v>
      </c>
    </row>
    <row r="11" spans="1:19" s="88" customFormat="1" ht="13.5" customHeight="1" x14ac:dyDescent="0.25">
      <c r="A11" s="126">
        <v>3</v>
      </c>
      <c r="B11" s="127" t="s">
        <v>14</v>
      </c>
      <c r="C11" s="128">
        <v>0.19</v>
      </c>
      <c r="D11" s="122">
        <f t="shared" si="0"/>
        <v>228000000</v>
      </c>
      <c r="E11" s="123"/>
      <c r="F11" s="124"/>
      <c r="G11" s="125"/>
      <c r="H11" s="526">
        <f t="shared" si="1"/>
        <v>114000000</v>
      </c>
      <c r="I11" s="129">
        <v>42000000</v>
      </c>
      <c r="J11" s="129"/>
      <c r="K11" s="526"/>
      <c r="L11" s="526"/>
      <c r="M11" s="526">
        <f>H11-I11-J11-K11</f>
        <v>72000000</v>
      </c>
      <c r="N11" s="1105">
        <f t="shared" ref="N11:N14" si="2">D11/2</f>
        <v>114000000</v>
      </c>
      <c r="O11" s="1105"/>
      <c r="P11" s="875">
        <f>M31</f>
        <v>78000000</v>
      </c>
      <c r="Q11" s="1130"/>
      <c r="R11" s="1136">
        <f>I11+P11</f>
        <v>120000000</v>
      </c>
      <c r="S11" s="1136"/>
    </row>
    <row r="12" spans="1:19" s="88" customFormat="1" ht="54" customHeight="1" x14ac:dyDescent="0.25">
      <c r="A12" s="126">
        <v>4</v>
      </c>
      <c r="B12" s="127" t="s">
        <v>15</v>
      </c>
      <c r="C12" s="128">
        <v>0.06</v>
      </c>
      <c r="D12" s="122">
        <f t="shared" si="0"/>
        <v>72000000</v>
      </c>
      <c r="E12" s="123">
        <v>0.03</v>
      </c>
      <c r="F12" s="129">
        <f>E12*1200000000</f>
        <v>36000000</v>
      </c>
      <c r="G12" s="125" t="s">
        <v>214</v>
      </c>
      <c r="H12" s="526">
        <f>D12-F12</f>
        <v>36000000</v>
      </c>
      <c r="I12" s="129">
        <v>36000000</v>
      </c>
      <c r="J12" s="129">
        <v>3289850</v>
      </c>
      <c r="K12" s="526"/>
      <c r="L12" s="526"/>
      <c r="M12" s="1111">
        <f>D12-F12-I12-J12</f>
        <v>-3289850</v>
      </c>
      <c r="N12" s="1105"/>
      <c r="O12" s="1105">
        <v>-3289850</v>
      </c>
      <c r="P12" s="875">
        <v>0</v>
      </c>
      <c r="Q12" s="1130">
        <v>0</v>
      </c>
      <c r="R12" s="1136">
        <f>D12</f>
        <v>72000000</v>
      </c>
      <c r="S12" s="1146" t="s">
        <v>1279</v>
      </c>
    </row>
    <row r="13" spans="1:19" s="88" customFormat="1" ht="19.5" customHeight="1" x14ac:dyDescent="0.25">
      <c r="A13" s="126">
        <v>5</v>
      </c>
      <c r="B13" s="964" t="s">
        <v>16</v>
      </c>
      <c r="C13" s="965">
        <v>0.06</v>
      </c>
      <c r="D13" s="966">
        <f t="shared" si="0"/>
        <v>72000000</v>
      </c>
      <c r="E13" s="967"/>
      <c r="F13" s="968"/>
      <c r="G13" s="969"/>
      <c r="H13" s="878">
        <f t="shared" si="1"/>
        <v>36000000</v>
      </c>
      <c r="I13" s="129">
        <v>60000000</v>
      </c>
      <c r="J13" s="129">
        <v>4316000</v>
      </c>
      <c r="K13" s="878"/>
      <c r="L13" s="878"/>
      <c r="M13" s="1105">
        <f>H13-I13-J13</f>
        <v>-28316000</v>
      </c>
      <c r="N13" s="1105">
        <f t="shared" si="2"/>
        <v>36000000</v>
      </c>
      <c r="O13" s="1105">
        <f>N13-28316000</f>
        <v>7684000</v>
      </c>
      <c r="P13" s="970"/>
      <c r="Q13" s="1129"/>
      <c r="R13" s="1136">
        <f>D13</f>
        <v>72000000</v>
      </c>
      <c r="S13" s="1146" t="s">
        <v>1291</v>
      </c>
    </row>
    <row r="14" spans="1:19" s="88" customFormat="1" ht="33" customHeight="1" x14ac:dyDescent="0.25">
      <c r="A14" s="126">
        <v>6</v>
      </c>
      <c r="B14" s="964" t="s">
        <v>17</v>
      </c>
      <c r="C14" s="965">
        <v>0.1</v>
      </c>
      <c r="D14" s="966">
        <f t="shared" si="0"/>
        <v>120000000</v>
      </c>
      <c r="E14" s="967"/>
      <c r="F14" s="968"/>
      <c r="G14" s="969"/>
      <c r="H14" s="878">
        <f t="shared" si="1"/>
        <v>60000000</v>
      </c>
      <c r="I14" s="129"/>
      <c r="J14" s="129">
        <v>39184990</v>
      </c>
      <c r="K14" s="878">
        <f>3*8000000</f>
        <v>24000000</v>
      </c>
      <c r="L14" s="878">
        <v>80000000</v>
      </c>
      <c r="M14" s="1105">
        <f>H14-I14-J14-K14-L14</f>
        <v>-83184990</v>
      </c>
      <c r="N14" s="1105">
        <f t="shared" si="2"/>
        <v>60000000</v>
      </c>
      <c r="O14" s="1105">
        <f>60000000-83184990</f>
        <v>-23184990</v>
      </c>
      <c r="P14" s="970"/>
      <c r="Q14" s="1129"/>
      <c r="R14" s="1136">
        <f>J14+K14+L14-23184990</f>
        <v>120000000</v>
      </c>
      <c r="S14" s="1146" t="s">
        <v>1279</v>
      </c>
    </row>
    <row r="15" spans="1:19" s="88" customFormat="1" ht="53.25" customHeight="1" x14ac:dyDescent="0.25">
      <c r="A15" s="131">
        <v>7</v>
      </c>
      <c r="B15" s="132" t="s">
        <v>18</v>
      </c>
      <c r="C15" s="133">
        <v>0.03</v>
      </c>
      <c r="D15" s="122">
        <f t="shared" si="0"/>
        <v>36000000</v>
      </c>
      <c r="E15" s="134">
        <v>0.03</v>
      </c>
      <c r="F15" s="130">
        <f>E15*1200000000</f>
        <v>36000000</v>
      </c>
      <c r="G15" s="125" t="s">
        <v>214</v>
      </c>
      <c r="H15" s="547">
        <f>D15-F15</f>
        <v>0</v>
      </c>
      <c r="I15" s="135">
        <v>0</v>
      </c>
      <c r="J15" s="135">
        <v>5000000</v>
      </c>
      <c r="K15" s="547"/>
      <c r="L15" s="547">
        <v>10000000</v>
      </c>
      <c r="M15" s="1112">
        <f>H15-I15-J15-L15</f>
        <v>-15000000</v>
      </c>
      <c r="N15" s="1137"/>
      <c r="O15" s="1137">
        <v>-15000000</v>
      </c>
      <c r="P15" s="876">
        <v>0</v>
      </c>
      <c r="Q15" s="1131">
        <v>0</v>
      </c>
      <c r="R15" s="1135">
        <f>F15</f>
        <v>36000000</v>
      </c>
      <c r="S15" s="1146" t="s">
        <v>1292</v>
      </c>
    </row>
    <row r="16" spans="1:19" s="117" customFormat="1" ht="13.5" customHeight="1" thickBot="1" x14ac:dyDescent="0.3">
      <c r="A16" s="2154" t="s">
        <v>2</v>
      </c>
      <c r="B16" s="2155"/>
      <c r="C16" s="136">
        <f t="shared" ref="C16:I16" si="3">SUM(C9:C15)</f>
        <v>1</v>
      </c>
      <c r="D16" s="137">
        <f t="shared" si="3"/>
        <v>1200000000</v>
      </c>
      <c r="E16" s="137"/>
      <c r="F16" s="137">
        <f t="shared" si="3"/>
        <v>72000000</v>
      </c>
      <c r="G16" s="138"/>
      <c r="H16" s="877">
        <f t="shared" si="3"/>
        <v>582000000</v>
      </c>
      <c r="I16" s="877">
        <f t="shared" si="3"/>
        <v>178000000</v>
      </c>
      <c r="J16" s="877">
        <f>SUM(J9:J15)</f>
        <v>259462730</v>
      </c>
      <c r="K16" s="877">
        <f>SUM(K9:K15)</f>
        <v>84000000</v>
      </c>
      <c r="L16" s="877">
        <f>SUM(L9:L15)</f>
        <v>90000000</v>
      </c>
      <c r="M16" s="877">
        <f>M9+M11</f>
        <v>136463910</v>
      </c>
      <c r="N16" s="877"/>
      <c r="O16" s="877"/>
      <c r="P16" s="877">
        <f>SUM(P9:P15)</f>
        <v>348000000</v>
      </c>
      <c r="Q16" s="1132">
        <f>SUM(Q9:Q15)</f>
        <v>30000000</v>
      </c>
      <c r="R16" s="1133"/>
      <c r="S16" s="1133"/>
    </row>
    <row r="17" spans="1:21" s="117" customFormat="1" ht="11.25" customHeight="1" thickTop="1" x14ac:dyDescent="0.25">
      <c r="A17" s="871"/>
      <c r="B17" s="871"/>
      <c r="C17" s="872"/>
      <c r="D17" s="873"/>
      <c r="E17" s="873"/>
      <c r="F17" s="873"/>
      <c r="G17" s="874"/>
      <c r="H17" s="873"/>
      <c r="I17" s="873"/>
      <c r="J17" s="873"/>
      <c r="K17" s="873"/>
      <c r="L17" s="873"/>
      <c r="M17" s="873"/>
      <c r="N17" s="873"/>
      <c r="O17" s="873"/>
      <c r="P17" s="873"/>
      <c r="Q17" s="873"/>
    </row>
    <row r="18" spans="1:21" s="117" customFormat="1" ht="22.5" customHeight="1" thickTop="1" x14ac:dyDescent="0.25">
      <c r="A18" s="871"/>
      <c r="B18" s="1159" t="s">
        <v>904</v>
      </c>
      <c r="C18" s="1160"/>
      <c r="D18" s="1161"/>
      <c r="E18" s="1161"/>
      <c r="F18" s="1162"/>
      <c r="G18" s="1163"/>
      <c r="H18" s="1162"/>
      <c r="I18" s="1162"/>
      <c r="J18" s="1164" t="s">
        <v>990</v>
      </c>
      <c r="K18" s="1162"/>
      <c r="L18" s="1162"/>
      <c r="M18" s="1162"/>
      <c r="N18" s="1162"/>
      <c r="O18" s="1162"/>
      <c r="P18" s="1165" t="s">
        <v>303</v>
      </c>
      <c r="Q18" s="1162"/>
    </row>
    <row r="19" spans="1:21" s="117" customFormat="1" ht="23.1" customHeight="1" thickBot="1" x14ac:dyDescent="0.3">
      <c r="A19" s="871"/>
      <c r="B19" s="1166" t="s">
        <v>308</v>
      </c>
      <c r="C19" s="106"/>
      <c r="D19" s="1161"/>
      <c r="E19" s="1161"/>
      <c r="F19" s="1162"/>
      <c r="G19" s="1163"/>
      <c r="H19" s="1162"/>
      <c r="I19" s="1162"/>
      <c r="J19" s="1166" t="s">
        <v>243</v>
      </c>
      <c r="K19" s="1162"/>
      <c r="L19" s="1162"/>
      <c r="M19" s="1162"/>
      <c r="N19" s="1162"/>
      <c r="O19" s="1162"/>
      <c r="P19" s="1167" t="s">
        <v>243</v>
      </c>
      <c r="Q19" s="1162"/>
    </row>
    <row r="20" spans="1:21" s="32" customFormat="1" ht="30" customHeight="1" thickTop="1" x14ac:dyDescent="0.2">
      <c r="A20" s="2145"/>
      <c r="B20" s="2145"/>
      <c r="C20" s="2145"/>
      <c r="D20" s="2145"/>
      <c r="E20" s="2145"/>
      <c r="F20" s="2145"/>
      <c r="G20" s="2145"/>
      <c r="H20" s="2145"/>
      <c r="I20" s="2145"/>
      <c r="J20" s="624"/>
      <c r="K20" s="2146" t="s">
        <v>1277</v>
      </c>
      <c r="L20" s="2147"/>
      <c r="M20" s="2147"/>
      <c r="N20" s="2148"/>
      <c r="O20" s="1147"/>
      <c r="P20" s="1147"/>
      <c r="Q20" s="1147"/>
      <c r="R20" s="2145"/>
      <c r="S20" s="2145"/>
      <c r="T20" s="2145"/>
      <c r="U20" s="2145"/>
    </row>
    <row r="21" spans="1:21" s="32" customFormat="1" ht="21" customHeight="1" x14ac:dyDescent="0.2">
      <c r="A21" s="956"/>
      <c r="B21" s="955"/>
      <c r="C21" s="2151"/>
      <c r="D21" s="2151"/>
      <c r="E21" s="2151"/>
      <c r="F21" s="2151"/>
      <c r="G21" s="2153"/>
      <c r="H21" s="2153"/>
      <c r="I21" s="956"/>
      <c r="J21" s="624"/>
      <c r="K21" s="625" t="s">
        <v>153</v>
      </c>
      <c r="L21" s="1119" t="s">
        <v>405</v>
      </c>
      <c r="M21" s="626" t="s">
        <v>149</v>
      </c>
      <c r="N21" s="627" t="s">
        <v>1</v>
      </c>
      <c r="O21" s="956"/>
      <c r="P21" s="1106"/>
      <c r="Q21" s="956"/>
      <c r="R21" s="956"/>
      <c r="S21" s="956"/>
      <c r="T21" s="956"/>
      <c r="U21" s="957"/>
    </row>
    <row r="22" spans="1:21" s="32" customFormat="1" ht="10.199999999999999" x14ac:dyDescent="0.2">
      <c r="A22" s="959"/>
      <c r="B22" s="959"/>
      <c r="C22" s="1138"/>
      <c r="D22" s="1138"/>
      <c r="E22" s="1139"/>
      <c r="F22" s="1138"/>
      <c r="G22" s="2152"/>
      <c r="H22" s="2152"/>
      <c r="I22" s="1141"/>
      <c r="J22" s="624"/>
      <c r="K22" s="1413" t="s">
        <v>403</v>
      </c>
      <c r="L22" s="1414" t="s">
        <v>12</v>
      </c>
      <c r="M22" s="1415">
        <v>45000000</v>
      </c>
      <c r="N22" s="1416" t="s">
        <v>1294</v>
      </c>
      <c r="O22" s="960"/>
      <c r="P22" s="1106"/>
      <c r="Q22" s="959"/>
      <c r="R22" s="958"/>
      <c r="S22" s="958"/>
      <c r="T22" s="960"/>
      <c r="U22" s="961"/>
    </row>
    <row r="23" spans="1:21" s="32" customFormat="1" ht="10.199999999999999" x14ac:dyDescent="0.2">
      <c r="A23" s="959"/>
      <c r="B23" s="959"/>
      <c r="C23" s="1138"/>
      <c r="D23" s="1138"/>
      <c r="E23" s="1139"/>
      <c r="F23" s="1138"/>
      <c r="G23" s="1140"/>
      <c r="H23" s="1140"/>
      <c r="I23" s="1141"/>
      <c r="J23" s="624"/>
      <c r="K23" s="1413" t="s">
        <v>432</v>
      </c>
      <c r="L23" s="1414" t="s">
        <v>12</v>
      </c>
      <c r="M23" s="1415">
        <v>45000000</v>
      </c>
      <c r="N23" s="1416" t="s">
        <v>404</v>
      </c>
      <c r="O23" s="960"/>
      <c r="P23" s="1106"/>
      <c r="Q23" s="959"/>
      <c r="R23" s="958"/>
      <c r="S23" s="958"/>
      <c r="T23" s="960"/>
      <c r="U23" s="961"/>
    </row>
    <row r="24" spans="1:21" s="32" customFormat="1" ht="10.199999999999999" x14ac:dyDescent="0.2">
      <c r="A24" s="959"/>
      <c r="B24" s="959"/>
      <c r="C24" s="1138"/>
      <c r="D24" s="1138"/>
      <c r="E24" s="1139"/>
      <c r="F24" s="1138"/>
      <c r="G24" s="2152"/>
      <c r="H24" s="2152"/>
      <c r="I24" s="1141"/>
      <c r="J24" s="624"/>
      <c r="K24" s="1417" t="s">
        <v>1001</v>
      </c>
      <c r="L24" s="1418" t="s">
        <v>12</v>
      </c>
      <c r="M24" s="1136">
        <v>90000000</v>
      </c>
      <c r="N24" s="1416" t="s">
        <v>404</v>
      </c>
      <c r="O24" s="1108"/>
      <c r="P24" s="1106"/>
      <c r="Q24" s="959"/>
      <c r="R24" s="958"/>
      <c r="S24" s="958"/>
      <c r="T24" s="960"/>
      <c r="U24" s="961"/>
    </row>
    <row r="25" spans="1:21" s="32" customFormat="1" ht="10.199999999999999" x14ac:dyDescent="0.2">
      <c r="A25" s="959"/>
      <c r="B25" s="959"/>
      <c r="C25" s="1138"/>
      <c r="D25" s="1138"/>
      <c r="E25" s="1139"/>
      <c r="F25" s="1138"/>
      <c r="G25" s="2174"/>
      <c r="H25" s="2174"/>
      <c r="I25" s="959"/>
      <c r="J25" s="629"/>
      <c r="K25" s="1419" t="s">
        <v>1243</v>
      </c>
      <c r="L25" s="1420" t="s">
        <v>12</v>
      </c>
      <c r="M25" s="1421">
        <v>90000000</v>
      </c>
      <c r="N25" s="1422" t="s">
        <v>404</v>
      </c>
      <c r="O25" s="960"/>
      <c r="P25" s="1106"/>
      <c r="Q25" s="959"/>
      <c r="R25" s="1107"/>
      <c r="S25" s="1107"/>
      <c r="T25" s="1108"/>
      <c r="U25" s="961"/>
    </row>
    <row r="26" spans="1:21" s="32" customFormat="1" ht="14.25" customHeight="1" x14ac:dyDescent="0.2">
      <c r="A26" s="959"/>
      <c r="B26" s="2133"/>
      <c r="C26" s="2133"/>
      <c r="D26" s="2133"/>
      <c r="E26" s="2133"/>
      <c r="F26" s="2133"/>
      <c r="G26" s="2134"/>
      <c r="H26" s="2134"/>
      <c r="I26" s="959"/>
      <c r="J26" s="629"/>
      <c r="K26" s="2142" t="s">
        <v>2</v>
      </c>
      <c r="L26" s="2143"/>
      <c r="M26" s="1423">
        <f>SUM(M22:M25)</f>
        <v>270000000</v>
      </c>
      <c r="N26" s="862"/>
      <c r="O26" s="1110"/>
      <c r="P26" s="1106"/>
      <c r="Q26" s="959"/>
      <c r="R26" s="1109"/>
      <c r="S26" s="1109"/>
      <c r="T26" s="960"/>
      <c r="U26" s="961"/>
    </row>
    <row r="27" spans="1:21" s="32" customFormat="1" ht="15" customHeight="1" x14ac:dyDescent="0.2">
      <c r="A27" s="959"/>
      <c r="B27" s="959"/>
      <c r="C27" s="1138"/>
      <c r="D27" s="1138"/>
      <c r="E27" s="1139"/>
      <c r="F27" s="1138"/>
      <c r="G27" s="2174"/>
      <c r="H27" s="2174"/>
      <c r="I27" s="959"/>
      <c r="J27" s="629"/>
      <c r="K27" s="1424" t="s">
        <v>260</v>
      </c>
      <c r="L27" s="1425" t="s">
        <v>14</v>
      </c>
      <c r="M27" s="1426">
        <v>18000000</v>
      </c>
      <c r="N27" s="1427" t="s">
        <v>404</v>
      </c>
      <c r="O27" s="960"/>
      <c r="P27" s="1106"/>
      <c r="Q27" s="959"/>
      <c r="R27" s="2141"/>
      <c r="S27" s="2141"/>
      <c r="T27" s="1110"/>
      <c r="U27" s="1106"/>
    </row>
    <row r="28" spans="1:21" s="32" customFormat="1" ht="15" customHeight="1" x14ac:dyDescent="0.2">
      <c r="A28" s="959"/>
      <c r="B28" s="959"/>
      <c r="C28" s="1138"/>
      <c r="D28" s="1138"/>
      <c r="E28" s="1139"/>
      <c r="F28" s="1138"/>
      <c r="G28" s="1851"/>
      <c r="H28" s="1851"/>
      <c r="I28" s="959"/>
      <c r="J28" s="629"/>
      <c r="K28" s="1879">
        <v>44113</v>
      </c>
      <c r="L28" s="1425" t="s">
        <v>14</v>
      </c>
      <c r="M28" s="1426">
        <v>5000000</v>
      </c>
      <c r="N28" s="1427" t="s">
        <v>2310</v>
      </c>
      <c r="O28" s="960"/>
      <c r="P28" s="1106"/>
      <c r="Q28" s="959"/>
      <c r="R28" s="1852"/>
      <c r="S28" s="1852"/>
      <c r="T28" s="1110"/>
      <c r="U28" s="1106"/>
    </row>
    <row r="29" spans="1:21" s="32" customFormat="1" ht="14.25" customHeight="1" x14ac:dyDescent="0.2">
      <c r="A29" s="959"/>
      <c r="B29" s="2133"/>
      <c r="C29" s="2133"/>
      <c r="D29" s="2133"/>
      <c r="E29" s="2133"/>
      <c r="F29" s="2133"/>
      <c r="G29" s="2134"/>
      <c r="H29" s="2134"/>
      <c r="I29" s="959"/>
      <c r="J29" s="629"/>
      <c r="K29" s="1413" t="s">
        <v>634</v>
      </c>
      <c r="L29" s="1414" t="s">
        <v>14</v>
      </c>
      <c r="M29" s="1415">
        <v>30000000</v>
      </c>
      <c r="N29" s="1416" t="s">
        <v>404</v>
      </c>
      <c r="O29" s="960"/>
      <c r="P29" s="1106"/>
      <c r="Q29" s="959"/>
      <c r="R29" s="958"/>
      <c r="S29" s="958"/>
      <c r="T29" s="960"/>
      <c r="U29" s="961"/>
    </row>
    <row r="30" spans="1:21" s="32" customFormat="1" ht="10.199999999999999" x14ac:dyDescent="0.2">
      <c r="A30" s="959"/>
      <c r="B30" s="959"/>
      <c r="C30" s="1138"/>
      <c r="D30" s="1138"/>
      <c r="E30" s="1139"/>
      <c r="F30" s="1138"/>
      <c r="G30" s="2137"/>
      <c r="H30" s="2137"/>
      <c r="I30" s="959"/>
      <c r="J30" s="629"/>
      <c r="K30" s="1413" t="s">
        <v>964</v>
      </c>
      <c r="L30" s="1414" t="s">
        <v>14</v>
      </c>
      <c r="M30" s="1415">
        <v>25000000</v>
      </c>
      <c r="N30" s="1416" t="s">
        <v>404</v>
      </c>
      <c r="O30" s="960"/>
      <c r="P30" s="1106"/>
      <c r="Q30" s="959"/>
      <c r="R30" s="958"/>
      <c r="S30" s="958"/>
      <c r="T30" s="960"/>
      <c r="U30" s="961"/>
    </row>
    <row r="31" spans="1:21" s="32" customFormat="1" ht="10.8" thickBot="1" x14ac:dyDescent="0.25">
      <c r="A31" s="959"/>
      <c r="B31" s="959"/>
      <c r="C31" s="1138"/>
      <c r="D31" s="1138"/>
      <c r="E31" s="1139"/>
      <c r="F31" s="1138"/>
      <c r="G31" s="2137"/>
      <c r="H31" s="2137"/>
      <c r="I31" s="959"/>
      <c r="J31" s="629"/>
      <c r="K31" s="2149" t="s">
        <v>2</v>
      </c>
      <c r="L31" s="2150"/>
      <c r="M31" s="1428">
        <f>SUM(M27:M30)</f>
        <v>78000000</v>
      </c>
      <c r="N31" s="1429"/>
      <c r="O31" s="1110"/>
      <c r="P31" s="1106"/>
      <c r="Q31" s="959"/>
      <c r="R31" s="958"/>
      <c r="S31" s="958"/>
      <c r="T31" s="960"/>
      <c r="U31" s="961"/>
    </row>
    <row r="32" spans="1:21" s="32" customFormat="1" ht="10.8" thickTop="1" x14ac:dyDescent="0.2">
      <c r="A32" s="959"/>
      <c r="B32" s="959"/>
      <c r="C32" s="1138"/>
      <c r="D32" s="1138"/>
      <c r="E32" s="1139"/>
      <c r="F32" s="1138"/>
      <c r="G32" s="2137"/>
      <c r="H32" s="2137"/>
      <c r="I32" s="959"/>
      <c r="J32" s="629"/>
      <c r="Q32" s="959"/>
      <c r="R32" s="2141"/>
      <c r="S32" s="2141"/>
      <c r="T32" s="1110"/>
      <c r="U32" s="1106"/>
    </row>
    <row r="33" spans="1:19" s="32" customFormat="1" ht="15" customHeight="1" x14ac:dyDescent="0.2">
      <c r="A33" s="959"/>
      <c r="B33" s="2133"/>
      <c r="C33" s="2133"/>
      <c r="D33" s="2133"/>
      <c r="E33" s="2133"/>
      <c r="F33" s="2133"/>
      <c r="G33" s="2136"/>
      <c r="H33" s="2136"/>
      <c r="I33" s="959"/>
      <c r="J33" s="629"/>
      <c r="Q33" s="959"/>
      <c r="R33" s="961"/>
      <c r="S33" s="961"/>
    </row>
    <row r="34" spans="1:19" s="32" customFormat="1" ht="10.199999999999999" x14ac:dyDescent="0.2">
      <c r="A34" s="959"/>
      <c r="B34" s="959"/>
      <c r="C34" s="1138"/>
      <c r="D34" s="1138"/>
      <c r="E34" s="1139"/>
      <c r="F34" s="1138"/>
      <c r="G34" s="2137"/>
      <c r="H34" s="2137"/>
      <c r="I34" s="959"/>
      <c r="J34" s="629"/>
      <c r="Q34" s="959"/>
      <c r="R34" s="961"/>
      <c r="S34" s="961"/>
    </row>
    <row r="35" spans="1:19" s="32" customFormat="1" ht="10.199999999999999" x14ac:dyDescent="0.2">
      <c r="A35" s="959"/>
      <c r="B35" s="959"/>
      <c r="C35" s="1138"/>
      <c r="D35" s="1138"/>
      <c r="E35" s="1139"/>
      <c r="F35" s="1138"/>
      <c r="G35" s="2138"/>
      <c r="H35" s="2138"/>
      <c r="I35" s="959"/>
      <c r="J35" s="629"/>
      <c r="Q35" s="959"/>
      <c r="R35" s="961"/>
      <c r="S35" s="961"/>
    </row>
    <row r="36" spans="1:19" s="32" customFormat="1" ht="26.1" customHeight="1" x14ac:dyDescent="0.2">
      <c r="A36" s="959"/>
      <c r="B36" s="2135"/>
      <c r="C36" s="2135"/>
      <c r="D36" s="2135"/>
      <c r="E36" s="2135"/>
      <c r="F36" s="2135"/>
      <c r="G36" s="2139"/>
      <c r="H36" s="2139"/>
      <c r="I36" s="959"/>
      <c r="J36" s="629"/>
      <c r="K36" s="2145"/>
      <c r="L36" s="2145"/>
      <c r="M36" s="2145"/>
      <c r="N36" s="2145"/>
      <c r="O36" s="2145"/>
      <c r="P36" s="2145"/>
      <c r="Q36" s="959"/>
      <c r="R36" s="961"/>
      <c r="S36" s="961"/>
    </row>
    <row r="37" spans="1:19" s="32" customFormat="1" ht="35.25" customHeight="1" x14ac:dyDescent="0.2">
      <c r="A37" s="1142"/>
      <c r="B37" s="1142"/>
      <c r="C37" s="2131"/>
      <c r="D37" s="2131"/>
      <c r="E37" s="2131"/>
      <c r="F37" s="2131"/>
      <c r="G37" s="2140"/>
      <c r="H37" s="2140"/>
      <c r="I37" s="959"/>
      <c r="J37" s="629"/>
      <c r="K37" s="956"/>
      <c r="L37" s="955"/>
      <c r="M37" s="955"/>
      <c r="N37" s="955"/>
      <c r="O37" s="955"/>
      <c r="P37" s="1144"/>
      <c r="Q37" s="959"/>
      <c r="R37" s="961"/>
      <c r="S37" s="961"/>
    </row>
    <row r="38" spans="1:19" s="32" customFormat="1" ht="10.199999999999999" x14ac:dyDescent="0.2">
      <c r="A38" s="959"/>
      <c r="B38" s="959"/>
      <c r="C38" s="1138"/>
      <c r="D38" s="1138"/>
      <c r="E38" s="1139"/>
      <c r="F38" s="1138"/>
      <c r="G38" s="2138"/>
      <c r="H38" s="2138"/>
      <c r="I38" s="2132"/>
      <c r="J38" s="629"/>
      <c r="K38" s="958"/>
      <c r="L38" s="1145"/>
      <c r="M38" s="960"/>
      <c r="N38" s="960"/>
      <c r="O38" s="960"/>
      <c r="P38" s="961"/>
      <c r="Q38" s="959"/>
      <c r="R38" s="961"/>
      <c r="S38" s="961"/>
    </row>
    <row r="39" spans="1:19" s="32" customFormat="1" ht="14.25" customHeight="1" x14ac:dyDescent="0.2">
      <c r="A39" s="959"/>
      <c r="B39" s="959"/>
      <c r="C39" s="1138"/>
      <c r="D39" s="1138"/>
      <c r="E39" s="1139"/>
      <c r="F39" s="1138"/>
      <c r="G39" s="2138"/>
      <c r="H39" s="2138"/>
      <c r="I39" s="2132"/>
      <c r="J39" s="629"/>
      <c r="K39" s="958"/>
      <c r="L39" s="1145"/>
      <c r="M39" s="960"/>
      <c r="N39" s="960"/>
      <c r="O39" s="960"/>
      <c r="P39" s="961"/>
      <c r="Q39" s="959"/>
      <c r="R39" s="961"/>
      <c r="S39" s="961"/>
    </row>
    <row r="40" spans="1:19" s="32" customFormat="1" ht="26.1" customHeight="1" x14ac:dyDescent="0.2">
      <c r="A40" s="959"/>
      <c r="B40" s="2135"/>
      <c r="C40" s="2135"/>
      <c r="D40" s="2135"/>
      <c r="E40" s="2135"/>
      <c r="F40" s="2135"/>
      <c r="G40" s="2139"/>
      <c r="H40" s="2139"/>
      <c r="I40" s="1143"/>
      <c r="J40" s="629"/>
      <c r="K40" s="2144"/>
      <c r="L40" s="2144"/>
      <c r="M40" s="2144"/>
      <c r="N40" s="1118"/>
      <c r="O40" s="1118"/>
      <c r="P40" s="961"/>
      <c r="Q40" s="959"/>
      <c r="R40" s="961"/>
      <c r="S40" s="961"/>
    </row>
    <row r="41" spans="1:19" s="32" customFormat="1" ht="10.199999999999999" x14ac:dyDescent="0.2">
      <c r="A41" s="959"/>
      <c r="B41" s="959"/>
      <c r="C41" s="1138"/>
      <c r="D41" s="1138"/>
      <c r="E41" s="1139"/>
      <c r="F41" s="1138"/>
      <c r="G41" s="2132"/>
      <c r="H41" s="2132"/>
      <c r="I41" s="959"/>
      <c r="J41" s="629"/>
      <c r="K41" s="1109"/>
      <c r="L41" s="959"/>
      <c r="M41" s="960"/>
      <c r="N41" s="960"/>
      <c r="O41" s="960"/>
      <c r="P41" s="961"/>
      <c r="Q41" s="959"/>
      <c r="R41" s="961"/>
      <c r="S41" s="961"/>
    </row>
    <row r="42" spans="1:19" s="32" customFormat="1" ht="10.199999999999999" x14ac:dyDescent="0.2">
      <c r="A42" s="959"/>
      <c r="B42" s="959"/>
      <c r="C42" s="1138"/>
      <c r="D42" s="1138"/>
      <c r="E42" s="1139"/>
      <c r="F42" s="1138"/>
      <c r="G42" s="2132"/>
      <c r="H42" s="2132"/>
      <c r="I42" s="959"/>
      <c r="J42" s="629"/>
      <c r="K42" s="2141"/>
      <c r="L42" s="2141"/>
      <c r="M42" s="1110"/>
      <c r="N42" s="1110"/>
      <c r="O42" s="1110"/>
      <c r="P42" s="1106"/>
      <c r="Q42" s="959"/>
      <c r="R42" s="961"/>
      <c r="S42" s="961"/>
    </row>
    <row r="43" spans="1:19" s="32" customFormat="1" ht="32.1" customHeight="1" x14ac:dyDescent="0.2">
      <c r="A43" s="959"/>
      <c r="B43" s="2135"/>
      <c r="C43" s="2135"/>
      <c r="D43" s="2135"/>
      <c r="E43" s="2135"/>
      <c r="F43" s="2135"/>
      <c r="G43" s="2136"/>
      <c r="H43" s="2136"/>
      <c r="I43" s="959"/>
      <c r="J43" s="629"/>
      <c r="K43" s="958"/>
      <c r="L43" s="959"/>
      <c r="M43" s="960"/>
      <c r="N43" s="960"/>
      <c r="O43" s="960"/>
      <c r="P43" s="961"/>
      <c r="Q43" s="959"/>
      <c r="R43" s="961"/>
      <c r="S43" s="961"/>
    </row>
    <row r="44" spans="1:19" s="32" customFormat="1" ht="54" customHeight="1" x14ac:dyDescent="0.2">
      <c r="A44" s="2153"/>
      <c r="B44" s="2153"/>
      <c r="C44" s="2153"/>
      <c r="D44" s="2153"/>
      <c r="E44" s="2153"/>
      <c r="F44" s="2153"/>
      <c r="G44" s="2175"/>
      <c r="H44" s="2175"/>
      <c r="I44" s="959"/>
      <c r="J44" s="629"/>
      <c r="K44" s="958"/>
      <c r="L44" s="959"/>
      <c r="M44" s="960"/>
      <c r="N44" s="960"/>
      <c r="O44" s="960"/>
      <c r="P44" s="961"/>
      <c r="Q44" s="959"/>
      <c r="R44" s="961"/>
      <c r="S44" s="961"/>
    </row>
    <row r="45" spans="1:19" x14ac:dyDescent="0.25">
      <c r="K45" s="958"/>
      <c r="L45" s="959"/>
      <c r="M45" s="960"/>
      <c r="N45" s="960"/>
      <c r="O45" s="960"/>
      <c r="P45" s="961"/>
    </row>
    <row r="46" spans="1:19" x14ac:dyDescent="0.25">
      <c r="C46" s="1"/>
      <c r="G46" s="1"/>
      <c r="K46" s="2141"/>
      <c r="L46" s="2141"/>
      <c r="M46" s="1110"/>
      <c r="N46" s="1110"/>
      <c r="O46" s="1110"/>
      <c r="P46" s="1106"/>
      <c r="Q46" s="1"/>
    </row>
  </sheetData>
  <mergeCells count="64">
    <mergeCell ref="A44:F44"/>
    <mergeCell ref="S6:S8"/>
    <mergeCell ref="O7:Q7"/>
    <mergeCell ref="N6:Q6"/>
    <mergeCell ref="N7:N8"/>
    <mergeCell ref="R6:R8"/>
    <mergeCell ref="G38:H38"/>
    <mergeCell ref="G30:H30"/>
    <mergeCell ref="G29:H29"/>
    <mergeCell ref="G27:H27"/>
    <mergeCell ref="G25:H25"/>
    <mergeCell ref="G44:H44"/>
    <mergeCell ref="G42:H42"/>
    <mergeCell ref="G41:H41"/>
    <mergeCell ref="G40:H40"/>
    <mergeCell ref="G39:H39"/>
    <mergeCell ref="A20:I20"/>
    <mergeCell ref="A16:B16"/>
    <mergeCell ref="D6:D8"/>
    <mergeCell ref="E6:G7"/>
    <mergeCell ref="A6:A8"/>
    <mergeCell ref="C21:F21"/>
    <mergeCell ref="B29:F29"/>
    <mergeCell ref="G24:H24"/>
    <mergeCell ref="G22:H22"/>
    <mergeCell ref="G21:H21"/>
    <mergeCell ref="K46:L46"/>
    <mergeCell ref="K26:L26"/>
    <mergeCell ref="K40:M40"/>
    <mergeCell ref="R20:U20"/>
    <mergeCell ref="R27:S27"/>
    <mergeCell ref="R32:S32"/>
    <mergeCell ref="K36:P36"/>
    <mergeCell ref="K42:L42"/>
    <mergeCell ref="K20:N20"/>
    <mergeCell ref="K31:L31"/>
    <mergeCell ref="C37:F37"/>
    <mergeCell ref="I38:I39"/>
    <mergeCell ref="B26:F26"/>
    <mergeCell ref="G26:H26"/>
    <mergeCell ref="B43:F43"/>
    <mergeCell ref="B40:F40"/>
    <mergeCell ref="B36:F36"/>
    <mergeCell ref="B33:F33"/>
    <mergeCell ref="G43:H43"/>
    <mergeCell ref="G31:H31"/>
    <mergeCell ref="G32:H32"/>
    <mergeCell ref="G34:H34"/>
    <mergeCell ref="G35:H35"/>
    <mergeCell ref="G36:H36"/>
    <mergeCell ref="G37:H37"/>
    <mergeCell ref="G33:H33"/>
    <mergeCell ref="N2:R2"/>
    <mergeCell ref="I7:I8"/>
    <mergeCell ref="J7:J8"/>
    <mergeCell ref="M7:M8"/>
    <mergeCell ref="K7:K8"/>
    <mergeCell ref="L7:L8"/>
    <mergeCell ref="H6:M6"/>
    <mergeCell ref="H7:H8"/>
    <mergeCell ref="A4:S4"/>
    <mergeCell ref="A5:S5"/>
    <mergeCell ref="B6:B8"/>
    <mergeCell ref="C6:C8"/>
  </mergeCells>
  <pageMargins left="0" right="0" top="0" bottom="0" header="0.31496062992125984" footer="0.31496062992125984"/>
  <pageSetup paperSize="9" scale="64" orientation="landscape" horizontalDpi="4294967293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"/>
  <sheetViews>
    <sheetView workbookViewId="0">
      <selection activeCell="E15" sqref="E15"/>
    </sheetView>
  </sheetViews>
  <sheetFormatPr defaultColWidth="8.88671875" defaultRowHeight="16.8" x14ac:dyDescent="0.3"/>
  <cols>
    <col min="1" max="1" width="4.5546875" style="271" customWidth="1"/>
    <col min="2" max="2" width="15.109375" style="272" customWidth="1"/>
    <col min="3" max="3" width="26.109375" style="273" customWidth="1"/>
    <col min="4" max="4" width="12" style="268" customWidth="1"/>
    <col min="5" max="5" width="8.5546875" style="268" customWidth="1"/>
    <col min="6" max="7" width="9.88671875" style="268" customWidth="1"/>
    <col min="8" max="8" width="13.5546875" style="268" customWidth="1"/>
    <col min="9" max="9" width="10.44140625" style="268" customWidth="1"/>
    <col min="10" max="10" width="12.5546875" style="269" customWidth="1"/>
    <col min="11" max="11" width="6.5546875" style="267" customWidth="1"/>
    <col min="12" max="12" width="13.5546875" style="267" customWidth="1"/>
    <col min="13" max="238" width="9" style="267"/>
    <col min="239" max="239" width="4.5546875" style="267" customWidth="1"/>
    <col min="240" max="240" width="19.88671875" style="267" customWidth="1"/>
    <col min="241" max="241" width="12.44140625" style="267" customWidth="1"/>
    <col min="242" max="242" width="13.88671875" style="267" customWidth="1"/>
    <col min="243" max="243" width="12" style="267" customWidth="1"/>
    <col min="244" max="244" width="13" style="267" customWidth="1"/>
    <col min="245" max="245" width="11.109375" style="267" customWidth="1"/>
    <col min="246" max="247" width="13" style="267" customWidth="1"/>
    <col min="248" max="248" width="12.5546875" style="267" customWidth="1"/>
    <col min="249" max="250" width="8.109375" style="267" customWidth="1"/>
    <col min="251" max="251" width="13.109375" style="267" customWidth="1"/>
    <col min="252" max="253" width="14" style="267" customWidth="1"/>
    <col min="254" max="262" width="14.109375" style="267" customWidth="1"/>
    <col min="263" max="263" width="10.109375" style="267" customWidth="1"/>
    <col min="264" max="264" width="11.109375" style="267" customWidth="1"/>
    <col min="265" max="265" width="13.5546875" style="267" bestFit="1" customWidth="1"/>
    <col min="266" max="266" width="5.5546875" style="267" customWidth="1"/>
    <col min="267" max="267" width="6.5546875" style="267" customWidth="1"/>
    <col min="268" max="268" width="13.5546875" style="267" customWidth="1"/>
    <col min="269" max="494" width="9" style="267"/>
    <col min="495" max="495" width="4.5546875" style="267" customWidth="1"/>
    <col min="496" max="496" width="19.88671875" style="267" customWidth="1"/>
    <col min="497" max="497" width="12.44140625" style="267" customWidth="1"/>
    <col min="498" max="498" width="13.88671875" style="267" customWidth="1"/>
    <col min="499" max="499" width="12" style="267" customWidth="1"/>
    <col min="500" max="500" width="13" style="267" customWidth="1"/>
    <col min="501" max="501" width="11.109375" style="267" customWidth="1"/>
    <col min="502" max="503" width="13" style="267" customWidth="1"/>
    <col min="504" max="504" width="12.5546875" style="267" customWidth="1"/>
    <col min="505" max="506" width="8.109375" style="267" customWidth="1"/>
    <col min="507" max="507" width="13.109375" style="267" customWidth="1"/>
    <col min="508" max="509" width="14" style="267" customWidth="1"/>
    <col min="510" max="518" width="14.109375" style="267" customWidth="1"/>
    <col min="519" max="519" width="10.109375" style="267" customWidth="1"/>
    <col min="520" max="520" width="11.109375" style="267" customWidth="1"/>
    <col min="521" max="521" width="13.5546875" style="267" bestFit="1" customWidth="1"/>
    <col min="522" max="522" width="5.5546875" style="267" customWidth="1"/>
    <col min="523" max="523" width="6.5546875" style="267" customWidth="1"/>
    <col min="524" max="524" width="13.5546875" style="267" customWidth="1"/>
    <col min="525" max="750" width="9" style="267"/>
    <col min="751" max="751" width="4.5546875" style="267" customWidth="1"/>
    <col min="752" max="752" width="19.88671875" style="267" customWidth="1"/>
    <col min="753" max="753" width="12.44140625" style="267" customWidth="1"/>
    <col min="754" max="754" width="13.88671875" style="267" customWidth="1"/>
    <col min="755" max="755" width="12" style="267" customWidth="1"/>
    <col min="756" max="756" width="13" style="267" customWidth="1"/>
    <col min="757" max="757" width="11.109375" style="267" customWidth="1"/>
    <col min="758" max="759" width="13" style="267" customWidth="1"/>
    <col min="760" max="760" width="12.5546875" style="267" customWidth="1"/>
    <col min="761" max="762" width="8.109375" style="267" customWidth="1"/>
    <col min="763" max="763" width="13.109375" style="267" customWidth="1"/>
    <col min="764" max="765" width="14" style="267" customWidth="1"/>
    <col min="766" max="774" width="14.109375" style="267" customWidth="1"/>
    <col min="775" max="775" width="10.109375" style="267" customWidth="1"/>
    <col min="776" max="776" width="11.109375" style="267" customWidth="1"/>
    <col min="777" max="777" width="13.5546875" style="267" bestFit="1" customWidth="1"/>
    <col min="778" max="778" width="5.5546875" style="267" customWidth="1"/>
    <col min="779" max="779" width="6.5546875" style="267" customWidth="1"/>
    <col min="780" max="780" width="13.5546875" style="267" customWidth="1"/>
    <col min="781" max="1006" width="9" style="267"/>
    <col min="1007" max="1007" width="4.5546875" style="267" customWidth="1"/>
    <col min="1008" max="1008" width="19.88671875" style="267" customWidth="1"/>
    <col min="1009" max="1009" width="12.44140625" style="267" customWidth="1"/>
    <col min="1010" max="1010" width="13.88671875" style="267" customWidth="1"/>
    <col min="1011" max="1011" width="12" style="267" customWidth="1"/>
    <col min="1012" max="1012" width="13" style="267" customWidth="1"/>
    <col min="1013" max="1013" width="11.109375" style="267" customWidth="1"/>
    <col min="1014" max="1015" width="13" style="267" customWidth="1"/>
    <col min="1016" max="1016" width="12.5546875" style="267" customWidth="1"/>
    <col min="1017" max="1018" width="8.109375" style="267" customWidth="1"/>
    <col min="1019" max="1019" width="13.109375" style="267" customWidth="1"/>
    <col min="1020" max="1021" width="14" style="267" customWidth="1"/>
    <col min="1022" max="1030" width="14.109375" style="267" customWidth="1"/>
    <col min="1031" max="1031" width="10.109375" style="267" customWidth="1"/>
    <col min="1032" max="1032" width="11.109375" style="267" customWidth="1"/>
    <col min="1033" max="1033" width="13.5546875" style="267" bestFit="1" customWidth="1"/>
    <col min="1034" max="1034" width="5.5546875" style="267" customWidth="1"/>
    <col min="1035" max="1035" width="6.5546875" style="267" customWidth="1"/>
    <col min="1036" max="1036" width="13.5546875" style="267" customWidth="1"/>
    <col min="1037" max="1262" width="9" style="267"/>
    <col min="1263" max="1263" width="4.5546875" style="267" customWidth="1"/>
    <col min="1264" max="1264" width="19.88671875" style="267" customWidth="1"/>
    <col min="1265" max="1265" width="12.44140625" style="267" customWidth="1"/>
    <col min="1266" max="1266" width="13.88671875" style="267" customWidth="1"/>
    <col min="1267" max="1267" width="12" style="267" customWidth="1"/>
    <col min="1268" max="1268" width="13" style="267" customWidth="1"/>
    <col min="1269" max="1269" width="11.109375" style="267" customWidth="1"/>
    <col min="1270" max="1271" width="13" style="267" customWidth="1"/>
    <col min="1272" max="1272" width="12.5546875" style="267" customWidth="1"/>
    <col min="1273" max="1274" width="8.109375" style="267" customWidth="1"/>
    <col min="1275" max="1275" width="13.109375" style="267" customWidth="1"/>
    <col min="1276" max="1277" width="14" style="267" customWidth="1"/>
    <col min="1278" max="1286" width="14.109375" style="267" customWidth="1"/>
    <col min="1287" max="1287" width="10.109375" style="267" customWidth="1"/>
    <col min="1288" max="1288" width="11.109375" style="267" customWidth="1"/>
    <col min="1289" max="1289" width="13.5546875" style="267" bestFit="1" customWidth="1"/>
    <col min="1290" max="1290" width="5.5546875" style="267" customWidth="1"/>
    <col min="1291" max="1291" width="6.5546875" style="267" customWidth="1"/>
    <col min="1292" max="1292" width="13.5546875" style="267" customWidth="1"/>
    <col min="1293" max="1518" width="9" style="267"/>
    <col min="1519" max="1519" width="4.5546875" style="267" customWidth="1"/>
    <col min="1520" max="1520" width="19.88671875" style="267" customWidth="1"/>
    <col min="1521" max="1521" width="12.44140625" style="267" customWidth="1"/>
    <col min="1522" max="1522" width="13.88671875" style="267" customWidth="1"/>
    <col min="1523" max="1523" width="12" style="267" customWidth="1"/>
    <col min="1524" max="1524" width="13" style="267" customWidth="1"/>
    <col min="1525" max="1525" width="11.109375" style="267" customWidth="1"/>
    <col min="1526" max="1527" width="13" style="267" customWidth="1"/>
    <col min="1528" max="1528" width="12.5546875" style="267" customWidth="1"/>
    <col min="1529" max="1530" width="8.109375" style="267" customWidth="1"/>
    <col min="1531" max="1531" width="13.109375" style="267" customWidth="1"/>
    <col min="1532" max="1533" width="14" style="267" customWidth="1"/>
    <col min="1534" max="1542" width="14.109375" style="267" customWidth="1"/>
    <col min="1543" max="1543" width="10.109375" style="267" customWidth="1"/>
    <col min="1544" max="1544" width="11.109375" style="267" customWidth="1"/>
    <col min="1545" max="1545" width="13.5546875" style="267" bestFit="1" customWidth="1"/>
    <col min="1546" max="1546" width="5.5546875" style="267" customWidth="1"/>
    <col min="1547" max="1547" width="6.5546875" style="267" customWidth="1"/>
    <col min="1548" max="1548" width="13.5546875" style="267" customWidth="1"/>
    <col min="1549" max="1774" width="9" style="267"/>
    <col min="1775" max="1775" width="4.5546875" style="267" customWidth="1"/>
    <col min="1776" max="1776" width="19.88671875" style="267" customWidth="1"/>
    <col min="1777" max="1777" width="12.44140625" style="267" customWidth="1"/>
    <col min="1778" max="1778" width="13.88671875" style="267" customWidth="1"/>
    <col min="1779" max="1779" width="12" style="267" customWidth="1"/>
    <col min="1780" max="1780" width="13" style="267" customWidth="1"/>
    <col min="1781" max="1781" width="11.109375" style="267" customWidth="1"/>
    <col min="1782" max="1783" width="13" style="267" customWidth="1"/>
    <col min="1784" max="1784" width="12.5546875" style="267" customWidth="1"/>
    <col min="1785" max="1786" width="8.109375" style="267" customWidth="1"/>
    <col min="1787" max="1787" width="13.109375" style="267" customWidth="1"/>
    <col min="1788" max="1789" width="14" style="267" customWidth="1"/>
    <col min="1790" max="1798" width="14.109375" style="267" customWidth="1"/>
    <col min="1799" max="1799" width="10.109375" style="267" customWidth="1"/>
    <col min="1800" max="1800" width="11.109375" style="267" customWidth="1"/>
    <col min="1801" max="1801" width="13.5546875" style="267" bestFit="1" customWidth="1"/>
    <col min="1802" max="1802" width="5.5546875" style="267" customWidth="1"/>
    <col min="1803" max="1803" width="6.5546875" style="267" customWidth="1"/>
    <col min="1804" max="1804" width="13.5546875" style="267" customWidth="1"/>
    <col min="1805" max="2030" width="9" style="267"/>
    <col min="2031" max="2031" width="4.5546875" style="267" customWidth="1"/>
    <col min="2032" max="2032" width="19.88671875" style="267" customWidth="1"/>
    <col min="2033" max="2033" width="12.44140625" style="267" customWidth="1"/>
    <col min="2034" max="2034" width="13.88671875" style="267" customWidth="1"/>
    <col min="2035" max="2035" width="12" style="267" customWidth="1"/>
    <col min="2036" max="2036" width="13" style="267" customWidth="1"/>
    <col min="2037" max="2037" width="11.109375" style="267" customWidth="1"/>
    <col min="2038" max="2039" width="13" style="267" customWidth="1"/>
    <col min="2040" max="2040" width="12.5546875" style="267" customWidth="1"/>
    <col min="2041" max="2042" width="8.109375" style="267" customWidth="1"/>
    <col min="2043" max="2043" width="13.109375" style="267" customWidth="1"/>
    <col min="2044" max="2045" width="14" style="267" customWidth="1"/>
    <col min="2046" max="2054" width="14.109375" style="267" customWidth="1"/>
    <col min="2055" max="2055" width="10.109375" style="267" customWidth="1"/>
    <col min="2056" max="2056" width="11.109375" style="267" customWidth="1"/>
    <col min="2057" max="2057" width="13.5546875" style="267" bestFit="1" customWidth="1"/>
    <col min="2058" max="2058" width="5.5546875" style="267" customWidth="1"/>
    <col min="2059" max="2059" width="6.5546875" style="267" customWidth="1"/>
    <col min="2060" max="2060" width="13.5546875" style="267" customWidth="1"/>
    <col min="2061" max="2286" width="9" style="267"/>
    <col min="2287" max="2287" width="4.5546875" style="267" customWidth="1"/>
    <col min="2288" max="2288" width="19.88671875" style="267" customWidth="1"/>
    <col min="2289" max="2289" width="12.44140625" style="267" customWidth="1"/>
    <col min="2290" max="2290" width="13.88671875" style="267" customWidth="1"/>
    <col min="2291" max="2291" width="12" style="267" customWidth="1"/>
    <col min="2292" max="2292" width="13" style="267" customWidth="1"/>
    <col min="2293" max="2293" width="11.109375" style="267" customWidth="1"/>
    <col min="2294" max="2295" width="13" style="267" customWidth="1"/>
    <col min="2296" max="2296" width="12.5546875" style="267" customWidth="1"/>
    <col min="2297" max="2298" width="8.109375" style="267" customWidth="1"/>
    <col min="2299" max="2299" width="13.109375" style="267" customWidth="1"/>
    <col min="2300" max="2301" width="14" style="267" customWidth="1"/>
    <col min="2302" max="2310" width="14.109375" style="267" customWidth="1"/>
    <col min="2311" max="2311" width="10.109375" style="267" customWidth="1"/>
    <col min="2312" max="2312" width="11.109375" style="267" customWidth="1"/>
    <col min="2313" max="2313" width="13.5546875" style="267" bestFit="1" customWidth="1"/>
    <col min="2314" max="2314" width="5.5546875" style="267" customWidth="1"/>
    <col min="2315" max="2315" width="6.5546875" style="267" customWidth="1"/>
    <col min="2316" max="2316" width="13.5546875" style="267" customWidth="1"/>
    <col min="2317" max="2542" width="9" style="267"/>
    <col min="2543" max="2543" width="4.5546875" style="267" customWidth="1"/>
    <col min="2544" max="2544" width="19.88671875" style="267" customWidth="1"/>
    <col min="2545" max="2545" width="12.44140625" style="267" customWidth="1"/>
    <col min="2546" max="2546" width="13.88671875" style="267" customWidth="1"/>
    <col min="2547" max="2547" width="12" style="267" customWidth="1"/>
    <col min="2548" max="2548" width="13" style="267" customWidth="1"/>
    <col min="2549" max="2549" width="11.109375" style="267" customWidth="1"/>
    <col min="2550" max="2551" width="13" style="267" customWidth="1"/>
    <col min="2552" max="2552" width="12.5546875" style="267" customWidth="1"/>
    <col min="2553" max="2554" width="8.109375" style="267" customWidth="1"/>
    <col min="2555" max="2555" width="13.109375" style="267" customWidth="1"/>
    <col min="2556" max="2557" width="14" style="267" customWidth="1"/>
    <col min="2558" max="2566" width="14.109375" style="267" customWidth="1"/>
    <col min="2567" max="2567" width="10.109375" style="267" customWidth="1"/>
    <col min="2568" max="2568" width="11.109375" style="267" customWidth="1"/>
    <col min="2569" max="2569" width="13.5546875" style="267" bestFit="1" customWidth="1"/>
    <col min="2570" max="2570" width="5.5546875" style="267" customWidth="1"/>
    <col min="2571" max="2571" width="6.5546875" style="267" customWidth="1"/>
    <col min="2572" max="2572" width="13.5546875" style="267" customWidth="1"/>
    <col min="2573" max="2798" width="9" style="267"/>
    <col min="2799" max="2799" width="4.5546875" style="267" customWidth="1"/>
    <col min="2800" max="2800" width="19.88671875" style="267" customWidth="1"/>
    <col min="2801" max="2801" width="12.44140625" style="267" customWidth="1"/>
    <col min="2802" max="2802" width="13.88671875" style="267" customWidth="1"/>
    <col min="2803" max="2803" width="12" style="267" customWidth="1"/>
    <col min="2804" max="2804" width="13" style="267" customWidth="1"/>
    <col min="2805" max="2805" width="11.109375" style="267" customWidth="1"/>
    <col min="2806" max="2807" width="13" style="267" customWidth="1"/>
    <col min="2808" max="2808" width="12.5546875" style="267" customWidth="1"/>
    <col min="2809" max="2810" width="8.109375" style="267" customWidth="1"/>
    <col min="2811" max="2811" width="13.109375" style="267" customWidth="1"/>
    <col min="2812" max="2813" width="14" style="267" customWidth="1"/>
    <col min="2814" max="2822" width="14.109375" style="267" customWidth="1"/>
    <col min="2823" max="2823" width="10.109375" style="267" customWidth="1"/>
    <col min="2824" max="2824" width="11.109375" style="267" customWidth="1"/>
    <col min="2825" max="2825" width="13.5546875" style="267" bestFit="1" customWidth="1"/>
    <col min="2826" max="2826" width="5.5546875" style="267" customWidth="1"/>
    <col min="2827" max="2827" width="6.5546875" style="267" customWidth="1"/>
    <col min="2828" max="2828" width="13.5546875" style="267" customWidth="1"/>
    <col min="2829" max="3054" width="9" style="267"/>
    <col min="3055" max="3055" width="4.5546875" style="267" customWidth="1"/>
    <col min="3056" max="3056" width="19.88671875" style="267" customWidth="1"/>
    <col min="3057" max="3057" width="12.44140625" style="267" customWidth="1"/>
    <col min="3058" max="3058" width="13.88671875" style="267" customWidth="1"/>
    <col min="3059" max="3059" width="12" style="267" customWidth="1"/>
    <col min="3060" max="3060" width="13" style="267" customWidth="1"/>
    <col min="3061" max="3061" width="11.109375" style="267" customWidth="1"/>
    <col min="3062" max="3063" width="13" style="267" customWidth="1"/>
    <col min="3064" max="3064" width="12.5546875" style="267" customWidth="1"/>
    <col min="3065" max="3066" width="8.109375" style="267" customWidth="1"/>
    <col min="3067" max="3067" width="13.109375" style="267" customWidth="1"/>
    <col min="3068" max="3069" width="14" style="267" customWidth="1"/>
    <col min="3070" max="3078" width="14.109375" style="267" customWidth="1"/>
    <col min="3079" max="3079" width="10.109375" style="267" customWidth="1"/>
    <col min="3080" max="3080" width="11.109375" style="267" customWidth="1"/>
    <col min="3081" max="3081" width="13.5546875" style="267" bestFit="1" customWidth="1"/>
    <col min="3082" max="3082" width="5.5546875" style="267" customWidth="1"/>
    <col min="3083" max="3083" width="6.5546875" style="267" customWidth="1"/>
    <col min="3084" max="3084" width="13.5546875" style="267" customWidth="1"/>
    <col min="3085" max="3310" width="9" style="267"/>
    <col min="3311" max="3311" width="4.5546875" style="267" customWidth="1"/>
    <col min="3312" max="3312" width="19.88671875" style="267" customWidth="1"/>
    <col min="3313" max="3313" width="12.44140625" style="267" customWidth="1"/>
    <col min="3314" max="3314" width="13.88671875" style="267" customWidth="1"/>
    <col min="3315" max="3315" width="12" style="267" customWidth="1"/>
    <col min="3316" max="3316" width="13" style="267" customWidth="1"/>
    <col min="3317" max="3317" width="11.109375" style="267" customWidth="1"/>
    <col min="3318" max="3319" width="13" style="267" customWidth="1"/>
    <col min="3320" max="3320" width="12.5546875" style="267" customWidth="1"/>
    <col min="3321" max="3322" width="8.109375" style="267" customWidth="1"/>
    <col min="3323" max="3323" width="13.109375" style="267" customWidth="1"/>
    <col min="3324" max="3325" width="14" style="267" customWidth="1"/>
    <col min="3326" max="3334" width="14.109375" style="267" customWidth="1"/>
    <col min="3335" max="3335" width="10.109375" style="267" customWidth="1"/>
    <col min="3336" max="3336" width="11.109375" style="267" customWidth="1"/>
    <col min="3337" max="3337" width="13.5546875" style="267" bestFit="1" customWidth="1"/>
    <col min="3338" max="3338" width="5.5546875" style="267" customWidth="1"/>
    <col min="3339" max="3339" width="6.5546875" style="267" customWidth="1"/>
    <col min="3340" max="3340" width="13.5546875" style="267" customWidth="1"/>
    <col min="3341" max="3566" width="9" style="267"/>
    <col min="3567" max="3567" width="4.5546875" style="267" customWidth="1"/>
    <col min="3568" max="3568" width="19.88671875" style="267" customWidth="1"/>
    <col min="3569" max="3569" width="12.44140625" style="267" customWidth="1"/>
    <col min="3570" max="3570" width="13.88671875" style="267" customWidth="1"/>
    <col min="3571" max="3571" width="12" style="267" customWidth="1"/>
    <col min="3572" max="3572" width="13" style="267" customWidth="1"/>
    <col min="3573" max="3573" width="11.109375" style="267" customWidth="1"/>
    <col min="3574" max="3575" width="13" style="267" customWidth="1"/>
    <col min="3576" max="3576" width="12.5546875" style="267" customWidth="1"/>
    <col min="3577" max="3578" width="8.109375" style="267" customWidth="1"/>
    <col min="3579" max="3579" width="13.109375" style="267" customWidth="1"/>
    <col min="3580" max="3581" width="14" style="267" customWidth="1"/>
    <col min="3582" max="3590" width="14.109375" style="267" customWidth="1"/>
    <col min="3591" max="3591" width="10.109375" style="267" customWidth="1"/>
    <col min="3592" max="3592" width="11.109375" style="267" customWidth="1"/>
    <col min="3593" max="3593" width="13.5546875" style="267" bestFit="1" customWidth="1"/>
    <col min="3594" max="3594" width="5.5546875" style="267" customWidth="1"/>
    <col min="3595" max="3595" width="6.5546875" style="267" customWidth="1"/>
    <col min="3596" max="3596" width="13.5546875" style="267" customWidth="1"/>
    <col min="3597" max="3822" width="9" style="267"/>
    <col min="3823" max="3823" width="4.5546875" style="267" customWidth="1"/>
    <col min="3824" max="3824" width="19.88671875" style="267" customWidth="1"/>
    <col min="3825" max="3825" width="12.44140625" style="267" customWidth="1"/>
    <col min="3826" max="3826" width="13.88671875" style="267" customWidth="1"/>
    <col min="3827" max="3827" width="12" style="267" customWidth="1"/>
    <col min="3828" max="3828" width="13" style="267" customWidth="1"/>
    <col min="3829" max="3829" width="11.109375" style="267" customWidth="1"/>
    <col min="3830" max="3831" width="13" style="267" customWidth="1"/>
    <col min="3832" max="3832" width="12.5546875" style="267" customWidth="1"/>
    <col min="3833" max="3834" width="8.109375" style="267" customWidth="1"/>
    <col min="3835" max="3835" width="13.109375" style="267" customWidth="1"/>
    <col min="3836" max="3837" width="14" style="267" customWidth="1"/>
    <col min="3838" max="3846" width="14.109375" style="267" customWidth="1"/>
    <col min="3847" max="3847" width="10.109375" style="267" customWidth="1"/>
    <col min="3848" max="3848" width="11.109375" style="267" customWidth="1"/>
    <col min="3849" max="3849" width="13.5546875" style="267" bestFit="1" customWidth="1"/>
    <col min="3850" max="3850" width="5.5546875" style="267" customWidth="1"/>
    <col min="3851" max="3851" width="6.5546875" style="267" customWidth="1"/>
    <col min="3852" max="3852" width="13.5546875" style="267" customWidth="1"/>
    <col min="3853" max="4078" width="9" style="267"/>
    <col min="4079" max="4079" width="4.5546875" style="267" customWidth="1"/>
    <col min="4080" max="4080" width="19.88671875" style="267" customWidth="1"/>
    <col min="4081" max="4081" width="12.44140625" style="267" customWidth="1"/>
    <col min="4082" max="4082" width="13.88671875" style="267" customWidth="1"/>
    <col min="4083" max="4083" width="12" style="267" customWidth="1"/>
    <col min="4084" max="4084" width="13" style="267" customWidth="1"/>
    <col min="4085" max="4085" width="11.109375" style="267" customWidth="1"/>
    <col min="4086" max="4087" width="13" style="267" customWidth="1"/>
    <col min="4088" max="4088" width="12.5546875" style="267" customWidth="1"/>
    <col min="4089" max="4090" width="8.109375" style="267" customWidth="1"/>
    <col min="4091" max="4091" width="13.109375" style="267" customWidth="1"/>
    <col min="4092" max="4093" width="14" style="267" customWidth="1"/>
    <col min="4094" max="4102" width="14.109375" style="267" customWidth="1"/>
    <col min="4103" max="4103" width="10.109375" style="267" customWidth="1"/>
    <col min="4104" max="4104" width="11.109375" style="267" customWidth="1"/>
    <col min="4105" max="4105" width="13.5546875" style="267" bestFit="1" customWidth="1"/>
    <col min="4106" max="4106" width="5.5546875" style="267" customWidth="1"/>
    <col min="4107" max="4107" width="6.5546875" style="267" customWidth="1"/>
    <col min="4108" max="4108" width="13.5546875" style="267" customWidth="1"/>
    <col min="4109" max="4334" width="9" style="267"/>
    <col min="4335" max="4335" width="4.5546875" style="267" customWidth="1"/>
    <col min="4336" max="4336" width="19.88671875" style="267" customWidth="1"/>
    <col min="4337" max="4337" width="12.44140625" style="267" customWidth="1"/>
    <col min="4338" max="4338" width="13.88671875" style="267" customWidth="1"/>
    <col min="4339" max="4339" width="12" style="267" customWidth="1"/>
    <col min="4340" max="4340" width="13" style="267" customWidth="1"/>
    <col min="4341" max="4341" width="11.109375" style="267" customWidth="1"/>
    <col min="4342" max="4343" width="13" style="267" customWidth="1"/>
    <col min="4344" max="4344" width="12.5546875" style="267" customWidth="1"/>
    <col min="4345" max="4346" width="8.109375" style="267" customWidth="1"/>
    <col min="4347" max="4347" width="13.109375" style="267" customWidth="1"/>
    <col min="4348" max="4349" width="14" style="267" customWidth="1"/>
    <col min="4350" max="4358" width="14.109375" style="267" customWidth="1"/>
    <col min="4359" max="4359" width="10.109375" style="267" customWidth="1"/>
    <col min="4360" max="4360" width="11.109375" style="267" customWidth="1"/>
    <col min="4361" max="4361" width="13.5546875" style="267" bestFit="1" customWidth="1"/>
    <col min="4362" max="4362" width="5.5546875" style="267" customWidth="1"/>
    <col min="4363" max="4363" width="6.5546875" style="267" customWidth="1"/>
    <col min="4364" max="4364" width="13.5546875" style="267" customWidth="1"/>
    <col min="4365" max="4590" width="9" style="267"/>
    <col min="4591" max="4591" width="4.5546875" style="267" customWidth="1"/>
    <col min="4592" max="4592" width="19.88671875" style="267" customWidth="1"/>
    <col min="4593" max="4593" width="12.44140625" style="267" customWidth="1"/>
    <col min="4594" max="4594" width="13.88671875" style="267" customWidth="1"/>
    <col min="4595" max="4595" width="12" style="267" customWidth="1"/>
    <col min="4596" max="4596" width="13" style="267" customWidth="1"/>
    <col min="4597" max="4597" width="11.109375" style="267" customWidth="1"/>
    <col min="4598" max="4599" width="13" style="267" customWidth="1"/>
    <col min="4600" max="4600" width="12.5546875" style="267" customWidth="1"/>
    <col min="4601" max="4602" width="8.109375" style="267" customWidth="1"/>
    <col min="4603" max="4603" width="13.109375" style="267" customWidth="1"/>
    <col min="4604" max="4605" width="14" style="267" customWidth="1"/>
    <col min="4606" max="4614" width="14.109375" style="267" customWidth="1"/>
    <col min="4615" max="4615" width="10.109375" style="267" customWidth="1"/>
    <col min="4616" max="4616" width="11.109375" style="267" customWidth="1"/>
    <col min="4617" max="4617" width="13.5546875" style="267" bestFit="1" customWidth="1"/>
    <col min="4618" max="4618" width="5.5546875" style="267" customWidth="1"/>
    <col min="4619" max="4619" width="6.5546875" style="267" customWidth="1"/>
    <col min="4620" max="4620" width="13.5546875" style="267" customWidth="1"/>
    <col min="4621" max="4846" width="9" style="267"/>
    <col min="4847" max="4847" width="4.5546875" style="267" customWidth="1"/>
    <col min="4848" max="4848" width="19.88671875" style="267" customWidth="1"/>
    <col min="4849" max="4849" width="12.44140625" style="267" customWidth="1"/>
    <col min="4850" max="4850" width="13.88671875" style="267" customWidth="1"/>
    <col min="4851" max="4851" width="12" style="267" customWidth="1"/>
    <col min="4852" max="4852" width="13" style="267" customWidth="1"/>
    <col min="4853" max="4853" width="11.109375" style="267" customWidth="1"/>
    <col min="4854" max="4855" width="13" style="267" customWidth="1"/>
    <col min="4856" max="4856" width="12.5546875" style="267" customWidth="1"/>
    <col min="4857" max="4858" width="8.109375" style="267" customWidth="1"/>
    <col min="4859" max="4859" width="13.109375" style="267" customWidth="1"/>
    <col min="4860" max="4861" width="14" style="267" customWidth="1"/>
    <col min="4862" max="4870" width="14.109375" style="267" customWidth="1"/>
    <col min="4871" max="4871" width="10.109375" style="267" customWidth="1"/>
    <col min="4872" max="4872" width="11.109375" style="267" customWidth="1"/>
    <col min="4873" max="4873" width="13.5546875" style="267" bestFit="1" customWidth="1"/>
    <col min="4874" max="4874" width="5.5546875" style="267" customWidth="1"/>
    <col min="4875" max="4875" width="6.5546875" style="267" customWidth="1"/>
    <col min="4876" max="4876" width="13.5546875" style="267" customWidth="1"/>
    <col min="4877" max="5102" width="9" style="267"/>
    <col min="5103" max="5103" width="4.5546875" style="267" customWidth="1"/>
    <col min="5104" max="5104" width="19.88671875" style="267" customWidth="1"/>
    <col min="5105" max="5105" width="12.44140625" style="267" customWidth="1"/>
    <col min="5106" max="5106" width="13.88671875" style="267" customWidth="1"/>
    <col min="5107" max="5107" width="12" style="267" customWidth="1"/>
    <col min="5108" max="5108" width="13" style="267" customWidth="1"/>
    <col min="5109" max="5109" width="11.109375" style="267" customWidth="1"/>
    <col min="5110" max="5111" width="13" style="267" customWidth="1"/>
    <col min="5112" max="5112" width="12.5546875" style="267" customWidth="1"/>
    <col min="5113" max="5114" width="8.109375" style="267" customWidth="1"/>
    <col min="5115" max="5115" width="13.109375" style="267" customWidth="1"/>
    <col min="5116" max="5117" width="14" style="267" customWidth="1"/>
    <col min="5118" max="5126" width="14.109375" style="267" customWidth="1"/>
    <col min="5127" max="5127" width="10.109375" style="267" customWidth="1"/>
    <col min="5128" max="5128" width="11.109375" style="267" customWidth="1"/>
    <col min="5129" max="5129" width="13.5546875" style="267" bestFit="1" customWidth="1"/>
    <col min="5130" max="5130" width="5.5546875" style="267" customWidth="1"/>
    <col min="5131" max="5131" width="6.5546875" style="267" customWidth="1"/>
    <col min="5132" max="5132" width="13.5546875" style="267" customWidth="1"/>
    <col min="5133" max="5358" width="9" style="267"/>
    <col min="5359" max="5359" width="4.5546875" style="267" customWidth="1"/>
    <col min="5360" max="5360" width="19.88671875" style="267" customWidth="1"/>
    <col min="5361" max="5361" width="12.44140625" style="267" customWidth="1"/>
    <col min="5362" max="5362" width="13.88671875" style="267" customWidth="1"/>
    <col min="5363" max="5363" width="12" style="267" customWidth="1"/>
    <col min="5364" max="5364" width="13" style="267" customWidth="1"/>
    <col min="5365" max="5365" width="11.109375" style="267" customWidth="1"/>
    <col min="5366" max="5367" width="13" style="267" customWidth="1"/>
    <col min="5368" max="5368" width="12.5546875" style="267" customWidth="1"/>
    <col min="5369" max="5370" width="8.109375" style="267" customWidth="1"/>
    <col min="5371" max="5371" width="13.109375" style="267" customWidth="1"/>
    <col min="5372" max="5373" width="14" style="267" customWidth="1"/>
    <col min="5374" max="5382" width="14.109375" style="267" customWidth="1"/>
    <col min="5383" max="5383" width="10.109375" style="267" customWidth="1"/>
    <col min="5384" max="5384" width="11.109375" style="267" customWidth="1"/>
    <col min="5385" max="5385" width="13.5546875" style="267" bestFit="1" customWidth="1"/>
    <col min="5386" max="5386" width="5.5546875" style="267" customWidth="1"/>
    <col min="5387" max="5387" width="6.5546875" style="267" customWidth="1"/>
    <col min="5388" max="5388" width="13.5546875" style="267" customWidth="1"/>
    <col min="5389" max="5614" width="9" style="267"/>
    <col min="5615" max="5615" width="4.5546875" style="267" customWidth="1"/>
    <col min="5616" max="5616" width="19.88671875" style="267" customWidth="1"/>
    <col min="5617" max="5617" width="12.44140625" style="267" customWidth="1"/>
    <col min="5618" max="5618" width="13.88671875" style="267" customWidth="1"/>
    <col min="5619" max="5619" width="12" style="267" customWidth="1"/>
    <col min="5620" max="5620" width="13" style="267" customWidth="1"/>
    <col min="5621" max="5621" width="11.109375" style="267" customWidth="1"/>
    <col min="5622" max="5623" width="13" style="267" customWidth="1"/>
    <col min="5624" max="5624" width="12.5546875" style="267" customWidth="1"/>
    <col min="5625" max="5626" width="8.109375" style="267" customWidth="1"/>
    <col min="5627" max="5627" width="13.109375" style="267" customWidth="1"/>
    <col min="5628" max="5629" width="14" style="267" customWidth="1"/>
    <col min="5630" max="5638" width="14.109375" style="267" customWidth="1"/>
    <col min="5639" max="5639" width="10.109375" style="267" customWidth="1"/>
    <col min="5640" max="5640" width="11.109375" style="267" customWidth="1"/>
    <col min="5641" max="5641" width="13.5546875" style="267" bestFit="1" customWidth="1"/>
    <col min="5642" max="5642" width="5.5546875" style="267" customWidth="1"/>
    <col min="5643" max="5643" width="6.5546875" style="267" customWidth="1"/>
    <col min="5644" max="5644" width="13.5546875" style="267" customWidth="1"/>
    <col min="5645" max="5870" width="9" style="267"/>
    <col min="5871" max="5871" width="4.5546875" style="267" customWidth="1"/>
    <col min="5872" max="5872" width="19.88671875" style="267" customWidth="1"/>
    <col min="5873" max="5873" width="12.44140625" style="267" customWidth="1"/>
    <col min="5874" max="5874" width="13.88671875" style="267" customWidth="1"/>
    <col min="5875" max="5875" width="12" style="267" customWidth="1"/>
    <col min="5876" max="5876" width="13" style="267" customWidth="1"/>
    <col min="5877" max="5877" width="11.109375" style="267" customWidth="1"/>
    <col min="5878" max="5879" width="13" style="267" customWidth="1"/>
    <col min="5880" max="5880" width="12.5546875" style="267" customWidth="1"/>
    <col min="5881" max="5882" width="8.109375" style="267" customWidth="1"/>
    <col min="5883" max="5883" width="13.109375" style="267" customWidth="1"/>
    <col min="5884" max="5885" width="14" style="267" customWidth="1"/>
    <col min="5886" max="5894" width="14.109375" style="267" customWidth="1"/>
    <col min="5895" max="5895" width="10.109375" style="267" customWidth="1"/>
    <col min="5896" max="5896" width="11.109375" style="267" customWidth="1"/>
    <col min="5897" max="5897" width="13.5546875" style="267" bestFit="1" customWidth="1"/>
    <col min="5898" max="5898" width="5.5546875" style="267" customWidth="1"/>
    <col min="5899" max="5899" width="6.5546875" style="267" customWidth="1"/>
    <col min="5900" max="5900" width="13.5546875" style="267" customWidth="1"/>
    <col min="5901" max="6126" width="9" style="267"/>
    <col min="6127" max="6127" width="4.5546875" style="267" customWidth="1"/>
    <col min="6128" max="6128" width="19.88671875" style="267" customWidth="1"/>
    <col min="6129" max="6129" width="12.44140625" style="267" customWidth="1"/>
    <col min="6130" max="6130" width="13.88671875" style="267" customWidth="1"/>
    <col min="6131" max="6131" width="12" style="267" customWidth="1"/>
    <col min="6132" max="6132" width="13" style="267" customWidth="1"/>
    <col min="6133" max="6133" width="11.109375" style="267" customWidth="1"/>
    <col min="6134" max="6135" width="13" style="267" customWidth="1"/>
    <col min="6136" max="6136" width="12.5546875" style="267" customWidth="1"/>
    <col min="6137" max="6138" width="8.109375" style="267" customWidth="1"/>
    <col min="6139" max="6139" width="13.109375" style="267" customWidth="1"/>
    <col min="6140" max="6141" width="14" style="267" customWidth="1"/>
    <col min="6142" max="6150" width="14.109375" style="267" customWidth="1"/>
    <col min="6151" max="6151" width="10.109375" style="267" customWidth="1"/>
    <col min="6152" max="6152" width="11.109375" style="267" customWidth="1"/>
    <col min="6153" max="6153" width="13.5546875" style="267" bestFit="1" customWidth="1"/>
    <col min="6154" max="6154" width="5.5546875" style="267" customWidth="1"/>
    <col min="6155" max="6155" width="6.5546875" style="267" customWidth="1"/>
    <col min="6156" max="6156" width="13.5546875" style="267" customWidth="1"/>
    <col min="6157" max="6382" width="9" style="267"/>
    <col min="6383" max="6383" width="4.5546875" style="267" customWidth="1"/>
    <col min="6384" max="6384" width="19.88671875" style="267" customWidth="1"/>
    <col min="6385" max="6385" width="12.44140625" style="267" customWidth="1"/>
    <col min="6386" max="6386" width="13.88671875" style="267" customWidth="1"/>
    <col min="6387" max="6387" width="12" style="267" customWidth="1"/>
    <col min="6388" max="6388" width="13" style="267" customWidth="1"/>
    <col min="6389" max="6389" width="11.109375" style="267" customWidth="1"/>
    <col min="6390" max="6391" width="13" style="267" customWidth="1"/>
    <col min="6392" max="6392" width="12.5546875" style="267" customWidth="1"/>
    <col min="6393" max="6394" width="8.109375" style="267" customWidth="1"/>
    <col min="6395" max="6395" width="13.109375" style="267" customWidth="1"/>
    <col min="6396" max="6397" width="14" style="267" customWidth="1"/>
    <col min="6398" max="6406" width="14.109375" style="267" customWidth="1"/>
    <col min="6407" max="6407" width="10.109375" style="267" customWidth="1"/>
    <col min="6408" max="6408" width="11.109375" style="267" customWidth="1"/>
    <col min="6409" max="6409" width="13.5546875" style="267" bestFit="1" customWidth="1"/>
    <col min="6410" max="6410" width="5.5546875" style="267" customWidth="1"/>
    <col min="6411" max="6411" width="6.5546875" style="267" customWidth="1"/>
    <col min="6412" max="6412" width="13.5546875" style="267" customWidth="1"/>
    <col min="6413" max="6638" width="9" style="267"/>
    <col min="6639" max="6639" width="4.5546875" style="267" customWidth="1"/>
    <col min="6640" max="6640" width="19.88671875" style="267" customWidth="1"/>
    <col min="6641" max="6641" width="12.44140625" style="267" customWidth="1"/>
    <col min="6642" max="6642" width="13.88671875" style="267" customWidth="1"/>
    <col min="6643" max="6643" width="12" style="267" customWidth="1"/>
    <col min="6644" max="6644" width="13" style="267" customWidth="1"/>
    <col min="6645" max="6645" width="11.109375" style="267" customWidth="1"/>
    <col min="6646" max="6647" width="13" style="267" customWidth="1"/>
    <col min="6648" max="6648" width="12.5546875" style="267" customWidth="1"/>
    <col min="6649" max="6650" width="8.109375" style="267" customWidth="1"/>
    <col min="6651" max="6651" width="13.109375" style="267" customWidth="1"/>
    <col min="6652" max="6653" width="14" style="267" customWidth="1"/>
    <col min="6654" max="6662" width="14.109375" style="267" customWidth="1"/>
    <col min="6663" max="6663" width="10.109375" style="267" customWidth="1"/>
    <col min="6664" max="6664" width="11.109375" style="267" customWidth="1"/>
    <col min="6665" max="6665" width="13.5546875" style="267" bestFit="1" customWidth="1"/>
    <col min="6666" max="6666" width="5.5546875" style="267" customWidth="1"/>
    <col min="6667" max="6667" width="6.5546875" style="267" customWidth="1"/>
    <col min="6668" max="6668" width="13.5546875" style="267" customWidth="1"/>
    <col min="6669" max="6894" width="9" style="267"/>
    <col min="6895" max="6895" width="4.5546875" style="267" customWidth="1"/>
    <col min="6896" max="6896" width="19.88671875" style="267" customWidth="1"/>
    <col min="6897" max="6897" width="12.44140625" style="267" customWidth="1"/>
    <col min="6898" max="6898" width="13.88671875" style="267" customWidth="1"/>
    <col min="6899" max="6899" width="12" style="267" customWidth="1"/>
    <col min="6900" max="6900" width="13" style="267" customWidth="1"/>
    <col min="6901" max="6901" width="11.109375" style="267" customWidth="1"/>
    <col min="6902" max="6903" width="13" style="267" customWidth="1"/>
    <col min="6904" max="6904" width="12.5546875" style="267" customWidth="1"/>
    <col min="6905" max="6906" width="8.109375" style="267" customWidth="1"/>
    <col min="6907" max="6907" width="13.109375" style="267" customWidth="1"/>
    <col min="6908" max="6909" width="14" style="267" customWidth="1"/>
    <col min="6910" max="6918" width="14.109375" style="267" customWidth="1"/>
    <col min="6919" max="6919" width="10.109375" style="267" customWidth="1"/>
    <col min="6920" max="6920" width="11.109375" style="267" customWidth="1"/>
    <col min="6921" max="6921" width="13.5546875" style="267" bestFit="1" customWidth="1"/>
    <col min="6922" max="6922" width="5.5546875" style="267" customWidth="1"/>
    <col min="6923" max="6923" width="6.5546875" style="267" customWidth="1"/>
    <col min="6924" max="6924" width="13.5546875" style="267" customWidth="1"/>
    <col min="6925" max="7150" width="9" style="267"/>
    <col min="7151" max="7151" width="4.5546875" style="267" customWidth="1"/>
    <col min="7152" max="7152" width="19.88671875" style="267" customWidth="1"/>
    <col min="7153" max="7153" width="12.44140625" style="267" customWidth="1"/>
    <col min="7154" max="7154" width="13.88671875" style="267" customWidth="1"/>
    <col min="7155" max="7155" width="12" style="267" customWidth="1"/>
    <col min="7156" max="7156" width="13" style="267" customWidth="1"/>
    <col min="7157" max="7157" width="11.109375" style="267" customWidth="1"/>
    <col min="7158" max="7159" width="13" style="267" customWidth="1"/>
    <col min="7160" max="7160" width="12.5546875" style="267" customWidth="1"/>
    <col min="7161" max="7162" width="8.109375" style="267" customWidth="1"/>
    <col min="7163" max="7163" width="13.109375" style="267" customWidth="1"/>
    <col min="7164" max="7165" width="14" style="267" customWidth="1"/>
    <col min="7166" max="7174" width="14.109375" style="267" customWidth="1"/>
    <col min="7175" max="7175" width="10.109375" style="267" customWidth="1"/>
    <col min="7176" max="7176" width="11.109375" style="267" customWidth="1"/>
    <col min="7177" max="7177" width="13.5546875" style="267" bestFit="1" customWidth="1"/>
    <col min="7178" max="7178" width="5.5546875" style="267" customWidth="1"/>
    <col min="7179" max="7179" width="6.5546875" style="267" customWidth="1"/>
    <col min="7180" max="7180" width="13.5546875" style="267" customWidth="1"/>
    <col min="7181" max="7406" width="9" style="267"/>
    <col min="7407" max="7407" width="4.5546875" style="267" customWidth="1"/>
    <col min="7408" max="7408" width="19.88671875" style="267" customWidth="1"/>
    <col min="7409" max="7409" width="12.44140625" style="267" customWidth="1"/>
    <col min="7410" max="7410" width="13.88671875" style="267" customWidth="1"/>
    <col min="7411" max="7411" width="12" style="267" customWidth="1"/>
    <col min="7412" max="7412" width="13" style="267" customWidth="1"/>
    <col min="7413" max="7413" width="11.109375" style="267" customWidth="1"/>
    <col min="7414" max="7415" width="13" style="267" customWidth="1"/>
    <col min="7416" max="7416" width="12.5546875" style="267" customWidth="1"/>
    <col min="7417" max="7418" width="8.109375" style="267" customWidth="1"/>
    <col min="7419" max="7419" width="13.109375" style="267" customWidth="1"/>
    <col min="7420" max="7421" width="14" style="267" customWidth="1"/>
    <col min="7422" max="7430" width="14.109375" style="267" customWidth="1"/>
    <col min="7431" max="7431" width="10.109375" style="267" customWidth="1"/>
    <col min="7432" max="7432" width="11.109375" style="267" customWidth="1"/>
    <col min="7433" max="7433" width="13.5546875" style="267" bestFit="1" customWidth="1"/>
    <col min="7434" max="7434" width="5.5546875" style="267" customWidth="1"/>
    <col min="7435" max="7435" width="6.5546875" style="267" customWidth="1"/>
    <col min="7436" max="7436" width="13.5546875" style="267" customWidth="1"/>
    <col min="7437" max="7662" width="9" style="267"/>
    <col min="7663" max="7663" width="4.5546875" style="267" customWidth="1"/>
    <col min="7664" max="7664" width="19.88671875" style="267" customWidth="1"/>
    <col min="7665" max="7665" width="12.44140625" style="267" customWidth="1"/>
    <col min="7666" max="7666" width="13.88671875" style="267" customWidth="1"/>
    <col min="7667" max="7667" width="12" style="267" customWidth="1"/>
    <col min="7668" max="7668" width="13" style="267" customWidth="1"/>
    <col min="7669" max="7669" width="11.109375" style="267" customWidth="1"/>
    <col min="7670" max="7671" width="13" style="267" customWidth="1"/>
    <col min="7672" max="7672" width="12.5546875" style="267" customWidth="1"/>
    <col min="7673" max="7674" width="8.109375" style="267" customWidth="1"/>
    <col min="7675" max="7675" width="13.109375" style="267" customWidth="1"/>
    <col min="7676" max="7677" width="14" style="267" customWidth="1"/>
    <col min="7678" max="7686" width="14.109375" style="267" customWidth="1"/>
    <col min="7687" max="7687" width="10.109375" style="267" customWidth="1"/>
    <col min="7688" max="7688" width="11.109375" style="267" customWidth="1"/>
    <col min="7689" max="7689" width="13.5546875" style="267" bestFit="1" customWidth="1"/>
    <col min="7690" max="7690" width="5.5546875" style="267" customWidth="1"/>
    <col min="7691" max="7691" width="6.5546875" style="267" customWidth="1"/>
    <col min="7692" max="7692" width="13.5546875" style="267" customWidth="1"/>
    <col min="7693" max="7918" width="9" style="267"/>
    <col min="7919" max="7919" width="4.5546875" style="267" customWidth="1"/>
    <col min="7920" max="7920" width="19.88671875" style="267" customWidth="1"/>
    <col min="7921" max="7921" width="12.44140625" style="267" customWidth="1"/>
    <col min="7922" max="7922" width="13.88671875" style="267" customWidth="1"/>
    <col min="7923" max="7923" width="12" style="267" customWidth="1"/>
    <col min="7924" max="7924" width="13" style="267" customWidth="1"/>
    <col min="7925" max="7925" width="11.109375" style="267" customWidth="1"/>
    <col min="7926" max="7927" width="13" style="267" customWidth="1"/>
    <col min="7928" max="7928" width="12.5546875" style="267" customWidth="1"/>
    <col min="7929" max="7930" width="8.109375" style="267" customWidth="1"/>
    <col min="7931" max="7931" width="13.109375" style="267" customWidth="1"/>
    <col min="7932" max="7933" width="14" style="267" customWidth="1"/>
    <col min="7934" max="7942" width="14.109375" style="267" customWidth="1"/>
    <col min="7943" max="7943" width="10.109375" style="267" customWidth="1"/>
    <col min="7944" max="7944" width="11.109375" style="267" customWidth="1"/>
    <col min="7945" max="7945" width="13.5546875" style="267" bestFit="1" customWidth="1"/>
    <col min="7946" max="7946" width="5.5546875" style="267" customWidth="1"/>
    <col min="7947" max="7947" width="6.5546875" style="267" customWidth="1"/>
    <col min="7948" max="7948" width="13.5546875" style="267" customWidth="1"/>
    <col min="7949" max="8174" width="9" style="267"/>
    <col min="8175" max="8175" width="4.5546875" style="267" customWidth="1"/>
    <col min="8176" max="8176" width="19.88671875" style="267" customWidth="1"/>
    <col min="8177" max="8177" width="12.44140625" style="267" customWidth="1"/>
    <col min="8178" max="8178" width="13.88671875" style="267" customWidth="1"/>
    <col min="8179" max="8179" width="12" style="267" customWidth="1"/>
    <col min="8180" max="8180" width="13" style="267" customWidth="1"/>
    <col min="8181" max="8181" width="11.109375" style="267" customWidth="1"/>
    <col min="8182" max="8183" width="13" style="267" customWidth="1"/>
    <col min="8184" max="8184" width="12.5546875" style="267" customWidth="1"/>
    <col min="8185" max="8186" width="8.109375" style="267" customWidth="1"/>
    <col min="8187" max="8187" width="13.109375" style="267" customWidth="1"/>
    <col min="8188" max="8189" width="14" style="267" customWidth="1"/>
    <col min="8190" max="8198" width="14.109375" style="267" customWidth="1"/>
    <col min="8199" max="8199" width="10.109375" style="267" customWidth="1"/>
    <col min="8200" max="8200" width="11.109375" style="267" customWidth="1"/>
    <col min="8201" max="8201" width="13.5546875" style="267" bestFit="1" customWidth="1"/>
    <col min="8202" max="8202" width="5.5546875" style="267" customWidth="1"/>
    <col min="8203" max="8203" width="6.5546875" style="267" customWidth="1"/>
    <col min="8204" max="8204" width="13.5546875" style="267" customWidth="1"/>
    <col min="8205" max="8430" width="9" style="267"/>
    <col min="8431" max="8431" width="4.5546875" style="267" customWidth="1"/>
    <col min="8432" max="8432" width="19.88671875" style="267" customWidth="1"/>
    <col min="8433" max="8433" width="12.44140625" style="267" customWidth="1"/>
    <col min="8434" max="8434" width="13.88671875" style="267" customWidth="1"/>
    <col min="8435" max="8435" width="12" style="267" customWidth="1"/>
    <col min="8436" max="8436" width="13" style="267" customWidth="1"/>
    <col min="8437" max="8437" width="11.109375" style="267" customWidth="1"/>
    <col min="8438" max="8439" width="13" style="267" customWidth="1"/>
    <col min="8440" max="8440" width="12.5546875" style="267" customWidth="1"/>
    <col min="8441" max="8442" width="8.109375" style="267" customWidth="1"/>
    <col min="8443" max="8443" width="13.109375" style="267" customWidth="1"/>
    <col min="8444" max="8445" width="14" style="267" customWidth="1"/>
    <col min="8446" max="8454" width="14.109375" style="267" customWidth="1"/>
    <col min="8455" max="8455" width="10.109375" style="267" customWidth="1"/>
    <col min="8456" max="8456" width="11.109375" style="267" customWidth="1"/>
    <col min="8457" max="8457" width="13.5546875" style="267" bestFit="1" customWidth="1"/>
    <col min="8458" max="8458" width="5.5546875" style="267" customWidth="1"/>
    <col min="8459" max="8459" width="6.5546875" style="267" customWidth="1"/>
    <col min="8460" max="8460" width="13.5546875" style="267" customWidth="1"/>
    <col min="8461" max="8686" width="9" style="267"/>
    <col min="8687" max="8687" width="4.5546875" style="267" customWidth="1"/>
    <col min="8688" max="8688" width="19.88671875" style="267" customWidth="1"/>
    <col min="8689" max="8689" width="12.44140625" style="267" customWidth="1"/>
    <col min="8690" max="8690" width="13.88671875" style="267" customWidth="1"/>
    <col min="8691" max="8691" width="12" style="267" customWidth="1"/>
    <col min="8692" max="8692" width="13" style="267" customWidth="1"/>
    <col min="8693" max="8693" width="11.109375" style="267" customWidth="1"/>
    <col min="8694" max="8695" width="13" style="267" customWidth="1"/>
    <col min="8696" max="8696" width="12.5546875" style="267" customWidth="1"/>
    <col min="8697" max="8698" width="8.109375" style="267" customWidth="1"/>
    <col min="8699" max="8699" width="13.109375" style="267" customWidth="1"/>
    <col min="8700" max="8701" width="14" style="267" customWidth="1"/>
    <col min="8702" max="8710" width="14.109375" style="267" customWidth="1"/>
    <col min="8711" max="8711" width="10.109375" style="267" customWidth="1"/>
    <col min="8712" max="8712" width="11.109375" style="267" customWidth="1"/>
    <col min="8713" max="8713" width="13.5546875" style="267" bestFit="1" customWidth="1"/>
    <col min="8714" max="8714" width="5.5546875" style="267" customWidth="1"/>
    <col min="8715" max="8715" width="6.5546875" style="267" customWidth="1"/>
    <col min="8716" max="8716" width="13.5546875" style="267" customWidth="1"/>
    <col min="8717" max="8942" width="9" style="267"/>
    <col min="8943" max="8943" width="4.5546875" style="267" customWidth="1"/>
    <col min="8944" max="8944" width="19.88671875" style="267" customWidth="1"/>
    <col min="8945" max="8945" width="12.44140625" style="267" customWidth="1"/>
    <col min="8946" max="8946" width="13.88671875" style="267" customWidth="1"/>
    <col min="8947" max="8947" width="12" style="267" customWidth="1"/>
    <col min="8948" max="8948" width="13" style="267" customWidth="1"/>
    <col min="8949" max="8949" width="11.109375" style="267" customWidth="1"/>
    <col min="8950" max="8951" width="13" style="267" customWidth="1"/>
    <col min="8952" max="8952" width="12.5546875" style="267" customWidth="1"/>
    <col min="8953" max="8954" width="8.109375" style="267" customWidth="1"/>
    <col min="8955" max="8955" width="13.109375" style="267" customWidth="1"/>
    <col min="8956" max="8957" width="14" style="267" customWidth="1"/>
    <col min="8958" max="8966" width="14.109375" style="267" customWidth="1"/>
    <col min="8967" max="8967" width="10.109375" style="267" customWidth="1"/>
    <col min="8968" max="8968" width="11.109375" style="267" customWidth="1"/>
    <col min="8969" max="8969" width="13.5546875" style="267" bestFit="1" customWidth="1"/>
    <col min="8970" max="8970" width="5.5546875" style="267" customWidth="1"/>
    <col min="8971" max="8971" width="6.5546875" style="267" customWidth="1"/>
    <col min="8972" max="8972" width="13.5546875" style="267" customWidth="1"/>
    <col min="8973" max="9198" width="9" style="267"/>
    <col min="9199" max="9199" width="4.5546875" style="267" customWidth="1"/>
    <col min="9200" max="9200" width="19.88671875" style="267" customWidth="1"/>
    <col min="9201" max="9201" width="12.44140625" style="267" customWidth="1"/>
    <col min="9202" max="9202" width="13.88671875" style="267" customWidth="1"/>
    <col min="9203" max="9203" width="12" style="267" customWidth="1"/>
    <col min="9204" max="9204" width="13" style="267" customWidth="1"/>
    <col min="9205" max="9205" width="11.109375" style="267" customWidth="1"/>
    <col min="9206" max="9207" width="13" style="267" customWidth="1"/>
    <col min="9208" max="9208" width="12.5546875" style="267" customWidth="1"/>
    <col min="9209" max="9210" width="8.109375" style="267" customWidth="1"/>
    <col min="9211" max="9211" width="13.109375" style="267" customWidth="1"/>
    <col min="9212" max="9213" width="14" style="267" customWidth="1"/>
    <col min="9214" max="9222" width="14.109375" style="267" customWidth="1"/>
    <col min="9223" max="9223" width="10.109375" style="267" customWidth="1"/>
    <col min="9224" max="9224" width="11.109375" style="267" customWidth="1"/>
    <col min="9225" max="9225" width="13.5546875" style="267" bestFit="1" customWidth="1"/>
    <col min="9226" max="9226" width="5.5546875" style="267" customWidth="1"/>
    <col min="9227" max="9227" width="6.5546875" style="267" customWidth="1"/>
    <col min="9228" max="9228" width="13.5546875" style="267" customWidth="1"/>
    <col min="9229" max="9454" width="9" style="267"/>
    <col min="9455" max="9455" width="4.5546875" style="267" customWidth="1"/>
    <col min="9456" max="9456" width="19.88671875" style="267" customWidth="1"/>
    <col min="9457" max="9457" width="12.44140625" style="267" customWidth="1"/>
    <col min="9458" max="9458" width="13.88671875" style="267" customWidth="1"/>
    <col min="9459" max="9459" width="12" style="267" customWidth="1"/>
    <col min="9460" max="9460" width="13" style="267" customWidth="1"/>
    <col min="9461" max="9461" width="11.109375" style="267" customWidth="1"/>
    <col min="9462" max="9463" width="13" style="267" customWidth="1"/>
    <col min="9464" max="9464" width="12.5546875" style="267" customWidth="1"/>
    <col min="9465" max="9466" width="8.109375" style="267" customWidth="1"/>
    <col min="9467" max="9467" width="13.109375" style="267" customWidth="1"/>
    <col min="9468" max="9469" width="14" style="267" customWidth="1"/>
    <col min="9470" max="9478" width="14.109375" style="267" customWidth="1"/>
    <col min="9479" max="9479" width="10.109375" style="267" customWidth="1"/>
    <col min="9480" max="9480" width="11.109375" style="267" customWidth="1"/>
    <col min="9481" max="9481" width="13.5546875" style="267" bestFit="1" customWidth="1"/>
    <col min="9482" max="9482" width="5.5546875" style="267" customWidth="1"/>
    <col min="9483" max="9483" width="6.5546875" style="267" customWidth="1"/>
    <col min="9484" max="9484" width="13.5546875" style="267" customWidth="1"/>
    <col min="9485" max="9710" width="9" style="267"/>
    <col min="9711" max="9711" width="4.5546875" style="267" customWidth="1"/>
    <col min="9712" max="9712" width="19.88671875" style="267" customWidth="1"/>
    <col min="9713" max="9713" width="12.44140625" style="267" customWidth="1"/>
    <col min="9714" max="9714" width="13.88671875" style="267" customWidth="1"/>
    <col min="9715" max="9715" width="12" style="267" customWidth="1"/>
    <col min="9716" max="9716" width="13" style="267" customWidth="1"/>
    <col min="9717" max="9717" width="11.109375" style="267" customWidth="1"/>
    <col min="9718" max="9719" width="13" style="267" customWidth="1"/>
    <col min="9720" max="9720" width="12.5546875" style="267" customWidth="1"/>
    <col min="9721" max="9722" width="8.109375" style="267" customWidth="1"/>
    <col min="9723" max="9723" width="13.109375" style="267" customWidth="1"/>
    <col min="9724" max="9725" width="14" style="267" customWidth="1"/>
    <col min="9726" max="9734" width="14.109375" style="267" customWidth="1"/>
    <col min="9735" max="9735" width="10.109375" style="267" customWidth="1"/>
    <col min="9736" max="9736" width="11.109375" style="267" customWidth="1"/>
    <col min="9737" max="9737" width="13.5546875" style="267" bestFit="1" customWidth="1"/>
    <col min="9738" max="9738" width="5.5546875" style="267" customWidth="1"/>
    <col min="9739" max="9739" width="6.5546875" style="267" customWidth="1"/>
    <col min="9740" max="9740" width="13.5546875" style="267" customWidth="1"/>
    <col min="9741" max="9966" width="9" style="267"/>
    <col min="9967" max="9967" width="4.5546875" style="267" customWidth="1"/>
    <col min="9968" max="9968" width="19.88671875" style="267" customWidth="1"/>
    <col min="9969" max="9969" width="12.44140625" style="267" customWidth="1"/>
    <col min="9970" max="9970" width="13.88671875" style="267" customWidth="1"/>
    <col min="9971" max="9971" width="12" style="267" customWidth="1"/>
    <col min="9972" max="9972" width="13" style="267" customWidth="1"/>
    <col min="9973" max="9973" width="11.109375" style="267" customWidth="1"/>
    <col min="9974" max="9975" width="13" style="267" customWidth="1"/>
    <col min="9976" max="9976" width="12.5546875" style="267" customWidth="1"/>
    <col min="9977" max="9978" width="8.109375" style="267" customWidth="1"/>
    <col min="9979" max="9979" width="13.109375" style="267" customWidth="1"/>
    <col min="9980" max="9981" width="14" style="267" customWidth="1"/>
    <col min="9982" max="9990" width="14.109375" style="267" customWidth="1"/>
    <col min="9991" max="9991" width="10.109375" style="267" customWidth="1"/>
    <col min="9992" max="9992" width="11.109375" style="267" customWidth="1"/>
    <col min="9993" max="9993" width="13.5546875" style="267" bestFit="1" customWidth="1"/>
    <col min="9994" max="9994" width="5.5546875" style="267" customWidth="1"/>
    <col min="9995" max="9995" width="6.5546875" style="267" customWidth="1"/>
    <col min="9996" max="9996" width="13.5546875" style="267" customWidth="1"/>
    <col min="9997" max="10222" width="9" style="267"/>
    <col min="10223" max="10223" width="4.5546875" style="267" customWidth="1"/>
    <col min="10224" max="10224" width="19.88671875" style="267" customWidth="1"/>
    <col min="10225" max="10225" width="12.44140625" style="267" customWidth="1"/>
    <col min="10226" max="10226" width="13.88671875" style="267" customWidth="1"/>
    <col min="10227" max="10227" width="12" style="267" customWidth="1"/>
    <col min="10228" max="10228" width="13" style="267" customWidth="1"/>
    <col min="10229" max="10229" width="11.109375" style="267" customWidth="1"/>
    <col min="10230" max="10231" width="13" style="267" customWidth="1"/>
    <col min="10232" max="10232" width="12.5546875" style="267" customWidth="1"/>
    <col min="10233" max="10234" width="8.109375" style="267" customWidth="1"/>
    <col min="10235" max="10235" width="13.109375" style="267" customWidth="1"/>
    <col min="10236" max="10237" width="14" style="267" customWidth="1"/>
    <col min="10238" max="10246" width="14.109375" style="267" customWidth="1"/>
    <col min="10247" max="10247" width="10.109375" style="267" customWidth="1"/>
    <col min="10248" max="10248" width="11.109375" style="267" customWidth="1"/>
    <col min="10249" max="10249" width="13.5546875" style="267" bestFit="1" customWidth="1"/>
    <col min="10250" max="10250" width="5.5546875" style="267" customWidth="1"/>
    <col min="10251" max="10251" width="6.5546875" style="267" customWidth="1"/>
    <col min="10252" max="10252" width="13.5546875" style="267" customWidth="1"/>
    <col min="10253" max="10478" width="9" style="267"/>
    <col min="10479" max="10479" width="4.5546875" style="267" customWidth="1"/>
    <col min="10480" max="10480" width="19.88671875" style="267" customWidth="1"/>
    <col min="10481" max="10481" width="12.44140625" style="267" customWidth="1"/>
    <col min="10482" max="10482" width="13.88671875" style="267" customWidth="1"/>
    <col min="10483" max="10483" width="12" style="267" customWidth="1"/>
    <col min="10484" max="10484" width="13" style="267" customWidth="1"/>
    <col min="10485" max="10485" width="11.109375" style="267" customWidth="1"/>
    <col min="10486" max="10487" width="13" style="267" customWidth="1"/>
    <col min="10488" max="10488" width="12.5546875" style="267" customWidth="1"/>
    <col min="10489" max="10490" width="8.109375" style="267" customWidth="1"/>
    <col min="10491" max="10491" width="13.109375" style="267" customWidth="1"/>
    <col min="10492" max="10493" width="14" style="267" customWidth="1"/>
    <col min="10494" max="10502" width="14.109375" style="267" customWidth="1"/>
    <col min="10503" max="10503" width="10.109375" style="267" customWidth="1"/>
    <col min="10504" max="10504" width="11.109375" style="267" customWidth="1"/>
    <col min="10505" max="10505" width="13.5546875" style="267" bestFit="1" customWidth="1"/>
    <col min="10506" max="10506" width="5.5546875" style="267" customWidth="1"/>
    <col min="10507" max="10507" width="6.5546875" style="267" customWidth="1"/>
    <col min="10508" max="10508" width="13.5546875" style="267" customWidth="1"/>
    <col min="10509" max="10734" width="9" style="267"/>
    <col min="10735" max="10735" width="4.5546875" style="267" customWidth="1"/>
    <col min="10736" max="10736" width="19.88671875" style="267" customWidth="1"/>
    <col min="10737" max="10737" width="12.44140625" style="267" customWidth="1"/>
    <col min="10738" max="10738" width="13.88671875" style="267" customWidth="1"/>
    <col min="10739" max="10739" width="12" style="267" customWidth="1"/>
    <col min="10740" max="10740" width="13" style="267" customWidth="1"/>
    <col min="10741" max="10741" width="11.109375" style="267" customWidth="1"/>
    <col min="10742" max="10743" width="13" style="267" customWidth="1"/>
    <col min="10744" max="10744" width="12.5546875" style="267" customWidth="1"/>
    <col min="10745" max="10746" width="8.109375" style="267" customWidth="1"/>
    <col min="10747" max="10747" width="13.109375" style="267" customWidth="1"/>
    <col min="10748" max="10749" width="14" style="267" customWidth="1"/>
    <col min="10750" max="10758" width="14.109375" style="267" customWidth="1"/>
    <col min="10759" max="10759" width="10.109375" style="267" customWidth="1"/>
    <col min="10760" max="10760" width="11.109375" style="267" customWidth="1"/>
    <col min="10761" max="10761" width="13.5546875" style="267" bestFit="1" customWidth="1"/>
    <col min="10762" max="10762" width="5.5546875" style="267" customWidth="1"/>
    <col min="10763" max="10763" width="6.5546875" style="267" customWidth="1"/>
    <col min="10764" max="10764" width="13.5546875" style="267" customWidth="1"/>
    <col min="10765" max="10990" width="9" style="267"/>
    <col min="10991" max="10991" width="4.5546875" style="267" customWidth="1"/>
    <col min="10992" max="10992" width="19.88671875" style="267" customWidth="1"/>
    <col min="10993" max="10993" width="12.44140625" style="267" customWidth="1"/>
    <col min="10994" max="10994" width="13.88671875" style="267" customWidth="1"/>
    <col min="10995" max="10995" width="12" style="267" customWidth="1"/>
    <col min="10996" max="10996" width="13" style="267" customWidth="1"/>
    <col min="10997" max="10997" width="11.109375" style="267" customWidth="1"/>
    <col min="10998" max="10999" width="13" style="267" customWidth="1"/>
    <col min="11000" max="11000" width="12.5546875" style="267" customWidth="1"/>
    <col min="11001" max="11002" width="8.109375" style="267" customWidth="1"/>
    <col min="11003" max="11003" width="13.109375" style="267" customWidth="1"/>
    <col min="11004" max="11005" width="14" style="267" customWidth="1"/>
    <col min="11006" max="11014" width="14.109375" style="267" customWidth="1"/>
    <col min="11015" max="11015" width="10.109375" style="267" customWidth="1"/>
    <col min="11016" max="11016" width="11.109375" style="267" customWidth="1"/>
    <col min="11017" max="11017" width="13.5546875" style="267" bestFit="1" customWidth="1"/>
    <col min="11018" max="11018" width="5.5546875" style="267" customWidth="1"/>
    <col min="11019" max="11019" width="6.5546875" style="267" customWidth="1"/>
    <col min="11020" max="11020" width="13.5546875" style="267" customWidth="1"/>
    <col min="11021" max="11246" width="9" style="267"/>
    <col min="11247" max="11247" width="4.5546875" style="267" customWidth="1"/>
    <col min="11248" max="11248" width="19.88671875" style="267" customWidth="1"/>
    <col min="11249" max="11249" width="12.44140625" style="267" customWidth="1"/>
    <col min="11250" max="11250" width="13.88671875" style="267" customWidth="1"/>
    <col min="11251" max="11251" width="12" style="267" customWidth="1"/>
    <col min="11252" max="11252" width="13" style="267" customWidth="1"/>
    <col min="11253" max="11253" width="11.109375" style="267" customWidth="1"/>
    <col min="11254" max="11255" width="13" style="267" customWidth="1"/>
    <col min="11256" max="11256" width="12.5546875" style="267" customWidth="1"/>
    <col min="11257" max="11258" width="8.109375" style="267" customWidth="1"/>
    <col min="11259" max="11259" width="13.109375" style="267" customWidth="1"/>
    <col min="11260" max="11261" width="14" style="267" customWidth="1"/>
    <col min="11262" max="11270" width="14.109375" style="267" customWidth="1"/>
    <col min="11271" max="11271" width="10.109375" style="267" customWidth="1"/>
    <col min="11272" max="11272" width="11.109375" style="267" customWidth="1"/>
    <col min="11273" max="11273" width="13.5546875" style="267" bestFit="1" customWidth="1"/>
    <col min="11274" max="11274" width="5.5546875" style="267" customWidth="1"/>
    <col min="11275" max="11275" width="6.5546875" style="267" customWidth="1"/>
    <col min="11276" max="11276" width="13.5546875" style="267" customWidth="1"/>
    <col min="11277" max="11502" width="9" style="267"/>
    <col min="11503" max="11503" width="4.5546875" style="267" customWidth="1"/>
    <col min="11504" max="11504" width="19.88671875" style="267" customWidth="1"/>
    <col min="11505" max="11505" width="12.44140625" style="267" customWidth="1"/>
    <col min="11506" max="11506" width="13.88671875" style="267" customWidth="1"/>
    <col min="11507" max="11507" width="12" style="267" customWidth="1"/>
    <col min="11508" max="11508" width="13" style="267" customWidth="1"/>
    <col min="11509" max="11509" width="11.109375" style="267" customWidth="1"/>
    <col min="11510" max="11511" width="13" style="267" customWidth="1"/>
    <col min="11512" max="11512" width="12.5546875" style="267" customWidth="1"/>
    <col min="11513" max="11514" width="8.109375" style="267" customWidth="1"/>
    <col min="11515" max="11515" width="13.109375" style="267" customWidth="1"/>
    <col min="11516" max="11517" width="14" style="267" customWidth="1"/>
    <col min="11518" max="11526" width="14.109375" style="267" customWidth="1"/>
    <col min="11527" max="11527" width="10.109375" style="267" customWidth="1"/>
    <col min="11528" max="11528" width="11.109375" style="267" customWidth="1"/>
    <col min="11529" max="11529" width="13.5546875" style="267" bestFit="1" customWidth="1"/>
    <col min="11530" max="11530" width="5.5546875" style="267" customWidth="1"/>
    <col min="11531" max="11531" width="6.5546875" style="267" customWidth="1"/>
    <col min="11532" max="11532" width="13.5546875" style="267" customWidth="1"/>
    <col min="11533" max="11758" width="9" style="267"/>
    <col min="11759" max="11759" width="4.5546875" style="267" customWidth="1"/>
    <col min="11760" max="11760" width="19.88671875" style="267" customWidth="1"/>
    <col min="11761" max="11761" width="12.44140625" style="267" customWidth="1"/>
    <col min="11762" max="11762" width="13.88671875" style="267" customWidth="1"/>
    <col min="11763" max="11763" width="12" style="267" customWidth="1"/>
    <col min="11764" max="11764" width="13" style="267" customWidth="1"/>
    <col min="11765" max="11765" width="11.109375" style="267" customWidth="1"/>
    <col min="11766" max="11767" width="13" style="267" customWidth="1"/>
    <col min="11768" max="11768" width="12.5546875" style="267" customWidth="1"/>
    <col min="11769" max="11770" width="8.109375" style="267" customWidth="1"/>
    <col min="11771" max="11771" width="13.109375" style="267" customWidth="1"/>
    <col min="11772" max="11773" width="14" style="267" customWidth="1"/>
    <col min="11774" max="11782" width="14.109375" style="267" customWidth="1"/>
    <col min="11783" max="11783" width="10.109375" style="267" customWidth="1"/>
    <col min="11784" max="11784" width="11.109375" style="267" customWidth="1"/>
    <col min="11785" max="11785" width="13.5546875" style="267" bestFit="1" customWidth="1"/>
    <col min="11786" max="11786" width="5.5546875" style="267" customWidth="1"/>
    <col min="11787" max="11787" width="6.5546875" style="267" customWidth="1"/>
    <col min="11788" max="11788" width="13.5546875" style="267" customWidth="1"/>
    <col min="11789" max="12014" width="9" style="267"/>
    <col min="12015" max="12015" width="4.5546875" style="267" customWidth="1"/>
    <col min="12016" max="12016" width="19.88671875" style="267" customWidth="1"/>
    <col min="12017" max="12017" width="12.44140625" style="267" customWidth="1"/>
    <col min="12018" max="12018" width="13.88671875" style="267" customWidth="1"/>
    <col min="12019" max="12019" width="12" style="267" customWidth="1"/>
    <col min="12020" max="12020" width="13" style="267" customWidth="1"/>
    <col min="12021" max="12021" width="11.109375" style="267" customWidth="1"/>
    <col min="12022" max="12023" width="13" style="267" customWidth="1"/>
    <col min="12024" max="12024" width="12.5546875" style="267" customWidth="1"/>
    <col min="12025" max="12026" width="8.109375" style="267" customWidth="1"/>
    <col min="12027" max="12027" width="13.109375" style="267" customWidth="1"/>
    <col min="12028" max="12029" width="14" style="267" customWidth="1"/>
    <col min="12030" max="12038" width="14.109375" style="267" customWidth="1"/>
    <col min="12039" max="12039" width="10.109375" style="267" customWidth="1"/>
    <col min="12040" max="12040" width="11.109375" style="267" customWidth="1"/>
    <col min="12041" max="12041" width="13.5546875" style="267" bestFit="1" customWidth="1"/>
    <col min="12042" max="12042" width="5.5546875" style="267" customWidth="1"/>
    <col min="12043" max="12043" width="6.5546875" style="267" customWidth="1"/>
    <col min="12044" max="12044" width="13.5546875" style="267" customWidth="1"/>
    <col min="12045" max="12270" width="9" style="267"/>
    <col min="12271" max="12271" width="4.5546875" style="267" customWidth="1"/>
    <col min="12272" max="12272" width="19.88671875" style="267" customWidth="1"/>
    <col min="12273" max="12273" width="12.44140625" style="267" customWidth="1"/>
    <col min="12274" max="12274" width="13.88671875" style="267" customWidth="1"/>
    <col min="12275" max="12275" width="12" style="267" customWidth="1"/>
    <col min="12276" max="12276" width="13" style="267" customWidth="1"/>
    <col min="12277" max="12277" width="11.109375" style="267" customWidth="1"/>
    <col min="12278" max="12279" width="13" style="267" customWidth="1"/>
    <col min="12280" max="12280" width="12.5546875" style="267" customWidth="1"/>
    <col min="12281" max="12282" width="8.109375" style="267" customWidth="1"/>
    <col min="12283" max="12283" width="13.109375" style="267" customWidth="1"/>
    <col min="12284" max="12285" width="14" style="267" customWidth="1"/>
    <col min="12286" max="12294" width="14.109375" style="267" customWidth="1"/>
    <col min="12295" max="12295" width="10.109375" style="267" customWidth="1"/>
    <col min="12296" max="12296" width="11.109375" style="267" customWidth="1"/>
    <col min="12297" max="12297" width="13.5546875" style="267" bestFit="1" customWidth="1"/>
    <col min="12298" max="12298" width="5.5546875" style="267" customWidth="1"/>
    <col min="12299" max="12299" width="6.5546875" style="267" customWidth="1"/>
    <col min="12300" max="12300" width="13.5546875" style="267" customWidth="1"/>
    <col min="12301" max="12526" width="9" style="267"/>
    <col min="12527" max="12527" width="4.5546875" style="267" customWidth="1"/>
    <col min="12528" max="12528" width="19.88671875" style="267" customWidth="1"/>
    <col min="12529" max="12529" width="12.44140625" style="267" customWidth="1"/>
    <col min="12530" max="12530" width="13.88671875" style="267" customWidth="1"/>
    <col min="12531" max="12531" width="12" style="267" customWidth="1"/>
    <col min="12532" max="12532" width="13" style="267" customWidth="1"/>
    <col min="12533" max="12533" width="11.109375" style="267" customWidth="1"/>
    <col min="12534" max="12535" width="13" style="267" customWidth="1"/>
    <col min="12536" max="12536" width="12.5546875" style="267" customWidth="1"/>
    <col min="12537" max="12538" width="8.109375" style="267" customWidth="1"/>
    <col min="12539" max="12539" width="13.109375" style="267" customWidth="1"/>
    <col min="12540" max="12541" width="14" style="267" customWidth="1"/>
    <col min="12542" max="12550" width="14.109375" style="267" customWidth="1"/>
    <col min="12551" max="12551" width="10.109375" style="267" customWidth="1"/>
    <col min="12552" max="12552" width="11.109375" style="267" customWidth="1"/>
    <col min="12553" max="12553" width="13.5546875" style="267" bestFit="1" customWidth="1"/>
    <col min="12554" max="12554" width="5.5546875" style="267" customWidth="1"/>
    <col min="12555" max="12555" width="6.5546875" style="267" customWidth="1"/>
    <col min="12556" max="12556" width="13.5546875" style="267" customWidth="1"/>
    <col min="12557" max="12782" width="9" style="267"/>
    <col min="12783" max="12783" width="4.5546875" style="267" customWidth="1"/>
    <col min="12784" max="12784" width="19.88671875" style="267" customWidth="1"/>
    <col min="12785" max="12785" width="12.44140625" style="267" customWidth="1"/>
    <col min="12786" max="12786" width="13.88671875" style="267" customWidth="1"/>
    <col min="12787" max="12787" width="12" style="267" customWidth="1"/>
    <col min="12788" max="12788" width="13" style="267" customWidth="1"/>
    <col min="12789" max="12789" width="11.109375" style="267" customWidth="1"/>
    <col min="12790" max="12791" width="13" style="267" customWidth="1"/>
    <col min="12792" max="12792" width="12.5546875" style="267" customWidth="1"/>
    <col min="12793" max="12794" width="8.109375" style="267" customWidth="1"/>
    <col min="12795" max="12795" width="13.109375" style="267" customWidth="1"/>
    <col min="12796" max="12797" width="14" style="267" customWidth="1"/>
    <col min="12798" max="12806" width="14.109375" style="267" customWidth="1"/>
    <col min="12807" max="12807" width="10.109375" style="267" customWidth="1"/>
    <col min="12808" max="12808" width="11.109375" style="267" customWidth="1"/>
    <col min="12809" max="12809" width="13.5546875" style="267" bestFit="1" customWidth="1"/>
    <col min="12810" max="12810" width="5.5546875" style="267" customWidth="1"/>
    <col min="12811" max="12811" width="6.5546875" style="267" customWidth="1"/>
    <col min="12812" max="12812" width="13.5546875" style="267" customWidth="1"/>
    <col min="12813" max="13038" width="9" style="267"/>
    <col min="13039" max="13039" width="4.5546875" style="267" customWidth="1"/>
    <col min="13040" max="13040" width="19.88671875" style="267" customWidth="1"/>
    <col min="13041" max="13041" width="12.44140625" style="267" customWidth="1"/>
    <col min="13042" max="13042" width="13.88671875" style="267" customWidth="1"/>
    <col min="13043" max="13043" width="12" style="267" customWidth="1"/>
    <col min="13044" max="13044" width="13" style="267" customWidth="1"/>
    <col min="13045" max="13045" width="11.109375" style="267" customWidth="1"/>
    <col min="13046" max="13047" width="13" style="267" customWidth="1"/>
    <col min="13048" max="13048" width="12.5546875" style="267" customWidth="1"/>
    <col min="13049" max="13050" width="8.109375" style="267" customWidth="1"/>
    <col min="13051" max="13051" width="13.109375" style="267" customWidth="1"/>
    <col min="13052" max="13053" width="14" style="267" customWidth="1"/>
    <col min="13054" max="13062" width="14.109375" style="267" customWidth="1"/>
    <col min="13063" max="13063" width="10.109375" style="267" customWidth="1"/>
    <col min="13064" max="13064" width="11.109375" style="267" customWidth="1"/>
    <col min="13065" max="13065" width="13.5546875" style="267" bestFit="1" customWidth="1"/>
    <col min="13066" max="13066" width="5.5546875" style="267" customWidth="1"/>
    <col min="13067" max="13067" width="6.5546875" style="267" customWidth="1"/>
    <col min="13068" max="13068" width="13.5546875" style="267" customWidth="1"/>
    <col min="13069" max="13294" width="9" style="267"/>
    <col min="13295" max="13295" width="4.5546875" style="267" customWidth="1"/>
    <col min="13296" max="13296" width="19.88671875" style="267" customWidth="1"/>
    <col min="13297" max="13297" width="12.44140625" style="267" customWidth="1"/>
    <col min="13298" max="13298" width="13.88671875" style="267" customWidth="1"/>
    <col min="13299" max="13299" width="12" style="267" customWidth="1"/>
    <col min="13300" max="13300" width="13" style="267" customWidth="1"/>
    <col min="13301" max="13301" width="11.109375" style="267" customWidth="1"/>
    <col min="13302" max="13303" width="13" style="267" customWidth="1"/>
    <col min="13304" max="13304" width="12.5546875" style="267" customWidth="1"/>
    <col min="13305" max="13306" width="8.109375" style="267" customWidth="1"/>
    <col min="13307" max="13307" width="13.109375" style="267" customWidth="1"/>
    <col min="13308" max="13309" width="14" style="267" customWidth="1"/>
    <col min="13310" max="13318" width="14.109375" style="267" customWidth="1"/>
    <col min="13319" max="13319" width="10.109375" style="267" customWidth="1"/>
    <col min="13320" max="13320" width="11.109375" style="267" customWidth="1"/>
    <col min="13321" max="13321" width="13.5546875" style="267" bestFit="1" customWidth="1"/>
    <col min="13322" max="13322" width="5.5546875" style="267" customWidth="1"/>
    <col min="13323" max="13323" width="6.5546875" style="267" customWidth="1"/>
    <col min="13324" max="13324" width="13.5546875" style="267" customWidth="1"/>
    <col min="13325" max="13550" width="9" style="267"/>
    <col min="13551" max="13551" width="4.5546875" style="267" customWidth="1"/>
    <col min="13552" max="13552" width="19.88671875" style="267" customWidth="1"/>
    <col min="13553" max="13553" width="12.44140625" style="267" customWidth="1"/>
    <col min="13554" max="13554" width="13.88671875" style="267" customWidth="1"/>
    <col min="13555" max="13555" width="12" style="267" customWidth="1"/>
    <col min="13556" max="13556" width="13" style="267" customWidth="1"/>
    <col min="13557" max="13557" width="11.109375" style="267" customWidth="1"/>
    <col min="13558" max="13559" width="13" style="267" customWidth="1"/>
    <col min="13560" max="13560" width="12.5546875" style="267" customWidth="1"/>
    <col min="13561" max="13562" width="8.109375" style="267" customWidth="1"/>
    <col min="13563" max="13563" width="13.109375" style="267" customWidth="1"/>
    <col min="13564" max="13565" width="14" style="267" customWidth="1"/>
    <col min="13566" max="13574" width="14.109375" style="267" customWidth="1"/>
    <col min="13575" max="13575" width="10.109375" style="267" customWidth="1"/>
    <col min="13576" max="13576" width="11.109375" style="267" customWidth="1"/>
    <col min="13577" max="13577" width="13.5546875" style="267" bestFit="1" customWidth="1"/>
    <col min="13578" max="13578" width="5.5546875" style="267" customWidth="1"/>
    <col min="13579" max="13579" width="6.5546875" style="267" customWidth="1"/>
    <col min="13580" max="13580" width="13.5546875" style="267" customWidth="1"/>
    <col min="13581" max="13806" width="9" style="267"/>
    <col min="13807" max="13807" width="4.5546875" style="267" customWidth="1"/>
    <col min="13808" max="13808" width="19.88671875" style="267" customWidth="1"/>
    <col min="13809" max="13809" width="12.44140625" style="267" customWidth="1"/>
    <col min="13810" max="13810" width="13.88671875" style="267" customWidth="1"/>
    <col min="13811" max="13811" width="12" style="267" customWidth="1"/>
    <col min="13812" max="13812" width="13" style="267" customWidth="1"/>
    <col min="13813" max="13813" width="11.109375" style="267" customWidth="1"/>
    <col min="13814" max="13815" width="13" style="267" customWidth="1"/>
    <col min="13816" max="13816" width="12.5546875" style="267" customWidth="1"/>
    <col min="13817" max="13818" width="8.109375" style="267" customWidth="1"/>
    <col min="13819" max="13819" width="13.109375" style="267" customWidth="1"/>
    <col min="13820" max="13821" width="14" style="267" customWidth="1"/>
    <col min="13822" max="13830" width="14.109375" style="267" customWidth="1"/>
    <col min="13831" max="13831" width="10.109375" style="267" customWidth="1"/>
    <col min="13832" max="13832" width="11.109375" style="267" customWidth="1"/>
    <col min="13833" max="13833" width="13.5546875" style="267" bestFit="1" customWidth="1"/>
    <col min="13834" max="13834" width="5.5546875" style="267" customWidth="1"/>
    <col min="13835" max="13835" width="6.5546875" style="267" customWidth="1"/>
    <col min="13836" max="13836" width="13.5546875" style="267" customWidth="1"/>
    <col min="13837" max="14062" width="9" style="267"/>
    <col min="14063" max="14063" width="4.5546875" style="267" customWidth="1"/>
    <col min="14064" max="14064" width="19.88671875" style="267" customWidth="1"/>
    <col min="14065" max="14065" width="12.44140625" style="267" customWidth="1"/>
    <col min="14066" max="14066" width="13.88671875" style="267" customWidth="1"/>
    <col min="14067" max="14067" width="12" style="267" customWidth="1"/>
    <col min="14068" max="14068" width="13" style="267" customWidth="1"/>
    <col min="14069" max="14069" width="11.109375" style="267" customWidth="1"/>
    <col min="14070" max="14071" width="13" style="267" customWidth="1"/>
    <col min="14072" max="14072" width="12.5546875" style="267" customWidth="1"/>
    <col min="14073" max="14074" width="8.109375" style="267" customWidth="1"/>
    <col min="14075" max="14075" width="13.109375" style="267" customWidth="1"/>
    <col min="14076" max="14077" width="14" style="267" customWidth="1"/>
    <col min="14078" max="14086" width="14.109375" style="267" customWidth="1"/>
    <col min="14087" max="14087" width="10.109375" style="267" customWidth="1"/>
    <col min="14088" max="14088" width="11.109375" style="267" customWidth="1"/>
    <col min="14089" max="14089" width="13.5546875" style="267" bestFit="1" customWidth="1"/>
    <col min="14090" max="14090" width="5.5546875" style="267" customWidth="1"/>
    <col min="14091" max="14091" width="6.5546875" style="267" customWidth="1"/>
    <col min="14092" max="14092" width="13.5546875" style="267" customWidth="1"/>
    <col min="14093" max="14318" width="9" style="267"/>
    <col min="14319" max="14319" width="4.5546875" style="267" customWidth="1"/>
    <col min="14320" max="14320" width="19.88671875" style="267" customWidth="1"/>
    <col min="14321" max="14321" width="12.44140625" style="267" customWidth="1"/>
    <col min="14322" max="14322" width="13.88671875" style="267" customWidth="1"/>
    <col min="14323" max="14323" width="12" style="267" customWidth="1"/>
    <col min="14324" max="14324" width="13" style="267" customWidth="1"/>
    <col min="14325" max="14325" width="11.109375" style="267" customWidth="1"/>
    <col min="14326" max="14327" width="13" style="267" customWidth="1"/>
    <col min="14328" max="14328" width="12.5546875" style="267" customWidth="1"/>
    <col min="14329" max="14330" width="8.109375" style="267" customWidth="1"/>
    <col min="14331" max="14331" width="13.109375" style="267" customWidth="1"/>
    <col min="14332" max="14333" width="14" style="267" customWidth="1"/>
    <col min="14334" max="14342" width="14.109375" style="267" customWidth="1"/>
    <col min="14343" max="14343" width="10.109375" style="267" customWidth="1"/>
    <col min="14344" max="14344" width="11.109375" style="267" customWidth="1"/>
    <col min="14345" max="14345" width="13.5546875" style="267" bestFit="1" customWidth="1"/>
    <col min="14346" max="14346" width="5.5546875" style="267" customWidth="1"/>
    <col min="14347" max="14347" width="6.5546875" style="267" customWidth="1"/>
    <col min="14348" max="14348" width="13.5546875" style="267" customWidth="1"/>
    <col min="14349" max="14574" width="9" style="267"/>
    <col min="14575" max="14575" width="4.5546875" style="267" customWidth="1"/>
    <col min="14576" max="14576" width="19.88671875" style="267" customWidth="1"/>
    <col min="14577" max="14577" width="12.44140625" style="267" customWidth="1"/>
    <col min="14578" max="14578" width="13.88671875" style="267" customWidth="1"/>
    <col min="14579" max="14579" width="12" style="267" customWidth="1"/>
    <col min="14580" max="14580" width="13" style="267" customWidth="1"/>
    <col min="14581" max="14581" width="11.109375" style="267" customWidth="1"/>
    <col min="14582" max="14583" width="13" style="267" customWidth="1"/>
    <col min="14584" max="14584" width="12.5546875" style="267" customWidth="1"/>
    <col min="14585" max="14586" width="8.109375" style="267" customWidth="1"/>
    <col min="14587" max="14587" width="13.109375" style="267" customWidth="1"/>
    <col min="14588" max="14589" width="14" style="267" customWidth="1"/>
    <col min="14590" max="14598" width="14.109375" style="267" customWidth="1"/>
    <col min="14599" max="14599" width="10.109375" style="267" customWidth="1"/>
    <col min="14600" max="14600" width="11.109375" style="267" customWidth="1"/>
    <col min="14601" max="14601" width="13.5546875" style="267" bestFit="1" customWidth="1"/>
    <col min="14602" max="14602" width="5.5546875" style="267" customWidth="1"/>
    <col min="14603" max="14603" width="6.5546875" style="267" customWidth="1"/>
    <col min="14604" max="14604" width="13.5546875" style="267" customWidth="1"/>
    <col min="14605" max="14830" width="9" style="267"/>
    <col min="14831" max="14831" width="4.5546875" style="267" customWidth="1"/>
    <col min="14832" max="14832" width="19.88671875" style="267" customWidth="1"/>
    <col min="14833" max="14833" width="12.44140625" style="267" customWidth="1"/>
    <col min="14834" max="14834" width="13.88671875" style="267" customWidth="1"/>
    <col min="14835" max="14835" width="12" style="267" customWidth="1"/>
    <col min="14836" max="14836" width="13" style="267" customWidth="1"/>
    <col min="14837" max="14837" width="11.109375" style="267" customWidth="1"/>
    <col min="14838" max="14839" width="13" style="267" customWidth="1"/>
    <col min="14840" max="14840" width="12.5546875" style="267" customWidth="1"/>
    <col min="14841" max="14842" width="8.109375" style="267" customWidth="1"/>
    <col min="14843" max="14843" width="13.109375" style="267" customWidth="1"/>
    <col min="14844" max="14845" width="14" style="267" customWidth="1"/>
    <col min="14846" max="14854" width="14.109375" style="267" customWidth="1"/>
    <col min="14855" max="14855" width="10.109375" style="267" customWidth="1"/>
    <col min="14856" max="14856" width="11.109375" style="267" customWidth="1"/>
    <col min="14857" max="14857" width="13.5546875" style="267" bestFit="1" customWidth="1"/>
    <col min="14858" max="14858" width="5.5546875" style="267" customWidth="1"/>
    <col min="14859" max="14859" width="6.5546875" style="267" customWidth="1"/>
    <col min="14860" max="14860" width="13.5546875" style="267" customWidth="1"/>
    <col min="14861" max="15086" width="9" style="267"/>
    <col min="15087" max="15087" width="4.5546875" style="267" customWidth="1"/>
    <col min="15088" max="15088" width="19.88671875" style="267" customWidth="1"/>
    <col min="15089" max="15089" width="12.44140625" style="267" customWidth="1"/>
    <col min="15090" max="15090" width="13.88671875" style="267" customWidth="1"/>
    <col min="15091" max="15091" width="12" style="267" customWidth="1"/>
    <col min="15092" max="15092" width="13" style="267" customWidth="1"/>
    <col min="15093" max="15093" width="11.109375" style="267" customWidth="1"/>
    <col min="15094" max="15095" width="13" style="267" customWidth="1"/>
    <col min="15096" max="15096" width="12.5546875" style="267" customWidth="1"/>
    <col min="15097" max="15098" width="8.109375" style="267" customWidth="1"/>
    <col min="15099" max="15099" width="13.109375" style="267" customWidth="1"/>
    <col min="15100" max="15101" width="14" style="267" customWidth="1"/>
    <col min="15102" max="15110" width="14.109375" style="267" customWidth="1"/>
    <col min="15111" max="15111" width="10.109375" style="267" customWidth="1"/>
    <col min="15112" max="15112" width="11.109375" style="267" customWidth="1"/>
    <col min="15113" max="15113" width="13.5546875" style="267" bestFit="1" customWidth="1"/>
    <col min="15114" max="15114" width="5.5546875" style="267" customWidth="1"/>
    <col min="15115" max="15115" width="6.5546875" style="267" customWidth="1"/>
    <col min="15116" max="15116" width="13.5546875" style="267" customWidth="1"/>
    <col min="15117" max="15342" width="9" style="267"/>
    <col min="15343" max="15343" width="4.5546875" style="267" customWidth="1"/>
    <col min="15344" max="15344" width="19.88671875" style="267" customWidth="1"/>
    <col min="15345" max="15345" width="12.44140625" style="267" customWidth="1"/>
    <col min="15346" max="15346" width="13.88671875" style="267" customWidth="1"/>
    <col min="15347" max="15347" width="12" style="267" customWidth="1"/>
    <col min="15348" max="15348" width="13" style="267" customWidth="1"/>
    <col min="15349" max="15349" width="11.109375" style="267" customWidth="1"/>
    <col min="15350" max="15351" width="13" style="267" customWidth="1"/>
    <col min="15352" max="15352" width="12.5546875" style="267" customWidth="1"/>
    <col min="15353" max="15354" width="8.109375" style="267" customWidth="1"/>
    <col min="15355" max="15355" width="13.109375" style="267" customWidth="1"/>
    <col min="15356" max="15357" width="14" style="267" customWidth="1"/>
    <col min="15358" max="15366" width="14.109375" style="267" customWidth="1"/>
    <col min="15367" max="15367" width="10.109375" style="267" customWidth="1"/>
    <col min="15368" max="15368" width="11.109375" style="267" customWidth="1"/>
    <col min="15369" max="15369" width="13.5546875" style="267" bestFit="1" customWidth="1"/>
    <col min="15370" max="15370" width="5.5546875" style="267" customWidth="1"/>
    <col min="15371" max="15371" width="6.5546875" style="267" customWidth="1"/>
    <col min="15372" max="15372" width="13.5546875" style="267" customWidth="1"/>
    <col min="15373" max="15598" width="9" style="267"/>
    <col min="15599" max="15599" width="4.5546875" style="267" customWidth="1"/>
    <col min="15600" max="15600" width="19.88671875" style="267" customWidth="1"/>
    <col min="15601" max="15601" width="12.44140625" style="267" customWidth="1"/>
    <col min="15602" max="15602" width="13.88671875" style="267" customWidth="1"/>
    <col min="15603" max="15603" width="12" style="267" customWidth="1"/>
    <col min="15604" max="15604" width="13" style="267" customWidth="1"/>
    <col min="15605" max="15605" width="11.109375" style="267" customWidth="1"/>
    <col min="15606" max="15607" width="13" style="267" customWidth="1"/>
    <col min="15608" max="15608" width="12.5546875" style="267" customWidth="1"/>
    <col min="15609" max="15610" width="8.109375" style="267" customWidth="1"/>
    <col min="15611" max="15611" width="13.109375" style="267" customWidth="1"/>
    <col min="15612" max="15613" width="14" style="267" customWidth="1"/>
    <col min="15614" max="15622" width="14.109375" style="267" customWidth="1"/>
    <col min="15623" max="15623" width="10.109375" style="267" customWidth="1"/>
    <col min="15624" max="15624" width="11.109375" style="267" customWidth="1"/>
    <col min="15625" max="15625" width="13.5546875" style="267" bestFit="1" customWidth="1"/>
    <col min="15626" max="15626" width="5.5546875" style="267" customWidth="1"/>
    <col min="15627" max="15627" width="6.5546875" style="267" customWidth="1"/>
    <col min="15628" max="15628" width="13.5546875" style="267" customWidth="1"/>
    <col min="15629" max="15854" width="9" style="267"/>
    <col min="15855" max="15855" width="4.5546875" style="267" customWidth="1"/>
    <col min="15856" max="15856" width="19.88671875" style="267" customWidth="1"/>
    <col min="15857" max="15857" width="12.44140625" style="267" customWidth="1"/>
    <col min="15858" max="15858" width="13.88671875" style="267" customWidth="1"/>
    <col min="15859" max="15859" width="12" style="267" customWidth="1"/>
    <col min="15860" max="15860" width="13" style="267" customWidth="1"/>
    <col min="15861" max="15861" width="11.109375" style="267" customWidth="1"/>
    <col min="15862" max="15863" width="13" style="267" customWidth="1"/>
    <col min="15864" max="15864" width="12.5546875" style="267" customWidth="1"/>
    <col min="15865" max="15866" width="8.109375" style="267" customWidth="1"/>
    <col min="15867" max="15867" width="13.109375" style="267" customWidth="1"/>
    <col min="15868" max="15869" width="14" style="267" customWidth="1"/>
    <col min="15870" max="15878" width="14.109375" style="267" customWidth="1"/>
    <col min="15879" max="15879" width="10.109375" style="267" customWidth="1"/>
    <col min="15880" max="15880" width="11.109375" style="267" customWidth="1"/>
    <col min="15881" max="15881" width="13.5546875" style="267" bestFit="1" customWidth="1"/>
    <col min="15882" max="15882" width="5.5546875" style="267" customWidth="1"/>
    <col min="15883" max="15883" width="6.5546875" style="267" customWidth="1"/>
    <col min="15884" max="15884" width="13.5546875" style="267" customWidth="1"/>
    <col min="15885" max="16110" width="9" style="267"/>
    <col min="16111" max="16111" width="4.5546875" style="267" customWidth="1"/>
    <col min="16112" max="16112" width="19.88671875" style="267" customWidth="1"/>
    <col min="16113" max="16113" width="12.44140625" style="267" customWidth="1"/>
    <col min="16114" max="16114" width="13.88671875" style="267" customWidth="1"/>
    <col min="16115" max="16115" width="12" style="267" customWidth="1"/>
    <col min="16116" max="16116" width="13" style="267" customWidth="1"/>
    <col min="16117" max="16117" width="11.109375" style="267" customWidth="1"/>
    <col min="16118" max="16119" width="13" style="267" customWidth="1"/>
    <col min="16120" max="16120" width="12.5546875" style="267" customWidth="1"/>
    <col min="16121" max="16122" width="8.109375" style="267" customWidth="1"/>
    <col min="16123" max="16123" width="13.109375" style="267" customWidth="1"/>
    <col min="16124" max="16125" width="14" style="267" customWidth="1"/>
    <col min="16126" max="16134" width="14.109375" style="267" customWidth="1"/>
    <col min="16135" max="16135" width="10.109375" style="267" customWidth="1"/>
    <col min="16136" max="16136" width="11.109375" style="267" customWidth="1"/>
    <col min="16137" max="16137" width="13.5546875" style="267" bestFit="1" customWidth="1"/>
    <col min="16138" max="16138" width="5.5546875" style="267" customWidth="1"/>
    <col min="16139" max="16139" width="6.5546875" style="267" customWidth="1"/>
    <col min="16140" max="16140" width="13.5546875" style="267" customWidth="1"/>
    <col min="16141" max="16384" width="9" style="267"/>
  </cols>
  <sheetData>
    <row r="1" spans="1:16" s="24" customFormat="1" x14ac:dyDescent="0.3">
      <c r="A1" s="22" t="s">
        <v>3</v>
      </c>
      <c r="B1" s="22"/>
      <c r="C1" s="22"/>
      <c r="D1" s="2539" t="s">
        <v>4</v>
      </c>
      <c r="E1" s="2539"/>
      <c r="F1" s="2539"/>
      <c r="G1" s="2539"/>
      <c r="H1" s="2539"/>
      <c r="I1" s="2539"/>
      <c r="J1" s="2539"/>
      <c r="K1" s="2539"/>
    </row>
    <row r="2" spans="1:16" s="24" customFormat="1" ht="15" customHeight="1" x14ac:dyDescent="0.25">
      <c r="A2" s="26" t="s">
        <v>5</v>
      </c>
      <c r="B2" s="26"/>
      <c r="C2" s="26"/>
      <c r="D2" s="2506" t="s">
        <v>6</v>
      </c>
      <c r="E2" s="2506"/>
      <c r="F2" s="2506"/>
      <c r="G2" s="2506"/>
      <c r="H2" s="2506"/>
      <c r="I2" s="2506"/>
      <c r="J2" s="2506"/>
      <c r="K2" s="2506"/>
    </row>
    <row r="3" spans="1:16" s="262" customFormat="1" ht="14.25" customHeight="1" x14ac:dyDescent="0.3">
      <c r="A3" s="265"/>
      <c r="B3" s="263"/>
      <c r="C3" s="263"/>
      <c r="D3" s="264"/>
      <c r="E3" s="264"/>
      <c r="F3" s="264"/>
      <c r="G3" s="264"/>
      <c r="H3" s="264"/>
      <c r="I3" s="264"/>
      <c r="J3" s="301"/>
      <c r="K3" s="263"/>
      <c r="L3" s="263"/>
      <c r="M3" s="263"/>
      <c r="N3" s="263"/>
      <c r="O3" s="263"/>
      <c r="P3" s="263"/>
    </row>
    <row r="4" spans="1:16" s="262" customFormat="1" ht="14.25" customHeight="1" x14ac:dyDescent="0.3">
      <c r="A4" s="2535" t="s">
        <v>379</v>
      </c>
      <c r="B4" s="2535"/>
      <c r="C4" s="2535"/>
      <c r="D4" s="2535"/>
      <c r="E4" s="2535"/>
      <c r="F4" s="2535"/>
      <c r="G4" s="2535"/>
      <c r="H4" s="2535"/>
      <c r="I4" s="2535"/>
      <c r="J4" s="2535"/>
      <c r="K4" s="263"/>
      <c r="L4" s="263"/>
      <c r="M4" s="263"/>
      <c r="N4" s="263"/>
      <c r="O4" s="263"/>
      <c r="P4" s="263"/>
    </row>
    <row r="5" spans="1:16" ht="21.75" customHeight="1" x14ac:dyDescent="0.3">
      <c r="A5" s="266"/>
      <c r="B5" s="267"/>
      <c r="C5" s="267"/>
    </row>
    <row r="6" spans="1:16" s="299" customFormat="1" ht="28.5" customHeight="1" x14ac:dyDescent="0.3">
      <c r="A6" s="2543" t="s">
        <v>0</v>
      </c>
      <c r="B6" s="2511" t="s">
        <v>281</v>
      </c>
      <c r="C6" s="2544" t="s">
        <v>310</v>
      </c>
      <c r="D6" s="2541" t="s">
        <v>311</v>
      </c>
      <c r="E6" s="2546" t="s">
        <v>447</v>
      </c>
      <c r="F6" s="2514" t="s">
        <v>380</v>
      </c>
      <c r="G6" s="2514"/>
      <c r="H6" s="2541" t="s">
        <v>381</v>
      </c>
      <c r="I6" s="2546" t="s">
        <v>1244</v>
      </c>
      <c r="J6" s="2515" t="s">
        <v>319</v>
      </c>
    </row>
    <row r="7" spans="1:16" s="299" customFormat="1" ht="49.5" customHeight="1" x14ac:dyDescent="0.3">
      <c r="A7" s="2543"/>
      <c r="B7" s="2511"/>
      <c r="C7" s="2545"/>
      <c r="D7" s="2542"/>
      <c r="E7" s="2503"/>
      <c r="F7" s="359" t="s">
        <v>382</v>
      </c>
      <c r="G7" s="359" t="s">
        <v>411</v>
      </c>
      <c r="H7" s="2542"/>
      <c r="I7" s="2503"/>
      <c r="J7" s="2514"/>
      <c r="L7" s="2534"/>
      <c r="M7" s="2534"/>
    </row>
    <row r="8" spans="1:16" s="299" customFormat="1" ht="18.75" customHeight="1" x14ac:dyDescent="0.3">
      <c r="A8" s="360">
        <v>1</v>
      </c>
      <c r="B8" s="361" t="s">
        <v>291</v>
      </c>
      <c r="C8" s="362" t="s">
        <v>333</v>
      </c>
      <c r="D8" s="363">
        <v>12000000</v>
      </c>
      <c r="E8" s="363">
        <f>'Công T8'!AK12</f>
        <v>25.5</v>
      </c>
      <c r="F8" s="363"/>
      <c r="G8" s="363"/>
      <c r="H8" s="363">
        <f>D8/E8*E8-F8-G8</f>
        <v>12000000</v>
      </c>
      <c r="I8" s="363"/>
      <c r="J8" s="364"/>
    </row>
    <row r="9" spans="1:16" s="1215" customFormat="1" ht="18.75" customHeight="1" x14ac:dyDescent="0.25">
      <c r="A9" s="1213">
        <v>2</v>
      </c>
      <c r="B9" s="365" t="s">
        <v>295</v>
      </c>
      <c r="C9" s="366" t="s">
        <v>349</v>
      </c>
      <c r="D9" s="373">
        <v>8000000</v>
      </c>
      <c r="E9" s="373">
        <f>'Công T8'!AK16</f>
        <v>9</v>
      </c>
      <c r="F9" s="373"/>
      <c r="G9" s="373"/>
      <c r="H9" s="373">
        <f>D9/26*E9</f>
        <v>2769230.769230769</v>
      </c>
      <c r="I9" s="373"/>
      <c r="J9" s="1214"/>
    </row>
    <row r="10" spans="1:16" s="299" customFormat="1" ht="18.75" customHeight="1" x14ac:dyDescent="0.25">
      <c r="A10" s="360">
        <v>3</v>
      </c>
      <c r="B10" s="365" t="s">
        <v>296</v>
      </c>
      <c r="C10" s="366" t="s">
        <v>355</v>
      </c>
      <c r="D10" s="363">
        <v>8000000</v>
      </c>
      <c r="E10" s="363">
        <f>'Công T8'!AK17</f>
        <v>25.5</v>
      </c>
      <c r="F10" s="363">
        <v>1870000</v>
      </c>
      <c r="G10" s="363">
        <v>4000000</v>
      </c>
      <c r="H10" s="363">
        <f t="shared" ref="H10:H12" si="0">D10/E10*E10-F10-G10</f>
        <v>2130000</v>
      </c>
      <c r="I10" s="363"/>
      <c r="J10" s="364"/>
    </row>
    <row r="11" spans="1:16" s="299" customFormat="1" ht="29.25" customHeight="1" x14ac:dyDescent="0.25">
      <c r="A11" s="360">
        <v>4</v>
      </c>
      <c r="B11" s="367" t="s">
        <v>365</v>
      </c>
      <c r="C11" s="366" t="s">
        <v>366</v>
      </c>
      <c r="D11" s="363">
        <f>5000000/2</f>
        <v>2500000</v>
      </c>
      <c r="E11" s="363">
        <f>'Công T8'!AK19</f>
        <v>14</v>
      </c>
      <c r="F11" s="363"/>
      <c r="G11" s="363">
        <v>2500000</v>
      </c>
      <c r="H11" s="363">
        <f t="shared" si="0"/>
        <v>0</v>
      </c>
      <c r="I11" s="363"/>
      <c r="J11" s="368" t="s">
        <v>463</v>
      </c>
    </row>
    <row r="12" spans="1:16" s="299" customFormat="1" ht="48" customHeight="1" x14ac:dyDescent="0.25">
      <c r="A12" s="360">
        <v>5</v>
      </c>
      <c r="B12" s="365" t="s">
        <v>370</v>
      </c>
      <c r="C12" s="366" t="s">
        <v>371</v>
      </c>
      <c r="D12" s="363">
        <v>6000000</v>
      </c>
      <c r="E12" s="363">
        <f>'Công T8'!AK20</f>
        <v>15.5</v>
      </c>
      <c r="F12" s="363">
        <v>536900</v>
      </c>
      <c r="G12" s="363"/>
      <c r="H12" s="363">
        <f t="shared" si="0"/>
        <v>5463100</v>
      </c>
      <c r="I12" s="363"/>
      <c r="J12" s="368" t="s">
        <v>462</v>
      </c>
    </row>
    <row r="13" spans="1:16" s="300" customFormat="1" ht="23.25" customHeight="1" x14ac:dyDescent="0.3">
      <c r="A13" s="369"/>
      <c r="B13" s="370" t="s">
        <v>377</v>
      </c>
      <c r="C13" s="371"/>
      <c r="D13" s="373">
        <f>SUBTOTAL(9,D8:D12)</f>
        <v>36500000</v>
      </c>
      <c r="E13" s="373"/>
      <c r="F13" s="373">
        <f>SUBTOTAL(9,F8:F12)</f>
        <v>2406900</v>
      </c>
      <c r="G13" s="373">
        <f>SUBTOTAL(9,G8:G12)</f>
        <v>6500000</v>
      </c>
      <c r="H13" s="372">
        <f>SUBTOTAL(9,H8:H12)</f>
        <v>22362330.769230768</v>
      </c>
      <c r="I13" s="372"/>
      <c r="J13" s="372"/>
    </row>
    <row r="14" spans="1:16" ht="10.5" customHeight="1" x14ac:dyDescent="0.3"/>
    <row r="15" spans="1:16" x14ac:dyDescent="0.3">
      <c r="J15" s="275"/>
    </row>
    <row r="16" spans="1:16" s="303" customFormat="1" x14ac:dyDescent="0.3">
      <c r="A16" s="302"/>
      <c r="B16" s="303" t="s">
        <v>378</v>
      </c>
      <c r="E16" s="304"/>
      <c r="F16" s="304"/>
      <c r="H16" s="304" t="s">
        <v>303</v>
      </c>
      <c r="I16" s="304"/>
      <c r="J16" s="305"/>
    </row>
    <row r="17" spans="2:10" x14ac:dyDescent="0.3">
      <c r="B17" s="274" t="s">
        <v>464</v>
      </c>
      <c r="C17" s="267"/>
      <c r="D17" s="267"/>
      <c r="E17" s="274"/>
      <c r="F17" s="274"/>
      <c r="G17" s="267"/>
      <c r="H17" s="274" t="s">
        <v>243</v>
      </c>
      <c r="I17" s="1075"/>
      <c r="J17" s="275"/>
    </row>
  </sheetData>
  <mergeCells count="13">
    <mergeCell ref="L7:M7"/>
    <mergeCell ref="F6:G6"/>
    <mergeCell ref="H6:H7"/>
    <mergeCell ref="D1:K1"/>
    <mergeCell ref="D2:K2"/>
    <mergeCell ref="A4:J4"/>
    <mergeCell ref="A6:A7"/>
    <mergeCell ref="B6:B7"/>
    <mergeCell ref="C6:C7"/>
    <mergeCell ref="D6:D7"/>
    <mergeCell ref="J6:J7"/>
    <mergeCell ref="E6:E7"/>
    <mergeCell ref="I6:I7"/>
  </mergeCells>
  <pageMargins left="0.7" right="0.7" top="0.75" bottom="0.75" header="0.3" footer="0.3"/>
  <pageSetup paperSize="9" orientation="landscape" horizontalDpi="4294967293" verticalDpi="0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opLeftCell="A10" workbookViewId="0">
      <selection activeCell="Q17" sqref="Q17"/>
    </sheetView>
  </sheetViews>
  <sheetFormatPr defaultColWidth="8.88671875" defaultRowHeight="16.8" x14ac:dyDescent="0.3"/>
  <cols>
    <col min="1" max="1" width="3.44140625" style="271" customWidth="1"/>
    <col min="2" max="2" width="12.44140625" style="272" customWidth="1"/>
    <col min="3" max="3" width="10.109375" style="273" customWidth="1"/>
    <col min="4" max="4" width="10.33203125" style="268" customWidth="1"/>
    <col min="5" max="5" width="7.5546875" style="269" customWidth="1"/>
    <col min="6" max="6" width="6.88671875" style="267" customWidth="1"/>
    <col min="7" max="7" width="8.33203125" style="267" customWidth="1"/>
    <col min="8" max="8" width="6.88671875" style="267" customWidth="1"/>
    <col min="9" max="9" width="8.5546875" style="267" customWidth="1"/>
    <col min="10" max="10" width="4.44140625" style="267" customWidth="1"/>
    <col min="11" max="11" width="3.88671875" style="267" customWidth="1"/>
    <col min="12" max="12" width="6.109375" style="267" customWidth="1"/>
    <col min="13" max="13" width="9.44140625" style="267" customWidth="1"/>
    <col min="14" max="14" width="5.109375" style="267" customWidth="1"/>
    <col min="15" max="15" width="9.44140625" style="267" customWidth="1"/>
    <col min="16" max="221" width="9" style="267"/>
    <col min="222" max="222" width="4.5546875" style="267" customWidth="1"/>
    <col min="223" max="223" width="19.88671875" style="267" customWidth="1"/>
    <col min="224" max="224" width="12.44140625" style="267" customWidth="1"/>
    <col min="225" max="225" width="13.88671875" style="267" customWidth="1"/>
    <col min="226" max="226" width="12" style="267" customWidth="1"/>
    <col min="227" max="227" width="13" style="267" customWidth="1"/>
    <col min="228" max="228" width="11.109375" style="267" customWidth="1"/>
    <col min="229" max="230" width="13" style="267" customWidth="1"/>
    <col min="231" max="231" width="12.5546875" style="267" customWidth="1"/>
    <col min="232" max="233" width="8.109375" style="267" customWidth="1"/>
    <col min="234" max="234" width="13.109375" style="267" customWidth="1"/>
    <col min="235" max="236" width="14" style="267" customWidth="1"/>
    <col min="237" max="245" width="14.109375" style="267" customWidth="1"/>
    <col min="246" max="246" width="10.109375" style="267" customWidth="1"/>
    <col min="247" max="247" width="11.109375" style="267" customWidth="1"/>
    <col min="248" max="248" width="13.5546875" style="267" bestFit="1" customWidth="1"/>
    <col min="249" max="249" width="5.5546875" style="267" customWidth="1"/>
    <col min="250" max="250" width="6.5546875" style="267" customWidth="1"/>
    <col min="251" max="251" width="13.5546875" style="267" customWidth="1"/>
    <col min="252" max="477" width="9" style="267"/>
    <col min="478" max="478" width="4.5546875" style="267" customWidth="1"/>
    <col min="479" max="479" width="19.88671875" style="267" customWidth="1"/>
    <col min="480" max="480" width="12.44140625" style="267" customWidth="1"/>
    <col min="481" max="481" width="13.88671875" style="267" customWidth="1"/>
    <col min="482" max="482" width="12" style="267" customWidth="1"/>
    <col min="483" max="483" width="13" style="267" customWidth="1"/>
    <col min="484" max="484" width="11.109375" style="267" customWidth="1"/>
    <col min="485" max="486" width="13" style="267" customWidth="1"/>
    <col min="487" max="487" width="12.5546875" style="267" customWidth="1"/>
    <col min="488" max="489" width="8.109375" style="267" customWidth="1"/>
    <col min="490" max="490" width="13.109375" style="267" customWidth="1"/>
    <col min="491" max="492" width="14" style="267" customWidth="1"/>
    <col min="493" max="501" width="14.109375" style="267" customWidth="1"/>
    <col min="502" max="502" width="10.109375" style="267" customWidth="1"/>
    <col min="503" max="503" width="11.109375" style="267" customWidth="1"/>
    <col min="504" max="504" width="13.5546875" style="267" bestFit="1" customWidth="1"/>
    <col min="505" max="505" width="5.5546875" style="267" customWidth="1"/>
    <col min="506" max="506" width="6.5546875" style="267" customWidth="1"/>
    <col min="507" max="507" width="13.5546875" style="267" customWidth="1"/>
    <col min="508" max="733" width="9" style="267"/>
    <col min="734" max="734" width="4.5546875" style="267" customWidth="1"/>
    <col min="735" max="735" width="19.88671875" style="267" customWidth="1"/>
    <col min="736" max="736" width="12.44140625" style="267" customWidth="1"/>
    <col min="737" max="737" width="13.88671875" style="267" customWidth="1"/>
    <col min="738" max="738" width="12" style="267" customWidth="1"/>
    <col min="739" max="739" width="13" style="267" customWidth="1"/>
    <col min="740" max="740" width="11.109375" style="267" customWidth="1"/>
    <col min="741" max="742" width="13" style="267" customWidth="1"/>
    <col min="743" max="743" width="12.5546875" style="267" customWidth="1"/>
    <col min="744" max="745" width="8.109375" style="267" customWidth="1"/>
    <col min="746" max="746" width="13.109375" style="267" customWidth="1"/>
    <col min="747" max="748" width="14" style="267" customWidth="1"/>
    <col min="749" max="757" width="14.109375" style="267" customWidth="1"/>
    <col min="758" max="758" width="10.109375" style="267" customWidth="1"/>
    <col min="759" max="759" width="11.109375" style="267" customWidth="1"/>
    <col min="760" max="760" width="13.5546875" style="267" bestFit="1" customWidth="1"/>
    <col min="761" max="761" width="5.5546875" style="267" customWidth="1"/>
    <col min="762" max="762" width="6.5546875" style="267" customWidth="1"/>
    <col min="763" max="763" width="13.5546875" style="267" customWidth="1"/>
    <col min="764" max="989" width="9" style="267"/>
    <col min="990" max="990" width="4.5546875" style="267" customWidth="1"/>
    <col min="991" max="991" width="19.88671875" style="267" customWidth="1"/>
    <col min="992" max="992" width="12.44140625" style="267" customWidth="1"/>
    <col min="993" max="993" width="13.88671875" style="267" customWidth="1"/>
    <col min="994" max="994" width="12" style="267" customWidth="1"/>
    <col min="995" max="995" width="13" style="267" customWidth="1"/>
    <col min="996" max="996" width="11.109375" style="267" customWidth="1"/>
    <col min="997" max="998" width="13" style="267" customWidth="1"/>
    <col min="999" max="999" width="12.5546875" style="267" customWidth="1"/>
    <col min="1000" max="1001" width="8.109375" style="267" customWidth="1"/>
    <col min="1002" max="1002" width="13.109375" style="267" customWidth="1"/>
    <col min="1003" max="1004" width="14" style="267" customWidth="1"/>
    <col min="1005" max="1013" width="14.109375" style="267" customWidth="1"/>
    <col min="1014" max="1014" width="10.109375" style="267" customWidth="1"/>
    <col min="1015" max="1015" width="11.109375" style="267" customWidth="1"/>
    <col min="1016" max="1016" width="13.5546875" style="267" bestFit="1" customWidth="1"/>
    <col min="1017" max="1017" width="5.5546875" style="267" customWidth="1"/>
    <col min="1018" max="1018" width="6.5546875" style="267" customWidth="1"/>
    <col min="1019" max="1019" width="13.5546875" style="267" customWidth="1"/>
    <col min="1020" max="1245" width="9" style="267"/>
    <col min="1246" max="1246" width="4.5546875" style="267" customWidth="1"/>
    <col min="1247" max="1247" width="19.88671875" style="267" customWidth="1"/>
    <col min="1248" max="1248" width="12.44140625" style="267" customWidth="1"/>
    <col min="1249" max="1249" width="13.88671875" style="267" customWidth="1"/>
    <col min="1250" max="1250" width="12" style="267" customWidth="1"/>
    <col min="1251" max="1251" width="13" style="267" customWidth="1"/>
    <col min="1252" max="1252" width="11.109375" style="267" customWidth="1"/>
    <col min="1253" max="1254" width="13" style="267" customWidth="1"/>
    <col min="1255" max="1255" width="12.5546875" style="267" customWidth="1"/>
    <col min="1256" max="1257" width="8.109375" style="267" customWidth="1"/>
    <col min="1258" max="1258" width="13.109375" style="267" customWidth="1"/>
    <col min="1259" max="1260" width="14" style="267" customWidth="1"/>
    <col min="1261" max="1269" width="14.109375" style="267" customWidth="1"/>
    <col min="1270" max="1270" width="10.109375" style="267" customWidth="1"/>
    <col min="1271" max="1271" width="11.109375" style="267" customWidth="1"/>
    <col min="1272" max="1272" width="13.5546875" style="267" bestFit="1" customWidth="1"/>
    <col min="1273" max="1273" width="5.5546875" style="267" customWidth="1"/>
    <col min="1274" max="1274" width="6.5546875" style="267" customWidth="1"/>
    <col min="1275" max="1275" width="13.5546875" style="267" customWidth="1"/>
    <col min="1276" max="1501" width="9" style="267"/>
    <col min="1502" max="1502" width="4.5546875" style="267" customWidth="1"/>
    <col min="1503" max="1503" width="19.88671875" style="267" customWidth="1"/>
    <col min="1504" max="1504" width="12.44140625" style="267" customWidth="1"/>
    <col min="1505" max="1505" width="13.88671875" style="267" customWidth="1"/>
    <col min="1506" max="1506" width="12" style="267" customWidth="1"/>
    <col min="1507" max="1507" width="13" style="267" customWidth="1"/>
    <col min="1508" max="1508" width="11.109375" style="267" customWidth="1"/>
    <col min="1509" max="1510" width="13" style="267" customWidth="1"/>
    <col min="1511" max="1511" width="12.5546875" style="267" customWidth="1"/>
    <col min="1512" max="1513" width="8.109375" style="267" customWidth="1"/>
    <col min="1514" max="1514" width="13.109375" style="267" customWidth="1"/>
    <col min="1515" max="1516" width="14" style="267" customWidth="1"/>
    <col min="1517" max="1525" width="14.109375" style="267" customWidth="1"/>
    <col min="1526" max="1526" width="10.109375" style="267" customWidth="1"/>
    <col min="1527" max="1527" width="11.109375" style="267" customWidth="1"/>
    <col min="1528" max="1528" width="13.5546875" style="267" bestFit="1" customWidth="1"/>
    <col min="1529" max="1529" width="5.5546875" style="267" customWidth="1"/>
    <col min="1530" max="1530" width="6.5546875" style="267" customWidth="1"/>
    <col min="1531" max="1531" width="13.5546875" style="267" customWidth="1"/>
    <col min="1532" max="1757" width="9" style="267"/>
    <col min="1758" max="1758" width="4.5546875" style="267" customWidth="1"/>
    <col min="1759" max="1759" width="19.88671875" style="267" customWidth="1"/>
    <col min="1760" max="1760" width="12.44140625" style="267" customWidth="1"/>
    <col min="1761" max="1761" width="13.88671875" style="267" customWidth="1"/>
    <col min="1762" max="1762" width="12" style="267" customWidth="1"/>
    <col min="1763" max="1763" width="13" style="267" customWidth="1"/>
    <col min="1764" max="1764" width="11.109375" style="267" customWidth="1"/>
    <col min="1765" max="1766" width="13" style="267" customWidth="1"/>
    <col min="1767" max="1767" width="12.5546875" style="267" customWidth="1"/>
    <col min="1768" max="1769" width="8.109375" style="267" customWidth="1"/>
    <col min="1770" max="1770" width="13.109375" style="267" customWidth="1"/>
    <col min="1771" max="1772" width="14" style="267" customWidth="1"/>
    <col min="1773" max="1781" width="14.109375" style="267" customWidth="1"/>
    <col min="1782" max="1782" width="10.109375" style="267" customWidth="1"/>
    <col min="1783" max="1783" width="11.109375" style="267" customWidth="1"/>
    <col min="1784" max="1784" width="13.5546875" style="267" bestFit="1" customWidth="1"/>
    <col min="1785" max="1785" width="5.5546875" style="267" customWidth="1"/>
    <col min="1786" max="1786" width="6.5546875" style="267" customWidth="1"/>
    <col min="1787" max="1787" width="13.5546875" style="267" customWidth="1"/>
    <col min="1788" max="2013" width="9" style="267"/>
    <col min="2014" max="2014" width="4.5546875" style="267" customWidth="1"/>
    <col min="2015" max="2015" width="19.88671875" style="267" customWidth="1"/>
    <col min="2016" max="2016" width="12.44140625" style="267" customWidth="1"/>
    <col min="2017" max="2017" width="13.88671875" style="267" customWidth="1"/>
    <col min="2018" max="2018" width="12" style="267" customWidth="1"/>
    <col min="2019" max="2019" width="13" style="267" customWidth="1"/>
    <col min="2020" max="2020" width="11.109375" style="267" customWidth="1"/>
    <col min="2021" max="2022" width="13" style="267" customWidth="1"/>
    <col min="2023" max="2023" width="12.5546875" style="267" customWidth="1"/>
    <col min="2024" max="2025" width="8.109375" style="267" customWidth="1"/>
    <col min="2026" max="2026" width="13.109375" style="267" customWidth="1"/>
    <col min="2027" max="2028" width="14" style="267" customWidth="1"/>
    <col min="2029" max="2037" width="14.109375" style="267" customWidth="1"/>
    <col min="2038" max="2038" width="10.109375" style="267" customWidth="1"/>
    <col min="2039" max="2039" width="11.109375" style="267" customWidth="1"/>
    <col min="2040" max="2040" width="13.5546875" style="267" bestFit="1" customWidth="1"/>
    <col min="2041" max="2041" width="5.5546875" style="267" customWidth="1"/>
    <col min="2042" max="2042" width="6.5546875" style="267" customWidth="1"/>
    <col min="2043" max="2043" width="13.5546875" style="267" customWidth="1"/>
    <col min="2044" max="2269" width="9" style="267"/>
    <col min="2270" max="2270" width="4.5546875" style="267" customWidth="1"/>
    <col min="2271" max="2271" width="19.88671875" style="267" customWidth="1"/>
    <col min="2272" max="2272" width="12.44140625" style="267" customWidth="1"/>
    <col min="2273" max="2273" width="13.88671875" style="267" customWidth="1"/>
    <col min="2274" max="2274" width="12" style="267" customWidth="1"/>
    <col min="2275" max="2275" width="13" style="267" customWidth="1"/>
    <col min="2276" max="2276" width="11.109375" style="267" customWidth="1"/>
    <col min="2277" max="2278" width="13" style="267" customWidth="1"/>
    <col min="2279" max="2279" width="12.5546875" style="267" customWidth="1"/>
    <col min="2280" max="2281" width="8.109375" style="267" customWidth="1"/>
    <col min="2282" max="2282" width="13.109375" style="267" customWidth="1"/>
    <col min="2283" max="2284" width="14" style="267" customWidth="1"/>
    <col min="2285" max="2293" width="14.109375" style="267" customWidth="1"/>
    <col min="2294" max="2294" width="10.109375" style="267" customWidth="1"/>
    <col min="2295" max="2295" width="11.109375" style="267" customWidth="1"/>
    <col min="2296" max="2296" width="13.5546875" style="267" bestFit="1" customWidth="1"/>
    <col min="2297" max="2297" width="5.5546875" style="267" customWidth="1"/>
    <col min="2298" max="2298" width="6.5546875" style="267" customWidth="1"/>
    <col min="2299" max="2299" width="13.5546875" style="267" customWidth="1"/>
    <col min="2300" max="2525" width="9" style="267"/>
    <col min="2526" max="2526" width="4.5546875" style="267" customWidth="1"/>
    <col min="2527" max="2527" width="19.88671875" style="267" customWidth="1"/>
    <col min="2528" max="2528" width="12.44140625" style="267" customWidth="1"/>
    <col min="2529" max="2529" width="13.88671875" style="267" customWidth="1"/>
    <col min="2530" max="2530" width="12" style="267" customWidth="1"/>
    <col min="2531" max="2531" width="13" style="267" customWidth="1"/>
    <col min="2532" max="2532" width="11.109375" style="267" customWidth="1"/>
    <col min="2533" max="2534" width="13" style="267" customWidth="1"/>
    <col min="2535" max="2535" width="12.5546875" style="267" customWidth="1"/>
    <col min="2536" max="2537" width="8.109375" style="267" customWidth="1"/>
    <col min="2538" max="2538" width="13.109375" style="267" customWidth="1"/>
    <col min="2539" max="2540" width="14" style="267" customWidth="1"/>
    <col min="2541" max="2549" width="14.109375" style="267" customWidth="1"/>
    <col min="2550" max="2550" width="10.109375" style="267" customWidth="1"/>
    <col min="2551" max="2551" width="11.109375" style="267" customWidth="1"/>
    <col min="2552" max="2552" width="13.5546875" style="267" bestFit="1" customWidth="1"/>
    <col min="2553" max="2553" width="5.5546875" style="267" customWidth="1"/>
    <col min="2554" max="2554" width="6.5546875" style="267" customWidth="1"/>
    <col min="2555" max="2555" width="13.5546875" style="267" customWidth="1"/>
    <col min="2556" max="2781" width="9" style="267"/>
    <col min="2782" max="2782" width="4.5546875" style="267" customWidth="1"/>
    <col min="2783" max="2783" width="19.88671875" style="267" customWidth="1"/>
    <col min="2784" max="2784" width="12.44140625" style="267" customWidth="1"/>
    <col min="2785" max="2785" width="13.88671875" style="267" customWidth="1"/>
    <col min="2786" max="2786" width="12" style="267" customWidth="1"/>
    <col min="2787" max="2787" width="13" style="267" customWidth="1"/>
    <col min="2788" max="2788" width="11.109375" style="267" customWidth="1"/>
    <col min="2789" max="2790" width="13" style="267" customWidth="1"/>
    <col min="2791" max="2791" width="12.5546875" style="267" customWidth="1"/>
    <col min="2792" max="2793" width="8.109375" style="267" customWidth="1"/>
    <col min="2794" max="2794" width="13.109375" style="267" customWidth="1"/>
    <col min="2795" max="2796" width="14" style="267" customWidth="1"/>
    <col min="2797" max="2805" width="14.109375" style="267" customWidth="1"/>
    <col min="2806" max="2806" width="10.109375" style="267" customWidth="1"/>
    <col min="2807" max="2807" width="11.109375" style="267" customWidth="1"/>
    <col min="2808" max="2808" width="13.5546875" style="267" bestFit="1" customWidth="1"/>
    <col min="2809" max="2809" width="5.5546875" style="267" customWidth="1"/>
    <col min="2810" max="2810" width="6.5546875" style="267" customWidth="1"/>
    <col min="2811" max="2811" width="13.5546875" style="267" customWidth="1"/>
    <col min="2812" max="3037" width="9" style="267"/>
    <col min="3038" max="3038" width="4.5546875" style="267" customWidth="1"/>
    <col min="3039" max="3039" width="19.88671875" style="267" customWidth="1"/>
    <col min="3040" max="3040" width="12.44140625" style="267" customWidth="1"/>
    <col min="3041" max="3041" width="13.88671875" style="267" customWidth="1"/>
    <col min="3042" max="3042" width="12" style="267" customWidth="1"/>
    <col min="3043" max="3043" width="13" style="267" customWidth="1"/>
    <col min="3044" max="3044" width="11.109375" style="267" customWidth="1"/>
    <col min="3045" max="3046" width="13" style="267" customWidth="1"/>
    <col min="3047" max="3047" width="12.5546875" style="267" customWidth="1"/>
    <col min="3048" max="3049" width="8.109375" style="267" customWidth="1"/>
    <col min="3050" max="3050" width="13.109375" style="267" customWidth="1"/>
    <col min="3051" max="3052" width="14" style="267" customWidth="1"/>
    <col min="3053" max="3061" width="14.109375" style="267" customWidth="1"/>
    <col min="3062" max="3062" width="10.109375" style="267" customWidth="1"/>
    <col min="3063" max="3063" width="11.109375" style="267" customWidth="1"/>
    <col min="3064" max="3064" width="13.5546875" style="267" bestFit="1" customWidth="1"/>
    <col min="3065" max="3065" width="5.5546875" style="267" customWidth="1"/>
    <col min="3066" max="3066" width="6.5546875" style="267" customWidth="1"/>
    <col min="3067" max="3067" width="13.5546875" style="267" customWidth="1"/>
    <col min="3068" max="3293" width="9" style="267"/>
    <col min="3294" max="3294" width="4.5546875" style="267" customWidth="1"/>
    <col min="3295" max="3295" width="19.88671875" style="267" customWidth="1"/>
    <col min="3296" max="3296" width="12.44140625" style="267" customWidth="1"/>
    <col min="3297" max="3297" width="13.88671875" style="267" customWidth="1"/>
    <col min="3298" max="3298" width="12" style="267" customWidth="1"/>
    <col min="3299" max="3299" width="13" style="267" customWidth="1"/>
    <col min="3300" max="3300" width="11.109375" style="267" customWidth="1"/>
    <col min="3301" max="3302" width="13" style="267" customWidth="1"/>
    <col min="3303" max="3303" width="12.5546875" style="267" customWidth="1"/>
    <col min="3304" max="3305" width="8.109375" style="267" customWidth="1"/>
    <col min="3306" max="3306" width="13.109375" style="267" customWidth="1"/>
    <col min="3307" max="3308" width="14" style="267" customWidth="1"/>
    <col min="3309" max="3317" width="14.109375" style="267" customWidth="1"/>
    <col min="3318" max="3318" width="10.109375" style="267" customWidth="1"/>
    <col min="3319" max="3319" width="11.109375" style="267" customWidth="1"/>
    <col min="3320" max="3320" width="13.5546875" style="267" bestFit="1" customWidth="1"/>
    <col min="3321" max="3321" width="5.5546875" style="267" customWidth="1"/>
    <col min="3322" max="3322" width="6.5546875" style="267" customWidth="1"/>
    <col min="3323" max="3323" width="13.5546875" style="267" customWidth="1"/>
    <col min="3324" max="3549" width="9" style="267"/>
    <col min="3550" max="3550" width="4.5546875" style="267" customWidth="1"/>
    <col min="3551" max="3551" width="19.88671875" style="267" customWidth="1"/>
    <col min="3552" max="3552" width="12.44140625" style="267" customWidth="1"/>
    <col min="3553" max="3553" width="13.88671875" style="267" customWidth="1"/>
    <col min="3554" max="3554" width="12" style="267" customWidth="1"/>
    <col min="3555" max="3555" width="13" style="267" customWidth="1"/>
    <col min="3556" max="3556" width="11.109375" style="267" customWidth="1"/>
    <col min="3557" max="3558" width="13" style="267" customWidth="1"/>
    <col min="3559" max="3559" width="12.5546875" style="267" customWidth="1"/>
    <col min="3560" max="3561" width="8.109375" style="267" customWidth="1"/>
    <col min="3562" max="3562" width="13.109375" style="267" customWidth="1"/>
    <col min="3563" max="3564" width="14" style="267" customWidth="1"/>
    <col min="3565" max="3573" width="14.109375" style="267" customWidth="1"/>
    <col min="3574" max="3574" width="10.109375" style="267" customWidth="1"/>
    <col min="3575" max="3575" width="11.109375" style="267" customWidth="1"/>
    <col min="3576" max="3576" width="13.5546875" style="267" bestFit="1" customWidth="1"/>
    <col min="3577" max="3577" width="5.5546875" style="267" customWidth="1"/>
    <col min="3578" max="3578" width="6.5546875" style="267" customWidth="1"/>
    <col min="3579" max="3579" width="13.5546875" style="267" customWidth="1"/>
    <col min="3580" max="3805" width="9" style="267"/>
    <col min="3806" max="3806" width="4.5546875" style="267" customWidth="1"/>
    <col min="3807" max="3807" width="19.88671875" style="267" customWidth="1"/>
    <col min="3808" max="3808" width="12.44140625" style="267" customWidth="1"/>
    <col min="3809" max="3809" width="13.88671875" style="267" customWidth="1"/>
    <col min="3810" max="3810" width="12" style="267" customWidth="1"/>
    <col min="3811" max="3811" width="13" style="267" customWidth="1"/>
    <col min="3812" max="3812" width="11.109375" style="267" customWidth="1"/>
    <col min="3813" max="3814" width="13" style="267" customWidth="1"/>
    <col min="3815" max="3815" width="12.5546875" style="267" customWidth="1"/>
    <col min="3816" max="3817" width="8.109375" style="267" customWidth="1"/>
    <col min="3818" max="3818" width="13.109375" style="267" customWidth="1"/>
    <col min="3819" max="3820" width="14" style="267" customWidth="1"/>
    <col min="3821" max="3829" width="14.109375" style="267" customWidth="1"/>
    <col min="3830" max="3830" width="10.109375" style="267" customWidth="1"/>
    <col min="3831" max="3831" width="11.109375" style="267" customWidth="1"/>
    <col min="3832" max="3832" width="13.5546875" style="267" bestFit="1" customWidth="1"/>
    <col min="3833" max="3833" width="5.5546875" style="267" customWidth="1"/>
    <col min="3834" max="3834" width="6.5546875" style="267" customWidth="1"/>
    <col min="3835" max="3835" width="13.5546875" style="267" customWidth="1"/>
    <col min="3836" max="4061" width="9" style="267"/>
    <col min="4062" max="4062" width="4.5546875" style="267" customWidth="1"/>
    <col min="4063" max="4063" width="19.88671875" style="267" customWidth="1"/>
    <col min="4064" max="4064" width="12.44140625" style="267" customWidth="1"/>
    <col min="4065" max="4065" width="13.88671875" style="267" customWidth="1"/>
    <col min="4066" max="4066" width="12" style="267" customWidth="1"/>
    <col min="4067" max="4067" width="13" style="267" customWidth="1"/>
    <col min="4068" max="4068" width="11.109375" style="267" customWidth="1"/>
    <col min="4069" max="4070" width="13" style="267" customWidth="1"/>
    <col min="4071" max="4071" width="12.5546875" style="267" customWidth="1"/>
    <col min="4072" max="4073" width="8.109375" style="267" customWidth="1"/>
    <col min="4074" max="4074" width="13.109375" style="267" customWidth="1"/>
    <col min="4075" max="4076" width="14" style="267" customWidth="1"/>
    <col min="4077" max="4085" width="14.109375" style="267" customWidth="1"/>
    <col min="4086" max="4086" width="10.109375" style="267" customWidth="1"/>
    <col min="4087" max="4087" width="11.109375" style="267" customWidth="1"/>
    <col min="4088" max="4088" width="13.5546875" style="267" bestFit="1" customWidth="1"/>
    <col min="4089" max="4089" width="5.5546875" style="267" customWidth="1"/>
    <col min="4090" max="4090" width="6.5546875" style="267" customWidth="1"/>
    <col min="4091" max="4091" width="13.5546875" style="267" customWidth="1"/>
    <col min="4092" max="4317" width="9" style="267"/>
    <col min="4318" max="4318" width="4.5546875" style="267" customWidth="1"/>
    <col min="4319" max="4319" width="19.88671875" style="267" customWidth="1"/>
    <col min="4320" max="4320" width="12.44140625" style="267" customWidth="1"/>
    <col min="4321" max="4321" width="13.88671875" style="267" customWidth="1"/>
    <col min="4322" max="4322" width="12" style="267" customWidth="1"/>
    <col min="4323" max="4323" width="13" style="267" customWidth="1"/>
    <col min="4324" max="4324" width="11.109375" style="267" customWidth="1"/>
    <col min="4325" max="4326" width="13" style="267" customWidth="1"/>
    <col min="4327" max="4327" width="12.5546875" style="267" customWidth="1"/>
    <col min="4328" max="4329" width="8.109375" style="267" customWidth="1"/>
    <col min="4330" max="4330" width="13.109375" style="267" customWidth="1"/>
    <col min="4331" max="4332" width="14" style="267" customWidth="1"/>
    <col min="4333" max="4341" width="14.109375" style="267" customWidth="1"/>
    <col min="4342" max="4342" width="10.109375" style="267" customWidth="1"/>
    <col min="4343" max="4343" width="11.109375" style="267" customWidth="1"/>
    <col min="4344" max="4344" width="13.5546875" style="267" bestFit="1" customWidth="1"/>
    <col min="4345" max="4345" width="5.5546875" style="267" customWidth="1"/>
    <col min="4346" max="4346" width="6.5546875" style="267" customWidth="1"/>
    <col min="4347" max="4347" width="13.5546875" style="267" customWidth="1"/>
    <col min="4348" max="4573" width="9" style="267"/>
    <col min="4574" max="4574" width="4.5546875" style="267" customWidth="1"/>
    <col min="4575" max="4575" width="19.88671875" style="267" customWidth="1"/>
    <col min="4576" max="4576" width="12.44140625" style="267" customWidth="1"/>
    <col min="4577" max="4577" width="13.88671875" style="267" customWidth="1"/>
    <col min="4578" max="4578" width="12" style="267" customWidth="1"/>
    <col min="4579" max="4579" width="13" style="267" customWidth="1"/>
    <col min="4580" max="4580" width="11.109375" style="267" customWidth="1"/>
    <col min="4581" max="4582" width="13" style="267" customWidth="1"/>
    <col min="4583" max="4583" width="12.5546875" style="267" customWidth="1"/>
    <col min="4584" max="4585" width="8.109375" style="267" customWidth="1"/>
    <col min="4586" max="4586" width="13.109375" style="267" customWidth="1"/>
    <col min="4587" max="4588" width="14" style="267" customWidth="1"/>
    <col min="4589" max="4597" width="14.109375" style="267" customWidth="1"/>
    <col min="4598" max="4598" width="10.109375" style="267" customWidth="1"/>
    <col min="4599" max="4599" width="11.109375" style="267" customWidth="1"/>
    <col min="4600" max="4600" width="13.5546875" style="267" bestFit="1" customWidth="1"/>
    <col min="4601" max="4601" width="5.5546875" style="267" customWidth="1"/>
    <col min="4602" max="4602" width="6.5546875" style="267" customWidth="1"/>
    <col min="4603" max="4603" width="13.5546875" style="267" customWidth="1"/>
    <col min="4604" max="4829" width="9" style="267"/>
    <col min="4830" max="4830" width="4.5546875" style="267" customWidth="1"/>
    <col min="4831" max="4831" width="19.88671875" style="267" customWidth="1"/>
    <col min="4832" max="4832" width="12.44140625" style="267" customWidth="1"/>
    <col min="4833" max="4833" width="13.88671875" style="267" customWidth="1"/>
    <col min="4834" max="4834" width="12" style="267" customWidth="1"/>
    <col min="4835" max="4835" width="13" style="267" customWidth="1"/>
    <col min="4836" max="4836" width="11.109375" style="267" customWidth="1"/>
    <col min="4837" max="4838" width="13" style="267" customWidth="1"/>
    <col min="4839" max="4839" width="12.5546875" style="267" customWidth="1"/>
    <col min="4840" max="4841" width="8.109375" style="267" customWidth="1"/>
    <col min="4842" max="4842" width="13.109375" style="267" customWidth="1"/>
    <col min="4843" max="4844" width="14" style="267" customWidth="1"/>
    <col min="4845" max="4853" width="14.109375" style="267" customWidth="1"/>
    <col min="4854" max="4854" width="10.109375" style="267" customWidth="1"/>
    <col min="4855" max="4855" width="11.109375" style="267" customWidth="1"/>
    <col min="4856" max="4856" width="13.5546875" style="267" bestFit="1" customWidth="1"/>
    <col min="4857" max="4857" width="5.5546875" style="267" customWidth="1"/>
    <col min="4858" max="4858" width="6.5546875" style="267" customWidth="1"/>
    <col min="4859" max="4859" width="13.5546875" style="267" customWidth="1"/>
    <col min="4860" max="5085" width="9" style="267"/>
    <col min="5086" max="5086" width="4.5546875" style="267" customWidth="1"/>
    <col min="5087" max="5087" width="19.88671875" style="267" customWidth="1"/>
    <col min="5088" max="5088" width="12.44140625" style="267" customWidth="1"/>
    <col min="5089" max="5089" width="13.88671875" style="267" customWidth="1"/>
    <col min="5090" max="5090" width="12" style="267" customWidth="1"/>
    <col min="5091" max="5091" width="13" style="267" customWidth="1"/>
    <col min="5092" max="5092" width="11.109375" style="267" customWidth="1"/>
    <col min="5093" max="5094" width="13" style="267" customWidth="1"/>
    <col min="5095" max="5095" width="12.5546875" style="267" customWidth="1"/>
    <col min="5096" max="5097" width="8.109375" style="267" customWidth="1"/>
    <col min="5098" max="5098" width="13.109375" style="267" customWidth="1"/>
    <col min="5099" max="5100" width="14" style="267" customWidth="1"/>
    <col min="5101" max="5109" width="14.109375" style="267" customWidth="1"/>
    <col min="5110" max="5110" width="10.109375" style="267" customWidth="1"/>
    <col min="5111" max="5111" width="11.109375" style="267" customWidth="1"/>
    <col min="5112" max="5112" width="13.5546875" style="267" bestFit="1" customWidth="1"/>
    <col min="5113" max="5113" width="5.5546875" style="267" customWidth="1"/>
    <col min="5114" max="5114" width="6.5546875" style="267" customWidth="1"/>
    <col min="5115" max="5115" width="13.5546875" style="267" customWidth="1"/>
    <col min="5116" max="5341" width="9" style="267"/>
    <col min="5342" max="5342" width="4.5546875" style="267" customWidth="1"/>
    <col min="5343" max="5343" width="19.88671875" style="267" customWidth="1"/>
    <col min="5344" max="5344" width="12.44140625" style="267" customWidth="1"/>
    <col min="5345" max="5345" width="13.88671875" style="267" customWidth="1"/>
    <col min="5346" max="5346" width="12" style="267" customWidth="1"/>
    <col min="5347" max="5347" width="13" style="267" customWidth="1"/>
    <col min="5348" max="5348" width="11.109375" style="267" customWidth="1"/>
    <col min="5349" max="5350" width="13" style="267" customWidth="1"/>
    <col min="5351" max="5351" width="12.5546875" style="267" customWidth="1"/>
    <col min="5352" max="5353" width="8.109375" style="267" customWidth="1"/>
    <col min="5354" max="5354" width="13.109375" style="267" customWidth="1"/>
    <col min="5355" max="5356" width="14" style="267" customWidth="1"/>
    <col min="5357" max="5365" width="14.109375" style="267" customWidth="1"/>
    <col min="5366" max="5366" width="10.109375" style="267" customWidth="1"/>
    <col min="5367" max="5367" width="11.109375" style="267" customWidth="1"/>
    <col min="5368" max="5368" width="13.5546875" style="267" bestFit="1" customWidth="1"/>
    <col min="5369" max="5369" width="5.5546875" style="267" customWidth="1"/>
    <col min="5370" max="5370" width="6.5546875" style="267" customWidth="1"/>
    <col min="5371" max="5371" width="13.5546875" style="267" customWidth="1"/>
    <col min="5372" max="5597" width="9" style="267"/>
    <col min="5598" max="5598" width="4.5546875" style="267" customWidth="1"/>
    <col min="5599" max="5599" width="19.88671875" style="267" customWidth="1"/>
    <col min="5600" max="5600" width="12.44140625" style="267" customWidth="1"/>
    <col min="5601" max="5601" width="13.88671875" style="267" customWidth="1"/>
    <col min="5602" max="5602" width="12" style="267" customWidth="1"/>
    <col min="5603" max="5603" width="13" style="267" customWidth="1"/>
    <col min="5604" max="5604" width="11.109375" style="267" customWidth="1"/>
    <col min="5605" max="5606" width="13" style="267" customWidth="1"/>
    <col min="5607" max="5607" width="12.5546875" style="267" customWidth="1"/>
    <col min="5608" max="5609" width="8.109375" style="267" customWidth="1"/>
    <col min="5610" max="5610" width="13.109375" style="267" customWidth="1"/>
    <col min="5611" max="5612" width="14" style="267" customWidth="1"/>
    <col min="5613" max="5621" width="14.109375" style="267" customWidth="1"/>
    <col min="5622" max="5622" width="10.109375" style="267" customWidth="1"/>
    <col min="5623" max="5623" width="11.109375" style="267" customWidth="1"/>
    <col min="5624" max="5624" width="13.5546875" style="267" bestFit="1" customWidth="1"/>
    <col min="5625" max="5625" width="5.5546875" style="267" customWidth="1"/>
    <col min="5626" max="5626" width="6.5546875" style="267" customWidth="1"/>
    <col min="5627" max="5627" width="13.5546875" style="267" customWidth="1"/>
    <col min="5628" max="5853" width="9" style="267"/>
    <col min="5854" max="5854" width="4.5546875" style="267" customWidth="1"/>
    <col min="5855" max="5855" width="19.88671875" style="267" customWidth="1"/>
    <col min="5856" max="5856" width="12.44140625" style="267" customWidth="1"/>
    <col min="5857" max="5857" width="13.88671875" style="267" customWidth="1"/>
    <col min="5858" max="5858" width="12" style="267" customWidth="1"/>
    <col min="5859" max="5859" width="13" style="267" customWidth="1"/>
    <col min="5860" max="5860" width="11.109375" style="267" customWidth="1"/>
    <col min="5861" max="5862" width="13" style="267" customWidth="1"/>
    <col min="5863" max="5863" width="12.5546875" style="267" customWidth="1"/>
    <col min="5864" max="5865" width="8.109375" style="267" customWidth="1"/>
    <col min="5866" max="5866" width="13.109375" style="267" customWidth="1"/>
    <col min="5867" max="5868" width="14" style="267" customWidth="1"/>
    <col min="5869" max="5877" width="14.109375" style="267" customWidth="1"/>
    <col min="5878" max="5878" width="10.109375" style="267" customWidth="1"/>
    <col min="5879" max="5879" width="11.109375" style="267" customWidth="1"/>
    <col min="5880" max="5880" width="13.5546875" style="267" bestFit="1" customWidth="1"/>
    <col min="5881" max="5881" width="5.5546875" style="267" customWidth="1"/>
    <col min="5882" max="5882" width="6.5546875" style="267" customWidth="1"/>
    <col min="5883" max="5883" width="13.5546875" style="267" customWidth="1"/>
    <col min="5884" max="6109" width="9" style="267"/>
    <col min="6110" max="6110" width="4.5546875" style="267" customWidth="1"/>
    <col min="6111" max="6111" width="19.88671875" style="267" customWidth="1"/>
    <col min="6112" max="6112" width="12.44140625" style="267" customWidth="1"/>
    <col min="6113" max="6113" width="13.88671875" style="267" customWidth="1"/>
    <col min="6114" max="6114" width="12" style="267" customWidth="1"/>
    <col min="6115" max="6115" width="13" style="267" customWidth="1"/>
    <col min="6116" max="6116" width="11.109375" style="267" customWidth="1"/>
    <col min="6117" max="6118" width="13" style="267" customWidth="1"/>
    <col min="6119" max="6119" width="12.5546875" style="267" customWidth="1"/>
    <col min="6120" max="6121" width="8.109375" style="267" customWidth="1"/>
    <col min="6122" max="6122" width="13.109375" style="267" customWidth="1"/>
    <col min="6123" max="6124" width="14" style="267" customWidth="1"/>
    <col min="6125" max="6133" width="14.109375" style="267" customWidth="1"/>
    <col min="6134" max="6134" width="10.109375" style="267" customWidth="1"/>
    <col min="6135" max="6135" width="11.109375" style="267" customWidth="1"/>
    <col min="6136" max="6136" width="13.5546875" style="267" bestFit="1" customWidth="1"/>
    <col min="6137" max="6137" width="5.5546875" style="267" customWidth="1"/>
    <col min="6138" max="6138" width="6.5546875" style="267" customWidth="1"/>
    <col min="6139" max="6139" width="13.5546875" style="267" customWidth="1"/>
    <col min="6140" max="6365" width="9" style="267"/>
    <col min="6366" max="6366" width="4.5546875" style="267" customWidth="1"/>
    <col min="6367" max="6367" width="19.88671875" style="267" customWidth="1"/>
    <col min="6368" max="6368" width="12.44140625" style="267" customWidth="1"/>
    <col min="6369" max="6369" width="13.88671875" style="267" customWidth="1"/>
    <col min="6370" max="6370" width="12" style="267" customWidth="1"/>
    <col min="6371" max="6371" width="13" style="267" customWidth="1"/>
    <col min="6372" max="6372" width="11.109375" style="267" customWidth="1"/>
    <col min="6373" max="6374" width="13" style="267" customWidth="1"/>
    <col min="6375" max="6375" width="12.5546875" style="267" customWidth="1"/>
    <col min="6376" max="6377" width="8.109375" style="267" customWidth="1"/>
    <col min="6378" max="6378" width="13.109375" style="267" customWidth="1"/>
    <col min="6379" max="6380" width="14" style="267" customWidth="1"/>
    <col min="6381" max="6389" width="14.109375" style="267" customWidth="1"/>
    <col min="6390" max="6390" width="10.109375" style="267" customWidth="1"/>
    <col min="6391" max="6391" width="11.109375" style="267" customWidth="1"/>
    <col min="6392" max="6392" width="13.5546875" style="267" bestFit="1" customWidth="1"/>
    <col min="6393" max="6393" width="5.5546875" style="267" customWidth="1"/>
    <col min="6394" max="6394" width="6.5546875" style="267" customWidth="1"/>
    <col min="6395" max="6395" width="13.5546875" style="267" customWidth="1"/>
    <col min="6396" max="6621" width="9" style="267"/>
    <col min="6622" max="6622" width="4.5546875" style="267" customWidth="1"/>
    <col min="6623" max="6623" width="19.88671875" style="267" customWidth="1"/>
    <col min="6624" max="6624" width="12.44140625" style="267" customWidth="1"/>
    <col min="6625" max="6625" width="13.88671875" style="267" customWidth="1"/>
    <col min="6626" max="6626" width="12" style="267" customWidth="1"/>
    <col min="6627" max="6627" width="13" style="267" customWidth="1"/>
    <col min="6628" max="6628" width="11.109375" style="267" customWidth="1"/>
    <col min="6629" max="6630" width="13" style="267" customWidth="1"/>
    <col min="6631" max="6631" width="12.5546875" style="267" customWidth="1"/>
    <col min="6632" max="6633" width="8.109375" style="267" customWidth="1"/>
    <col min="6634" max="6634" width="13.109375" style="267" customWidth="1"/>
    <col min="6635" max="6636" width="14" style="267" customWidth="1"/>
    <col min="6637" max="6645" width="14.109375" style="267" customWidth="1"/>
    <col min="6646" max="6646" width="10.109375" style="267" customWidth="1"/>
    <col min="6647" max="6647" width="11.109375" style="267" customWidth="1"/>
    <col min="6648" max="6648" width="13.5546875" style="267" bestFit="1" customWidth="1"/>
    <col min="6649" max="6649" width="5.5546875" style="267" customWidth="1"/>
    <col min="6650" max="6650" width="6.5546875" style="267" customWidth="1"/>
    <col min="6651" max="6651" width="13.5546875" style="267" customWidth="1"/>
    <col min="6652" max="6877" width="9" style="267"/>
    <col min="6878" max="6878" width="4.5546875" style="267" customWidth="1"/>
    <col min="6879" max="6879" width="19.88671875" style="267" customWidth="1"/>
    <col min="6880" max="6880" width="12.44140625" style="267" customWidth="1"/>
    <col min="6881" max="6881" width="13.88671875" style="267" customWidth="1"/>
    <col min="6882" max="6882" width="12" style="267" customWidth="1"/>
    <col min="6883" max="6883" width="13" style="267" customWidth="1"/>
    <col min="6884" max="6884" width="11.109375" style="267" customWidth="1"/>
    <col min="6885" max="6886" width="13" style="267" customWidth="1"/>
    <col min="6887" max="6887" width="12.5546875" style="267" customWidth="1"/>
    <col min="6888" max="6889" width="8.109375" style="267" customWidth="1"/>
    <col min="6890" max="6890" width="13.109375" style="267" customWidth="1"/>
    <col min="6891" max="6892" width="14" style="267" customWidth="1"/>
    <col min="6893" max="6901" width="14.109375" style="267" customWidth="1"/>
    <col min="6902" max="6902" width="10.109375" style="267" customWidth="1"/>
    <col min="6903" max="6903" width="11.109375" style="267" customWidth="1"/>
    <col min="6904" max="6904" width="13.5546875" style="267" bestFit="1" customWidth="1"/>
    <col min="6905" max="6905" width="5.5546875" style="267" customWidth="1"/>
    <col min="6906" max="6906" width="6.5546875" style="267" customWidth="1"/>
    <col min="6907" max="6907" width="13.5546875" style="267" customWidth="1"/>
    <col min="6908" max="7133" width="9" style="267"/>
    <col min="7134" max="7134" width="4.5546875" style="267" customWidth="1"/>
    <col min="7135" max="7135" width="19.88671875" style="267" customWidth="1"/>
    <col min="7136" max="7136" width="12.44140625" style="267" customWidth="1"/>
    <col min="7137" max="7137" width="13.88671875" style="267" customWidth="1"/>
    <col min="7138" max="7138" width="12" style="267" customWidth="1"/>
    <col min="7139" max="7139" width="13" style="267" customWidth="1"/>
    <col min="7140" max="7140" width="11.109375" style="267" customWidth="1"/>
    <col min="7141" max="7142" width="13" style="267" customWidth="1"/>
    <col min="7143" max="7143" width="12.5546875" style="267" customWidth="1"/>
    <col min="7144" max="7145" width="8.109375" style="267" customWidth="1"/>
    <col min="7146" max="7146" width="13.109375" style="267" customWidth="1"/>
    <col min="7147" max="7148" width="14" style="267" customWidth="1"/>
    <col min="7149" max="7157" width="14.109375" style="267" customWidth="1"/>
    <col min="7158" max="7158" width="10.109375" style="267" customWidth="1"/>
    <col min="7159" max="7159" width="11.109375" style="267" customWidth="1"/>
    <col min="7160" max="7160" width="13.5546875" style="267" bestFit="1" customWidth="1"/>
    <col min="7161" max="7161" width="5.5546875" style="267" customWidth="1"/>
    <col min="7162" max="7162" width="6.5546875" style="267" customWidth="1"/>
    <col min="7163" max="7163" width="13.5546875" style="267" customWidth="1"/>
    <col min="7164" max="7389" width="9" style="267"/>
    <col min="7390" max="7390" width="4.5546875" style="267" customWidth="1"/>
    <col min="7391" max="7391" width="19.88671875" style="267" customWidth="1"/>
    <col min="7392" max="7392" width="12.44140625" style="267" customWidth="1"/>
    <col min="7393" max="7393" width="13.88671875" style="267" customWidth="1"/>
    <col min="7394" max="7394" width="12" style="267" customWidth="1"/>
    <col min="7395" max="7395" width="13" style="267" customWidth="1"/>
    <col min="7396" max="7396" width="11.109375" style="267" customWidth="1"/>
    <col min="7397" max="7398" width="13" style="267" customWidth="1"/>
    <col min="7399" max="7399" width="12.5546875" style="267" customWidth="1"/>
    <col min="7400" max="7401" width="8.109375" style="267" customWidth="1"/>
    <col min="7402" max="7402" width="13.109375" style="267" customWidth="1"/>
    <col min="7403" max="7404" width="14" style="267" customWidth="1"/>
    <col min="7405" max="7413" width="14.109375" style="267" customWidth="1"/>
    <col min="7414" max="7414" width="10.109375" style="267" customWidth="1"/>
    <col min="7415" max="7415" width="11.109375" style="267" customWidth="1"/>
    <col min="7416" max="7416" width="13.5546875" style="267" bestFit="1" customWidth="1"/>
    <col min="7417" max="7417" width="5.5546875" style="267" customWidth="1"/>
    <col min="7418" max="7418" width="6.5546875" style="267" customWidth="1"/>
    <col min="7419" max="7419" width="13.5546875" style="267" customWidth="1"/>
    <col min="7420" max="7645" width="9" style="267"/>
    <col min="7646" max="7646" width="4.5546875" style="267" customWidth="1"/>
    <col min="7647" max="7647" width="19.88671875" style="267" customWidth="1"/>
    <col min="7648" max="7648" width="12.44140625" style="267" customWidth="1"/>
    <col min="7649" max="7649" width="13.88671875" style="267" customWidth="1"/>
    <col min="7650" max="7650" width="12" style="267" customWidth="1"/>
    <col min="7651" max="7651" width="13" style="267" customWidth="1"/>
    <col min="7652" max="7652" width="11.109375" style="267" customWidth="1"/>
    <col min="7653" max="7654" width="13" style="267" customWidth="1"/>
    <col min="7655" max="7655" width="12.5546875" style="267" customWidth="1"/>
    <col min="7656" max="7657" width="8.109375" style="267" customWidth="1"/>
    <col min="7658" max="7658" width="13.109375" style="267" customWidth="1"/>
    <col min="7659" max="7660" width="14" style="267" customWidth="1"/>
    <col min="7661" max="7669" width="14.109375" style="267" customWidth="1"/>
    <col min="7670" max="7670" width="10.109375" style="267" customWidth="1"/>
    <col min="7671" max="7671" width="11.109375" style="267" customWidth="1"/>
    <col min="7672" max="7672" width="13.5546875" style="267" bestFit="1" customWidth="1"/>
    <col min="7673" max="7673" width="5.5546875" style="267" customWidth="1"/>
    <col min="7674" max="7674" width="6.5546875" style="267" customWidth="1"/>
    <col min="7675" max="7675" width="13.5546875" style="267" customWidth="1"/>
    <col min="7676" max="7901" width="9" style="267"/>
    <col min="7902" max="7902" width="4.5546875" style="267" customWidth="1"/>
    <col min="7903" max="7903" width="19.88671875" style="267" customWidth="1"/>
    <col min="7904" max="7904" width="12.44140625" style="267" customWidth="1"/>
    <col min="7905" max="7905" width="13.88671875" style="267" customWidth="1"/>
    <col min="7906" max="7906" width="12" style="267" customWidth="1"/>
    <col min="7907" max="7907" width="13" style="267" customWidth="1"/>
    <col min="7908" max="7908" width="11.109375" style="267" customWidth="1"/>
    <col min="7909" max="7910" width="13" style="267" customWidth="1"/>
    <col min="7911" max="7911" width="12.5546875" style="267" customWidth="1"/>
    <col min="7912" max="7913" width="8.109375" style="267" customWidth="1"/>
    <col min="7914" max="7914" width="13.109375" style="267" customWidth="1"/>
    <col min="7915" max="7916" width="14" style="267" customWidth="1"/>
    <col min="7917" max="7925" width="14.109375" style="267" customWidth="1"/>
    <col min="7926" max="7926" width="10.109375" style="267" customWidth="1"/>
    <col min="7927" max="7927" width="11.109375" style="267" customWidth="1"/>
    <col min="7928" max="7928" width="13.5546875" style="267" bestFit="1" customWidth="1"/>
    <col min="7929" max="7929" width="5.5546875" style="267" customWidth="1"/>
    <col min="7930" max="7930" width="6.5546875" style="267" customWidth="1"/>
    <col min="7931" max="7931" width="13.5546875" style="267" customWidth="1"/>
    <col min="7932" max="8157" width="9" style="267"/>
    <col min="8158" max="8158" width="4.5546875" style="267" customWidth="1"/>
    <col min="8159" max="8159" width="19.88671875" style="267" customWidth="1"/>
    <col min="8160" max="8160" width="12.44140625" style="267" customWidth="1"/>
    <col min="8161" max="8161" width="13.88671875" style="267" customWidth="1"/>
    <col min="8162" max="8162" width="12" style="267" customWidth="1"/>
    <col min="8163" max="8163" width="13" style="267" customWidth="1"/>
    <col min="8164" max="8164" width="11.109375" style="267" customWidth="1"/>
    <col min="8165" max="8166" width="13" style="267" customWidth="1"/>
    <col min="8167" max="8167" width="12.5546875" style="267" customWidth="1"/>
    <col min="8168" max="8169" width="8.109375" style="267" customWidth="1"/>
    <col min="8170" max="8170" width="13.109375" style="267" customWidth="1"/>
    <col min="8171" max="8172" width="14" style="267" customWidth="1"/>
    <col min="8173" max="8181" width="14.109375" style="267" customWidth="1"/>
    <col min="8182" max="8182" width="10.109375" style="267" customWidth="1"/>
    <col min="8183" max="8183" width="11.109375" style="267" customWidth="1"/>
    <col min="8184" max="8184" width="13.5546875" style="267" bestFit="1" customWidth="1"/>
    <col min="8185" max="8185" width="5.5546875" style="267" customWidth="1"/>
    <col min="8186" max="8186" width="6.5546875" style="267" customWidth="1"/>
    <col min="8187" max="8187" width="13.5546875" style="267" customWidth="1"/>
    <col min="8188" max="8413" width="9" style="267"/>
    <col min="8414" max="8414" width="4.5546875" style="267" customWidth="1"/>
    <col min="8415" max="8415" width="19.88671875" style="267" customWidth="1"/>
    <col min="8416" max="8416" width="12.44140625" style="267" customWidth="1"/>
    <col min="8417" max="8417" width="13.88671875" style="267" customWidth="1"/>
    <col min="8418" max="8418" width="12" style="267" customWidth="1"/>
    <col min="8419" max="8419" width="13" style="267" customWidth="1"/>
    <col min="8420" max="8420" width="11.109375" style="267" customWidth="1"/>
    <col min="8421" max="8422" width="13" style="267" customWidth="1"/>
    <col min="8423" max="8423" width="12.5546875" style="267" customWidth="1"/>
    <col min="8424" max="8425" width="8.109375" style="267" customWidth="1"/>
    <col min="8426" max="8426" width="13.109375" style="267" customWidth="1"/>
    <col min="8427" max="8428" width="14" style="267" customWidth="1"/>
    <col min="8429" max="8437" width="14.109375" style="267" customWidth="1"/>
    <col min="8438" max="8438" width="10.109375" style="267" customWidth="1"/>
    <col min="8439" max="8439" width="11.109375" style="267" customWidth="1"/>
    <col min="8440" max="8440" width="13.5546875" style="267" bestFit="1" customWidth="1"/>
    <col min="8441" max="8441" width="5.5546875" style="267" customWidth="1"/>
    <col min="8442" max="8442" width="6.5546875" style="267" customWidth="1"/>
    <col min="8443" max="8443" width="13.5546875" style="267" customWidth="1"/>
    <col min="8444" max="8669" width="9" style="267"/>
    <col min="8670" max="8670" width="4.5546875" style="267" customWidth="1"/>
    <col min="8671" max="8671" width="19.88671875" style="267" customWidth="1"/>
    <col min="8672" max="8672" width="12.44140625" style="267" customWidth="1"/>
    <col min="8673" max="8673" width="13.88671875" style="267" customWidth="1"/>
    <col min="8674" max="8674" width="12" style="267" customWidth="1"/>
    <col min="8675" max="8675" width="13" style="267" customWidth="1"/>
    <col min="8676" max="8676" width="11.109375" style="267" customWidth="1"/>
    <col min="8677" max="8678" width="13" style="267" customWidth="1"/>
    <col min="8679" max="8679" width="12.5546875" style="267" customWidth="1"/>
    <col min="8680" max="8681" width="8.109375" style="267" customWidth="1"/>
    <col min="8682" max="8682" width="13.109375" style="267" customWidth="1"/>
    <col min="8683" max="8684" width="14" style="267" customWidth="1"/>
    <col min="8685" max="8693" width="14.109375" style="267" customWidth="1"/>
    <col min="8694" max="8694" width="10.109375" style="267" customWidth="1"/>
    <col min="8695" max="8695" width="11.109375" style="267" customWidth="1"/>
    <col min="8696" max="8696" width="13.5546875" style="267" bestFit="1" customWidth="1"/>
    <col min="8697" max="8697" width="5.5546875" style="267" customWidth="1"/>
    <col min="8698" max="8698" width="6.5546875" style="267" customWidth="1"/>
    <col min="8699" max="8699" width="13.5546875" style="267" customWidth="1"/>
    <col min="8700" max="8925" width="9" style="267"/>
    <col min="8926" max="8926" width="4.5546875" style="267" customWidth="1"/>
    <col min="8927" max="8927" width="19.88671875" style="267" customWidth="1"/>
    <col min="8928" max="8928" width="12.44140625" style="267" customWidth="1"/>
    <col min="8929" max="8929" width="13.88671875" style="267" customWidth="1"/>
    <col min="8930" max="8930" width="12" style="267" customWidth="1"/>
    <col min="8931" max="8931" width="13" style="267" customWidth="1"/>
    <col min="8932" max="8932" width="11.109375" style="267" customWidth="1"/>
    <col min="8933" max="8934" width="13" style="267" customWidth="1"/>
    <col min="8935" max="8935" width="12.5546875" style="267" customWidth="1"/>
    <col min="8936" max="8937" width="8.109375" style="267" customWidth="1"/>
    <col min="8938" max="8938" width="13.109375" style="267" customWidth="1"/>
    <col min="8939" max="8940" width="14" style="267" customWidth="1"/>
    <col min="8941" max="8949" width="14.109375" style="267" customWidth="1"/>
    <col min="8950" max="8950" width="10.109375" style="267" customWidth="1"/>
    <col min="8951" max="8951" width="11.109375" style="267" customWidth="1"/>
    <col min="8952" max="8952" width="13.5546875" style="267" bestFit="1" customWidth="1"/>
    <col min="8953" max="8953" width="5.5546875" style="267" customWidth="1"/>
    <col min="8954" max="8954" width="6.5546875" style="267" customWidth="1"/>
    <col min="8955" max="8955" width="13.5546875" style="267" customWidth="1"/>
    <col min="8956" max="9181" width="9" style="267"/>
    <col min="9182" max="9182" width="4.5546875" style="267" customWidth="1"/>
    <col min="9183" max="9183" width="19.88671875" style="267" customWidth="1"/>
    <col min="9184" max="9184" width="12.44140625" style="267" customWidth="1"/>
    <col min="9185" max="9185" width="13.88671875" style="267" customWidth="1"/>
    <col min="9186" max="9186" width="12" style="267" customWidth="1"/>
    <col min="9187" max="9187" width="13" style="267" customWidth="1"/>
    <col min="9188" max="9188" width="11.109375" style="267" customWidth="1"/>
    <col min="9189" max="9190" width="13" style="267" customWidth="1"/>
    <col min="9191" max="9191" width="12.5546875" style="267" customWidth="1"/>
    <col min="9192" max="9193" width="8.109375" style="267" customWidth="1"/>
    <col min="9194" max="9194" width="13.109375" style="267" customWidth="1"/>
    <col min="9195" max="9196" width="14" style="267" customWidth="1"/>
    <col min="9197" max="9205" width="14.109375" style="267" customWidth="1"/>
    <col min="9206" max="9206" width="10.109375" style="267" customWidth="1"/>
    <col min="9207" max="9207" width="11.109375" style="267" customWidth="1"/>
    <col min="9208" max="9208" width="13.5546875" style="267" bestFit="1" customWidth="1"/>
    <col min="9209" max="9209" width="5.5546875" style="267" customWidth="1"/>
    <col min="9210" max="9210" width="6.5546875" style="267" customWidth="1"/>
    <col min="9211" max="9211" width="13.5546875" style="267" customWidth="1"/>
    <col min="9212" max="9437" width="9" style="267"/>
    <col min="9438" max="9438" width="4.5546875" style="267" customWidth="1"/>
    <col min="9439" max="9439" width="19.88671875" style="267" customWidth="1"/>
    <col min="9440" max="9440" width="12.44140625" style="267" customWidth="1"/>
    <col min="9441" max="9441" width="13.88671875" style="267" customWidth="1"/>
    <col min="9442" max="9442" width="12" style="267" customWidth="1"/>
    <col min="9443" max="9443" width="13" style="267" customWidth="1"/>
    <col min="9444" max="9444" width="11.109375" style="267" customWidth="1"/>
    <col min="9445" max="9446" width="13" style="267" customWidth="1"/>
    <col min="9447" max="9447" width="12.5546875" style="267" customWidth="1"/>
    <col min="9448" max="9449" width="8.109375" style="267" customWidth="1"/>
    <col min="9450" max="9450" width="13.109375" style="267" customWidth="1"/>
    <col min="9451" max="9452" width="14" style="267" customWidth="1"/>
    <col min="9453" max="9461" width="14.109375" style="267" customWidth="1"/>
    <col min="9462" max="9462" width="10.109375" style="267" customWidth="1"/>
    <col min="9463" max="9463" width="11.109375" style="267" customWidth="1"/>
    <col min="9464" max="9464" width="13.5546875" style="267" bestFit="1" customWidth="1"/>
    <col min="9465" max="9465" width="5.5546875" style="267" customWidth="1"/>
    <col min="9466" max="9466" width="6.5546875" style="267" customWidth="1"/>
    <col min="9467" max="9467" width="13.5546875" style="267" customWidth="1"/>
    <col min="9468" max="9693" width="9" style="267"/>
    <col min="9694" max="9694" width="4.5546875" style="267" customWidth="1"/>
    <col min="9695" max="9695" width="19.88671875" style="267" customWidth="1"/>
    <col min="9696" max="9696" width="12.44140625" style="267" customWidth="1"/>
    <col min="9697" max="9697" width="13.88671875" style="267" customWidth="1"/>
    <col min="9698" max="9698" width="12" style="267" customWidth="1"/>
    <col min="9699" max="9699" width="13" style="267" customWidth="1"/>
    <col min="9700" max="9700" width="11.109375" style="267" customWidth="1"/>
    <col min="9701" max="9702" width="13" style="267" customWidth="1"/>
    <col min="9703" max="9703" width="12.5546875" style="267" customWidth="1"/>
    <col min="9704" max="9705" width="8.109375" style="267" customWidth="1"/>
    <col min="9706" max="9706" width="13.109375" style="267" customWidth="1"/>
    <col min="9707" max="9708" width="14" style="267" customWidth="1"/>
    <col min="9709" max="9717" width="14.109375" style="267" customWidth="1"/>
    <col min="9718" max="9718" width="10.109375" style="267" customWidth="1"/>
    <col min="9719" max="9719" width="11.109375" style="267" customWidth="1"/>
    <col min="9720" max="9720" width="13.5546875" style="267" bestFit="1" customWidth="1"/>
    <col min="9721" max="9721" width="5.5546875" style="267" customWidth="1"/>
    <col min="9722" max="9722" width="6.5546875" style="267" customWidth="1"/>
    <col min="9723" max="9723" width="13.5546875" style="267" customWidth="1"/>
    <col min="9724" max="9949" width="9" style="267"/>
    <col min="9950" max="9950" width="4.5546875" style="267" customWidth="1"/>
    <col min="9951" max="9951" width="19.88671875" style="267" customWidth="1"/>
    <col min="9952" max="9952" width="12.44140625" style="267" customWidth="1"/>
    <col min="9953" max="9953" width="13.88671875" style="267" customWidth="1"/>
    <col min="9954" max="9954" width="12" style="267" customWidth="1"/>
    <col min="9955" max="9955" width="13" style="267" customWidth="1"/>
    <col min="9956" max="9956" width="11.109375" style="267" customWidth="1"/>
    <col min="9957" max="9958" width="13" style="267" customWidth="1"/>
    <col min="9959" max="9959" width="12.5546875" style="267" customWidth="1"/>
    <col min="9960" max="9961" width="8.109375" style="267" customWidth="1"/>
    <col min="9962" max="9962" width="13.109375" style="267" customWidth="1"/>
    <col min="9963" max="9964" width="14" style="267" customWidth="1"/>
    <col min="9965" max="9973" width="14.109375" style="267" customWidth="1"/>
    <col min="9974" max="9974" width="10.109375" style="267" customWidth="1"/>
    <col min="9975" max="9975" width="11.109375" style="267" customWidth="1"/>
    <col min="9976" max="9976" width="13.5546875" style="267" bestFit="1" customWidth="1"/>
    <col min="9977" max="9977" width="5.5546875" style="267" customWidth="1"/>
    <col min="9978" max="9978" width="6.5546875" style="267" customWidth="1"/>
    <col min="9979" max="9979" width="13.5546875" style="267" customWidth="1"/>
    <col min="9980" max="10205" width="9" style="267"/>
    <col min="10206" max="10206" width="4.5546875" style="267" customWidth="1"/>
    <col min="10207" max="10207" width="19.88671875" style="267" customWidth="1"/>
    <col min="10208" max="10208" width="12.44140625" style="267" customWidth="1"/>
    <col min="10209" max="10209" width="13.88671875" style="267" customWidth="1"/>
    <col min="10210" max="10210" width="12" style="267" customWidth="1"/>
    <col min="10211" max="10211" width="13" style="267" customWidth="1"/>
    <col min="10212" max="10212" width="11.109375" style="267" customWidth="1"/>
    <col min="10213" max="10214" width="13" style="267" customWidth="1"/>
    <col min="10215" max="10215" width="12.5546875" style="267" customWidth="1"/>
    <col min="10216" max="10217" width="8.109375" style="267" customWidth="1"/>
    <col min="10218" max="10218" width="13.109375" style="267" customWidth="1"/>
    <col min="10219" max="10220" width="14" style="267" customWidth="1"/>
    <col min="10221" max="10229" width="14.109375" style="267" customWidth="1"/>
    <col min="10230" max="10230" width="10.109375" style="267" customWidth="1"/>
    <col min="10231" max="10231" width="11.109375" style="267" customWidth="1"/>
    <col min="10232" max="10232" width="13.5546875" style="267" bestFit="1" customWidth="1"/>
    <col min="10233" max="10233" width="5.5546875" style="267" customWidth="1"/>
    <col min="10234" max="10234" width="6.5546875" style="267" customWidth="1"/>
    <col min="10235" max="10235" width="13.5546875" style="267" customWidth="1"/>
    <col min="10236" max="10461" width="9" style="267"/>
    <col min="10462" max="10462" width="4.5546875" style="267" customWidth="1"/>
    <col min="10463" max="10463" width="19.88671875" style="267" customWidth="1"/>
    <col min="10464" max="10464" width="12.44140625" style="267" customWidth="1"/>
    <col min="10465" max="10465" width="13.88671875" style="267" customWidth="1"/>
    <col min="10466" max="10466" width="12" style="267" customWidth="1"/>
    <col min="10467" max="10467" width="13" style="267" customWidth="1"/>
    <col min="10468" max="10468" width="11.109375" style="267" customWidth="1"/>
    <col min="10469" max="10470" width="13" style="267" customWidth="1"/>
    <col min="10471" max="10471" width="12.5546875" style="267" customWidth="1"/>
    <col min="10472" max="10473" width="8.109375" style="267" customWidth="1"/>
    <col min="10474" max="10474" width="13.109375" style="267" customWidth="1"/>
    <col min="10475" max="10476" width="14" style="267" customWidth="1"/>
    <col min="10477" max="10485" width="14.109375" style="267" customWidth="1"/>
    <col min="10486" max="10486" width="10.109375" style="267" customWidth="1"/>
    <col min="10487" max="10487" width="11.109375" style="267" customWidth="1"/>
    <col min="10488" max="10488" width="13.5546875" style="267" bestFit="1" customWidth="1"/>
    <col min="10489" max="10489" width="5.5546875" style="267" customWidth="1"/>
    <col min="10490" max="10490" width="6.5546875" style="267" customWidth="1"/>
    <col min="10491" max="10491" width="13.5546875" style="267" customWidth="1"/>
    <col min="10492" max="10717" width="9" style="267"/>
    <col min="10718" max="10718" width="4.5546875" style="267" customWidth="1"/>
    <col min="10719" max="10719" width="19.88671875" style="267" customWidth="1"/>
    <col min="10720" max="10720" width="12.44140625" style="267" customWidth="1"/>
    <col min="10721" max="10721" width="13.88671875" style="267" customWidth="1"/>
    <col min="10722" max="10722" width="12" style="267" customWidth="1"/>
    <col min="10723" max="10723" width="13" style="267" customWidth="1"/>
    <col min="10724" max="10724" width="11.109375" style="267" customWidth="1"/>
    <col min="10725" max="10726" width="13" style="267" customWidth="1"/>
    <col min="10727" max="10727" width="12.5546875" style="267" customWidth="1"/>
    <col min="10728" max="10729" width="8.109375" style="267" customWidth="1"/>
    <col min="10730" max="10730" width="13.109375" style="267" customWidth="1"/>
    <col min="10731" max="10732" width="14" style="267" customWidth="1"/>
    <col min="10733" max="10741" width="14.109375" style="267" customWidth="1"/>
    <col min="10742" max="10742" width="10.109375" style="267" customWidth="1"/>
    <col min="10743" max="10743" width="11.109375" style="267" customWidth="1"/>
    <col min="10744" max="10744" width="13.5546875" style="267" bestFit="1" customWidth="1"/>
    <col min="10745" max="10745" width="5.5546875" style="267" customWidth="1"/>
    <col min="10746" max="10746" width="6.5546875" style="267" customWidth="1"/>
    <col min="10747" max="10747" width="13.5546875" style="267" customWidth="1"/>
    <col min="10748" max="10973" width="9" style="267"/>
    <col min="10974" max="10974" width="4.5546875" style="267" customWidth="1"/>
    <col min="10975" max="10975" width="19.88671875" style="267" customWidth="1"/>
    <col min="10976" max="10976" width="12.44140625" style="267" customWidth="1"/>
    <col min="10977" max="10977" width="13.88671875" style="267" customWidth="1"/>
    <col min="10978" max="10978" width="12" style="267" customWidth="1"/>
    <col min="10979" max="10979" width="13" style="267" customWidth="1"/>
    <col min="10980" max="10980" width="11.109375" style="267" customWidth="1"/>
    <col min="10981" max="10982" width="13" style="267" customWidth="1"/>
    <col min="10983" max="10983" width="12.5546875" style="267" customWidth="1"/>
    <col min="10984" max="10985" width="8.109375" style="267" customWidth="1"/>
    <col min="10986" max="10986" width="13.109375" style="267" customWidth="1"/>
    <col min="10987" max="10988" width="14" style="267" customWidth="1"/>
    <col min="10989" max="10997" width="14.109375" style="267" customWidth="1"/>
    <col min="10998" max="10998" width="10.109375" style="267" customWidth="1"/>
    <col min="10999" max="10999" width="11.109375" style="267" customWidth="1"/>
    <col min="11000" max="11000" width="13.5546875" style="267" bestFit="1" customWidth="1"/>
    <col min="11001" max="11001" width="5.5546875" style="267" customWidth="1"/>
    <col min="11002" max="11002" width="6.5546875" style="267" customWidth="1"/>
    <col min="11003" max="11003" width="13.5546875" style="267" customWidth="1"/>
    <col min="11004" max="11229" width="9" style="267"/>
    <col min="11230" max="11230" width="4.5546875" style="267" customWidth="1"/>
    <col min="11231" max="11231" width="19.88671875" style="267" customWidth="1"/>
    <col min="11232" max="11232" width="12.44140625" style="267" customWidth="1"/>
    <col min="11233" max="11233" width="13.88671875" style="267" customWidth="1"/>
    <col min="11234" max="11234" width="12" style="267" customWidth="1"/>
    <col min="11235" max="11235" width="13" style="267" customWidth="1"/>
    <col min="11236" max="11236" width="11.109375" style="267" customWidth="1"/>
    <col min="11237" max="11238" width="13" style="267" customWidth="1"/>
    <col min="11239" max="11239" width="12.5546875" style="267" customWidth="1"/>
    <col min="11240" max="11241" width="8.109375" style="267" customWidth="1"/>
    <col min="11242" max="11242" width="13.109375" style="267" customWidth="1"/>
    <col min="11243" max="11244" width="14" style="267" customWidth="1"/>
    <col min="11245" max="11253" width="14.109375" style="267" customWidth="1"/>
    <col min="11254" max="11254" width="10.109375" style="267" customWidth="1"/>
    <col min="11255" max="11255" width="11.109375" style="267" customWidth="1"/>
    <col min="11256" max="11256" width="13.5546875" style="267" bestFit="1" customWidth="1"/>
    <col min="11257" max="11257" width="5.5546875" style="267" customWidth="1"/>
    <col min="11258" max="11258" width="6.5546875" style="267" customWidth="1"/>
    <col min="11259" max="11259" width="13.5546875" style="267" customWidth="1"/>
    <col min="11260" max="11485" width="9" style="267"/>
    <col min="11486" max="11486" width="4.5546875" style="267" customWidth="1"/>
    <col min="11487" max="11487" width="19.88671875" style="267" customWidth="1"/>
    <col min="11488" max="11488" width="12.44140625" style="267" customWidth="1"/>
    <col min="11489" max="11489" width="13.88671875" style="267" customWidth="1"/>
    <col min="11490" max="11490" width="12" style="267" customWidth="1"/>
    <col min="11491" max="11491" width="13" style="267" customWidth="1"/>
    <col min="11492" max="11492" width="11.109375" style="267" customWidth="1"/>
    <col min="11493" max="11494" width="13" style="267" customWidth="1"/>
    <col min="11495" max="11495" width="12.5546875" style="267" customWidth="1"/>
    <col min="11496" max="11497" width="8.109375" style="267" customWidth="1"/>
    <col min="11498" max="11498" width="13.109375" style="267" customWidth="1"/>
    <col min="11499" max="11500" width="14" style="267" customWidth="1"/>
    <col min="11501" max="11509" width="14.109375" style="267" customWidth="1"/>
    <col min="11510" max="11510" width="10.109375" style="267" customWidth="1"/>
    <col min="11511" max="11511" width="11.109375" style="267" customWidth="1"/>
    <col min="11512" max="11512" width="13.5546875" style="267" bestFit="1" customWidth="1"/>
    <col min="11513" max="11513" width="5.5546875" style="267" customWidth="1"/>
    <col min="11514" max="11514" width="6.5546875" style="267" customWidth="1"/>
    <col min="11515" max="11515" width="13.5546875" style="267" customWidth="1"/>
    <col min="11516" max="11741" width="9" style="267"/>
    <col min="11742" max="11742" width="4.5546875" style="267" customWidth="1"/>
    <col min="11743" max="11743" width="19.88671875" style="267" customWidth="1"/>
    <col min="11744" max="11744" width="12.44140625" style="267" customWidth="1"/>
    <col min="11745" max="11745" width="13.88671875" style="267" customWidth="1"/>
    <col min="11746" max="11746" width="12" style="267" customWidth="1"/>
    <col min="11747" max="11747" width="13" style="267" customWidth="1"/>
    <col min="11748" max="11748" width="11.109375" style="267" customWidth="1"/>
    <col min="11749" max="11750" width="13" style="267" customWidth="1"/>
    <col min="11751" max="11751" width="12.5546875" style="267" customWidth="1"/>
    <col min="11752" max="11753" width="8.109375" style="267" customWidth="1"/>
    <col min="11754" max="11754" width="13.109375" style="267" customWidth="1"/>
    <col min="11755" max="11756" width="14" style="267" customWidth="1"/>
    <col min="11757" max="11765" width="14.109375" style="267" customWidth="1"/>
    <col min="11766" max="11766" width="10.109375" style="267" customWidth="1"/>
    <col min="11767" max="11767" width="11.109375" style="267" customWidth="1"/>
    <col min="11768" max="11768" width="13.5546875" style="267" bestFit="1" customWidth="1"/>
    <col min="11769" max="11769" width="5.5546875" style="267" customWidth="1"/>
    <col min="11770" max="11770" width="6.5546875" style="267" customWidth="1"/>
    <col min="11771" max="11771" width="13.5546875" style="267" customWidth="1"/>
    <col min="11772" max="11997" width="9" style="267"/>
    <col min="11998" max="11998" width="4.5546875" style="267" customWidth="1"/>
    <col min="11999" max="11999" width="19.88671875" style="267" customWidth="1"/>
    <col min="12000" max="12000" width="12.44140625" style="267" customWidth="1"/>
    <col min="12001" max="12001" width="13.88671875" style="267" customWidth="1"/>
    <col min="12002" max="12002" width="12" style="267" customWidth="1"/>
    <col min="12003" max="12003" width="13" style="267" customWidth="1"/>
    <col min="12004" max="12004" width="11.109375" style="267" customWidth="1"/>
    <col min="12005" max="12006" width="13" style="267" customWidth="1"/>
    <col min="12007" max="12007" width="12.5546875" style="267" customWidth="1"/>
    <col min="12008" max="12009" width="8.109375" style="267" customWidth="1"/>
    <col min="12010" max="12010" width="13.109375" style="267" customWidth="1"/>
    <col min="12011" max="12012" width="14" style="267" customWidth="1"/>
    <col min="12013" max="12021" width="14.109375" style="267" customWidth="1"/>
    <col min="12022" max="12022" width="10.109375" style="267" customWidth="1"/>
    <col min="12023" max="12023" width="11.109375" style="267" customWidth="1"/>
    <col min="12024" max="12024" width="13.5546875" style="267" bestFit="1" customWidth="1"/>
    <col min="12025" max="12025" width="5.5546875" style="267" customWidth="1"/>
    <col min="12026" max="12026" width="6.5546875" style="267" customWidth="1"/>
    <col min="12027" max="12027" width="13.5546875" style="267" customWidth="1"/>
    <col min="12028" max="12253" width="9" style="267"/>
    <col min="12254" max="12254" width="4.5546875" style="267" customWidth="1"/>
    <col min="12255" max="12255" width="19.88671875" style="267" customWidth="1"/>
    <col min="12256" max="12256" width="12.44140625" style="267" customWidth="1"/>
    <col min="12257" max="12257" width="13.88671875" style="267" customWidth="1"/>
    <col min="12258" max="12258" width="12" style="267" customWidth="1"/>
    <col min="12259" max="12259" width="13" style="267" customWidth="1"/>
    <col min="12260" max="12260" width="11.109375" style="267" customWidth="1"/>
    <col min="12261" max="12262" width="13" style="267" customWidth="1"/>
    <col min="12263" max="12263" width="12.5546875" style="267" customWidth="1"/>
    <col min="12264" max="12265" width="8.109375" style="267" customWidth="1"/>
    <col min="12266" max="12266" width="13.109375" style="267" customWidth="1"/>
    <col min="12267" max="12268" width="14" style="267" customWidth="1"/>
    <col min="12269" max="12277" width="14.109375" style="267" customWidth="1"/>
    <col min="12278" max="12278" width="10.109375" style="267" customWidth="1"/>
    <col min="12279" max="12279" width="11.109375" style="267" customWidth="1"/>
    <col min="12280" max="12280" width="13.5546875" style="267" bestFit="1" customWidth="1"/>
    <col min="12281" max="12281" width="5.5546875" style="267" customWidth="1"/>
    <col min="12282" max="12282" width="6.5546875" style="267" customWidth="1"/>
    <col min="12283" max="12283" width="13.5546875" style="267" customWidth="1"/>
    <col min="12284" max="12509" width="9" style="267"/>
    <col min="12510" max="12510" width="4.5546875" style="267" customWidth="1"/>
    <col min="12511" max="12511" width="19.88671875" style="267" customWidth="1"/>
    <col min="12512" max="12512" width="12.44140625" style="267" customWidth="1"/>
    <col min="12513" max="12513" width="13.88671875" style="267" customWidth="1"/>
    <col min="12514" max="12514" width="12" style="267" customWidth="1"/>
    <col min="12515" max="12515" width="13" style="267" customWidth="1"/>
    <col min="12516" max="12516" width="11.109375" style="267" customWidth="1"/>
    <col min="12517" max="12518" width="13" style="267" customWidth="1"/>
    <col min="12519" max="12519" width="12.5546875" style="267" customWidth="1"/>
    <col min="12520" max="12521" width="8.109375" style="267" customWidth="1"/>
    <col min="12522" max="12522" width="13.109375" style="267" customWidth="1"/>
    <col min="12523" max="12524" width="14" style="267" customWidth="1"/>
    <col min="12525" max="12533" width="14.109375" style="267" customWidth="1"/>
    <col min="12534" max="12534" width="10.109375" style="267" customWidth="1"/>
    <col min="12535" max="12535" width="11.109375" style="267" customWidth="1"/>
    <col min="12536" max="12536" width="13.5546875" style="267" bestFit="1" customWidth="1"/>
    <col min="12537" max="12537" width="5.5546875" style="267" customWidth="1"/>
    <col min="12538" max="12538" width="6.5546875" style="267" customWidth="1"/>
    <col min="12539" max="12539" width="13.5546875" style="267" customWidth="1"/>
    <col min="12540" max="12765" width="9" style="267"/>
    <col min="12766" max="12766" width="4.5546875" style="267" customWidth="1"/>
    <col min="12767" max="12767" width="19.88671875" style="267" customWidth="1"/>
    <col min="12768" max="12768" width="12.44140625" style="267" customWidth="1"/>
    <col min="12769" max="12769" width="13.88671875" style="267" customWidth="1"/>
    <col min="12770" max="12770" width="12" style="267" customWidth="1"/>
    <col min="12771" max="12771" width="13" style="267" customWidth="1"/>
    <col min="12772" max="12772" width="11.109375" style="267" customWidth="1"/>
    <col min="12773" max="12774" width="13" style="267" customWidth="1"/>
    <col min="12775" max="12775" width="12.5546875" style="267" customWidth="1"/>
    <col min="12776" max="12777" width="8.109375" style="267" customWidth="1"/>
    <col min="12778" max="12778" width="13.109375" style="267" customWidth="1"/>
    <col min="12779" max="12780" width="14" style="267" customWidth="1"/>
    <col min="12781" max="12789" width="14.109375" style="267" customWidth="1"/>
    <col min="12790" max="12790" width="10.109375" style="267" customWidth="1"/>
    <col min="12791" max="12791" width="11.109375" style="267" customWidth="1"/>
    <col min="12792" max="12792" width="13.5546875" style="267" bestFit="1" customWidth="1"/>
    <col min="12793" max="12793" width="5.5546875" style="267" customWidth="1"/>
    <col min="12794" max="12794" width="6.5546875" style="267" customWidth="1"/>
    <col min="12795" max="12795" width="13.5546875" style="267" customWidth="1"/>
    <col min="12796" max="13021" width="9" style="267"/>
    <col min="13022" max="13022" width="4.5546875" style="267" customWidth="1"/>
    <col min="13023" max="13023" width="19.88671875" style="267" customWidth="1"/>
    <col min="13024" max="13024" width="12.44140625" style="267" customWidth="1"/>
    <col min="13025" max="13025" width="13.88671875" style="267" customWidth="1"/>
    <col min="13026" max="13026" width="12" style="267" customWidth="1"/>
    <col min="13027" max="13027" width="13" style="267" customWidth="1"/>
    <col min="13028" max="13028" width="11.109375" style="267" customWidth="1"/>
    <col min="13029" max="13030" width="13" style="267" customWidth="1"/>
    <col min="13031" max="13031" width="12.5546875" style="267" customWidth="1"/>
    <col min="13032" max="13033" width="8.109375" style="267" customWidth="1"/>
    <col min="13034" max="13034" width="13.109375" style="267" customWidth="1"/>
    <col min="13035" max="13036" width="14" style="267" customWidth="1"/>
    <col min="13037" max="13045" width="14.109375" style="267" customWidth="1"/>
    <col min="13046" max="13046" width="10.109375" style="267" customWidth="1"/>
    <col min="13047" max="13047" width="11.109375" style="267" customWidth="1"/>
    <col min="13048" max="13048" width="13.5546875" style="267" bestFit="1" customWidth="1"/>
    <col min="13049" max="13049" width="5.5546875" style="267" customWidth="1"/>
    <col min="13050" max="13050" width="6.5546875" style="267" customWidth="1"/>
    <col min="13051" max="13051" width="13.5546875" style="267" customWidth="1"/>
    <col min="13052" max="13277" width="9" style="267"/>
    <col min="13278" max="13278" width="4.5546875" style="267" customWidth="1"/>
    <col min="13279" max="13279" width="19.88671875" style="267" customWidth="1"/>
    <col min="13280" max="13280" width="12.44140625" style="267" customWidth="1"/>
    <col min="13281" max="13281" width="13.88671875" style="267" customWidth="1"/>
    <col min="13282" max="13282" width="12" style="267" customWidth="1"/>
    <col min="13283" max="13283" width="13" style="267" customWidth="1"/>
    <col min="13284" max="13284" width="11.109375" style="267" customWidth="1"/>
    <col min="13285" max="13286" width="13" style="267" customWidth="1"/>
    <col min="13287" max="13287" width="12.5546875" style="267" customWidth="1"/>
    <col min="13288" max="13289" width="8.109375" style="267" customWidth="1"/>
    <col min="13290" max="13290" width="13.109375" style="267" customWidth="1"/>
    <col min="13291" max="13292" width="14" style="267" customWidth="1"/>
    <col min="13293" max="13301" width="14.109375" style="267" customWidth="1"/>
    <col min="13302" max="13302" width="10.109375" style="267" customWidth="1"/>
    <col min="13303" max="13303" width="11.109375" style="267" customWidth="1"/>
    <col min="13304" max="13304" width="13.5546875" style="267" bestFit="1" customWidth="1"/>
    <col min="13305" max="13305" width="5.5546875" style="267" customWidth="1"/>
    <col min="13306" max="13306" width="6.5546875" style="267" customWidth="1"/>
    <col min="13307" max="13307" width="13.5546875" style="267" customWidth="1"/>
    <col min="13308" max="13533" width="9" style="267"/>
    <col min="13534" max="13534" width="4.5546875" style="267" customWidth="1"/>
    <col min="13535" max="13535" width="19.88671875" style="267" customWidth="1"/>
    <col min="13536" max="13536" width="12.44140625" style="267" customWidth="1"/>
    <col min="13537" max="13537" width="13.88671875" style="267" customWidth="1"/>
    <col min="13538" max="13538" width="12" style="267" customWidth="1"/>
    <col min="13539" max="13539" width="13" style="267" customWidth="1"/>
    <col min="13540" max="13540" width="11.109375" style="267" customWidth="1"/>
    <col min="13541" max="13542" width="13" style="267" customWidth="1"/>
    <col min="13543" max="13543" width="12.5546875" style="267" customWidth="1"/>
    <col min="13544" max="13545" width="8.109375" style="267" customWidth="1"/>
    <col min="13546" max="13546" width="13.109375" style="267" customWidth="1"/>
    <col min="13547" max="13548" width="14" style="267" customWidth="1"/>
    <col min="13549" max="13557" width="14.109375" style="267" customWidth="1"/>
    <col min="13558" max="13558" width="10.109375" style="267" customWidth="1"/>
    <col min="13559" max="13559" width="11.109375" style="267" customWidth="1"/>
    <col min="13560" max="13560" width="13.5546875" style="267" bestFit="1" customWidth="1"/>
    <col min="13561" max="13561" width="5.5546875" style="267" customWidth="1"/>
    <col min="13562" max="13562" width="6.5546875" style="267" customWidth="1"/>
    <col min="13563" max="13563" width="13.5546875" style="267" customWidth="1"/>
    <col min="13564" max="13789" width="9" style="267"/>
    <col min="13790" max="13790" width="4.5546875" style="267" customWidth="1"/>
    <col min="13791" max="13791" width="19.88671875" style="267" customWidth="1"/>
    <col min="13792" max="13792" width="12.44140625" style="267" customWidth="1"/>
    <col min="13793" max="13793" width="13.88671875" style="267" customWidth="1"/>
    <col min="13794" max="13794" width="12" style="267" customWidth="1"/>
    <col min="13795" max="13795" width="13" style="267" customWidth="1"/>
    <col min="13796" max="13796" width="11.109375" style="267" customWidth="1"/>
    <col min="13797" max="13798" width="13" style="267" customWidth="1"/>
    <col min="13799" max="13799" width="12.5546875" style="267" customWidth="1"/>
    <col min="13800" max="13801" width="8.109375" style="267" customWidth="1"/>
    <col min="13802" max="13802" width="13.109375" style="267" customWidth="1"/>
    <col min="13803" max="13804" width="14" style="267" customWidth="1"/>
    <col min="13805" max="13813" width="14.109375" style="267" customWidth="1"/>
    <col min="13814" max="13814" width="10.109375" style="267" customWidth="1"/>
    <col min="13815" max="13815" width="11.109375" style="267" customWidth="1"/>
    <col min="13816" max="13816" width="13.5546875" style="267" bestFit="1" customWidth="1"/>
    <col min="13817" max="13817" width="5.5546875" style="267" customWidth="1"/>
    <col min="13818" max="13818" width="6.5546875" style="267" customWidth="1"/>
    <col min="13819" max="13819" width="13.5546875" style="267" customWidth="1"/>
    <col min="13820" max="14045" width="9" style="267"/>
    <col min="14046" max="14046" width="4.5546875" style="267" customWidth="1"/>
    <col min="14047" max="14047" width="19.88671875" style="267" customWidth="1"/>
    <col min="14048" max="14048" width="12.44140625" style="267" customWidth="1"/>
    <col min="14049" max="14049" width="13.88671875" style="267" customWidth="1"/>
    <col min="14050" max="14050" width="12" style="267" customWidth="1"/>
    <col min="14051" max="14051" width="13" style="267" customWidth="1"/>
    <col min="14052" max="14052" width="11.109375" style="267" customWidth="1"/>
    <col min="14053" max="14054" width="13" style="267" customWidth="1"/>
    <col min="14055" max="14055" width="12.5546875" style="267" customWidth="1"/>
    <col min="14056" max="14057" width="8.109375" style="267" customWidth="1"/>
    <col min="14058" max="14058" width="13.109375" style="267" customWidth="1"/>
    <col min="14059" max="14060" width="14" style="267" customWidth="1"/>
    <col min="14061" max="14069" width="14.109375" style="267" customWidth="1"/>
    <col min="14070" max="14070" width="10.109375" style="267" customWidth="1"/>
    <col min="14071" max="14071" width="11.109375" style="267" customWidth="1"/>
    <col min="14072" max="14072" width="13.5546875" style="267" bestFit="1" customWidth="1"/>
    <col min="14073" max="14073" width="5.5546875" style="267" customWidth="1"/>
    <col min="14074" max="14074" width="6.5546875" style="267" customWidth="1"/>
    <col min="14075" max="14075" width="13.5546875" style="267" customWidth="1"/>
    <col min="14076" max="14301" width="9" style="267"/>
    <col min="14302" max="14302" width="4.5546875" style="267" customWidth="1"/>
    <col min="14303" max="14303" width="19.88671875" style="267" customWidth="1"/>
    <col min="14304" max="14304" width="12.44140625" style="267" customWidth="1"/>
    <col min="14305" max="14305" width="13.88671875" style="267" customWidth="1"/>
    <col min="14306" max="14306" width="12" style="267" customWidth="1"/>
    <col min="14307" max="14307" width="13" style="267" customWidth="1"/>
    <col min="14308" max="14308" width="11.109375" style="267" customWidth="1"/>
    <col min="14309" max="14310" width="13" style="267" customWidth="1"/>
    <col min="14311" max="14311" width="12.5546875" style="267" customWidth="1"/>
    <col min="14312" max="14313" width="8.109375" style="267" customWidth="1"/>
    <col min="14314" max="14314" width="13.109375" style="267" customWidth="1"/>
    <col min="14315" max="14316" width="14" style="267" customWidth="1"/>
    <col min="14317" max="14325" width="14.109375" style="267" customWidth="1"/>
    <col min="14326" max="14326" width="10.109375" style="267" customWidth="1"/>
    <col min="14327" max="14327" width="11.109375" style="267" customWidth="1"/>
    <col min="14328" max="14328" width="13.5546875" style="267" bestFit="1" customWidth="1"/>
    <col min="14329" max="14329" width="5.5546875" style="267" customWidth="1"/>
    <col min="14330" max="14330" width="6.5546875" style="267" customWidth="1"/>
    <col min="14331" max="14331" width="13.5546875" style="267" customWidth="1"/>
    <col min="14332" max="14557" width="9" style="267"/>
    <col min="14558" max="14558" width="4.5546875" style="267" customWidth="1"/>
    <col min="14559" max="14559" width="19.88671875" style="267" customWidth="1"/>
    <col min="14560" max="14560" width="12.44140625" style="267" customWidth="1"/>
    <col min="14561" max="14561" width="13.88671875" style="267" customWidth="1"/>
    <col min="14562" max="14562" width="12" style="267" customWidth="1"/>
    <col min="14563" max="14563" width="13" style="267" customWidth="1"/>
    <col min="14564" max="14564" width="11.109375" style="267" customWidth="1"/>
    <col min="14565" max="14566" width="13" style="267" customWidth="1"/>
    <col min="14567" max="14567" width="12.5546875" style="267" customWidth="1"/>
    <col min="14568" max="14569" width="8.109375" style="267" customWidth="1"/>
    <col min="14570" max="14570" width="13.109375" style="267" customWidth="1"/>
    <col min="14571" max="14572" width="14" style="267" customWidth="1"/>
    <col min="14573" max="14581" width="14.109375" style="267" customWidth="1"/>
    <col min="14582" max="14582" width="10.109375" style="267" customWidth="1"/>
    <col min="14583" max="14583" width="11.109375" style="267" customWidth="1"/>
    <col min="14584" max="14584" width="13.5546875" style="267" bestFit="1" customWidth="1"/>
    <col min="14585" max="14585" width="5.5546875" style="267" customWidth="1"/>
    <col min="14586" max="14586" width="6.5546875" style="267" customWidth="1"/>
    <col min="14587" max="14587" width="13.5546875" style="267" customWidth="1"/>
    <col min="14588" max="14813" width="9" style="267"/>
    <col min="14814" max="14814" width="4.5546875" style="267" customWidth="1"/>
    <col min="14815" max="14815" width="19.88671875" style="267" customWidth="1"/>
    <col min="14816" max="14816" width="12.44140625" style="267" customWidth="1"/>
    <col min="14817" max="14817" width="13.88671875" style="267" customWidth="1"/>
    <col min="14818" max="14818" width="12" style="267" customWidth="1"/>
    <col min="14819" max="14819" width="13" style="267" customWidth="1"/>
    <col min="14820" max="14820" width="11.109375" style="267" customWidth="1"/>
    <col min="14821" max="14822" width="13" style="267" customWidth="1"/>
    <col min="14823" max="14823" width="12.5546875" style="267" customWidth="1"/>
    <col min="14824" max="14825" width="8.109375" style="267" customWidth="1"/>
    <col min="14826" max="14826" width="13.109375" style="267" customWidth="1"/>
    <col min="14827" max="14828" width="14" style="267" customWidth="1"/>
    <col min="14829" max="14837" width="14.109375" style="267" customWidth="1"/>
    <col min="14838" max="14838" width="10.109375" style="267" customWidth="1"/>
    <col min="14839" max="14839" width="11.109375" style="267" customWidth="1"/>
    <col min="14840" max="14840" width="13.5546875" style="267" bestFit="1" customWidth="1"/>
    <col min="14841" max="14841" width="5.5546875" style="267" customWidth="1"/>
    <col min="14842" max="14842" width="6.5546875" style="267" customWidth="1"/>
    <col min="14843" max="14843" width="13.5546875" style="267" customWidth="1"/>
    <col min="14844" max="15069" width="9" style="267"/>
    <col min="15070" max="15070" width="4.5546875" style="267" customWidth="1"/>
    <col min="15071" max="15071" width="19.88671875" style="267" customWidth="1"/>
    <col min="15072" max="15072" width="12.44140625" style="267" customWidth="1"/>
    <col min="15073" max="15073" width="13.88671875" style="267" customWidth="1"/>
    <col min="15074" max="15074" width="12" style="267" customWidth="1"/>
    <col min="15075" max="15075" width="13" style="267" customWidth="1"/>
    <col min="15076" max="15076" width="11.109375" style="267" customWidth="1"/>
    <col min="15077" max="15078" width="13" style="267" customWidth="1"/>
    <col min="15079" max="15079" width="12.5546875" style="267" customWidth="1"/>
    <col min="15080" max="15081" width="8.109375" style="267" customWidth="1"/>
    <col min="15082" max="15082" width="13.109375" style="267" customWidth="1"/>
    <col min="15083" max="15084" width="14" style="267" customWidth="1"/>
    <col min="15085" max="15093" width="14.109375" style="267" customWidth="1"/>
    <col min="15094" max="15094" width="10.109375" style="267" customWidth="1"/>
    <col min="15095" max="15095" width="11.109375" style="267" customWidth="1"/>
    <col min="15096" max="15096" width="13.5546875" style="267" bestFit="1" customWidth="1"/>
    <col min="15097" max="15097" width="5.5546875" style="267" customWidth="1"/>
    <col min="15098" max="15098" width="6.5546875" style="267" customWidth="1"/>
    <col min="15099" max="15099" width="13.5546875" style="267" customWidth="1"/>
    <col min="15100" max="15325" width="9" style="267"/>
    <col min="15326" max="15326" width="4.5546875" style="267" customWidth="1"/>
    <col min="15327" max="15327" width="19.88671875" style="267" customWidth="1"/>
    <col min="15328" max="15328" width="12.44140625" style="267" customWidth="1"/>
    <col min="15329" max="15329" width="13.88671875" style="267" customWidth="1"/>
    <col min="15330" max="15330" width="12" style="267" customWidth="1"/>
    <col min="15331" max="15331" width="13" style="267" customWidth="1"/>
    <col min="15332" max="15332" width="11.109375" style="267" customWidth="1"/>
    <col min="15333" max="15334" width="13" style="267" customWidth="1"/>
    <col min="15335" max="15335" width="12.5546875" style="267" customWidth="1"/>
    <col min="15336" max="15337" width="8.109375" style="267" customWidth="1"/>
    <col min="15338" max="15338" width="13.109375" style="267" customWidth="1"/>
    <col min="15339" max="15340" width="14" style="267" customWidth="1"/>
    <col min="15341" max="15349" width="14.109375" style="267" customWidth="1"/>
    <col min="15350" max="15350" width="10.109375" style="267" customWidth="1"/>
    <col min="15351" max="15351" width="11.109375" style="267" customWidth="1"/>
    <col min="15352" max="15352" width="13.5546875" style="267" bestFit="1" customWidth="1"/>
    <col min="15353" max="15353" width="5.5546875" style="267" customWidth="1"/>
    <col min="15354" max="15354" width="6.5546875" style="267" customWidth="1"/>
    <col min="15355" max="15355" width="13.5546875" style="267" customWidth="1"/>
    <col min="15356" max="15581" width="9" style="267"/>
    <col min="15582" max="15582" width="4.5546875" style="267" customWidth="1"/>
    <col min="15583" max="15583" width="19.88671875" style="267" customWidth="1"/>
    <col min="15584" max="15584" width="12.44140625" style="267" customWidth="1"/>
    <col min="15585" max="15585" width="13.88671875" style="267" customWidth="1"/>
    <col min="15586" max="15586" width="12" style="267" customWidth="1"/>
    <col min="15587" max="15587" width="13" style="267" customWidth="1"/>
    <col min="15588" max="15588" width="11.109375" style="267" customWidth="1"/>
    <col min="15589" max="15590" width="13" style="267" customWidth="1"/>
    <col min="15591" max="15591" width="12.5546875" style="267" customWidth="1"/>
    <col min="15592" max="15593" width="8.109375" style="267" customWidth="1"/>
    <col min="15594" max="15594" width="13.109375" style="267" customWidth="1"/>
    <col min="15595" max="15596" width="14" style="267" customWidth="1"/>
    <col min="15597" max="15605" width="14.109375" style="267" customWidth="1"/>
    <col min="15606" max="15606" width="10.109375" style="267" customWidth="1"/>
    <col min="15607" max="15607" width="11.109375" style="267" customWidth="1"/>
    <col min="15608" max="15608" width="13.5546875" style="267" bestFit="1" customWidth="1"/>
    <col min="15609" max="15609" width="5.5546875" style="267" customWidth="1"/>
    <col min="15610" max="15610" width="6.5546875" style="267" customWidth="1"/>
    <col min="15611" max="15611" width="13.5546875" style="267" customWidth="1"/>
    <col min="15612" max="15837" width="9" style="267"/>
    <col min="15838" max="15838" width="4.5546875" style="267" customWidth="1"/>
    <col min="15839" max="15839" width="19.88671875" style="267" customWidth="1"/>
    <col min="15840" max="15840" width="12.44140625" style="267" customWidth="1"/>
    <col min="15841" max="15841" width="13.88671875" style="267" customWidth="1"/>
    <col min="15842" max="15842" width="12" style="267" customWidth="1"/>
    <col min="15843" max="15843" width="13" style="267" customWidth="1"/>
    <col min="15844" max="15844" width="11.109375" style="267" customWidth="1"/>
    <col min="15845" max="15846" width="13" style="267" customWidth="1"/>
    <col min="15847" max="15847" width="12.5546875" style="267" customWidth="1"/>
    <col min="15848" max="15849" width="8.109375" style="267" customWidth="1"/>
    <col min="15850" max="15850" width="13.109375" style="267" customWidth="1"/>
    <col min="15851" max="15852" width="14" style="267" customWidth="1"/>
    <col min="15853" max="15861" width="14.109375" style="267" customWidth="1"/>
    <col min="15862" max="15862" width="10.109375" style="267" customWidth="1"/>
    <col min="15863" max="15863" width="11.109375" style="267" customWidth="1"/>
    <col min="15864" max="15864" width="13.5546875" style="267" bestFit="1" customWidth="1"/>
    <col min="15865" max="15865" width="5.5546875" style="267" customWidth="1"/>
    <col min="15866" max="15866" width="6.5546875" style="267" customWidth="1"/>
    <col min="15867" max="15867" width="13.5546875" style="267" customWidth="1"/>
    <col min="15868" max="16093" width="9" style="267"/>
    <col min="16094" max="16094" width="4.5546875" style="267" customWidth="1"/>
    <col min="16095" max="16095" width="19.88671875" style="267" customWidth="1"/>
    <col min="16096" max="16096" width="12.44140625" style="267" customWidth="1"/>
    <col min="16097" max="16097" width="13.88671875" style="267" customWidth="1"/>
    <col min="16098" max="16098" width="12" style="267" customWidth="1"/>
    <col min="16099" max="16099" width="13" style="267" customWidth="1"/>
    <col min="16100" max="16100" width="11.109375" style="267" customWidth="1"/>
    <col min="16101" max="16102" width="13" style="267" customWidth="1"/>
    <col min="16103" max="16103" width="12.5546875" style="267" customWidth="1"/>
    <col min="16104" max="16105" width="8.109375" style="267" customWidth="1"/>
    <col min="16106" max="16106" width="13.109375" style="267" customWidth="1"/>
    <col min="16107" max="16108" width="14" style="267" customWidth="1"/>
    <col min="16109" max="16117" width="14.109375" style="267" customWidth="1"/>
    <col min="16118" max="16118" width="10.109375" style="267" customWidth="1"/>
    <col min="16119" max="16119" width="11.109375" style="267" customWidth="1"/>
    <col min="16120" max="16120" width="13.5546875" style="267" bestFit="1" customWidth="1"/>
    <col min="16121" max="16121" width="5.5546875" style="267" customWidth="1"/>
    <col min="16122" max="16122" width="6.5546875" style="267" customWidth="1"/>
    <col min="16123" max="16123" width="13.5546875" style="267" customWidth="1"/>
    <col min="16124" max="16384" width="9" style="267"/>
  </cols>
  <sheetData>
    <row r="1" spans="1:19" s="24" customFormat="1" x14ac:dyDescent="0.3">
      <c r="A1" s="22" t="s">
        <v>3</v>
      </c>
      <c r="B1" s="22"/>
      <c r="C1" s="22"/>
      <c r="D1" s="327"/>
      <c r="E1" s="327"/>
      <c r="F1" s="327"/>
      <c r="J1" s="2539" t="s">
        <v>4</v>
      </c>
      <c r="K1" s="2539"/>
      <c r="L1" s="2539"/>
      <c r="M1" s="2539"/>
      <c r="N1" s="2539"/>
      <c r="O1" s="2539"/>
    </row>
    <row r="2" spans="1:19" s="24" customFormat="1" ht="15" customHeight="1" x14ac:dyDescent="0.25">
      <c r="A2" s="26" t="s">
        <v>5</v>
      </c>
      <c r="B2" s="26"/>
      <c r="C2" s="26"/>
      <c r="D2" s="2506"/>
      <c r="E2" s="2506"/>
      <c r="F2" s="2506"/>
      <c r="J2" s="2506" t="s">
        <v>6</v>
      </c>
      <c r="K2" s="2506"/>
      <c r="L2" s="2506"/>
      <c r="M2" s="2506"/>
      <c r="N2" s="2506"/>
      <c r="O2" s="2506"/>
    </row>
    <row r="3" spans="1:19" s="24" customFormat="1" ht="13.8" x14ac:dyDescent="0.25">
      <c r="A3" s="26" t="s">
        <v>7</v>
      </c>
      <c r="B3" s="26"/>
      <c r="C3" s="26"/>
      <c r="D3" s="26"/>
    </row>
    <row r="4" spans="1:19" s="24" customFormat="1" ht="13.8" x14ac:dyDescent="0.25">
      <c r="A4" s="26" t="s">
        <v>8</v>
      </c>
      <c r="B4" s="26"/>
      <c r="C4" s="26"/>
      <c r="D4" s="26"/>
    </row>
    <row r="5" spans="1:19" s="24" customFormat="1" ht="13.8" x14ac:dyDescent="0.25">
      <c r="A5" s="20" t="s">
        <v>9</v>
      </c>
      <c r="B5" s="20"/>
      <c r="C5" s="20"/>
      <c r="D5" s="20"/>
    </row>
    <row r="6" spans="1:19" s="24" customFormat="1" ht="13.8" x14ac:dyDescent="0.25">
      <c r="A6" s="20" t="s">
        <v>98</v>
      </c>
      <c r="B6" s="20"/>
    </row>
    <row r="7" spans="1:19" s="262" customFormat="1" ht="21.75" customHeight="1" x14ac:dyDescent="0.3">
      <c r="A7" s="265"/>
      <c r="B7" s="263"/>
      <c r="C7" s="263"/>
      <c r="D7" s="264"/>
      <c r="E7" s="301"/>
      <c r="F7" s="263"/>
      <c r="G7" s="263"/>
      <c r="H7" s="263"/>
      <c r="I7" s="263"/>
      <c r="J7" s="263"/>
      <c r="L7" s="328" t="s">
        <v>386</v>
      </c>
    </row>
    <row r="8" spans="1:19" s="262" customFormat="1" ht="21.75" customHeight="1" x14ac:dyDescent="0.3">
      <c r="A8" s="265"/>
      <c r="B8" s="263"/>
      <c r="C8" s="263"/>
      <c r="D8" s="264"/>
      <c r="E8" s="301"/>
      <c r="F8" s="263"/>
      <c r="G8" s="263"/>
      <c r="H8" s="263"/>
      <c r="I8" s="263"/>
      <c r="J8" s="263"/>
      <c r="L8" s="328"/>
    </row>
    <row r="9" spans="1:19" s="262" customFormat="1" ht="14.25" customHeight="1" x14ac:dyDescent="0.3">
      <c r="A9" s="2553" t="s">
        <v>401</v>
      </c>
      <c r="B9" s="2553"/>
      <c r="C9" s="2553"/>
      <c r="D9" s="2553"/>
      <c r="E9" s="2553"/>
      <c r="F9" s="2553"/>
      <c r="G9" s="2553"/>
      <c r="H9" s="2553"/>
      <c r="I9" s="2553"/>
      <c r="J9" s="2553"/>
      <c r="K9" s="2553"/>
      <c r="L9" s="2553"/>
      <c r="M9" s="2553"/>
      <c r="N9" s="2553"/>
      <c r="O9" s="2553"/>
      <c r="P9" s="2553"/>
    </row>
    <row r="10" spans="1:19" ht="21.75" customHeight="1" thickBot="1" x14ac:dyDescent="0.35">
      <c r="A10" s="266"/>
      <c r="B10" s="267"/>
      <c r="C10" s="267"/>
    </row>
    <row r="11" spans="1:19" ht="28.5" customHeight="1" thickTop="1" x14ac:dyDescent="0.3">
      <c r="A11" s="2554" t="s">
        <v>0</v>
      </c>
      <c r="B11" s="2556" t="s">
        <v>281</v>
      </c>
      <c r="C11" s="2558" t="s">
        <v>310</v>
      </c>
      <c r="D11" s="2548" t="s">
        <v>311</v>
      </c>
      <c r="E11" s="2548" t="s">
        <v>312</v>
      </c>
      <c r="F11" s="2548"/>
      <c r="G11" s="2548"/>
      <c r="H11" s="2548"/>
      <c r="I11" s="2559" t="s">
        <v>313</v>
      </c>
      <c r="J11" s="2548" t="s">
        <v>314</v>
      </c>
      <c r="K11" s="2548" t="s">
        <v>315</v>
      </c>
      <c r="L11" s="2548"/>
      <c r="M11" s="2548" t="s">
        <v>316</v>
      </c>
      <c r="N11" s="2548" t="s">
        <v>317</v>
      </c>
      <c r="O11" s="2548" t="s">
        <v>318</v>
      </c>
      <c r="P11" s="2550" t="s">
        <v>319</v>
      </c>
    </row>
    <row r="12" spans="1:19" ht="49.5" customHeight="1" x14ac:dyDescent="0.3">
      <c r="A12" s="2555"/>
      <c r="B12" s="2557"/>
      <c r="C12" s="2557"/>
      <c r="D12" s="2549"/>
      <c r="E12" s="326" t="s">
        <v>320</v>
      </c>
      <c r="F12" s="326" t="s">
        <v>321</v>
      </c>
      <c r="G12" s="326" t="s">
        <v>246</v>
      </c>
      <c r="H12" s="326" t="s">
        <v>322</v>
      </c>
      <c r="I12" s="2560"/>
      <c r="J12" s="2549"/>
      <c r="K12" s="326" t="s">
        <v>323</v>
      </c>
      <c r="L12" s="326" t="s">
        <v>154</v>
      </c>
      <c r="M12" s="2549"/>
      <c r="N12" s="2549"/>
      <c r="O12" s="2549"/>
      <c r="P12" s="2551"/>
      <c r="R12" s="2552"/>
      <c r="S12" s="2552"/>
    </row>
    <row r="13" spans="1:19" ht="33" customHeight="1" x14ac:dyDescent="0.3">
      <c r="A13" s="314">
        <v>1</v>
      </c>
      <c r="B13" s="315" t="s">
        <v>291</v>
      </c>
      <c r="C13" s="316" t="s">
        <v>293</v>
      </c>
      <c r="D13" s="317">
        <v>18000000</v>
      </c>
      <c r="E13" s="317">
        <v>5000000</v>
      </c>
      <c r="F13" s="317">
        <v>500000</v>
      </c>
      <c r="G13" s="317">
        <v>1000000</v>
      </c>
      <c r="H13" s="317">
        <v>500000</v>
      </c>
      <c r="I13" s="318">
        <f>SUM(D13:H13)</f>
        <v>25000000</v>
      </c>
      <c r="J13" s="319">
        <v>24</v>
      </c>
      <c r="K13" s="319"/>
      <c r="L13" s="319">
        <f>D13/J13/8*K13</f>
        <v>0</v>
      </c>
      <c r="M13" s="336">
        <f>I13/24*J13+L13</f>
        <v>25000000</v>
      </c>
      <c r="N13" s="337"/>
      <c r="O13" s="337">
        <f>M13-N13</f>
        <v>25000000</v>
      </c>
      <c r="P13" s="338"/>
      <c r="Q13" s="267" t="s">
        <v>1310</v>
      </c>
    </row>
    <row r="14" spans="1:19" ht="33" customHeight="1" x14ac:dyDescent="0.2">
      <c r="A14" s="306">
        <v>2</v>
      </c>
      <c r="B14" s="310" t="s">
        <v>296</v>
      </c>
      <c r="C14" s="311" t="s">
        <v>428</v>
      </c>
      <c r="D14" s="307">
        <v>12000000</v>
      </c>
      <c r="E14" s="307">
        <v>1500000</v>
      </c>
      <c r="F14" s="307">
        <v>500000</v>
      </c>
      <c r="G14" s="307">
        <v>300000</v>
      </c>
      <c r="H14" s="307">
        <v>200000</v>
      </c>
      <c r="I14" s="308">
        <f t="shared" ref="I14:I17" si="0">SUM(D14:H14)</f>
        <v>14500000</v>
      </c>
      <c r="J14" s="309">
        <v>24</v>
      </c>
      <c r="K14" s="309">
        <v>7</v>
      </c>
      <c r="L14" s="309">
        <f t="shared" ref="L14:L17" si="1">D14/J14/8*K14</f>
        <v>437500</v>
      </c>
      <c r="M14" s="423">
        <f t="shared" ref="M14:M17" si="2">I14/24*J14+L14</f>
        <v>14937500</v>
      </c>
      <c r="N14" s="334"/>
      <c r="O14" s="334">
        <f t="shared" ref="O14:O17" si="3">M14-N14</f>
        <v>14937500</v>
      </c>
      <c r="P14" s="335"/>
      <c r="Q14" s="267" t="s">
        <v>1026</v>
      </c>
    </row>
    <row r="15" spans="1:19" ht="33" customHeight="1" x14ac:dyDescent="0.2">
      <c r="A15" s="306">
        <v>3</v>
      </c>
      <c r="B15" s="312" t="s">
        <v>292</v>
      </c>
      <c r="C15" s="311" t="s">
        <v>428</v>
      </c>
      <c r="D15" s="307">
        <v>12000000</v>
      </c>
      <c r="E15" s="307">
        <v>2000000</v>
      </c>
      <c r="F15" s="307">
        <v>500000</v>
      </c>
      <c r="G15" s="307">
        <v>300000</v>
      </c>
      <c r="H15" s="307">
        <v>200000</v>
      </c>
      <c r="I15" s="308">
        <f t="shared" si="0"/>
        <v>15000000</v>
      </c>
      <c r="J15" s="309">
        <v>24</v>
      </c>
      <c r="K15" s="309">
        <v>3</v>
      </c>
      <c r="L15" s="309">
        <f t="shared" si="1"/>
        <v>187500</v>
      </c>
      <c r="M15" s="423">
        <f t="shared" si="2"/>
        <v>15187500</v>
      </c>
      <c r="N15" s="334"/>
      <c r="O15" s="334">
        <f t="shared" si="3"/>
        <v>15187500</v>
      </c>
      <c r="P15" s="335"/>
      <c r="Q15" s="267" t="s">
        <v>1004</v>
      </c>
    </row>
    <row r="16" spans="1:19" ht="33" customHeight="1" x14ac:dyDescent="0.2">
      <c r="A16" s="306">
        <v>4</v>
      </c>
      <c r="B16" s="313" t="s">
        <v>365</v>
      </c>
      <c r="C16" s="311" t="s">
        <v>429</v>
      </c>
      <c r="D16" s="307">
        <v>12000000</v>
      </c>
      <c r="E16" s="307">
        <v>2000000</v>
      </c>
      <c r="F16" s="307">
        <v>500000</v>
      </c>
      <c r="G16" s="307">
        <v>300000</v>
      </c>
      <c r="H16" s="307">
        <v>200000</v>
      </c>
      <c r="I16" s="308">
        <f t="shared" si="0"/>
        <v>15000000</v>
      </c>
      <c r="J16" s="309">
        <v>24</v>
      </c>
      <c r="K16" s="309">
        <v>4</v>
      </c>
      <c r="L16" s="309">
        <f t="shared" si="1"/>
        <v>250000</v>
      </c>
      <c r="M16" s="333">
        <f t="shared" si="2"/>
        <v>15250000</v>
      </c>
      <c r="N16" s="334"/>
      <c r="O16" s="334">
        <f t="shared" si="3"/>
        <v>15250000</v>
      </c>
      <c r="P16" s="335"/>
      <c r="Q16" s="267" t="s">
        <v>1310</v>
      </c>
    </row>
    <row r="17" spans="1:17" ht="33" customHeight="1" x14ac:dyDescent="0.2">
      <c r="A17" s="320">
        <v>5</v>
      </c>
      <c r="B17" s="321" t="s">
        <v>384</v>
      </c>
      <c r="C17" s="322" t="s">
        <v>428</v>
      </c>
      <c r="D17" s="323">
        <v>12000000</v>
      </c>
      <c r="E17" s="323">
        <v>1500000</v>
      </c>
      <c r="F17" s="323">
        <v>500000</v>
      </c>
      <c r="G17" s="323">
        <v>300000</v>
      </c>
      <c r="H17" s="323">
        <v>300000</v>
      </c>
      <c r="I17" s="324">
        <f t="shared" si="0"/>
        <v>14600000</v>
      </c>
      <c r="J17" s="325">
        <v>24</v>
      </c>
      <c r="K17" s="325">
        <v>8</v>
      </c>
      <c r="L17" s="325">
        <f t="shared" si="1"/>
        <v>500000</v>
      </c>
      <c r="M17" s="525">
        <f t="shared" si="2"/>
        <v>15100000</v>
      </c>
      <c r="N17" s="323"/>
      <c r="O17" s="339">
        <f t="shared" si="3"/>
        <v>15100000</v>
      </c>
      <c r="P17" s="340"/>
      <c r="Q17" s="267" t="s">
        <v>1025</v>
      </c>
    </row>
    <row r="18" spans="1:17" s="270" customFormat="1" ht="23.25" customHeight="1" thickBot="1" x14ac:dyDescent="0.35">
      <c r="A18" s="341"/>
      <c r="B18" s="2547" t="s">
        <v>377</v>
      </c>
      <c r="C18" s="2547"/>
      <c r="D18" s="342">
        <f t="shared" ref="D18:J18" si="4">SUBTOTAL(9,D13:D17)</f>
        <v>66000000</v>
      </c>
      <c r="E18" s="342">
        <f t="shared" si="4"/>
        <v>12000000</v>
      </c>
      <c r="F18" s="342">
        <f t="shared" si="4"/>
        <v>2500000</v>
      </c>
      <c r="G18" s="342">
        <f t="shared" si="4"/>
        <v>2200000</v>
      </c>
      <c r="H18" s="342">
        <f t="shared" si="4"/>
        <v>1400000</v>
      </c>
      <c r="I18" s="342">
        <f t="shared" si="4"/>
        <v>84100000</v>
      </c>
      <c r="J18" s="343">
        <f t="shared" si="4"/>
        <v>120</v>
      </c>
      <c r="K18" s="343"/>
      <c r="L18" s="343"/>
      <c r="M18" s="343">
        <f>SUBTOTAL(9,M13:M17)</f>
        <v>85475000</v>
      </c>
      <c r="N18" s="343">
        <f>SUBTOTAL(9,N13:N17)</f>
        <v>0</v>
      </c>
      <c r="O18" s="343">
        <f>SUBTOTAL(9,O13:O17)</f>
        <v>85475000</v>
      </c>
      <c r="P18" s="344"/>
    </row>
    <row r="19" spans="1:17" ht="17.399999999999999" thickTop="1" x14ac:dyDescent="0.3"/>
    <row r="20" spans="1:17" x14ac:dyDescent="0.3">
      <c r="C20" s="303" t="s">
        <v>385</v>
      </c>
      <c r="D20" s="303"/>
      <c r="E20" s="267"/>
      <c r="F20" s="305"/>
      <c r="K20" s="304" t="s">
        <v>430</v>
      </c>
    </row>
    <row r="21" spans="1:17" x14ac:dyDescent="0.3">
      <c r="C21" s="274" t="s">
        <v>243</v>
      </c>
      <c r="D21" s="267"/>
      <c r="E21" s="267"/>
      <c r="F21" s="275"/>
      <c r="K21" s="274" t="s">
        <v>243</v>
      </c>
    </row>
    <row r="22" spans="1:17" x14ac:dyDescent="0.3">
      <c r="C22" s="272"/>
      <c r="D22" s="273"/>
      <c r="E22" s="268"/>
      <c r="F22" s="269"/>
    </row>
  </sheetData>
  <mergeCells count="18">
    <mergeCell ref="J1:O1"/>
    <mergeCell ref="J2:O2"/>
    <mergeCell ref="M11:M12"/>
    <mergeCell ref="N11:N12"/>
    <mergeCell ref="D11:D12"/>
    <mergeCell ref="E11:H11"/>
    <mergeCell ref="I11:I12"/>
    <mergeCell ref="J11:J12"/>
    <mergeCell ref="K11:L11"/>
    <mergeCell ref="D2:F2"/>
    <mergeCell ref="B18:C18"/>
    <mergeCell ref="O11:O12"/>
    <mergeCell ref="P11:P12"/>
    <mergeCell ref="R12:S12"/>
    <mergeCell ref="A9:P9"/>
    <mergeCell ref="A11:A12"/>
    <mergeCell ref="B11:B12"/>
    <mergeCell ref="C11:C12"/>
  </mergeCells>
  <pageMargins left="0.7" right="0.7" top="0.75" bottom="0.75" header="0.3" footer="0.3"/>
  <pageSetup paperSize="9" orientation="landscape" horizontalDpi="4294967293" verticalDpi="0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B47" sqref="B47"/>
    </sheetView>
  </sheetViews>
  <sheetFormatPr defaultColWidth="9" defaultRowHeight="13.8" x14ac:dyDescent="0.25"/>
  <cols>
    <col min="1" max="1" width="5.109375" style="24" customWidth="1"/>
    <col min="2" max="2" width="86.109375" style="24" customWidth="1"/>
    <col min="3" max="3" width="15.109375" style="24" customWidth="1"/>
    <col min="4" max="4" width="8.88671875" style="24" customWidth="1"/>
    <col min="5" max="16384" width="9" style="24"/>
  </cols>
  <sheetData>
    <row r="1" spans="1:8" ht="16.8" x14ac:dyDescent="0.3">
      <c r="A1" s="22" t="s">
        <v>3</v>
      </c>
      <c r="B1" s="22"/>
      <c r="C1" s="22"/>
      <c r="D1" s="424"/>
      <c r="H1" s="25"/>
    </row>
    <row r="2" spans="1:8" ht="24" customHeight="1" x14ac:dyDescent="0.25">
      <c r="A2" s="26" t="s">
        <v>5</v>
      </c>
      <c r="B2" s="26"/>
      <c r="C2" s="26"/>
      <c r="D2" s="425"/>
      <c r="H2" s="25"/>
    </row>
    <row r="3" spans="1:8" x14ac:dyDescent="0.25">
      <c r="A3" s="2190" t="s">
        <v>1281</v>
      </c>
      <c r="B3" s="2190"/>
      <c r="C3" s="2190"/>
      <c r="D3" s="2190"/>
    </row>
    <row r="4" spans="1:8" ht="5.25" customHeight="1" thickBot="1" x14ac:dyDescent="0.3">
      <c r="A4" s="1050"/>
      <c r="B4" s="1050"/>
      <c r="C4" s="1050"/>
      <c r="D4" s="1050"/>
    </row>
    <row r="5" spans="1:8" ht="15.75" customHeight="1" thickTop="1" x14ac:dyDescent="0.25">
      <c r="A5" s="73" t="s">
        <v>153</v>
      </c>
      <c r="B5" s="1060" t="s">
        <v>91</v>
      </c>
      <c r="C5" s="74" t="s">
        <v>149</v>
      </c>
      <c r="D5" s="72" t="s">
        <v>1</v>
      </c>
    </row>
    <row r="6" spans="1:8" ht="13.5" customHeight="1" x14ac:dyDescent="0.25">
      <c r="A6" s="330" t="s">
        <v>239</v>
      </c>
      <c r="B6" s="91" t="s">
        <v>421</v>
      </c>
      <c r="C6" s="331">
        <f>15000+40000+60000+10000+15000</f>
        <v>140000</v>
      </c>
      <c r="D6" s="183"/>
    </row>
    <row r="7" spans="1:8" ht="13.5" customHeight="1" x14ac:dyDescent="0.25">
      <c r="A7" s="1057" t="s">
        <v>239</v>
      </c>
      <c r="B7" s="42" t="s">
        <v>422</v>
      </c>
      <c r="C7" s="329">
        <v>550000</v>
      </c>
      <c r="D7" s="1058"/>
    </row>
    <row r="8" spans="1:8" ht="13.5" customHeight="1" x14ac:dyDescent="0.25">
      <c r="A8" s="1057" t="s">
        <v>239</v>
      </c>
      <c r="B8" s="42" t="s">
        <v>423</v>
      </c>
      <c r="C8" s="329">
        <v>790000</v>
      </c>
      <c r="D8" s="89"/>
    </row>
    <row r="9" spans="1:8" ht="13.5" customHeight="1" x14ac:dyDescent="0.25">
      <c r="A9" s="1059" t="s">
        <v>257</v>
      </c>
      <c r="B9" s="36" t="s">
        <v>424</v>
      </c>
      <c r="C9" s="329">
        <v>15000</v>
      </c>
      <c r="D9" s="89"/>
    </row>
    <row r="10" spans="1:8" ht="13.5" customHeight="1" x14ac:dyDescent="0.25">
      <c r="A10" s="1059" t="s">
        <v>257</v>
      </c>
      <c r="B10" s="36" t="s">
        <v>425</v>
      </c>
      <c r="C10" s="329">
        <f>120000*3*2</f>
        <v>720000</v>
      </c>
      <c r="D10" s="89"/>
    </row>
    <row r="11" spans="1:8" ht="13.5" customHeight="1" x14ac:dyDescent="0.25">
      <c r="A11" s="1059" t="s">
        <v>257</v>
      </c>
      <c r="B11" s="36" t="s">
        <v>426</v>
      </c>
      <c r="C11" s="329">
        <f>420*2000</f>
        <v>840000</v>
      </c>
      <c r="D11" s="89"/>
    </row>
    <row r="12" spans="1:8" ht="13.5" customHeight="1" x14ac:dyDescent="0.25">
      <c r="A12" s="1059" t="s">
        <v>257</v>
      </c>
      <c r="B12" s="36" t="s">
        <v>427</v>
      </c>
      <c r="C12" s="329">
        <f>10000+10000+60000+60000</f>
        <v>140000</v>
      </c>
      <c r="D12" s="89"/>
    </row>
    <row r="13" spans="1:8" ht="13.5" customHeight="1" x14ac:dyDescent="0.25">
      <c r="A13" s="1059" t="s">
        <v>257</v>
      </c>
      <c r="B13" s="36" t="s">
        <v>420</v>
      </c>
      <c r="C13" s="329">
        <f>320*2000</f>
        <v>640000</v>
      </c>
      <c r="D13" s="89"/>
    </row>
    <row r="14" spans="1:8" ht="13.5" customHeight="1" x14ac:dyDescent="0.25">
      <c r="A14" s="1059" t="s">
        <v>434</v>
      </c>
      <c r="B14" s="36" t="s">
        <v>568</v>
      </c>
      <c r="C14" s="329">
        <v>130000</v>
      </c>
      <c r="D14" s="89"/>
    </row>
    <row r="15" spans="1:8" ht="13.5" customHeight="1" x14ac:dyDescent="0.25">
      <c r="A15" s="1059" t="s">
        <v>434</v>
      </c>
      <c r="B15" s="36" t="s">
        <v>569</v>
      </c>
      <c r="C15" s="329">
        <v>840000</v>
      </c>
      <c r="D15" s="89"/>
    </row>
    <row r="16" spans="1:8" ht="13.5" customHeight="1" x14ac:dyDescent="0.25">
      <c r="A16" s="1059" t="s">
        <v>500</v>
      </c>
      <c r="B16" s="40" t="s">
        <v>560</v>
      </c>
      <c r="C16" s="329">
        <v>190000</v>
      </c>
      <c r="D16" s="89"/>
    </row>
    <row r="17" spans="1:4" ht="13.5" customHeight="1" x14ac:dyDescent="0.25">
      <c r="A17" s="1059" t="s">
        <v>500</v>
      </c>
      <c r="B17" s="40" t="s">
        <v>561</v>
      </c>
      <c r="C17" s="329">
        <v>50000</v>
      </c>
      <c r="D17" s="89"/>
    </row>
    <row r="18" spans="1:4" ht="13.5" customHeight="1" x14ac:dyDescent="0.25">
      <c r="A18" s="1059" t="s">
        <v>500</v>
      </c>
      <c r="B18" s="40" t="s">
        <v>562</v>
      </c>
      <c r="C18" s="329">
        <v>140000</v>
      </c>
      <c r="D18" s="89"/>
    </row>
    <row r="19" spans="1:4" ht="13.5" customHeight="1" x14ac:dyDescent="0.25">
      <c r="A19" s="1059" t="s">
        <v>500</v>
      </c>
      <c r="B19" s="40" t="s">
        <v>563</v>
      </c>
      <c r="C19" s="329">
        <v>860000</v>
      </c>
      <c r="D19" s="89"/>
    </row>
    <row r="20" spans="1:4" ht="13.5" customHeight="1" x14ac:dyDescent="0.25">
      <c r="A20" s="1059" t="s">
        <v>576</v>
      </c>
      <c r="B20" s="40" t="s">
        <v>606</v>
      </c>
      <c r="C20" s="329">
        <v>135000</v>
      </c>
      <c r="D20" s="89"/>
    </row>
    <row r="21" spans="1:4" ht="13.5" customHeight="1" x14ac:dyDescent="0.25">
      <c r="A21" s="1059" t="s">
        <v>576</v>
      </c>
      <c r="B21" s="40" t="s">
        <v>607</v>
      </c>
      <c r="C21" s="329">
        <v>145000</v>
      </c>
      <c r="D21" s="89"/>
    </row>
    <row r="22" spans="1:4" ht="13.5" customHeight="1" x14ac:dyDescent="0.25">
      <c r="A22" s="1059" t="s">
        <v>576</v>
      </c>
      <c r="B22" s="40" t="s">
        <v>608</v>
      </c>
      <c r="C22" s="329">
        <v>580000</v>
      </c>
      <c r="D22" s="89"/>
    </row>
    <row r="23" spans="1:4" ht="13.5" customHeight="1" x14ac:dyDescent="0.25">
      <c r="A23" s="1059" t="s">
        <v>553</v>
      </c>
      <c r="B23" s="40" t="s">
        <v>604</v>
      </c>
      <c r="C23" s="329">
        <v>100000</v>
      </c>
      <c r="D23" s="1058"/>
    </row>
    <row r="24" spans="1:4" ht="13.5" customHeight="1" x14ac:dyDescent="0.25">
      <c r="A24" s="1059" t="s">
        <v>553</v>
      </c>
      <c r="B24" s="40" t="s">
        <v>605</v>
      </c>
      <c r="C24" s="329">
        <v>640000</v>
      </c>
      <c r="D24" s="1058"/>
    </row>
    <row r="25" spans="1:4" ht="13.5" customHeight="1" x14ac:dyDescent="0.25">
      <c r="A25" s="611" t="s">
        <v>651</v>
      </c>
      <c r="B25" s="36" t="s">
        <v>776</v>
      </c>
      <c r="C25" s="594">
        <v>3140000</v>
      </c>
      <c r="D25" s="60"/>
    </row>
    <row r="26" spans="1:4" ht="13.5" customHeight="1" x14ac:dyDescent="0.25">
      <c r="A26" s="611" t="s">
        <v>651</v>
      </c>
      <c r="B26" s="36" t="s">
        <v>1176</v>
      </c>
      <c r="C26" s="594">
        <v>120000</v>
      </c>
      <c r="D26" s="60"/>
    </row>
    <row r="27" spans="1:4" ht="13.5" customHeight="1" x14ac:dyDescent="0.25">
      <c r="A27" s="611" t="s">
        <v>651</v>
      </c>
      <c r="B27" s="36" t="s">
        <v>1177</v>
      </c>
      <c r="C27" s="594">
        <v>490000</v>
      </c>
      <c r="D27" s="60"/>
    </row>
    <row r="28" spans="1:4" ht="13.5" customHeight="1" x14ac:dyDescent="0.25">
      <c r="A28" s="611" t="s">
        <v>651</v>
      </c>
      <c r="B28" s="36" t="s">
        <v>1178</v>
      </c>
      <c r="C28" s="594">
        <v>780000</v>
      </c>
      <c r="D28" s="60"/>
    </row>
    <row r="29" spans="1:4" ht="13.5" customHeight="1" x14ac:dyDescent="0.25">
      <c r="A29" s="611" t="s">
        <v>718</v>
      </c>
      <c r="B29" s="36" t="s">
        <v>1170</v>
      </c>
      <c r="C29" s="594">
        <v>145000</v>
      </c>
      <c r="D29" s="60"/>
    </row>
    <row r="30" spans="1:4" ht="13.5" customHeight="1" x14ac:dyDescent="0.25">
      <c r="A30" s="611" t="s">
        <v>718</v>
      </c>
      <c r="B30" s="36" t="s">
        <v>1171</v>
      </c>
      <c r="C30" s="594">
        <v>250000</v>
      </c>
      <c r="D30" s="60"/>
    </row>
    <row r="31" spans="1:4" ht="13.5" customHeight="1" x14ac:dyDescent="0.25">
      <c r="A31" s="611" t="s">
        <v>718</v>
      </c>
      <c r="B31" s="36" t="s">
        <v>1172</v>
      </c>
      <c r="C31" s="594">
        <v>980000</v>
      </c>
      <c r="D31" s="60"/>
    </row>
    <row r="32" spans="1:4" ht="13.5" customHeight="1" x14ac:dyDescent="0.25">
      <c r="A32" s="611" t="s">
        <v>1035</v>
      </c>
      <c r="B32" s="36" t="s">
        <v>1173</v>
      </c>
      <c r="C32" s="594">
        <v>30000</v>
      </c>
      <c r="D32" s="60"/>
    </row>
    <row r="33" spans="1:11" ht="13.5" customHeight="1" x14ac:dyDescent="0.25">
      <c r="A33" s="611" t="s">
        <v>1035</v>
      </c>
      <c r="B33" s="36" t="s">
        <v>1174</v>
      </c>
      <c r="C33" s="594">
        <v>80000</v>
      </c>
      <c r="D33" s="60"/>
    </row>
    <row r="34" spans="1:11" ht="13.5" customHeight="1" x14ac:dyDescent="0.25">
      <c r="A34" s="611" t="s">
        <v>1035</v>
      </c>
      <c r="B34" s="36" t="s">
        <v>1175</v>
      </c>
      <c r="C34" s="594">
        <v>380000</v>
      </c>
      <c r="D34" s="60"/>
    </row>
    <row r="35" spans="1:11" ht="13.5" customHeight="1" x14ac:dyDescent="0.25">
      <c r="A35" s="611" t="s">
        <v>700</v>
      </c>
      <c r="B35" s="36" t="s">
        <v>1179</v>
      </c>
      <c r="C35" s="594">
        <v>460000</v>
      </c>
      <c r="D35" s="60"/>
    </row>
    <row r="36" spans="1:11" ht="13.5" customHeight="1" x14ac:dyDescent="0.25">
      <c r="A36" s="611" t="s">
        <v>742</v>
      </c>
      <c r="B36" s="36" t="s">
        <v>1181</v>
      </c>
      <c r="C36" s="594">
        <v>75000</v>
      </c>
      <c r="D36" s="60"/>
    </row>
    <row r="37" spans="1:11" ht="13.5" customHeight="1" x14ac:dyDescent="0.25">
      <c r="A37" s="611" t="s">
        <v>742</v>
      </c>
      <c r="B37" s="36" t="s">
        <v>1180</v>
      </c>
      <c r="C37" s="594">
        <v>250000</v>
      </c>
      <c r="D37" s="60"/>
    </row>
    <row r="38" spans="1:11" ht="13.5" customHeight="1" x14ac:dyDescent="0.25">
      <c r="A38" s="592" t="s">
        <v>742</v>
      </c>
      <c r="B38" s="80" t="s">
        <v>1182</v>
      </c>
      <c r="C38" s="593">
        <v>680000</v>
      </c>
      <c r="D38" s="63"/>
    </row>
    <row r="39" spans="1:11" ht="14.4" thickBot="1" x14ac:dyDescent="0.3">
      <c r="A39" s="2561" t="s">
        <v>2</v>
      </c>
      <c r="B39" s="2562"/>
      <c r="C39" s="64">
        <f>SUM(C6:C38)</f>
        <v>15505000</v>
      </c>
      <c r="D39" s="75"/>
    </row>
    <row r="40" spans="1:11" ht="5.25" customHeight="1" thickTop="1" x14ac:dyDescent="0.25">
      <c r="C40" s="97"/>
    </row>
    <row r="41" spans="1:11" ht="16.8" x14ac:dyDescent="0.25">
      <c r="B41" s="303" t="s">
        <v>385</v>
      </c>
      <c r="C41" s="304" t="s">
        <v>430</v>
      </c>
      <c r="D41" s="267"/>
      <c r="E41" s="305"/>
      <c r="F41" s="267"/>
      <c r="G41" s="267"/>
      <c r="H41" s="267"/>
      <c r="I41" s="267"/>
      <c r="K41" s="267"/>
    </row>
    <row r="42" spans="1:11" ht="16.8" x14ac:dyDescent="0.25">
      <c r="B42" s="471" t="s">
        <v>1090</v>
      </c>
      <c r="C42" s="1075" t="s">
        <v>243</v>
      </c>
      <c r="D42" s="267"/>
      <c r="E42" s="275"/>
      <c r="F42" s="267"/>
      <c r="G42" s="267"/>
      <c r="H42" s="267"/>
      <c r="I42" s="267"/>
      <c r="K42" s="267"/>
    </row>
  </sheetData>
  <mergeCells count="2">
    <mergeCell ref="A3:D3"/>
    <mergeCell ref="A39:B39"/>
  </mergeCells>
  <pageMargins left="0.82677165354330717" right="0.23622047244094491" top="0" bottom="0" header="0.31496062992125984" footer="0.31496062992125984"/>
  <pageSetup paperSize="256" orientation="landscape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D15" sqref="D15"/>
    </sheetView>
  </sheetViews>
  <sheetFormatPr defaultColWidth="9" defaultRowHeight="13.8" x14ac:dyDescent="0.25"/>
  <cols>
    <col min="1" max="1" width="5.109375" style="24" customWidth="1"/>
    <col min="2" max="2" width="53.109375" style="24" customWidth="1"/>
    <col min="3" max="3" width="13.44140625" style="24" customWidth="1"/>
    <col min="4" max="4" width="22" style="24" customWidth="1"/>
    <col min="5" max="16384" width="9" style="24"/>
  </cols>
  <sheetData>
    <row r="1" spans="1:7" ht="16.8" x14ac:dyDescent="0.25">
      <c r="A1" s="22" t="s">
        <v>3</v>
      </c>
      <c r="B1" s="23"/>
      <c r="G1" s="25"/>
    </row>
    <row r="2" spans="1:7" x14ac:dyDescent="0.25">
      <c r="A2" s="26" t="s">
        <v>5</v>
      </c>
      <c r="B2" s="27"/>
      <c r="G2" s="25"/>
    </row>
    <row r="3" spans="1:7" x14ac:dyDescent="0.25">
      <c r="A3" s="26"/>
      <c r="B3" s="27"/>
      <c r="G3" s="25"/>
    </row>
    <row r="5" spans="1:7" x14ac:dyDescent="0.25">
      <c r="A5" s="2190" t="s">
        <v>1284</v>
      </c>
      <c r="B5" s="2190"/>
      <c r="C5" s="2190"/>
      <c r="D5" s="2190"/>
    </row>
    <row r="6" spans="1:7" ht="14.4" thickBot="1" x14ac:dyDescent="0.3"/>
    <row r="7" spans="1:7" ht="31.5" customHeight="1" thickTop="1" x14ac:dyDescent="0.25">
      <c r="A7" s="69" t="s">
        <v>0</v>
      </c>
      <c r="B7" s="70" t="s">
        <v>91</v>
      </c>
      <c r="C7" s="74" t="s">
        <v>149</v>
      </c>
      <c r="D7" s="358" t="s">
        <v>1</v>
      </c>
    </row>
    <row r="8" spans="1:7" ht="30.9" customHeight="1" x14ac:dyDescent="0.25">
      <c r="A8" s="58">
        <v>1</v>
      </c>
      <c r="B8" s="36" t="s">
        <v>614</v>
      </c>
      <c r="C8" s="76">
        <v>2769000</v>
      </c>
      <c r="D8" s="35" t="s">
        <v>1237</v>
      </c>
    </row>
    <row r="9" spans="1:7" ht="30.9" customHeight="1" x14ac:dyDescent="0.25">
      <c r="A9" s="58">
        <v>2</v>
      </c>
      <c r="B9" s="36" t="s">
        <v>894</v>
      </c>
      <c r="C9" s="76">
        <v>3304000</v>
      </c>
      <c r="D9" s="35" t="s">
        <v>1237</v>
      </c>
    </row>
    <row r="10" spans="1:7" ht="30.9" customHeight="1" x14ac:dyDescent="0.25">
      <c r="A10" s="58">
        <v>3</v>
      </c>
      <c r="B10" s="36" t="s">
        <v>1282</v>
      </c>
      <c r="C10" s="76">
        <v>15505000</v>
      </c>
      <c r="D10" s="35" t="s">
        <v>1237</v>
      </c>
    </row>
    <row r="11" spans="1:7" ht="30.9" customHeight="1" x14ac:dyDescent="0.25">
      <c r="A11" s="623">
        <v>4</v>
      </c>
      <c r="B11" s="61" t="s">
        <v>1195</v>
      </c>
      <c r="C11" s="613">
        <v>7684000</v>
      </c>
      <c r="D11" s="35" t="s">
        <v>1237</v>
      </c>
    </row>
    <row r="12" spans="1:7" ht="29.25" customHeight="1" thickBot="1" x14ac:dyDescent="0.3">
      <c r="A12" s="2453" t="s">
        <v>1283</v>
      </c>
      <c r="B12" s="2454"/>
      <c r="C12" s="64">
        <f>C8+C9+C10-C11</f>
        <v>13894000</v>
      </c>
      <c r="D12" s="65"/>
    </row>
    <row r="13" spans="1:7" ht="29.25" customHeight="1" thickTop="1" x14ac:dyDescent="0.25">
      <c r="A13" s="1090"/>
      <c r="B13" s="1090"/>
      <c r="C13" s="505"/>
      <c r="D13" s="971"/>
    </row>
    <row r="14" spans="1:7" s="267" customFormat="1" ht="16.8" x14ac:dyDescent="0.3">
      <c r="A14" s="271"/>
      <c r="B14" s="303" t="s">
        <v>385</v>
      </c>
      <c r="C14" s="304" t="s">
        <v>430</v>
      </c>
    </row>
    <row r="15" spans="1:7" s="267" customFormat="1" ht="16.8" x14ac:dyDescent="0.3">
      <c r="A15" s="271"/>
      <c r="B15" s="471" t="s">
        <v>243</v>
      </c>
      <c r="C15" s="1075" t="s">
        <v>243</v>
      </c>
    </row>
  </sheetData>
  <mergeCells count="2">
    <mergeCell ref="A5:D5"/>
    <mergeCell ref="A12:B12"/>
  </mergeCells>
  <pageMargins left="0.9055118110236221" right="0.70866141732283472" top="0.74803149606299213" bottom="0.74803149606299213" header="0.31496062992125984" footer="0.31496062992125984"/>
  <pageSetup paperSize="9" orientation="landscape" horizontalDpi="4294967293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5" workbookViewId="0">
      <selection activeCell="A5" sqref="A1:XFD1048576"/>
    </sheetView>
  </sheetViews>
  <sheetFormatPr defaultColWidth="9" defaultRowHeight="13.8" x14ac:dyDescent="0.25"/>
  <cols>
    <col min="1" max="1" width="5.109375" style="24" customWidth="1"/>
    <col min="2" max="2" width="48.44140625" style="24" customWidth="1"/>
    <col min="3" max="3" width="18.5546875" style="24" customWidth="1"/>
    <col min="4" max="4" width="29.44140625" style="24" customWidth="1"/>
    <col min="5" max="16384" width="9" style="24"/>
  </cols>
  <sheetData>
    <row r="1" spans="1:7" ht="16.8" x14ac:dyDescent="0.25">
      <c r="A1" s="22" t="s">
        <v>3</v>
      </c>
      <c r="B1" s="23"/>
      <c r="G1" s="25"/>
    </row>
    <row r="2" spans="1:7" x14ac:dyDescent="0.25">
      <c r="A2" s="26" t="s">
        <v>5</v>
      </c>
      <c r="B2" s="27"/>
      <c r="G2" s="25"/>
    </row>
    <row r="3" spans="1:7" x14ac:dyDescent="0.25">
      <c r="A3" s="26"/>
      <c r="B3" s="27"/>
      <c r="C3" s="2563" t="s">
        <v>1842</v>
      </c>
      <c r="D3" s="2563"/>
      <c r="E3" s="2563"/>
      <c r="G3" s="25"/>
    </row>
    <row r="4" spans="1:7" ht="4.5" hidden="1" customHeight="1" x14ac:dyDescent="0.25"/>
    <row r="5" spans="1:7" x14ac:dyDescent="0.25">
      <c r="A5" s="2190" t="s">
        <v>1293</v>
      </c>
      <c r="B5" s="2190"/>
      <c r="C5" s="2190"/>
      <c r="D5" s="2190"/>
    </row>
    <row r="6" spans="1:7" ht="7.5" customHeight="1" thickBot="1" x14ac:dyDescent="0.3"/>
    <row r="7" spans="1:7" ht="24" customHeight="1" thickTop="1" x14ac:dyDescent="0.25">
      <c r="A7" s="69" t="s">
        <v>0</v>
      </c>
      <c r="B7" s="70" t="s">
        <v>91</v>
      </c>
      <c r="C7" s="74" t="s">
        <v>149</v>
      </c>
      <c r="D7" s="358" t="s">
        <v>1</v>
      </c>
    </row>
    <row r="8" spans="1:7" ht="15.75" customHeight="1" x14ac:dyDescent="0.25">
      <c r="A8" s="58">
        <v>1</v>
      </c>
      <c r="B8" s="36" t="s">
        <v>1216</v>
      </c>
      <c r="C8" s="76">
        <v>3500000</v>
      </c>
      <c r="D8" s="35"/>
    </row>
    <row r="9" spans="1:7" ht="15.75" customHeight="1" x14ac:dyDescent="0.25">
      <c r="A9" s="58">
        <v>2</v>
      </c>
      <c r="B9" s="36" t="s">
        <v>1217</v>
      </c>
      <c r="C9" s="76"/>
      <c r="D9" s="35"/>
    </row>
    <row r="10" spans="1:7" ht="15.75" customHeight="1" x14ac:dyDescent="0.25">
      <c r="A10" s="58"/>
      <c r="B10" s="91" t="s">
        <v>163</v>
      </c>
      <c r="C10" s="185">
        <v>705600</v>
      </c>
      <c r="D10" s="35"/>
    </row>
    <row r="11" spans="1:7" ht="15.75" customHeight="1" x14ac:dyDescent="0.25">
      <c r="A11" s="58"/>
      <c r="B11" s="42" t="s">
        <v>164</v>
      </c>
      <c r="C11" s="186">
        <v>560000</v>
      </c>
      <c r="D11" s="35"/>
    </row>
    <row r="12" spans="1:7" ht="15.75" customHeight="1" x14ac:dyDescent="0.25">
      <c r="A12" s="58"/>
      <c r="B12" s="42" t="s">
        <v>165</v>
      </c>
      <c r="C12" s="186">
        <v>393750</v>
      </c>
      <c r="D12" s="35"/>
    </row>
    <row r="13" spans="1:7" ht="15.75" customHeight="1" x14ac:dyDescent="0.25">
      <c r="A13" s="58"/>
      <c r="B13" s="42" t="s">
        <v>166</v>
      </c>
      <c r="C13" s="186">
        <v>705000</v>
      </c>
      <c r="D13" s="35"/>
    </row>
    <row r="14" spans="1:7" ht="15.75" customHeight="1" x14ac:dyDescent="0.25">
      <c r="A14" s="58"/>
      <c r="B14" s="42" t="s">
        <v>167</v>
      </c>
      <c r="C14" s="186">
        <v>125000</v>
      </c>
      <c r="D14" s="35"/>
    </row>
    <row r="15" spans="1:7" ht="15.75" customHeight="1" x14ac:dyDescent="0.25">
      <c r="A15" s="58"/>
      <c r="B15" s="42" t="s">
        <v>168</v>
      </c>
      <c r="C15" s="186">
        <v>1390000</v>
      </c>
      <c r="D15" s="35"/>
    </row>
    <row r="16" spans="1:7" ht="15.75" customHeight="1" x14ac:dyDescent="0.25">
      <c r="A16" s="58"/>
      <c r="B16" s="42" t="s">
        <v>170</v>
      </c>
      <c r="C16" s="186">
        <v>15000</v>
      </c>
      <c r="D16" s="35"/>
    </row>
    <row r="17" spans="1:4" ht="15.75" customHeight="1" x14ac:dyDescent="0.25">
      <c r="A17" s="58"/>
      <c r="B17" s="42" t="s">
        <v>169</v>
      </c>
      <c r="C17" s="186">
        <v>3500</v>
      </c>
      <c r="D17" s="35"/>
    </row>
    <row r="18" spans="1:4" ht="15.75" customHeight="1" x14ac:dyDescent="0.25">
      <c r="A18" s="58"/>
      <c r="B18" s="42" t="s">
        <v>171</v>
      </c>
      <c r="C18" s="186">
        <v>30000</v>
      </c>
      <c r="D18" s="35"/>
    </row>
    <row r="19" spans="1:4" ht="15.75" customHeight="1" x14ac:dyDescent="0.25">
      <c r="A19" s="58"/>
      <c r="B19" s="42" t="s">
        <v>172</v>
      </c>
      <c r="C19" s="186">
        <v>19000</v>
      </c>
      <c r="D19" s="35"/>
    </row>
    <row r="20" spans="1:4" ht="15.75" customHeight="1" x14ac:dyDescent="0.25">
      <c r="A20" s="58"/>
      <c r="B20" s="42" t="s">
        <v>173</v>
      </c>
      <c r="C20" s="186">
        <v>80000</v>
      </c>
      <c r="D20" s="35"/>
    </row>
    <row r="21" spans="1:4" ht="15.75" customHeight="1" x14ac:dyDescent="0.25">
      <c r="A21" s="58"/>
      <c r="B21" s="42" t="s">
        <v>175</v>
      </c>
      <c r="C21" s="186">
        <v>140000</v>
      </c>
      <c r="D21" s="35"/>
    </row>
    <row r="22" spans="1:4" ht="15.75" customHeight="1" x14ac:dyDescent="0.25">
      <c r="A22" s="58"/>
      <c r="B22" s="42" t="s">
        <v>161</v>
      </c>
      <c r="C22" s="99">
        <v>1500000</v>
      </c>
      <c r="D22" s="35"/>
    </row>
    <row r="23" spans="1:4" ht="15.75" customHeight="1" x14ac:dyDescent="0.25">
      <c r="A23" s="58"/>
      <c r="B23" s="42" t="s">
        <v>162</v>
      </c>
      <c r="C23" s="99">
        <v>1000000</v>
      </c>
      <c r="D23" s="35"/>
    </row>
    <row r="24" spans="1:4" ht="15.75" customHeight="1" x14ac:dyDescent="0.25">
      <c r="A24" s="58">
        <v>3</v>
      </c>
      <c r="B24" s="36" t="s">
        <v>94</v>
      </c>
      <c r="C24" s="94">
        <v>80000</v>
      </c>
      <c r="D24" s="35"/>
    </row>
    <row r="25" spans="1:4" ht="15.75" customHeight="1" x14ac:dyDescent="0.25">
      <c r="A25" s="58">
        <v>4</v>
      </c>
      <c r="B25" s="36" t="s">
        <v>94</v>
      </c>
      <c r="C25" s="94">
        <v>43000</v>
      </c>
      <c r="D25" s="35"/>
    </row>
    <row r="26" spans="1:4" ht="15.75" customHeight="1" x14ac:dyDescent="0.25">
      <c r="A26" s="58">
        <v>5</v>
      </c>
      <c r="B26" s="36" t="s">
        <v>1218</v>
      </c>
      <c r="C26" s="76">
        <v>5000000</v>
      </c>
      <c r="D26" s="35"/>
    </row>
    <row r="27" spans="1:4" ht="15.75" customHeight="1" x14ac:dyDescent="0.25">
      <c r="A27" s="58">
        <v>6</v>
      </c>
      <c r="B27" s="36" t="s">
        <v>1219</v>
      </c>
      <c r="C27" s="76">
        <v>1680000</v>
      </c>
      <c r="D27" s="35"/>
    </row>
    <row r="28" spans="1:4" ht="15.75" customHeight="1" x14ac:dyDescent="0.25">
      <c r="A28" s="58">
        <v>7</v>
      </c>
      <c r="B28" s="61" t="s">
        <v>1220</v>
      </c>
      <c r="C28" s="613">
        <v>10000000</v>
      </c>
      <c r="D28" s="60"/>
    </row>
    <row r="29" spans="1:4" ht="18.75" customHeight="1" thickBot="1" x14ac:dyDescent="0.3">
      <c r="A29" s="2453" t="s">
        <v>1221</v>
      </c>
      <c r="B29" s="2454"/>
      <c r="C29" s="64">
        <f>C8-C10-C11-C12-C13-C14-C15-C16-C17-C18-C19-C20-C21-C22-C23-C24-C25-C26-C27+C28</f>
        <v>30150</v>
      </c>
      <c r="D29" s="65"/>
    </row>
    <row r="30" spans="1:4" s="267" customFormat="1" ht="17.399999999999999" thickTop="1" x14ac:dyDescent="0.3">
      <c r="A30" s="271"/>
      <c r="B30" s="1056"/>
    </row>
    <row r="31" spans="1:4" s="267" customFormat="1" ht="16.8" x14ac:dyDescent="0.3">
      <c r="A31" s="271"/>
      <c r="B31" s="303" t="s">
        <v>1849</v>
      </c>
      <c r="C31" s="304" t="s">
        <v>1851</v>
      </c>
    </row>
    <row r="32" spans="1:4" ht="16.8" x14ac:dyDescent="0.25">
      <c r="B32" s="471" t="s">
        <v>1850</v>
      </c>
      <c r="C32" s="1190" t="s">
        <v>1852</v>
      </c>
    </row>
  </sheetData>
  <mergeCells count="3">
    <mergeCell ref="A5:D5"/>
    <mergeCell ref="A29:B29"/>
    <mergeCell ref="C3:E3"/>
  </mergeCells>
  <pageMargins left="0.7" right="0.7" top="0.75" bottom="0.75" header="0.3" footer="0.3"/>
  <pageSetup paperSize="9" orientation="landscape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A6" workbookViewId="0">
      <selection activeCell="B9" sqref="B9"/>
    </sheetView>
  </sheetViews>
  <sheetFormatPr defaultColWidth="9" defaultRowHeight="13.8" x14ac:dyDescent="0.25"/>
  <cols>
    <col min="1" max="1" width="5.109375" style="24" customWidth="1"/>
    <col min="2" max="2" width="48.44140625" style="24" customWidth="1"/>
    <col min="3" max="3" width="18.5546875" style="24" customWidth="1"/>
    <col min="4" max="4" width="29.44140625" style="24" customWidth="1"/>
    <col min="5" max="16384" width="9" style="24"/>
  </cols>
  <sheetData>
    <row r="1" spans="1:7" ht="16.8" x14ac:dyDescent="0.25">
      <c r="A1" s="22" t="s">
        <v>3</v>
      </c>
      <c r="B1" s="23"/>
      <c r="G1" s="25"/>
    </row>
    <row r="2" spans="1:7" x14ac:dyDescent="0.25">
      <c r="A2" s="26" t="s">
        <v>5</v>
      </c>
      <c r="B2" s="27"/>
      <c r="G2" s="25"/>
    </row>
    <row r="3" spans="1:7" x14ac:dyDescent="0.25">
      <c r="A3" s="26"/>
      <c r="B3" s="27"/>
      <c r="C3" s="2563" t="s">
        <v>1842</v>
      </c>
      <c r="D3" s="2563"/>
      <c r="E3" s="2563"/>
      <c r="G3" s="25"/>
    </row>
    <row r="4" spans="1:7" ht="4.5" hidden="1" customHeight="1" x14ac:dyDescent="0.25"/>
    <row r="5" spans="1:7" x14ac:dyDescent="0.25">
      <c r="A5" s="2190" t="s">
        <v>1905</v>
      </c>
      <c r="B5" s="2190"/>
      <c r="C5" s="2190"/>
      <c r="D5" s="2190"/>
    </row>
    <row r="6" spans="1:7" ht="7.5" customHeight="1" thickBot="1" x14ac:dyDescent="0.3"/>
    <row r="7" spans="1:7" ht="24" customHeight="1" thickTop="1" x14ac:dyDescent="0.25">
      <c r="A7" s="69" t="s">
        <v>0</v>
      </c>
      <c r="B7" s="70" t="s">
        <v>91</v>
      </c>
      <c r="C7" s="74" t="s">
        <v>149</v>
      </c>
      <c r="D7" s="358" t="s">
        <v>1</v>
      </c>
    </row>
    <row r="8" spans="1:7" ht="40.5" customHeight="1" x14ac:dyDescent="0.25">
      <c r="A8" s="58">
        <v>1</v>
      </c>
      <c r="B8" s="77" t="s">
        <v>1906</v>
      </c>
      <c r="C8" s="76"/>
      <c r="D8" s="35"/>
    </row>
    <row r="9" spans="1:7" ht="15.75" customHeight="1" x14ac:dyDescent="0.25">
      <c r="A9" s="58"/>
      <c r="B9" s="36" t="s">
        <v>1907</v>
      </c>
      <c r="C9" s="76">
        <v>10000000</v>
      </c>
      <c r="D9" s="35"/>
    </row>
    <row r="10" spans="1:7" ht="15.75" customHeight="1" x14ac:dyDescent="0.25">
      <c r="A10" s="58"/>
      <c r="B10" s="91" t="s">
        <v>1817</v>
      </c>
      <c r="C10" s="185">
        <v>5000000</v>
      </c>
      <c r="D10" s="35"/>
    </row>
    <row r="11" spans="1:7" ht="14.4" thickBot="1" x14ac:dyDescent="0.3">
      <c r="A11" s="2453" t="s">
        <v>1221</v>
      </c>
      <c r="B11" s="2454"/>
      <c r="C11" s="64">
        <f>C9+C10</f>
        <v>15000000</v>
      </c>
      <c r="D11" s="65"/>
    </row>
    <row r="12" spans="1:7" s="267" customFormat="1" ht="17.399999999999999" thickTop="1" x14ac:dyDescent="0.3">
      <c r="A12" s="271"/>
      <c r="B12" s="1693"/>
    </row>
    <row r="13" spans="1:7" s="267" customFormat="1" ht="16.8" x14ac:dyDescent="0.3">
      <c r="A13" s="271"/>
      <c r="B13" s="303" t="s">
        <v>1849</v>
      </c>
      <c r="C13" s="304" t="s">
        <v>1851</v>
      </c>
    </row>
    <row r="14" spans="1:7" ht="16.8" x14ac:dyDescent="0.25">
      <c r="B14" s="471" t="s">
        <v>1850</v>
      </c>
      <c r="C14" s="1693" t="s">
        <v>1852</v>
      </c>
    </row>
  </sheetData>
  <mergeCells count="3">
    <mergeCell ref="C3:E3"/>
    <mergeCell ref="A5:D5"/>
    <mergeCell ref="A11:B11"/>
  </mergeCells>
  <pageMargins left="0.7" right="0.7" top="0.75" bottom="0.75" header="0.3" footer="0.3"/>
  <pageSetup paperSize="256" orientation="landscape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7" workbookViewId="0">
      <selection activeCell="B8" sqref="B8"/>
    </sheetView>
  </sheetViews>
  <sheetFormatPr defaultColWidth="9" defaultRowHeight="13.8" x14ac:dyDescent="0.25"/>
  <cols>
    <col min="1" max="1" width="5.109375" style="24" customWidth="1"/>
    <col min="2" max="2" width="34.88671875" style="24" customWidth="1"/>
    <col min="3" max="3" width="17" style="24" customWidth="1"/>
    <col min="4" max="4" width="25" style="24" customWidth="1"/>
    <col min="5" max="5" width="12" style="24" customWidth="1"/>
    <col min="6" max="6" width="15.109375" style="24" customWidth="1"/>
    <col min="7" max="7" width="9.44140625" style="24" customWidth="1"/>
    <col min="8" max="16384" width="9" style="24"/>
  </cols>
  <sheetData>
    <row r="1" spans="1:10" ht="16.8" x14ac:dyDescent="0.3">
      <c r="A1" s="22" t="s">
        <v>3</v>
      </c>
      <c r="B1" s="23"/>
      <c r="E1" s="349" t="s">
        <v>4</v>
      </c>
      <c r="F1" s="25"/>
      <c r="J1" s="25"/>
    </row>
    <row r="2" spans="1:10" ht="15.6" x14ac:dyDescent="0.25">
      <c r="A2" s="26" t="s">
        <v>5</v>
      </c>
      <c r="B2" s="27"/>
      <c r="E2" s="350" t="s">
        <v>6</v>
      </c>
      <c r="F2" s="25"/>
      <c r="J2" s="25"/>
    </row>
    <row r="3" spans="1:10" ht="18.75" customHeight="1" x14ac:dyDescent="0.25">
      <c r="E3" s="24" t="s">
        <v>449</v>
      </c>
    </row>
    <row r="5" spans="1:10" x14ac:dyDescent="0.25">
      <c r="A5" s="2190" t="s">
        <v>448</v>
      </c>
      <c r="B5" s="2190"/>
      <c r="C5" s="2190"/>
      <c r="D5" s="2190"/>
      <c r="E5" s="2190"/>
      <c r="F5" s="2190"/>
      <c r="G5" s="2190"/>
    </row>
    <row r="6" spans="1:10" ht="14.4" thickBot="1" x14ac:dyDescent="0.3"/>
    <row r="7" spans="1:10" ht="31.5" customHeight="1" thickTop="1" x14ac:dyDescent="0.25">
      <c r="A7" s="69" t="s">
        <v>0</v>
      </c>
      <c r="B7" s="70" t="s">
        <v>91</v>
      </c>
      <c r="C7" s="74" t="s">
        <v>149</v>
      </c>
      <c r="D7" s="357" t="s">
        <v>459</v>
      </c>
      <c r="E7" s="357" t="s">
        <v>149</v>
      </c>
      <c r="F7" s="355" t="s">
        <v>461</v>
      </c>
      <c r="G7" s="358" t="s">
        <v>1</v>
      </c>
    </row>
    <row r="8" spans="1:10" ht="30.9" customHeight="1" x14ac:dyDescent="0.25">
      <c r="A8" s="66">
        <v>1</v>
      </c>
      <c r="B8" s="77" t="s">
        <v>450</v>
      </c>
      <c r="C8" s="78">
        <v>83184000</v>
      </c>
      <c r="D8" s="352"/>
      <c r="E8" s="352"/>
      <c r="F8" s="352"/>
      <c r="G8" s="79"/>
    </row>
    <row r="9" spans="1:10" ht="30.9" customHeight="1" x14ac:dyDescent="0.25">
      <c r="A9" s="58">
        <v>2</v>
      </c>
      <c r="B9" s="36" t="s">
        <v>456</v>
      </c>
      <c r="C9" s="76">
        <v>30000000</v>
      </c>
      <c r="D9" s="353"/>
      <c r="E9" s="353"/>
      <c r="F9" s="353"/>
      <c r="G9" s="35"/>
    </row>
    <row r="10" spans="1:10" ht="30.9" customHeight="1" x14ac:dyDescent="0.25">
      <c r="A10" s="58">
        <v>3</v>
      </c>
      <c r="B10" s="36" t="s">
        <v>457</v>
      </c>
      <c r="C10" s="76">
        <v>30000000</v>
      </c>
      <c r="D10" s="353"/>
      <c r="E10" s="353"/>
      <c r="F10" s="353"/>
      <c r="G10" s="35"/>
    </row>
    <row r="11" spans="1:10" ht="30.9" customHeight="1" x14ac:dyDescent="0.25">
      <c r="A11" s="58">
        <v>4</v>
      </c>
      <c r="B11" s="36" t="s">
        <v>451</v>
      </c>
      <c r="C11" s="76">
        <v>1609000</v>
      </c>
      <c r="D11" s="353"/>
      <c r="E11" s="353"/>
      <c r="F11" s="353"/>
      <c r="G11" s="35"/>
    </row>
    <row r="12" spans="1:10" ht="30.9" customHeight="1" x14ac:dyDescent="0.25">
      <c r="A12" s="58">
        <v>5</v>
      </c>
      <c r="B12" s="36" t="s">
        <v>452</v>
      </c>
      <c r="C12" s="76">
        <v>8000000</v>
      </c>
      <c r="D12" s="353"/>
      <c r="E12" s="353"/>
      <c r="F12" s="353"/>
      <c r="G12" s="35"/>
    </row>
    <row r="13" spans="1:10" ht="30.9" customHeight="1" x14ac:dyDescent="0.25">
      <c r="A13" s="58">
        <v>6</v>
      </c>
      <c r="B13" s="36" t="s">
        <v>453</v>
      </c>
      <c r="C13" s="76">
        <v>4000000</v>
      </c>
      <c r="D13" s="353"/>
      <c r="E13" s="353"/>
      <c r="F13" s="353"/>
      <c r="G13" s="35"/>
    </row>
    <row r="14" spans="1:10" ht="30.9" customHeight="1" x14ac:dyDescent="0.25">
      <c r="A14" s="58">
        <v>7</v>
      </c>
      <c r="B14" s="36" t="s">
        <v>454</v>
      </c>
      <c r="C14" s="76">
        <v>1870000</v>
      </c>
      <c r="D14" s="353"/>
      <c r="E14" s="353"/>
      <c r="F14" s="353"/>
      <c r="G14" s="35"/>
    </row>
    <row r="15" spans="1:10" ht="18.75" customHeight="1" x14ac:dyDescent="0.25">
      <c r="A15" s="58">
        <v>8</v>
      </c>
      <c r="B15" s="36"/>
      <c r="C15" s="76"/>
      <c r="D15" s="353" t="s">
        <v>460</v>
      </c>
      <c r="E15" s="353">
        <v>15000000</v>
      </c>
      <c r="F15" s="353"/>
      <c r="G15" s="35"/>
    </row>
    <row r="16" spans="1:10" ht="18.75" customHeight="1" x14ac:dyDescent="0.25">
      <c r="A16" s="383">
        <v>9</v>
      </c>
      <c r="B16" s="384" t="s">
        <v>524</v>
      </c>
      <c r="C16" s="385"/>
      <c r="D16" s="386"/>
      <c r="E16" s="386">
        <v>2000000</v>
      </c>
      <c r="F16" s="386"/>
      <c r="G16" s="387"/>
    </row>
    <row r="17" spans="1:7" ht="18.75" customHeight="1" x14ac:dyDescent="0.25">
      <c r="A17" s="383">
        <v>10</v>
      </c>
      <c r="B17" s="384" t="s">
        <v>578</v>
      </c>
      <c r="C17" s="385"/>
      <c r="D17" s="386"/>
      <c r="E17" s="386">
        <v>10000000</v>
      </c>
      <c r="F17" s="386"/>
      <c r="G17" s="387"/>
    </row>
    <row r="18" spans="1:7" ht="30.9" customHeight="1" thickBot="1" x14ac:dyDescent="0.3">
      <c r="A18" s="2561" t="s">
        <v>455</v>
      </c>
      <c r="B18" s="2562"/>
      <c r="C18" s="356">
        <f>C8-C9-C10+C11+C12-C13-C14</f>
        <v>26923000</v>
      </c>
      <c r="D18" s="354"/>
      <c r="E18" s="354"/>
      <c r="F18" s="354">
        <f>C18-E15-E16-E17</f>
        <v>-77000</v>
      </c>
      <c r="G18" s="65"/>
    </row>
    <row r="19" spans="1:7" ht="14.4" thickTop="1" x14ac:dyDescent="0.25"/>
    <row r="20" spans="1:7" ht="16.8" x14ac:dyDescent="0.25">
      <c r="B20" s="303" t="s">
        <v>466</v>
      </c>
      <c r="E20" s="304" t="s">
        <v>465</v>
      </c>
    </row>
    <row r="21" spans="1:7" s="267" customFormat="1" ht="16.8" x14ac:dyDescent="0.3">
      <c r="A21" s="271"/>
      <c r="B21" s="274" t="s">
        <v>243</v>
      </c>
      <c r="D21" s="303"/>
      <c r="E21" s="274" t="s">
        <v>243</v>
      </c>
      <c r="F21" s="305"/>
    </row>
    <row r="22" spans="1:7" s="267" customFormat="1" ht="16.8" x14ac:dyDescent="0.3">
      <c r="A22" s="271"/>
      <c r="F22" s="275"/>
    </row>
  </sheetData>
  <mergeCells count="2">
    <mergeCell ref="A5:G5"/>
    <mergeCell ref="A18:B18"/>
  </mergeCells>
  <pageMargins left="0.7" right="0.7" top="0.75" bottom="0.75" header="0.3" footer="0.3"/>
  <pageSetup paperSize="9" orientation="landscape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7" workbookViewId="0">
      <selection activeCell="G25" sqref="G25"/>
    </sheetView>
  </sheetViews>
  <sheetFormatPr defaultColWidth="9" defaultRowHeight="13.8" x14ac:dyDescent="0.25"/>
  <cols>
    <col min="1" max="1" width="5.109375" style="24" customWidth="1"/>
    <col min="2" max="2" width="34.88671875" style="24" customWidth="1"/>
    <col min="3" max="3" width="11" style="24" customWidth="1"/>
    <col min="4" max="4" width="10.5546875" style="24" customWidth="1"/>
    <col min="5" max="5" width="10.44140625" style="24" customWidth="1"/>
    <col min="6" max="6" width="12" style="24" customWidth="1"/>
    <col min="7" max="7" width="10" style="24" customWidth="1"/>
    <col min="8" max="16384" width="9" style="24"/>
  </cols>
  <sheetData>
    <row r="1" spans="1:17" ht="16.8" x14ac:dyDescent="0.3">
      <c r="A1" s="22" t="s">
        <v>3</v>
      </c>
      <c r="B1" s="23"/>
      <c r="F1" s="349" t="s">
        <v>4</v>
      </c>
      <c r="J1" s="25"/>
    </row>
    <row r="2" spans="1:17" ht="15.6" x14ac:dyDescent="0.25">
      <c r="A2" s="26" t="s">
        <v>5</v>
      </c>
      <c r="B2" s="27"/>
      <c r="F2" s="350" t="s">
        <v>6</v>
      </c>
      <c r="J2" s="25"/>
    </row>
    <row r="3" spans="1:17" x14ac:dyDescent="0.25">
      <c r="A3" s="26" t="s">
        <v>7</v>
      </c>
      <c r="B3" s="27"/>
      <c r="C3" s="28"/>
      <c r="D3" s="28"/>
      <c r="E3" s="28"/>
      <c r="F3" s="28"/>
      <c r="G3" s="29"/>
      <c r="H3" s="28"/>
      <c r="J3" s="25"/>
    </row>
    <row r="4" spans="1:17" x14ac:dyDescent="0.25">
      <c r="A4" s="26" t="s">
        <v>8</v>
      </c>
      <c r="B4" s="27"/>
      <c r="C4" s="28"/>
      <c r="D4" s="28"/>
      <c r="E4" s="28"/>
      <c r="F4" s="28"/>
      <c r="G4" s="29"/>
      <c r="H4" s="28"/>
      <c r="J4" s="25"/>
    </row>
    <row r="5" spans="1:17" x14ac:dyDescent="0.25">
      <c r="A5" s="20" t="s">
        <v>9</v>
      </c>
      <c r="B5" s="30"/>
      <c r="C5" s="28"/>
      <c r="D5" s="28"/>
      <c r="E5" s="28"/>
      <c r="F5" s="28"/>
      <c r="G5" s="29"/>
      <c r="H5" s="28"/>
      <c r="J5" s="25"/>
    </row>
    <row r="6" spans="1:17" x14ac:dyDescent="0.25">
      <c r="A6" s="20" t="s">
        <v>98</v>
      </c>
      <c r="B6" s="25"/>
      <c r="C6" s="25"/>
      <c r="D6" s="25"/>
      <c r="E6" s="25"/>
      <c r="F6" s="25"/>
      <c r="K6" s="2563"/>
      <c r="L6" s="2563"/>
      <c r="M6" s="2563"/>
      <c r="N6" s="348"/>
      <c r="O6" s="348"/>
      <c r="P6" s="348"/>
      <c r="Q6" s="348"/>
    </row>
    <row r="7" spans="1:17" x14ac:dyDescent="0.25">
      <c r="F7" s="24" t="s">
        <v>493</v>
      </c>
    </row>
    <row r="8" spans="1:17" x14ac:dyDescent="0.25">
      <c r="F8" s="24" t="s">
        <v>745</v>
      </c>
    </row>
    <row r="9" spans="1:17" x14ac:dyDescent="0.25">
      <c r="A9" s="2190" t="s">
        <v>467</v>
      </c>
      <c r="B9" s="2190"/>
      <c r="C9" s="2190"/>
      <c r="D9" s="2190"/>
      <c r="E9" s="2190"/>
      <c r="F9" s="2190"/>
      <c r="G9" s="2190"/>
    </row>
    <row r="10" spans="1:17" ht="14.4" thickBot="1" x14ac:dyDescent="0.3"/>
    <row r="11" spans="1:17" ht="31.5" customHeight="1" thickTop="1" x14ac:dyDescent="0.25">
      <c r="A11" s="69" t="s">
        <v>0</v>
      </c>
      <c r="B11" s="70" t="s">
        <v>91</v>
      </c>
      <c r="C11" s="74" t="s">
        <v>177</v>
      </c>
      <c r="D11" s="357" t="s">
        <v>178</v>
      </c>
      <c r="E11" s="376" t="s">
        <v>49</v>
      </c>
      <c r="F11" s="376" t="s">
        <v>209</v>
      </c>
      <c r="G11" s="358" t="s">
        <v>1</v>
      </c>
    </row>
    <row r="12" spans="1:17" ht="19.5" customHeight="1" x14ac:dyDescent="0.25">
      <c r="A12" s="66">
        <v>1</v>
      </c>
      <c r="B12" s="77" t="s">
        <v>468</v>
      </c>
      <c r="C12" s="78">
        <v>1</v>
      </c>
      <c r="D12" s="352" t="s">
        <v>473</v>
      </c>
      <c r="E12" s="352">
        <v>650000</v>
      </c>
      <c r="F12" s="352">
        <f>C12*E12</f>
        <v>650000</v>
      </c>
      <c r="G12" s="79"/>
    </row>
    <row r="13" spans="1:17" ht="51.75" customHeight="1" x14ac:dyDescent="0.25">
      <c r="A13" s="58">
        <v>2</v>
      </c>
      <c r="B13" s="36" t="s">
        <v>469</v>
      </c>
      <c r="C13" s="76">
        <v>2</v>
      </c>
      <c r="D13" s="353" t="s">
        <v>474</v>
      </c>
      <c r="E13" s="353">
        <v>140000</v>
      </c>
      <c r="F13" s="352">
        <f t="shared" ref="F13:F18" si="0">C13*E13</f>
        <v>280000</v>
      </c>
      <c r="G13" s="35" t="s">
        <v>603</v>
      </c>
    </row>
    <row r="14" spans="1:17" ht="19.5" customHeight="1" x14ac:dyDescent="0.25">
      <c r="A14" s="58">
        <v>3</v>
      </c>
      <c r="B14" s="36" t="s">
        <v>476</v>
      </c>
      <c r="C14" s="76">
        <v>1</v>
      </c>
      <c r="D14" s="353" t="s">
        <v>473</v>
      </c>
      <c r="E14" s="353">
        <v>3000000</v>
      </c>
      <c r="F14" s="352">
        <f t="shared" si="0"/>
        <v>3000000</v>
      </c>
      <c r="G14" s="35"/>
    </row>
    <row r="15" spans="1:17" ht="19.5" customHeight="1" x14ac:dyDescent="0.25">
      <c r="A15" s="58">
        <v>4</v>
      </c>
      <c r="B15" s="36" t="s">
        <v>492</v>
      </c>
      <c r="C15" s="76">
        <v>1</v>
      </c>
      <c r="D15" s="353" t="s">
        <v>473</v>
      </c>
      <c r="E15" s="353">
        <v>200000</v>
      </c>
      <c r="F15" s="352">
        <f t="shared" si="0"/>
        <v>200000</v>
      </c>
      <c r="G15" s="35"/>
    </row>
    <row r="16" spans="1:17" ht="19.5" customHeight="1" x14ac:dyDescent="0.25">
      <c r="A16" s="58">
        <v>5</v>
      </c>
      <c r="B16" s="36" t="s">
        <v>470</v>
      </c>
      <c r="C16" s="76">
        <v>1</v>
      </c>
      <c r="D16" s="353" t="s">
        <v>473</v>
      </c>
      <c r="E16" s="353">
        <v>1600000</v>
      </c>
      <c r="F16" s="352">
        <f t="shared" si="0"/>
        <v>1600000</v>
      </c>
      <c r="G16" s="35"/>
    </row>
    <row r="17" spans="1:7" ht="19.5" customHeight="1" x14ac:dyDescent="0.25">
      <c r="A17" s="58">
        <v>6</v>
      </c>
      <c r="B17" s="36" t="s">
        <v>471</v>
      </c>
      <c r="C17" s="76">
        <v>1</v>
      </c>
      <c r="D17" s="353" t="s">
        <v>473</v>
      </c>
      <c r="E17" s="353">
        <v>1450000</v>
      </c>
      <c r="F17" s="352">
        <f t="shared" si="0"/>
        <v>1450000</v>
      </c>
      <c r="G17" s="35"/>
    </row>
    <row r="18" spans="1:7" ht="19.5" customHeight="1" x14ac:dyDescent="0.25">
      <c r="A18" s="58">
        <v>7</v>
      </c>
      <c r="B18" s="36" t="s">
        <v>472</v>
      </c>
      <c r="C18" s="76">
        <v>10</v>
      </c>
      <c r="D18" s="353" t="s">
        <v>475</v>
      </c>
      <c r="E18" s="353">
        <v>7700</v>
      </c>
      <c r="F18" s="352">
        <f t="shared" si="0"/>
        <v>77000</v>
      </c>
      <c r="G18" s="35"/>
    </row>
    <row r="19" spans="1:7" ht="28.5" customHeight="1" thickBot="1" x14ac:dyDescent="0.3">
      <c r="A19" s="2561" t="s">
        <v>477</v>
      </c>
      <c r="B19" s="2562"/>
      <c r="C19" s="356"/>
      <c r="D19" s="375"/>
      <c r="E19" s="354"/>
      <c r="F19" s="354">
        <f>SUM(F12:F18)</f>
        <v>7257000</v>
      </c>
      <c r="G19" s="65"/>
    </row>
    <row r="20" spans="1:7" ht="14.4" thickTop="1" x14ac:dyDescent="0.25"/>
    <row r="21" spans="1:7" ht="16.8" x14ac:dyDescent="0.25">
      <c r="B21" s="303" t="s">
        <v>479</v>
      </c>
      <c r="E21" s="303" t="s">
        <v>478</v>
      </c>
    </row>
    <row r="22" spans="1:7" s="267" customFormat="1" ht="16.8" x14ac:dyDescent="0.3">
      <c r="A22" s="271"/>
      <c r="B22" s="274" t="s">
        <v>243</v>
      </c>
      <c r="E22" s="274" t="s">
        <v>480</v>
      </c>
    </row>
    <row r="23" spans="1:7" s="267" customFormat="1" ht="16.8" x14ac:dyDescent="0.3">
      <c r="A23" s="271"/>
    </row>
    <row r="25" spans="1:7" x14ac:dyDescent="0.25">
      <c r="F25" s="24" t="s">
        <v>638</v>
      </c>
    </row>
    <row r="27" spans="1:7" x14ac:dyDescent="0.25">
      <c r="A27" s="2190" t="s">
        <v>639</v>
      </c>
      <c r="B27" s="2190"/>
      <c r="C27" s="2190"/>
      <c r="D27" s="2190"/>
      <c r="E27" s="2190"/>
      <c r="F27" s="2190"/>
      <c r="G27" s="2190"/>
    </row>
    <row r="28" spans="1:7" ht="14.4" thickBot="1" x14ac:dyDescent="0.3"/>
    <row r="29" spans="1:7" ht="31.5" customHeight="1" thickTop="1" x14ac:dyDescent="0.25">
      <c r="A29" s="69" t="s">
        <v>0</v>
      </c>
      <c r="B29" s="70" t="s">
        <v>91</v>
      </c>
      <c r="C29" s="74" t="s">
        <v>177</v>
      </c>
      <c r="D29" s="357" t="s">
        <v>178</v>
      </c>
      <c r="E29" s="376" t="s">
        <v>49</v>
      </c>
      <c r="F29" s="376" t="s">
        <v>209</v>
      </c>
      <c r="G29" s="358" t="s">
        <v>1</v>
      </c>
    </row>
    <row r="30" spans="1:7" ht="19.5" customHeight="1" x14ac:dyDescent="0.25">
      <c r="A30" s="58">
        <v>1</v>
      </c>
      <c r="B30" s="36" t="s">
        <v>470</v>
      </c>
      <c r="C30" s="76">
        <v>1</v>
      </c>
      <c r="D30" s="353" t="s">
        <v>473</v>
      </c>
      <c r="E30" s="353">
        <v>1600000</v>
      </c>
      <c r="F30" s="352">
        <f>C30*E30</f>
        <v>1600000</v>
      </c>
      <c r="G30" s="35"/>
    </row>
    <row r="31" spans="1:7" ht="19.5" customHeight="1" x14ac:dyDescent="0.25">
      <c r="A31" s="58">
        <v>2</v>
      </c>
      <c r="B31" s="36" t="s">
        <v>471</v>
      </c>
      <c r="C31" s="76">
        <v>1</v>
      </c>
      <c r="D31" s="353" t="s">
        <v>473</v>
      </c>
      <c r="E31" s="353">
        <v>1450000</v>
      </c>
      <c r="F31" s="352">
        <f>C31*E31</f>
        <v>1450000</v>
      </c>
      <c r="G31" s="35"/>
    </row>
    <row r="32" spans="1:7" ht="19.5" customHeight="1" x14ac:dyDescent="0.25">
      <c r="A32" s="58">
        <v>3</v>
      </c>
      <c r="B32" s="36" t="s">
        <v>472</v>
      </c>
      <c r="C32" s="76">
        <v>10</v>
      </c>
      <c r="D32" s="353" t="s">
        <v>475</v>
      </c>
      <c r="E32" s="353">
        <v>7700</v>
      </c>
      <c r="F32" s="352">
        <f>C32*E32</f>
        <v>77000</v>
      </c>
      <c r="G32" s="35"/>
    </row>
    <row r="33" spans="1:7" ht="28.5" customHeight="1" thickBot="1" x14ac:dyDescent="0.3">
      <c r="A33" s="2561" t="s">
        <v>477</v>
      </c>
      <c r="B33" s="2562"/>
      <c r="C33" s="356"/>
      <c r="D33" s="375"/>
      <c r="E33" s="354"/>
      <c r="F33" s="354">
        <f>SUM(F30:F32)</f>
        <v>3127000</v>
      </c>
      <c r="G33" s="65"/>
    </row>
    <row r="34" spans="1:7" ht="14.4" thickTop="1" x14ac:dyDescent="0.25"/>
    <row r="35" spans="1:7" ht="16.8" x14ac:dyDescent="0.25">
      <c r="B35" s="303" t="s">
        <v>479</v>
      </c>
      <c r="E35" s="303" t="s">
        <v>478</v>
      </c>
    </row>
    <row r="36" spans="1:7" s="267" customFormat="1" ht="16.8" x14ac:dyDescent="0.3">
      <c r="A36" s="271"/>
      <c r="B36" s="274" t="s">
        <v>243</v>
      </c>
      <c r="E36" s="274" t="s">
        <v>480</v>
      </c>
    </row>
  </sheetData>
  <mergeCells count="5">
    <mergeCell ref="K6:M6"/>
    <mergeCell ref="A9:G9"/>
    <mergeCell ref="A19:B19"/>
    <mergeCell ref="A27:G27"/>
    <mergeCell ref="A33:B33"/>
  </mergeCells>
  <pageMargins left="1" right="1" top="1" bottom="1" header="0.5" footer="0.5"/>
  <pageSetup paperSize="256" orientation="landscape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7" workbookViewId="0">
      <selection activeCell="I31" sqref="I31"/>
    </sheetView>
  </sheetViews>
  <sheetFormatPr defaultColWidth="9" defaultRowHeight="13.8" x14ac:dyDescent="0.25"/>
  <cols>
    <col min="1" max="1" width="6.5546875" style="24" customWidth="1"/>
    <col min="2" max="2" width="42.44140625" style="24" customWidth="1"/>
    <col min="3" max="3" width="13.44140625" style="24" customWidth="1"/>
    <col min="4" max="5" width="10.44140625" style="24" customWidth="1"/>
    <col min="6" max="6" width="23.109375" style="24" customWidth="1"/>
    <col min="7" max="7" width="18.44140625" style="24" customWidth="1"/>
    <col min="8" max="16384" width="9" style="24"/>
  </cols>
  <sheetData>
    <row r="1" spans="1:10" ht="16.8" x14ac:dyDescent="0.25">
      <c r="A1" s="22" t="s">
        <v>3</v>
      </c>
      <c r="B1" s="23"/>
      <c r="C1" s="23"/>
      <c r="J1" s="25"/>
    </row>
    <row r="2" spans="1:10" x14ac:dyDescent="0.25">
      <c r="A2" s="26" t="s">
        <v>5</v>
      </c>
      <c r="B2" s="27"/>
      <c r="C2" s="27"/>
      <c r="J2" s="25"/>
    </row>
    <row r="5" spans="1:10" x14ac:dyDescent="0.25">
      <c r="A5" s="2190" t="s">
        <v>626</v>
      </c>
      <c r="B5" s="2190"/>
      <c r="C5" s="2190"/>
      <c r="D5" s="2190"/>
      <c r="E5" s="2190"/>
      <c r="F5" s="2190"/>
      <c r="G5" s="2190"/>
    </row>
    <row r="6" spans="1:10" ht="14.4" thickBot="1" x14ac:dyDescent="0.3">
      <c r="G6" s="20" t="s">
        <v>627</v>
      </c>
    </row>
    <row r="7" spans="1:10" ht="31.5" customHeight="1" thickTop="1" x14ac:dyDescent="0.25">
      <c r="A7" s="69" t="s">
        <v>153</v>
      </c>
      <c r="B7" s="70" t="s">
        <v>91</v>
      </c>
      <c r="C7" s="419" t="s">
        <v>580</v>
      </c>
      <c r="D7" s="376" t="s">
        <v>629</v>
      </c>
      <c r="E7" s="376" t="s">
        <v>1298</v>
      </c>
      <c r="F7" s="376" t="s">
        <v>820</v>
      </c>
      <c r="G7" s="358" t="s">
        <v>1</v>
      </c>
    </row>
    <row r="8" spans="1:10" ht="19.5" customHeight="1" x14ac:dyDescent="0.25">
      <c r="A8" s="388" t="s">
        <v>623</v>
      </c>
      <c r="B8" s="77" t="s">
        <v>628</v>
      </c>
      <c r="C8" s="420">
        <v>50</v>
      </c>
      <c r="D8" s="352"/>
      <c r="E8" s="352"/>
      <c r="F8" s="352"/>
      <c r="G8" s="79"/>
    </row>
    <row r="9" spans="1:10" ht="19.5" customHeight="1" x14ac:dyDescent="0.25">
      <c r="A9" s="388" t="s">
        <v>623</v>
      </c>
      <c r="B9" s="36" t="s">
        <v>630</v>
      </c>
      <c r="C9" s="421"/>
      <c r="D9" s="353">
        <v>1</v>
      </c>
      <c r="E9" s="352"/>
      <c r="F9" s="352" t="s">
        <v>821</v>
      </c>
      <c r="G9" s="35"/>
    </row>
    <row r="10" spans="1:10" ht="19.5" customHeight="1" x14ac:dyDescent="0.25">
      <c r="A10" s="388" t="s">
        <v>623</v>
      </c>
      <c r="B10" s="36" t="s">
        <v>631</v>
      </c>
      <c r="C10" s="421"/>
      <c r="D10" s="353">
        <v>1</v>
      </c>
      <c r="E10" s="352"/>
      <c r="F10" s="352" t="s">
        <v>822</v>
      </c>
      <c r="G10" s="35"/>
    </row>
    <row r="11" spans="1:10" ht="19.5" customHeight="1" x14ac:dyDescent="0.25">
      <c r="A11" s="586" t="s">
        <v>718</v>
      </c>
      <c r="B11" s="36" t="s">
        <v>853</v>
      </c>
      <c r="C11" s="421"/>
      <c r="D11" s="353">
        <v>1</v>
      </c>
      <c r="E11" s="352"/>
      <c r="F11" s="587" t="s">
        <v>854</v>
      </c>
      <c r="G11" s="35"/>
    </row>
    <row r="12" spans="1:10" ht="19.5" customHeight="1" x14ac:dyDescent="0.25">
      <c r="A12" s="579" t="s">
        <v>823</v>
      </c>
      <c r="B12" s="36" t="s">
        <v>824</v>
      </c>
      <c r="C12" s="421"/>
      <c r="D12" s="353">
        <v>1</v>
      </c>
      <c r="E12" s="352"/>
      <c r="F12" s="352"/>
      <c r="G12" s="35"/>
    </row>
    <row r="13" spans="1:10" ht="19.5" customHeight="1" x14ac:dyDescent="0.25">
      <c r="A13" s="58" t="s">
        <v>1297</v>
      </c>
      <c r="B13" s="36" t="s">
        <v>631</v>
      </c>
      <c r="C13" s="421"/>
      <c r="D13" s="353">
        <v>1</v>
      </c>
      <c r="E13" s="352"/>
      <c r="F13" s="352"/>
      <c r="G13" s="35"/>
    </row>
    <row r="14" spans="1:10" ht="19.5" customHeight="1" x14ac:dyDescent="0.25">
      <c r="A14" s="58"/>
      <c r="B14" s="36"/>
      <c r="C14" s="421"/>
      <c r="D14" s="353"/>
      <c r="E14" s="352"/>
      <c r="F14" s="352"/>
      <c r="G14" s="35"/>
    </row>
    <row r="15" spans="1:10" ht="19.5" customHeight="1" x14ac:dyDescent="0.25">
      <c r="A15" s="58"/>
      <c r="B15" s="36"/>
      <c r="C15" s="421"/>
      <c r="D15" s="353"/>
      <c r="E15" s="352"/>
      <c r="F15" s="352"/>
      <c r="G15" s="35"/>
    </row>
    <row r="16" spans="1:10" ht="28.5" customHeight="1" thickBot="1" x14ac:dyDescent="0.3">
      <c r="A16" s="2561" t="s">
        <v>477</v>
      </c>
      <c r="B16" s="2562"/>
      <c r="C16" s="422"/>
      <c r="D16" s="354">
        <f>SUM(D9:D13)</f>
        <v>5</v>
      </c>
      <c r="E16" s="354">
        <f>C8-D16</f>
        <v>45</v>
      </c>
      <c r="F16" s="354"/>
      <c r="G16" s="65"/>
    </row>
    <row r="17" spans="1:7" ht="14.4" thickTop="1" x14ac:dyDescent="0.25"/>
    <row r="18" spans="1:7" ht="16.8" x14ac:dyDescent="0.25">
      <c r="B18" s="303" t="s">
        <v>479</v>
      </c>
      <c r="C18" s="303"/>
      <c r="D18" s="303" t="s">
        <v>478</v>
      </c>
      <c r="E18" s="303"/>
      <c r="F18" s="303"/>
    </row>
    <row r="19" spans="1:7" s="267" customFormat="1" ht="16.8" x14ac:dyDescent="0.3">
      <c r="A19" s="271"/>
      <c r="B19" s="274" t="s">
        <v>243</v>
      </c>
      <c r="C19" s="274"/>
      <c r="D19" s="274" t="s">
        <v>480</v>
      </c>
      <c r="E19" s="1123"/>
      <c r="F19" s="274"/>
    </row>
    <row r="20" spans="1:7" s="267" customFormat="1" ht="16.8" x14ac:dyDescent="0.3">
      <c r="A20" s="271"/>
    </row>
    <row r="21" spans="1:7" x14ac:dyDescent="0.25">
      <c r="A21" s="2190" t="s">
        <v>1299</v>
      </c>
      <c r="B21" s="2190"/>
      <c r="C21" s="2190"/>
      <c r="D21" s="2190"/>
      <c r="E21" s="2190"/>
      <c r="F21" s="2190"/>
      <c r="G21" s="2190"/>
    </row>
    <row r="22" spans="1:7" ht="14.4" thickBot="1" x14ac:dyDescent="0.3">
      <c r="G22" s="20" t="s">
        <v>627</v>
      </c>
    </row>
    <row r="23" spans="1:7" ht="31.5" customHeight="1" thickTop="1" x14ac:dyDescent="0.25">
      <c r="A23" s="69" t="s">
        <v>153</v>
      </c>
      <c r="B23" s="70" t="s">
        <v>91</v>
      </c>
      <c r="C23" s="419" t="s">
        <v>580</v>
      </c>
      <c r="D23" s="376" t="s">
        <v>629</v>
      </c>
      <c r="E23" s="376" t="s">
        <v>1298</v>
      </c>
      <c r="F23" s="376" t="s">
        <v>820</v>
      </c>
      <c r="G23" s="358" t="s">
        <v>1</v>
      </c>
    </row>
    <row r="24" spans="1:7" ht="19.5" customHeight="1" x14ac:dyDescent="0.25">
      <c r="A24" s="388" t="s">
        <v>1301</v>
      </c>
      <c r="B24" s="77" t="s">
        <v>1302</v>
      </c>
      <c r="C24" s="420">
        <v>200</v>
      </c>
      <c r="D24" s="352"/>
      <c r="E24" s="352"/>
      <c r="F24" s="352"/>
      <c r="G24" s="79"/>
    </row>
    <row r="25" spans="1:7" ht="19.5" customHeight="1" x14ac:dyDescent="0.25">
      <c r="A25" s="388" t="s">
        <v>1301</v>
      </c>
      <c r="B25" s="36" t="s">
        <v>1480</v>
      </c>
      <c r="C25" s="421"/>
      <c r="D25" s="353">
        <v>5</v>
      </c>
      <c r="E25" s="352"/>
      <c r="F25" s="352" t="s">
        <v>1303</v>
      </c>
      <c r="G25" s="35"/>
    </row>
    <row r="26" spans="1:7" ht="19.5" customHeight="1" x14ac:dyDescent="0.25">
      <c r="A26" s="388" t="s">
        <v>1301</v>
      </c>
      <c r="B26" s="36" t="s">
        <v>1481</v>
      </c>
      <c r="C26" s="421"/>
      <c r="D26" s="353">
        <v>2</v>
      </c>
      <c r="E26" s="352"/>
      <c r="F26" s="352"/>
      <c r="G26" s="35"/>
    </row>
    <row r="27" spans="1:7" ht="19.5" customHeight="1" x14ac:dyDescent="0.25">
      <c r="A27" s="586" t="s">
        <v>1478</v>
      </c>
      <c r="B27" s="36" t="s">
        <v>1479</v>
      </c>
      <c r="C27" s="421"/>
      <c r="D27" s="353">
        <v>10</v>
      </c>
      <c r="E27" s="352"/>
      <c r="F27" s="587"/>
      <c r="G27" s="35"/>
    </row>
    <row r="28" spans="1:7" ht="19.5" customHeight="1" x14ac:dyDescent="0.25">
      <c r="A28" s="579" t="s">
        <v>1903</v>
      </c>
      <c r="B28" s="36" t="s">
        <v>1904</v>
      </c>
      <c r="C28" s="421"/>
      <c r="D28" s="353">
        <v>15</v>
      </c>
      <c r="E28" s="352"/>
      <c r="F28" s="352"/>
      <c r="G28" s="35"/>
    </row>
    <row r="29" spans="1:7" ht="19.5" customHeight="1" x14ac:dyDescent="0.25">
      <c r="A29" s="1716">
        <v>43628</v>
      </c>
      <c r="B29" s="36"/>
      <c r="C29" s="421"/>
      <c r="D29" s="353">
        <v>6</v>
      </c>
      <c r="E29" s="352"/>
      <c r="F29" s="352"/>
      <c r="G29" s="35" t="s">
        <v>1952</v>
      </c>
    </row>
    <row r="30" spans="1:7" ht="19.5" customHeight="1" x14ac:dyDescent="0.25">
      <c r="A30" s="58"/>
      <c r="B30" s="36"/>
      <c r="C30" s="421"/>
      <c r="D30" s="353"/>
      <c r="E30" s="352"/>
      <c r="F30" s="352"/>
      <c r="G30" s="35"/>
    </row>
    <row r="31" spans="1:7" ht="19.5" customHeight="1" x14ac:dyDescent="0.25">
      <c r="A31" s="58"/>
      <c r="B31" s="36"/>
      <c r="C31" s="421"/>
      <c r="D31" s="353"/>
      <c r="E31" s="352"/>
      <c r="F31" s="352"/>
      <c r="G31" s="35"/>
    </row>
    <row r="32" spans="1:7" ht="28.5" customHeight="1" thickBot="1" x14ac:dyDescent="0.3">
      <c r="A32" s="2561" t="s">
        <v>477</v>
      </c>
      <c r="B32" s="2562"/>
      <c r="C32" s="422"/>
      <c r="D32" s="354">
        <f>SUM(D25:D29)</f>
        <v>38</v>
      </c>
      <c r="E32" s="354">
        <f>C24-D32</f>
        <v>162</v>
      </c>
      <c r="F32" s="354"/>
      <c r="G32" s="65"/>
    </row>
    <row r="33" spans="1:7" ht="14.4" thickTop="1" x14ac:dyDescent="0.25"/>
    <row r="34" spans="1:7" ht="16.8" x14ac:dyDescent="0.25">
      <c r="B34" s="303" t="s">
        <v>479</v>
      </c>
      <c r="C34" s="303"/>
      <c r="D34" s="303" t="s">
        <v>478</v>
      </c>
      <c r="E34" s="303"/>
      <c r="F34" s="303"/>
    </row>
    <row r="35" spans="1:7" s="267" customFormat="1" ht="16.8" x14ac:dyDescent="0.3">
      <c r="A35" s="271"/>
      <c r="B35" s="1123" t="s">
        <v>243</v>
      </c>
      <c r="C35" s="1123"/>
      <c r="D35" s="1123" t="s">
        <v>480</v>
      </c>
      <c r="E35" s="1123"/>
      <c r="F35" s="1123"/>
    </row>
    <row r="38" spans="1:7" x14ac:dyDescent="0.25">
      <c r="A38" s="2190" t="s">
        <v>1300</v>
      </c>
      <c r="B38" s="2190"/>
      <c r="C38" s="2190"/>
      <c r="D38" s="2190"/>
      <c r="E38" s="2190"/>
      <c r="F38" s="2190"/>
      <c r="G38" s="2190"/>
    </row>
    <row r="39" spans="1:7" ht="14.4" thickBot="1" x14ac:dyDescent="0.3">
      <c r="G39" s="20" t="s">
        <v>627</v>
      </c>
    </row>
    <row r="40" spans="1:7" ht="31.5" customHeight="1" thickTop="1" x14ac:dyDescent="0.25">
      <c r="A40" s="69" t="s">
        <v>153</v>
      </c>
      <c r="B40" s="70" t="s">
        <v>91</v>
      </c>
      <c r="C40" s="419" t="s">
        <v>580</v>
      </c>
      <c r="D40" s="376" t="s">
        <v>629</v>
      </c>
      <c r="E40" s="376" t="s">
        <v>1298</v>
      </c>
      <c r="F40" s="376" t="s">
        <v>820</v>
      </c>
      <c r="G40" s="358" t="s">
        <v>1</v>
      </c>
    </row>
    <row r="41" spans="1:7" ht="31.5" customHeight="1" x14ac:dyDescent="0.25">
      <c r="A41" s="388" t="s">
        <v>1205</v>
      </c>
      <c r="B41" s="77" t="s">
        <v>1304</v>
      </c>
      <c r="C41" s="420">
        <v>17</v>
      </c>
      <c r="D41" s="352"/>
      <c r="E41" s="352"/>
      <c r="F41" s="352"/>
      <c r="G41" s="79" t="s">
        <v>1305</v>
      </c>
    </row>
    <row r="42" spans="1:7" ht="19.5" customHeight="1" x14ac:dyDescent="0.25">
      <c r="A42" s="388"/>
      <c r="B42" s="36"/>
      <c r="C42" s="421"/>
      <c r="D42" s="353"/>
      <c r="E42" s="352"/>
      <c r="F42" s="352"/>
      <c r="G42" s="35"/>
    </row>
    <row r="43" spans="1:7" ht="19.5" customHeight="1" x14ac:dyDescent="0.25">
      <c r="A43" s="388"/>
      <c r="B43" s="36"/>
      <c r="C43" s="421"/>
      <c r="D43" s="353"/>
      <c r="E43" s="352"/>
      <c r="F43" s="352"/>
      <c r="G43" s="35"/>
    </row>
    <row r="44" spans="1:7" ht="19.5" customHeight="1" x14ac:dyDescent="0.25">
      <c r="A44" s="586"/>
      <c r="B44" s="36"/>
      <c r="C44" s="421"/>
      <c r="D44" s="353"/>
      <c r="E44" s="352"/>
      <c r="F44" s="587"/>
      <c r="G44" s="35"/>
    </row>
    <row r="45" spans="1:7" ht="19.5" customHeight="1" x14ac:dyDescent="0.25">
      <c r="A45" s="579"/>
      <c r="B45" s="36"/>
      <c r="C45" s="421"/>
      <c r="D45" s="353"/>
      <c r="E45" s="352"/>
      <c r="F45" s="352"/>
      <c r="G45" s="35"/>
    </row>
    <row r="46" spans="1:7" ht="19.5" customHeight="1" x14ac:dyDescent="0.25">
      <c r="A46" s="58"/>
      <c r="B46" s="36"/>
      <c r="C46" s="421"/>
      <c r="D46" s="353"/>
      <c r="E46" s="352"/>
      <c r="F46" s="352"/>
      <c r="G46" s="35"/>
    </row>
    <row r="47" spans="1:7" ht="19.5" customHeight="1" x14ac:dyDescent="0.25">
      <c r="A47" s="58"/>
      <c r="B47" s="36"/>
      <c r="C47" s="421"/>
      <c r="D47" s="353"/>
      <c r="E47" s="352"/>
      <c r="F47" s="352"/>
      <c r="G47" s="35"/>
    </row>
    <row r="48" spans="1:7" ht="19.5" customHeight="1" x14ac:dyDescent="0.25">
      <c r="A48" s="58"/>
      <c r="B48" s="36"/>
      <c r="C48" s="421"/>
      <c r="D48" s="353"/>
      <c r="E48" s="352"/>
      <c r="F48" s="352"/>
      <c r="G48" s="35"/>
    </row>
    <row r="49" spans="1:7" ht="28.5" customHeight="1" thickBot="1" x14ac:dyDescent="0.3">
      <c r="A49" s="2561" t="s">
        <v>477</v>
      </c>
      <c r="B49" s="2562"/>
      <c r="C49" s="422"/>
      <c r="D49" s="354">
        <f>SUM(D42:D46)</f>
        <v>0</v>
      </c>
      <c r="E49" s="354">
        <f>C41-D49</f>
        <v>17</v>
      </c>
      <c r="F49" s="354"/>
      <c r="G49" s="65"/>
    </row>
    <row r="50" spans="1:7" ht="14.4" thickTop="1" x14ac:dyDescent="0.25"/>
    <row r="51" spans="1:7" ht="16.8" x14ac:dyDescent="0.25">
      <c r="B51" s="303" t="s">
        <v>479</v>
      </c>
      <c r="C51" s="303"/>
      <c r="D51" s="303" t="s">
        <v>478</v>
      </c>
      <c r="E51" s="303"/>
      <c r="F51" s="303"/>
    </row>
    <row r="52" spans="1:7" s="267" customFormat="1" ht="16.8" x14ac:dyDescent="0.3">
      <c r="A52" s="271"/>
      <c r="B52" s="1123" t="s">
        <v>243</v>
      </c>
      <c r="C52" s="1123"/>
      <c r="D52" s="1123" t="s">
        <v>480</v>
      </c>
      <c r="E52" s="1123"/>
      <c r="F52" s="1123"/>
    </row>
  </sheetData>
  <mergeCells count="6">
    <mergeCell ref="A49:B49"/>
    <mergeCell ref="A5:G5"/>
    <mergeCell ref="A16:B16"/>
    <mergeCell ref="A21:G21"/>
    <mergeCell ref="A32:B32"/>
    <mergeCell ref="A38:G38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0" workbookViewId="0">
      <selection activeCell="B28" sqref="B28"/>
    </sheetView>
  </sheetViews>
  <sheetFormatPr defaultColWidth="9" defaultRowHeight="13.8" x14ac:dyDescent="0.25"/>
  <cols>
    <col min="1" max="1" width="11.88671875" style="24" customWidth="1"/>
    <col min="2" max="2" width="36.44140625" style="24" customWidth="1"/>
    <col min="3" max="3" width="17.44140625" style="24" customWidth="1"/>
    <col min="4" max="4" width="26.109375" style="24" customWidth="1"/>
    <col min="5" max="16384" width="9" style="24"/>
  </cols>
  <sheetData>
    <row r="1" spans="1:4" ht="16.8" x14ac:dyDescent="0.25">
      <c r="A1" s="22" t="s">
        <v>3</v>
      </c>
      <c r="B1" s="23"/>
    </row>
    <row r="2" spans="1:4" x14ac:dyDescent="0.25">
      <c r="A2" s="26" t="s">
        <v>5</v>
      </c>
      <c r="B2" s="27"/>
    </row>
    <row r="3" spans="1:4" ht="33" customHeight="1" x14ac:dyDescent="0.25">
      <c r="A3" s="2566" t="s">
        <v>1086</v>
      </c>
      <c r="B3" s="2566"/>
      <c r="C3" s="2566"/>
      <c r="D3" s="2566"/>
    </row>
    <row r="4" spans="1:4" ht="14.4" thickBot="1" x14ac:dyDescent="0.3"/>
    <row r="5" spans="1:4" s="606" customFormat="1" ht="9.75" customHeight="1" thickTop="1" x14ac:dyDescent="0.25">
      <c r="A5" s="2308" t="s">
        <v>153</v>
      </c>
      <c r="B5" s="2310" t="s">
        <v>91</v>
      </c>
      <c r="C5" s="2567" t="s">
        <v>686</v>
      </c>
      <c r="D5" s="2312" t="s">
        <v>1248</v>
      </c>
    </row>
    <row r="6" spans="1:4" s="606" customFormat="1" ht="9.75" customHeight="1" x14ac:dyDescent="0.25">
      <c r="A6" s="2315"/>
      <c r="B6" s="2311"/>
      <c r="C6" s="2568"/>
      <c r="D6" s="2313"/>
    </row>
    <row r="7" spans="1:4" s="599" customFormat="1" ht="13.2" x14ac:dyDescent="0.25">
      <c r="A7" s="1087" t="s">
        <v>388</v>
      </c>
      <c r="B7" s="36" t="s">
        <v>442</v>
      </c>
      <c r="C7" s="1084">
        <v>2500000</v>
      </c>
      <c r="D7" s="35"/>
    </row>
    <row r="8" spans="1:4" s="599" customFormat="1" ht="13.2" x14ac:dyDescent="0.25">
      <c r="A8" s="1087" t="s">
        <v>823</v>
      </c>
      <c r="B8" s="36" t="s">
        <v>1194</v>
      </c>
      <c r="C8" s="1084">
        <v>1000000</v>
      </c>
      <c r="D8" s="35"/>
    </row>
    <row r="9" spans="1:4" s="599" customFormat="1" ht="13.2" x14ac:dyDescent="0.25">
      <c r="A9" s="1087" t="s">
        <v>1001</v>
      </c>
      <c r="B9" s="36" t="s">
        <v>1194</v>
      </c>
      <c r="C9" s="1084">
        <v>2000000</v>
      </c>
      <c r="D9" s="35"/>
    </row>
    <row r="10" spans="1:4" s="599" customFormat="1" ht="13.2" x14ac:dyDescent="0.25">
      <c r="A10" s="1087" t="s">
        <v>1188</v>
      </c>
      <c r="B10" s="36" t="s">
        <v>1225</v>
      </c>
      <c r="C10" s="1084">
        <v>500000</v>
      </c>
      <c r="D10" s="35"/>
    </row>
    <row r="11" spans="1:4" ht="14.4" thickBot="1" x14ac:dyDescent="0.3">
      <c r="A11" s="1088"/>
      <c r="B11" s="987" t="s">
        <v>1087</v>
      </c>
      <c r="C11" s="1085">
        <f>SUM(C7:C10)</f>
        <v>6000000</v>
      </c>
      <c r="D11" s="65"/>
    </row>
    <row r="12" spans="1:4" ht="15" thickTop="1" thickBot="1" x14ac:dyDescent="0.3">
      <c r="A12" s="1076"/>
      <c r="B12" s="472"/>
      <c r="C12" s="1086"/>
    </row>
    <row r="13" spans="1:4" s="606" customFormat="1" ht="12.75" customHeight="1" thickTop="1" x14ac:dyDescent="0.25">
      <c r="A13" s="2308" t="s">
        <v>153</v>
      </c>
      <c r="B13" s="2310" t="s">
        <v>91</v>
      </c>
      <c r="C13" s="2564" t="s">
        <v>686</v>
      </c>
      <c r="D13" s="2312" t="s">
        <v>1248</v>
      </c>
    </row>
    <row r="14" spans="1:4" s="606" customFormat="1" ht="12.75" customHeight="1" x14ac:dyDescent="0.25">
      <c r="A14" s="2315"/>
      <c r="B14" s="2311"/>
      <c r="C14" s="2565"/>
      <c r="D14" s="2313"/>
    </row>
    <row r="15" spans="1:4" s="599" customFormat="1" ht="13.2" x14ac:dyDescent="0.25">
      <c r="A15" s="1087" t="s">
        <v>765</v>
      </c>
      <c r="B15" s="36" t="s">
        <v>1210</v>
      </c>
      <c r="C15" s="1084">
        <v>4000000</v>
      </c>
      <c r="D15" s="35"/>
    </row>
    <row r="16" spans="1:4" s="599" customFormat="1" ht="13.2" x14ac:dyDescent="0.25">
      <c r="A16" s="1087" t="s">
        <v>964</v>
      </c>
      <c r="B16" s="36" t="s">
        <v>1208</v>
      </c>
      <c r="C16" s="1084">
        <v>2000000</v>
      </c>
      <c r="D16" s="35"/>
    </row>
    <row r="17" spans="1:4" s="599" customFormat="1" ht="13.2" x14ac:dyDescent="0.25">
      <c r="A17" s="1087" t="s">
        <v>952</v>
      </c>
      <c r="B17" s="36" t="s">
        <v>1208</v>
      </c>
      <c r="C17" s="1084">
        <v>2500000</v>
      </c>
      <c r="D17" s="35"/>
    </row>
    <row r="18" spans="1:4" s="599" customFormat="1" ht="13.2" x14ac:dyDescent="0.25">
      <c r="A18" s="1087" t="s">
        <v>983</v>
      </c>
      <c r="B18" s="36" t="s">
        <v>1000</v>
      </c>
      <c r="C18" s="1084">
        <v>5000000</v>
      </c>
      <c r="D18" s="35"/>
    </row>
    <row r="19" spans="1:4" s="599" customFormat="1" ht="13.2" x14ac:dyDescent="0.25">
      <c r="A19" s="1087" t="s">
        <v>1188</v>
      </c>
      <c r="B19" s="36" t="s">
        <v>1189</v>
      </c>
      <c r="C19" s="1084">
        <v>500000</v>
      </c>
      <c r="D19" s="35"/>
    </row>
    <row r="20" spans="1:4" s="599" customFormat="1" ht="13.2" x14ac:dyDescent="0.25">
      <c r="A20" s="1087" t="s">
        <v>1202</v>
      </c>
      <c r="B20" s="36" t="s">
        <v>1223</v>
      </c>
      <c r="C20" s="1084">
        <v>1800000</v>
      </c>
      <c r="D20" s="35"/>
    </row>
    <row r="21" spans="1:4" s="599" customFormat="1" ht="14.4" thickBot="1" x14ac:dyDescent="0.3">
      <c r="A21" s="1089"/>
      <c r="B21" s="987" t="s">
        <v>1088</v>
      </c>
      <c r="C21" s="990">
        <f>SUM(C15:C20)</f>
        <v>15800000</v>
      </c>
      <c r="D21" s="989"/>
    </row>
    <row r="22" spans="1:4" ht="15" thickTop="1" thickBot="1" x14ac:dyDescent="0.3">
      <c r="A22" s="1076"/>
      <c r="C22" s="837"/>
    </row>
    <row r="23" spans="1:4" s="606" customFormat="1" ht="12.75" customHeight="1" thickTop="1" x14ac:dyDescent="0.25">
      <c r="A23" s="2308" t="s">
        <v>153</v>
      </c>
      <c r="B23" s="2310" t="s">
        <v>91</v>
      </c>
      <c r="C23" s="2564" t="s">
        <v>686</v>
      </c>
      <c r="D23" s="2312" t="s">
        <v>1248</v>
      </c>
    </row>
    <row r="24" spans="1:4" s="606" customFormat="1" ht="12.75" customHeight="1" x14ac:dyDescent="0.25">
      <c r="A24" s="2315"/>
      <c r="B24" s="2311"/>
      <c r="C24" s="2565"/>
      <c r="D24" s="2313"/>
    </row>
    <row r="25" spans="1:4" s="599" customFormat="1" ht="13.2" x14ac:dyDescent="0.25">
      <c r="A25" s="1087" t="s">
        <v>1001</v>
      </c>
      <c r="B25" s="36" t="s">
        <v>1193</v>
      </c>
      <c r="C25" s="1084">
        <v>3000000</v>
      </c>
      <c r="D25" s="35"/>
    </row>
    <row r="26" spans="1:4" s="599" customFormat="1" ht="13.2" x14ac:dyDescent="0.25">
      <c r="A26" s="1087" t="s">
        <v>1107</v>
      </c>
      <c r="B26" s="36" t="s">
        <v>1193</v>
      </c>
      <c r="C26" s="1084">
        <v>5000000</v>
      </c>
      <c r="D26" s="35"/>
    </row>
    <row r="27" spans="1:4" s="599" customFormat="1" ht="13.2" x14ac:dyDescent="0.25">
      <c r="A27" s="1087" t="s">
        <v>1188</v>
      </c>
      <c r="B27" s="36" t="s">
        <v>1193</v>
      </c>
      <c r="C27" s="1084">
        <v>4600000</v>
      </c>
      <c r="D27" s="35"/>
    </row>
    <row r="28" spans="1:4" ht="14.4" thickBot="1" x14ac:dyDescent="0.3">
      <c r="A28" s="988"/>
      <c r="B28" s="987" t="s">
        <v>1089</v>
      </c>
      <c r="C28" s="990">
        <f>SUM(C22:C27)</f>
        <v>12600000</v>
      </c>
      <c r="D28" s="989"/>
    </row>
    <row r="29" spans="1:4" ht="14.4" thickTop="1" x14ac:dyDescent="0.25"/>
    <row r="30" spans="1:4" ht="16.8" x14ac:dyDescent="0.25">
      <c r="B30" s="303" t="s">
        <v>1091</v>
      </c>
      <c r="C30" s="304" t="s">
        <v>303</v>
      </c>
    </row>
    <row r="31" spans="1:4" ht="16.8" x14ac:dyDescent="0.25">
      <c r="B31" s="471" t="s">
        <v>1090</v>
      </c>
      <c r="C31" s="980" t="s">
        <v>243</v>
      </c>
    </row>
  </sheetData>
  <mergeCells count="13">
    <mergeCell ref="A3:D3"/>
    <mergeCell ref="C5:C6"/>
    <mergeCell ref="C13:C14"/>
    <mergeCell ref="D5:D6"/>
    <mergeCell ref="A13:A14"/>
    <mergeCell ref="B13:B14"/>
    <mergeCell ref="D13:D14"/>
    <mergeCell ref="A23:A24"/>
    <mergeCell ref="B23:B24"/>
    <mergeCell ref="D23:D24"/>
    <mergeCell ref="C23:C24"/>
    <mergeCell ref="A5:A6"/>
    <mergeCell ref="B5:B6"/>
  </mergeCells>
  <pageMargins left="0.9055118110236221" right="0.70866141732283472" top="0.74803149606299213" bottom="0.74803149606299213" header="0.31496062992125984" footer="0.31496062992125984"/>
  <pageSetup paperSize="256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3"/>
  <sheetViews>
    <sheetView workbookViewId="0">
      <selection activeCell="J10" sqref="J10"/>
    </sheetView>
  </sheetViews>
  <sheetFormatPr defaultColWidth="9" defaultRowHeight="13.8" x14ac:dyDescent="0.25"/>
  <cols>
    <col min="1" max="1" width="2.44140625" style="24" customWidth="1"/>
    <col min="2" max="2" width="6.5546875" style="24" customWidth="1"/>
    <col min="3" max="3" width="4" style="24" customWidth="1"/>
    <col min="4" max="4" width="10.109375" style="24" customWidth="1"/>
    <col min="5" max="5" width="9" style="24"/>
    <col min="6" max="6" width="11.109375" style="24" customWidth="1"/>
    <col min="7" max="7" width="7.88671875" style="24" customWidth="1"/>
    <col min="8" max="8" width="11.109375" style="24" customWidth="1"/>
    <col min="9" max="10" width="8.5546875" style="24" customWidth="1"/>
    <col min="11" max="11" width="7.44140625" style="24" customWidth="1"/>
    <col min="12" max="12" width="7.88671875" style="24" customWidth="1"/>
    <col min="13" max="15" width="8.44140625" style="24" customWidth="1"/>
    <col min="16" max="17" width="7.5546875" style="24" customWidth="1"/>
    <col min="18" max="18" width="8.5546875" style="24" customWidth="1"/>
    <col min="19" max="19" width="7.109375" style="24" customWidth="1"/>
    <col min="20" max="20" width="6.44140625" style="24" customWidth="1"/>
    <col min="21" max="21" width="10.44140625" style="24" customWidth="1"/>
    <col min="22" max="22" width="8.5546875" style="24" customWidth="1"/>
    <col min="23" max="23" width="7.5546875" style="24" customWidth="1"/>
    <col min="24" max="16384" width="9" style="24"/>
  </cols>
  <sheetData>
    <row r="1" spans="1:24" ht="16.8" x14ac:dyDescent="0.3">
      <c r="A1" s="22" t="s">
        <v>3</v>
      </c>
      <c r="B1" s="473"/>
      <c r="C1" s="474"/>
      <c r="D1" s="474"/>
      <c r="E1" s="474"/>
      <c r="F1" s="474"/>
      <c r="G1" s="474"/>
      <c r="H1" s="474"/>
      <c r="I1" s="474"/>
      <c r="J1" s="474"/>
      <c r="K1" s="1264"/>
      <c r="L1" s="1264"/>
      <c r="M1" s="1264"/>
      <c r="N1" s="1264"/>
      <c r="O1" s="1264"/>
      <c r="P1" s="473"/>
      <c r="T1" s="1264"/>
      <c r="U1" s="1264"/>
      <c r="V1" s="1264"/>
      <c r="W1" s="1264"/>
    </row>
    <row r="2" spans="1:24" ht="15.6" x14ac:dyDescent="0.25">
      <c r="A2" s="26" t="s">
        <v>5</v>
      </c>
      <c r="B2" s="476"/>
      <c r="C2" s="477"/>
      <c r="D2" s="477"/>
      <c r="E2" s="477"/>
      <c r="F2" s="477"/>
      <c r="G2" s="477"/>
      <c r="H2" s="477"/>
      <c r="I2" s="477"/>
      <c r="J2" s="477"/>
      <c r="K2" s="1265"/>
      <c r="L2" s="1265"/>
      <c r="M2" s="1265"/>
      <c r="N2" s="1265"/>
      <c r="O2" s="1265"/>
      <c r="P2" s="476"/>
      <c r="T2" s="1265"/>
      <c r="U2" s="1265"/>
      <c r="V2" s="1265"/>
      <c r="W2" s="1265"/>
    </row>
    <row r="3" spans="1:24" ht="21" thickBot="1" x14ac:dyDescent="0.4">
      <c r="A3" s="2176" t="s">
        <v>1464</v>
      </c>
      <c r="B3" s="2176"/>
      <c r="C3" s="2176"/>
      <c r="D3" s="2176"/>
      <c r="E3" s="2176"/>
      <c r="F3" s="2176"/>
      <c r="G3" s="2176"/>
      <c r="H3" s="2176"/>
      <c r="I3" s="2176"/>
      <c r="J3" s="2176"/>
      <c r="K3" s="2176"/>
      <c r="L3" s="2176"/>
      <c r="M3" s="2176"/>
      <c r="N3" s="2176"/>
      <c r="O3" s="2176"/>
      <c r="P3" s="2176"/>
      <c r="Q3" s="2176"/>
      <c r="R3" s="2176"/>
      <c r="S3" s="2176"/>
      <c r="T3" s="2176"/>
      <c r="U3" s="2176"/>
      <c r="V3" s="2176"/>
      <c r="W3" s="2176"/>
    </row>
    <row r="4" spans="1:24" s="1322" customFormat="1" ht="10.199999999999999" thickTop="1" x14ac:dyDescent="0.2">
      <c r="A4" s="2183" t="s">
        <v>0</v>
      </c>
      <c r="B4" s="2165" t="s">
        <v>108</v>
      </c>
      <c r="C4" s="2185" t="s">
        <v>1463</v>
      </c>
      <c r="D4" s="2187" t="s">
        <v>1462</v>
      </c>
      <c r="E4" s="2188"/>
      <c r="F4" s="2188"/>
      <c r="G4" s="2188"/>
      <c r="H4" s="2188"/>
      <c r="I4" s="2188"/>
      <c r="J4" s="2188"/>
      <c r="K4" s="2188"/>
      <c r="L4" s="2188"/>
      <c r="M4" s="2188"/>
      <c r="N4" s="2188"/>
      <c r="O4" s="2188"/>
      <c r="P4" s="2188"/>
      <c r="Q4" s="2188"/>
      <c r="R4" s="2188"/>
      <c r="S4" s="2188"/>
      <c r="T4" s="2189"/>
      <c r="U4" s="2165" t="s">
        <v>1461</v>
      </c>
      <c r="V4" s="2165" t="s">
        <v>1460</v>
      </c>
      <c r="W4" s="2177" t="s">
        <v>1</v>
      </c>
      <c r="X4" s="1323"/>
    </row>
    <row r="5" spans="1:24" s="1322" customFormat="1" ht="76.8" x14ac:dyDescent="0.2">
      <c r="A5" s="2184"/>
      <c r="B5" s="2167"/>
      <c r="C5" s="2186"/>
      <c r="D5" s="1263" t="s">
        <v>1459</v>
      </c>
      <c r="E5" s="1263" t="s">
        <v>1458</v>
      </c>
      <c r="F5" s="1263" t="s">
        <v>1457</v>
      </c>
      <c r="G5" s="1263" t="s">
        <v>1456</v>
      </c>
      <c r="H5" s="1263" t="s">
        <v>22</v>
      </c>
      <c r="I5" s="1324" t="s">
        <v>1455</v>
      </c>
      <c r="J5" s="1263" t="s">
        <v>1454</v>
      </c>
      <c r="K5" s="1263" t="s">
        <v>1453</v>
      </c>
      <c r="L5" s="1263" t="s">
        <v>1452</v>
      </c>
      <c r="M5" s="1263" t="s">
        <v>1451</v>
      </c>
      <c r="N5" s="1263" t="s">
        <v>1450</v>
      </c>
      <c r="O5" s="1263" t="s">
        <v>1449</v>
      </c>
      <c r="P5" s="1263" t="s">
        <v>1448</v>
      </c>
      <c r="Q5" s="1263" t="s">
        <v>1447</v>
      </c>
      <c r="R5" s="1263" t="s">
        <v>1446</v>
      </c>
      <c r="S5" s="1263" t="s">
        <v>1445</v>
      </c>
      <c r="T5" s="1263" t="s">
        <v>1444</v>
      </c>
      <c r="U5" s="2167"/>
      <c r="V5" s="2167"/>
      <c r="W5" s="2178"/>
      <c r="X5" s="1323"/>
    </row>
    <row r="6" spans="1:24" s="197" customFormat="1" ht="50.4" x14ac:dyDescent="0.15">
      <c r="A6" s="1298" t="s">
        <v>895</v>
      </c>
      <c r="B6" s="529" t="s">
        <v>729</v>
      </c>
      <c r="C6" s="1306" t="s">
        <v>1443</v>
      </c>
      <c r="D6" s="529" t="s">
        <v>1442</v>
      </c>
      <c r="E6" s="529" t="s">
        <v>1441</v>
      </c>
      <c r="F6" s="1306" t="s">
        <v>1440</v>
      </c>
      <c r="G6" s="1303">
        <v>43800</v>
      </c>
      <c r="H6" s="1302">
        <v>0.5</v>
      </c>
      <c r="I6" s="901" t="s">
        <v>1414</v>
      </c>
      <c r="J6" s="1301">
        <v>0.03</v>
      </c>
      <c r="K6" s="512" t="s">
        <v>1413</v>
      </c>
      <c r="L6" s="512" t="s">
        <v>1412</v>
      </c>
      <c r="M6" s="512"/>
      <c r="N6" s="519"/>
      <c r="O6" s="519"/>
      <c r="P6" s="1300" t="s">
        <v>1411</v>
      </c>
      <c r="Q6" s="1299" t="s">
        <v>1410</v>
      </c>
      <c r="R6" s="1299"/>
      <c r="S6" s="512" t="s">
        <v>1409</v>
      </c>
      <c r="T6" s="1299" t="s">
        <v>1408</v>
      </c>
      <c r="U6" s="667"/>
      <c r="V6" s="667"/>
      <c r="W6" s="534"/>
    </row>
    <row r="7" spans="1:24" s="197" customFormat="1" ht="8.4" x14ac:dyDescent="0.15">
      <c r="A7" s="1298"/>
      <c r="B7" s="542"/>
      <c r="C7" s="542"/>
      <c r="D7" s="529"/>
      <c r="E7" s="529"/>
      <c r="F7" s="529"/>
      <c r="G7" s="529"/>
      <c r="H7" s="529"/>
      <c r="I7" s="540"/>
      <c r="J7" s="540"/>
      <c r="K7" s="507"/>
      <c r="L7" s="507"/>
      <c r="M7" s="507"/>
      <c r="N7" s="507"/>
      <c r="O7" s="507"/>
      <c r="P7" s="507"/>
      <c r="Q7" s="507"/>
      <c r="R7" s="507"/>
      <c r="S7" s="507"/>
      <c r="T7" s="507"/>
      <c r="U7" s="668"/>
      <c r="V7" s="668"/>
      <c r="W7" s="539"/>
    </row>
    <row r="8" spans="1:24" s="197" customFormat="1" ht="8.4" x14ac:dyDescent="0.15">
      <c r="A8" s="1298"/>
      <c r="B8" s="542"/>
      <c r="C8" s="542"/>
      <c r="D8" s="529"/>
      <c r="E8" s="529"/>
      <c r="F8" s="529"/>
      <c r="G8" s="529"/>
      <c r="H8" s="529"/>
      <c r="I8" s="540"/>
      <c r="J8" s="540"/>
      <c r="K8" s="507"/>
      <c r="L8" s="507"/>
      <c r="M8" s="507"/>
      <c r="N8" s="507"/>
      <c r="O8" s="507"/>
      <c r="P8" s="507"/>
      <c r="Q8" s="507"/>
      <c r="R8" s="507"/>
      <c r="S8" s="507"/>
      <c r="T8" s="507"/>
      <c r="U8" s="668"/>
      <c r="V8" s="668"/>
      <c r="W8" s="539"/>
    </row>
    <row r="9" spans="1:24" s="197" customFormat="1" ht="8.4" x14ac:dyDescent="0.15">
      <c r="A9" s="1297"/>
      <c r="B9" s="546"/>
      <c r="C9" s="546"/>
      <c r="D9" s="554"/>
      <c r="E9" s="554"/>
      <c r="F9" s="554"/>
      <c r="G9" s="554"/>
      <c r="H9" s="554"/>
      <c r="I9" s="555"/>
      <c r="J9" s="555"/>
      <c r="K9" s="513"/>
      <c r="L9" s="513"/>
      <c r="M9" s="513"/>
      <c r="N9" s="513"/>
      <c r="O9" s="513"/>
      <c r="P9" s="513"/>
      <c r="Q9" s="513"/>
      <c r="R9" s="513"/>
      <c r="S9" s="513"/>
      <c r="T9" s="513"/>
      <c r="U9" s="670"/>
      <c r="V9" s="670"/>
      <c r="W9" s="551"/>
    </row>
    <row r="10" spans="1:24" s="197" customFormat="1" ht="67.2" x14ac:dyDescent="0.15">
      <c r="A10" s="1298" t="s">
        <v>897</v>
      </c>
      <c r="B10" s="529" t="s">
        <v>1439</v>
      </c>
      <c r="C10" s="1306" t="s">
        <v>1437</v>
      </c>
      <c r="D10" s="1305">
        <v>300000000</v>
      </c>
      <c r="E10" s="529" t="s">
        <v>1438</v>
      </c>
      <c r="F10" s="1306" t="s">
        <v>1437</v>
      </c>
      <c r="G10" s="1303">
        <v>43831</v>
      </c>
      <c r="H10" s="1302" t="s">
        <v>1436</v>
      </c>
      <c r="I10" s="901" t="s">
        <v>1435</v>
      </c>
      <c r="J10" s="1301">
        <v>0.03</v>
      </c>
      <c r="K10" s="1299" t="s">
        <v>1434</v>
      </c>
      <c r="L10" s="512" t="s">
        <v>1433</v>
      </c>
      <c r="M10" s="1299" t="s">
        <v>1432</v>
      </c>
      <c r="N10" s="1299"/>
      <c r="O10" s="1299"/>
      <c r="P10" s="512" t="s">
        <v>1431</v>
      </c>
      <c r="Q10" s="1299" t="s">
        <v>1430</v>
      </c>
      <c r="R10" s="1299" t="s">
        <v>1429</v>
      </c>
      <c r="S10" s="512" t="s">
        <v>1409</v>
      </c>
      <c r="T10" s="1299" t="s">
        <v>1428</v>
      </c>
      <c r="U10" s="1313" t="s">
        <v>1427</v>
      </c>
      <c r="V10" s="1313"/>
      <c r="W10" s="534"/>
    </row>
    <row r="11" spans="1:24" s="197" customFormat="1" ht="75.599999999999994" x14ac:dyDescent="0.15">
      <c r="A11" s="1298"/>
      <c r="B11" s="542"/>
      <c r="C11" s="542"/>
      <c r="D11" s="529"/>
      <c r="E11" s="529"/>
      <c r="F11" s="1305">
        <v>232000000</v>
      </c>
      <c r="G11" s="529"/>
      <c r="H11" s="529"/>
      <c r="I11" s="540"/>
      <c r="J11" s="540"/>
      <c r="K11" s="507"/>
      <c r="L11" s="507"/>
      <c r="M11" s="507"/>
      <c r="N11" s="507"/>
      <c r="O11" s="507"/>
      <c r="P11" s="507"/>
      <c r="Q11" s="507"/>
      <c r="R11" s="507"/>
      <c r="S11" s="507"/>
      <c r="T11" s="1299" t="s">
        <v>1426</v>
      </c>
      <c r="U11" s="668"/>
      <c r="V11" s="668"/>
      <c r="W11" s="539"/>
    </row>
    <row r="12" spans="1:24" s="197" customFormat="1" ht="8.4" x14ac:dyDescent="0.15">
      <c r="A12" s="1321"/>
      <c r="B12" s="1318"/>
      <c r="C12" s="1318"/>
      <c r="D12" s="1320"/>
      <c r="E12" s="1320"/>
      <c r="F12" s="1320"/>
      <c r="G12" s="1320"/>
      <c r="H12" s="1320"/>
      <c r="I12" s="1317"/>
      <c r="J12" s="1317"/>
      <c r="K12" s="1316"/>
      <c r="L12" s="1316"/>
      <c r="M12" s="1316"/>
      <c r="N12" s="1316"/>
      <c r="O12" s="1316"/>
      <c r="P12" s="1316"/>
      <c r="Q12" s="1316"/>
      <c r="R12" s="1316"/>
      <c r="S12" s="1316"/>
      <c r="T12" s="1316"/>
      <c r="U12" s="1315"/>
      <c r="V12" s="1315"/>
      <c r="W12" s="1314"/>
    </row>
    <row r="13" spans="1:24" s="197" customFormat="1" ht="8.4" x14ac:dyDescent="0.15">
      <c r="A13" s="1319"/>
      <c r="B13" s="1318"/>
      <c r="C13" s="1318"/>
      <c r="D13" s="1318"/>
      <c r="E13" s="1318"/>
      <c r="F13" s="1318"/>
      <c r="G13" s="1318"/>
      <c r="H13" s="1318"/>
      <c r="I13" s="1317"/>
      <c r="J13" s="1317"/>
      <c r="K13" s="1316"/>
      <c r="L13" s="1316"/>
      <c r="M13" s="1316"/>
      <c r="N13" s="1316"/>
      <c r="O13" s="1316"/>
      <c r="P13" s="1316"/>
      <c r="Q13" s="1316"/>
      <c r="R13" s="1316"/>
      <c r="S13" s="1316"/>
      <c r="T13" s="1316"/>
      <c r="U13" s="1315"/>
      <c r="V13" s="1315"/>
      <c r="W13" s="1314"/>
    </row>
    <row r="14" spans="1:24" s="197" customFormat="1" ht="8.4" x14ac:dyDescent="0.15">
      <c r="A14" s="1297"/>
      <c r="B14" s="546"/>
      <c r="C14" s="546"/>
      <c r="D14" s="554"/>
      <c r="E14" s="554"/>
      <c r="F14" s="554"/>
      <c r="G14" s="554"/>
      <c r="H14" s="554"/>
      <c r="I14" s="555"/>
      <c r="J14" s="555"/>
      <c r="K14" s="513"/>
      <c r="L14" s="513"/>
      <c r="M14" s="513"/>
      <c r="N14" s="513"/>
      <c r="O14" s="513"/>
      <c r="P14" s="513"/>
      <c r="Q14" s="513"/>
      <c r="R14" s="513"/>
      <c r="S14" s="513"/>
      <c r="T14" s="513"/>
      <c r="U14" s="670"/>
      <c r="V14" s="670"/>
      <c r="W14" s="551"/>
    </row>
    <row r="15" spans="1:24" s="197" customFormat="1" ht="50.4" x14ac:dyDescent="0.15">
      <c r="A15" s="1298" t="s">
        <v>899</v>
      </c>
      <c r="B15" s="529" t="s">
        <v>824</v>
      </c>
      <c r="C15" s="1306" t="s">
        <v>1425</v>
      </c>
      <c r="D15" s="1305">
        <v>70000000</v>
      </c>
      <c r="E15" s="529" t="s">
        <v>1424</v>
      </c>
      <c r="F15" s="529"/>
      <c r="G15" s="529"/>
      <c r="H15" s="529" t="s">
        <v>1423</v>
      </c>
      <c r="I15" s="901"/>
      <c r="J15" s="552" t="s">
        <v>1422</v>
      </c>
      <c r="K15" s="512"/>
      <c r="L15" s="512"/>
      <c r="M15" s="1299"/>
      <c r="N15" s="1299"/>
      <c r="O15" s="1299"/>
      <c r="P15" s="512"/>
      <c r="Q15" s="512"/>
      <c r="R15" s="512"/>
      <c r="S15" s="512" t="s">
        <v>1409</v>
      </c>
      <c r="T15" s="512"/>
      <c r="U15" s="1313" t="s">
        <v>1421</v>
      </c>
      <c r="V15" s="1313"/>
      <c r="W15" s="534"/>
    </row>
    <row r="16" spans="1:24" s="197" customFormat="1" ht="38.25" customHeight="1" x14ac:dyDescent="0.15">
      <c r="A16" s="1295"/>
      <c r="B16" s="634"/>
      <c r="C16" s="634"/>
      <c r="D16" s="634"/>
      <c r="E16" s="634"/>
      <c r="F16" s="634"/>
      <c r="G16" s="634"/>
      <c r="H16" s="634" t="s">
        <v>1420</v>
      </c>
      <c r="I16" s="635"/>
      <c r="J16" s="635" t="s">
        <v>1419</v>
      </c>
      <c r="K16" s="519"/>
      <c r="L16" s="519"/>
      <c r="M16" s="519"/>
      <c r="N16" s="519"/>
      <c r="O16" s="519"/>
      <c r="P16" s="519"/>
      <c r="Q16" s="519"/>
      <c r="R16" s="519"/>
      <c r="S16" s="519"/>
      <c r="T16" s="519"/>
      <c r="U16" s="1313" t="s">
        <v>1418</v>
      </c>
      <c r="V16" s="1312"/>
      <c r="W16" s="637"/>
    </row>
    <row r="17" spans="1:23" s="197" customFormat="1" ht="40.5" customHeight="1" x14ac:dyDescent="0.15">
      <c r="A17" s="1295"/>
      <c r="B17" s="634" t="s">
        <v>1417</v>
      </c>
      <c r="C17" s="634"/>
      <c r="D17" s="1311">
        <f>'[1]Bán lẻ T10'!J25</f>
        <v>77575000</v>
      </c>
      <c r="E17" s="634"/>
      <c r="F17" s="634"/>
      <c r="G17" s="634"/>
      <c r="H17" s="1310">
        <f>(D17-70000000)*(1-41%)</f>
        <v>4469250.0000000009</v>
      </c>
      <c r="I17" s="635"/>
      <c r="J17" s="635"/>
      <c r="K17" s="519"/>
      <c r="L17" s="519"/>
      <c r="M17" s="519"/>
      <c r="N17" s="519"/>
      <c r="O17" s="519"/>
      <c r="P17" s="519"/>
      <c r="Q17" s="519"/>
      <c r="R17" s="519"/>
      <c r="S17" s="519"/>
      <c r="T17" s="519"/>
      <c r="U17" s="1312" t="s">
        <v>1465</v>
      </c>
      <c r="V17" s="908"/>
      <c r="W17" s="637"/>
    </row>
    <row r="18" spans="1:23" s="197" customFormat="1" ht="50.4" x14ac:dyDescent="0.15">
      <c r="A18" s="1297"/>
      <c r="B18" s="554" t="s">
        <v>1416</v>
      </c>
      <c r="C18" s="554"/>
      <c r="D18" s="1309">
        <f>'[1]ĐLý T10'!J32</f>
        <v>250020000</v>
      </c>
      <c r="E18" s="554"/>
      <c r="F18" s="554"/>
      <c r="G18" s="554"/>
      <c r="H18" s="554"/>
      <c r="I18" s="1308"/>
      <c r="J18" s="1307">
        <f>D18*5%</f>
        <v>12501000</v>
      </c>
      <c r="K18" s="549"/>
      <c r="L18" s="549"/>
      <c r="M18" s="549"/>
      <c r="N18" s="549"/>
      <c r="O18" s="549"/>
      <c r="P18" s="549"/>
      <c r="Q18" s="549"/>
      <c r="R18" s="549"/>
      <c r="S18" s="549"/>
      <c r="T18" s="549"/>
      <c r="U18" s="675"/>
      <c r="V18" s="675" t="e">
        <f>#REF!+I18-H17</f>
        <v>#REF!</v>
      </c>
      <c r="W18" s="642"/>
    </row>
    <row r="19" spans="1:23" s="197" customFormat="1" ht="50.4" x14ac:dyDescent="0.15">
      <c r="A19" s="1298" t="s">
        <v>1407</v>
      </c>
      <c r="B19" s="529" t="s">
        <v>1415</v>
      </c>
      <c r="C19" s="1306"/>
      <c r="D19" s="1305">
        <v>200000000</v>
      </c>
      <c r="E19" s="529"/>
      <c r="F19" s="1304">
        <v>140000000</v>
      </c>
      <c r="G19" s="1303"/>
      <c r="H19" s="1302">
        <v>0.5</v>
      </c>
      <c r="I19" s="901" t="s">
        <v>1414</v>
      </c>
      <c r="J19" s="1301">
        <v>0.03</v>
      </c>
      <c r="K19" s="512" t="s">
        <v>1413</v>
      </c>
      <c r="L19" s="512" t="s">
        <v>1412</v>
      </c>
      <c r="M19" s="512"/>
      <c r="N19" s="519"/>
      <c r="O19" s="519"/>
      <c r="P19" s="1300" t="s">
        <v>1411</v>
      </c>
      <c r="Q19" s="1299" t="s">
        <v>1410</v>
      </c>
      <c r="R19" s="1299"/>
      <c r="S19" s="512" t="s">
        <v>1409</v>
      </c>
      <c r="T19" s="1299" t="s">
        <v>1408</v>
      </c>
      <c r="U19" s="667"/>
      <c r="V19" s="667"/>
      <c r="W19" s="534"/>
    </row>
    <row r="20" spans="1:23" s="197" customFormat="1" ht="8.4" x14ac:dyDescent="0.15">
      <c r="A20" s="1298"/>
      <c r="B20" s="542"/>
      <c r="C20" s="542"/>
      <c r="D20" s="529"/>
      <c r="E20" s="529"/>
      <c r="F20" s="529"/>
      <c r="G20" s="529"/>
      <c r="H20" s="529"/>
      <c r="I20" s="540"/>
      <c r="J20" s="540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668"/>
      <c r="V20" s="668"/>
      <c r="W20" s="539"/>
    </row>
    <row r="21" spans="1:23" s="197" customFormat="1" ht="8.4" x14ac:dyDescent="0.15">
      <c r="A21" s="1298"/>
      <c r="B21" s="542"/>
      <c r="C21" s="542"/>
      <c r="D21" s="529"/>
      <c r="E21" s="529"/>
      <c r="F21" s="529"/>
      <c r="G21" s="529"/>
      <c r="H21" s="529"/>
      <c r="I21" s="540"/>
      <c r="J21" s="540"/>
      <c r="K21" s="507"/>
      <c r="L21" s="507"/>
      <c r="M21" s="507"/>
      <c r="N21" s="507"/>
      <c r="O21" s="507"/>
      <c r="P21" s="507"/>
      <c r="Q21" s="507"/>
      <c r="R21" s="507"/>
      <c r="S21" s="507"/>
      <c r="T21" s="507"/>
      <c r="U21" s="668"/>
      <c r="V21" s="668"/>
      <c r="W21" s="539"/>
    </row>
    <row r="22" spans="1:23" s="197" customFormat="1" ht="8.4" x14ac:dyDescent="0.15">
      <c r="A22" s="1297"/>
      <c r="B22" s="546"/>
      <c r="C22" s="546"/>
      <c r="D22" s="554"/>
      <c r="E22" s="554"/>
      <c r="F22" s="554"/>
      <c r="G22" s="554"/>
      <c r="H22" s="554"/>
      <c r="I22" s="555"/>
      <c r="J22" s="555"/>
      <c r="K22" s="513"/>
      <c r="L22" s="513"/>
      <c r="M22" s="513"/>
      <c r="N22" s="513"/>
      <c r="O22" s="513"/>
      <c r="P22" s="513"/>
      <c r="Q22" s="513"/>
      <c r="R22" s="513"/>
      <c r="S22" s="513"/>
      <c r="T22" s="513"/>
      <c r="U22" s="670"/>
      <c r="V22" s="670"/>
      <c r="W22" s="551"/>
    </row>
    <row r="23" spans="1:23" s="197" customFormat="1" ht="50.4" x14ac:dyDescent="0.15">
      <c r="A23" s="1295" t="s">
        <v>1549</v>
      </c>
      <c r="B23" s="634" t="s">
        <v>1406</v>
      </c>
      <c r="C23" s="1296" t="s">
        <v>1363</v>
      </c>
      <c r="D23" s="634" t="s">
        <v>1405</v>
      </c>
      <c r="E23" s="634"/>
      <c r="F23" s="634"/>
      <c r="G23" s="634"/>
      <c r="H23" s="634"/>
      <c r="I23" s="635"/>
      <c r="J23" s="635"/>
      <c r="K23" s="519"/>
      <c r="L23" s="519"/>
      <c r="M23" s="519"/>
      <c r="N23" s="519"/>
      <c r="O23" s="519"/>
      <c r="P23" s="519"/>
      <c r="Q23" s="519"/>
      <c r="R23" s="519"/>
      <c r="S23" s="519"/>
      <c r="T23" s="519"/>
      <c r="U23" s="908"/>
      <c r="V23" s="908"/>
      <c r="W23" s="637"/>
    </row>
    <row r="24" spans="1:23" s="197" customFormat="1" ht="8.4" x14ac:dyDescent="0.15">
      <c r="A24" s="1295"/>
      <c r="B24" s="634"/>
      <c r="C24" s="634"/>
      <c r="D24" s="634"/>
      <c r="E24" s="634"/>
      <c r="F24" s="634"/>
      <c r="G24" s="634"/>
      <c r="H24" s="634"/>
      <c r="I24" s="635"/>
      <c r="J24" s="635"/>
      <c r="K24" s="519"/>
      <c r="L24" s="519"/>
      <c r="M24" s="519"/>
      <c r="N24" s="519"/>
      <c r="O24" s="519"/>
      <c r="P24" s="519"/>
      <c r="Q24" s="519"/>
      <c r="R24" s="519"/>
      <c r="S24" s="519"/>
      <c r="T24" s="519"/>
      <c r="U24" s="908"/>
      <c r="V24" s="908"/>
      <c r="W24" s="637"/>
    </row>
    <row r="25" spans="1:23" s="197" customFormat="1" ht="8.4" x14ac:dyDescent="0.15">
      <c r="A25" s="1295"/>
      <c r="B25" s="634"/>
      <c r="C25" s="634"/>
      <c r="D25" s="634"/>
      <c r="E25" s="634"/>
      <c r="F25" s="634"/>
      <c r="G25" s="634"/>
      <c r="H25" s="634"/>
      <c r="I25" s="635"/>
      <c r="J25" s="635"/>
      <c r="K25" s="519"/>
      <c r="L25" s="519"/>
      <c r="M25" s="519"/>
      <c r="N25" s="519"/>
      <c r="O25" s="519"/>
      <c r="P25" s="519"/>
      <c r="Q25" s="519"/>
      <c r="R25" s="519"/>
      <c r="S25" s="519"/>
      <c r="T25" s="519"/>
      <c r="U25" s="908"/>
      <c r="V25" s="908"/>
      <c r="W25" s="637"/>
    </row>
    <row r="26" spans="1:23" s="197" customFormat="1" ht="16.8" x14ac:dyDescent="0.15">
      <c r="A26" s="1295" t="s">
        <v>1550</v>
      </c>
      <c r="B26" s="634" t="s">
        <v>1548</v>
      </c>
      <c r="C26" s="634"/>
      <c r="D26" s="634"/>
      <c r="E26" s="634"/>
      <c r="F26" s="634"/>
      <c r="G26" s="634"/>
      <c r="H26" s="634"/>
      <c r="I26" s="635"/>
      <c r="J26" s="635"/>
      <c r="K26" s="519"/>
      <c r="L26" s="519"/>
      <c r="M26" s="519"/>
      <c r="N26" s="519"/>
      <c r="O26" s="519"/>
      <c r="P26" s="519"/>
      <c r="Q26" s="519"/>
      <c r="R26" s="519"/>
      <c r="S26" s="519"/>
      <c r="T26" s="519"/>
      <c r="U26" s="908"/>
      <c r="V26" s="908"/>
      <c r="W26" s="637"/>
    </row>
    <row r="27" spans="1:23" s="197" customFormat="1" ht="8.4" x14ac:dyDescent="0.15">
      <c r="A27" s="1295"/>
      <c r="B27" s="634"/>
      <c r="C27" s="634"/>
      <c r="D27" s="634"/>
      <c r="E27" s="634"/>
      <c r="F27" s="634"/>
      <c r="G27" s="634"/>
      <c r="H27" s="634"/>
      <c r="I27" s="635"/>
      <c r="J27" s="635"/>
      <c r="K27" s="519"/>
      <c r="L27" s="519"/>
      <c r="M27" s="519"/>
      <c r="N27" s="519"/>
      <c r="O27" s="519"/>
      <c r="P27" s="519"/>
      <c r="Q27" s="519"/>
      <c r="R27" s="519"/>
      <c r="S27" s="519"/>
      <c r="T27" s="519"/>
      <c r="U27" s="908"/>
      <c r="V27" s="908"/>
      <c r="W27" s="637"/>
    </row>
    <row r="28" spans="1:23" s="197" customFormat="1" ht="8.4" x14ac:dyDescent="0.15">
      <c r="A28" s="1295"/>
      <c r="B28" s="634"/>
      <c r="C28" s="634"/>
      <c r="D28" s="634"/>
      <c r="E28" s="634"/>
      <c r="F28" s="634"/>
      <c r="G28" s="634"/>
      <c r="H28" s="634"/>
      <c r="I28" s="635"/>
      <c r="J28" s="635"/>
      <c r="K28" s="519"/>
      <c r="L28" s="519"/>
      <c r="M28" s="519"/>
      <c r="N28" s="519"/>
      <c r="O28" s="519"/>
      <c r="P28" s="519"/>
      <c r="Q28" s="519"/>
      <c r="R28" s="519"/>
      <c r="S28" s="519"/>
      <c r="T28" s="519"/>
      <c r="U28" s="908"/>
      <c r="V28" s="908"/>
      <c r="W28" s="637"/>
    </row>
    <row r="29" spans="1:23" s="197" customFormat="1" ht="8.4" x14ac:dyDescent="0.15">
      <c r="A29" s="1295"/>
      <c r="B29" s="634"/>
      <c r="C29" s="634"/>
      <c r="D29" s="634"/>
      <c r="E29" s="634"/>
      <c r="F29" s="634"/>
      <c r="G29" s="634"/>
      <c r="H29" s="634"/>
      <c r="I29" s="635"/>
      <c r="J29" s="635"/>
      <c r="K29" s="519"/>
      <c r="L29" s="519"/>
      <c r="M29" s="519"/>
      <c r="N29" s="519"/>
      <c r="O29" s="519"/>
      <c r="P29" s="519"/>
      <c r="Q29" s="519"/>
      <c r="R29" s="519"/>
      <c r="S29" s="519"/>
      <c r="T29" s="519"/>
      <c r="U29" s="908"/>
      <c r="V29" s="908"/>
      <c r="W29" s="637"/>
    </row>
    <row r="30" spans="1:23" s="197" customFormat="1" ht="8.4" x14ac:dyDescent="0.15">
      <c r="A30" s="1294"/>
      <c r="B30" s="546"/>
      <c r="C30" s="546"/>
      <c r="D30" s="546"/>
      <c r="E30" s="546"/>
      <c r="F30" s="546"/>
      <c r="G30" s="546"/>
      <c r="H30" s="546"/>
      <c r="I30" s="555"/>
      <c r="J30" s="555"/>
      <c r="K30" s="513"/>
      <c r="L30" s="513"/>
      <c r="M30" s="513"/>
      <c r="N30" s="513"/>
      <c r="O30" s="513"/>
      <c r="P30" s="513"/>
      <c r="Q30" s="513"/>
      <c r="R30" s="513"/>
      <c r="S30" s="513"/>
      <c r="T30" s="513"/>
      <c r="U30" s="670"/>
      <c r="V30" s="670"/>
      <c r="W30" s="551"/>
    </row>
    <row r="31" spans="1:23" s="1289" customFormat="1" ht="10.199999999999999" x14ac:dyDescent="0.2">
      <c r="A31" s="2179"/>
      <c r="B31" s="2180"/>
      <c r="C31" s="2180"/>
      <c r="D31" s="1293"/>
      <c r="E31" s="1293"/>
      <c r="F31" s="1293"/>
      <c r="G31" s="1293"/>
      <c r="H31" s="1293"/>
      <c r="I31" s="1293"/>
      <c r="J31" s="1293"/>
      <c r="K31" s="1293"/>
      <c r="L31" s="1292">
        <f>SUM(L6:L30)</f>
        <v>0</v>
      </c>
      <c r="M31" s="1292"/>
      <c r="N31" s="1292"/>
      <c r="O31" s="1292"/>
      <c r="P31" s="1293"/>
      <c r="Q31" s="1292">
        <f>SUM(Q6:Q30)</f>
        <v>0</v>
      </c>
      <c r="R31" s="1292"/>
      <c r="S31" s="1293"/>
      <c r="T31" s="1292">
        <f>SUM(T6:T30)</f>
        <v>0</v>
      </c>
      <c r="U31" s="1291"/>
      <c r="V31" s="1291"/>
      <c r="W31" s="1290"/>
    </row>
    <row r="32" spans="1:23" s="1284" customFormat="1" ht="10.8" thickBot="1" x14ac:dyDescent="0.25">
      <c r="A32" s="2181"/>
      <c r="B32" s="2182"/>
      <c r="C32" s="2182"/>
      <c r="D32" s="1288"/>
      <c r="E32" s="1288"/>
      <c r="F32" s="1288"/>
      <c r="G32" s="1288"/>
      <c r="H32" s="1288"/>
      <c r="I32" s="1288"/>
      <c r="J32" s="1288"/>
      <c r="K32" s="1288"/>
      <c r="L32" s="1288"/>
      <c r="M32" s="1288"/>
      <c r="N32" s="1288"/>
      <c r="O32" s="1288"/>
      <c r="P32" s="1288"/>
      <c r="Q32" s="1288"/>
      <c r="R32" s="1288"/>
      <c r="S32" s="1288"/>
      <c r="T32" s="1287"/>
      <c r="U32" s="1286"/>
      <c r="V32" s="1286"/>
      <c r="W32" s="1285"/>
    </row>
    <row r="33" spans="20:22" ht="14.4" thickTop="1" x14ac:dyDescent="0.25">
      <c r="T33" s="1283"/>
      <c r="U33" s="1283"/>
      <c r="V33" s="1283"/>
    </row>
  </sheetData>
  <mergeCells count="10">
    <mergeCell ref="A3:W3"/>
    <mergeCell ref="U4:U5"/>
    <mergeCell ref="W4:W5"/>
    <mergeCell ref="A31:C31"/>
    <mergeCell ref="A32:C32"/>
    <mergeCell ref="A4:A5"/>
    <mergeCell ref="B4:B5"/>
    <mergeCell ref="C4:C5"/>
    <mergeCell ref="D4:T4"/>
    <mergeCell ref="V4:V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1"/>
  <sheetViews>
    <sheetView topLeftCell="A61" zoomScaleNormal="100" workbookViewId="0">
      <selection activeCell="G95" sqref="G95"/>
    </sheetView>
  </sheetViews>
  <sheetFormatPr defaultColWidth="9.109375" defaultRowHeight="13.8" x14ac:dyDescent="0.25"/>
  <cols>
    <col min="1" max="1" width="3.109375" style="1" customWidth="1"/>
    <col min="2" max="2" width="3.44140625" style="1" customWidth="1"/>
    <col min="3" max="3" width="5.44140625" style="1" customWidth="1"/>
    <col min="4" max="4" width="10.109375" style="13" customWidth="1"/>
    <col min="5" max="5" width="7" style="1" customWidth="1"/>
    <col min="6" max="6" width="8" style="1" customWidth="1"/>
    <col min="7" max="7" width="4.88671875" style="1" customWidth="1"/>
    <col min="8" max="8" width="5.44140625" style="1" customWidth="1"/>
    <col min="9" max="9" width="7.44140625" style="1" customWidth="1"/>
    <col min="10" max="10" width="10.33203125" style="1" customWidth="1"/>
    <col min="11" max="11" width="3.88671875" style="1" customWidth="1"/>
    <col min="12" max="12" width="10.33203125" style="1" customWidth="1"/>
    <col min="13" max="13" width="5.44140625" style="1" customWidth="1"/>
    <col min="14" max="14" width="11.33203125" style="1" customWidth="1"/>
    <col min="15" max="15" width="5.44140625" style="1" customWidth="1"/>
    <col min="16" max="16" width="11" style="1" customWidth="1"/>
    <col min="17" max="17" width="5" style="1" customWidth="1"/>
    <col min="18" max="18" width="11" style="511" customWidth="1"/>
    <col min="19" max="19" width="8.109375" style="13" customWidth="1"/>
    <col min="20" max="16384" width="9.109375" style="1"/>
  </cols>
  <sheetData>
    <row r="1" spans="1:19" ht="16.8" x14ac:dyDescent="0.3">
      <c r="A1" s="5" t="s">
        <v>3</v>
      </c>
      <c r="B1" s="5"/>
      <c r="C1" s="8"/>
      <c r="D1" s="11"/>
      <c r="E1" s="8"/>
      <c r="F1" s="8"/>
      <c r="K1" s="95"/>
      <c r="L1" s="95"/>
      <c r="M1" s="95"/>
      <c r="N1" s="95"/>
      <c r="O1" s="95"/>
      <c r="P1" s="95" t="s">
        <v>4</v>
      </c>
      <c r="Q1" s="95"/>
      <c r="R1" s="509"/>
      <c r="S1" s="56"/>
    </row>
    <row r="2" spans="1:19" ht="15.6" x14ac:dyDescent="0.25">
      <c r="A2" s="7" t="s">
        <v>5</v>
      </c>
      <c r="B2" s="7"/>
      <c r="C2" s="9"/>
      <c r="D2" s="12"/>
      <c r="E2" s="9"/>
      <c r="F2" s="9"/>
      <c r="K2" s="377"/>
      <c r="L2" s="377"/>
      <c r="M2" s="377"/>
      <c r="N2" s="377"/>
      <c r="O2" s="377"/>
      <c r="P2" s="377" t="s">
        <v>6</v>
      </c>
      <c r="Q2" s="377"/>
      <c r="R2" s="510"/>
      <c r="S2" s="57"/>
    </row>
    <row r="3" spans="1:19" ht="15.6" x14ac:dyDescent="0.25">
      <c r="A3" s="7"/>
      <c r="B3" s="7"/>
      <c r="C3" s="9"/>
      <c r="D3" s="12"/>
      <c r="E3" s="9"/>
      <c r="F3" s="9"/>
      <c r="K3" s="377"/>
      <c r="L3" s="377"/>
      <c r="M3" s="377"/>
      <c r="N3" s="377"/>
      <c r="O3" s="377"/>
      <c r="P3" s="377"/>
      <c r="Q3" s="377"/>
      <c r="R3" s="510"/>
      <c r="S3" s="57"/>
    </row>
    <row r="4" spans="1:19" ht="20.399999999999999" x14ac:dyDescent="0.35">
      <c r="A4" s="2124" t="s">
        <v>615</v>
      </c>
      <c r="B4" s="2124"/>
      <c r="C4" s="2124"/>
      <c r="D4" s="2124"/>
      <c r="E4" s="2124"/>
      <c r="F4" s="2124"/>
      <c r="G4" s="2124"/>
      <c r="H4" s="2124"/>
      <c r="I4" s="2124"/>
      <c r="J4" s="2124"/>
      <c r="K4" s="2124"/>
      <c r="L4" s="2124"/>
      <c r="M4" s="2124"/>
      <c r="N4" s="2124"/>
      <c r="O4" s="2124"/>
      <c r="P4" s="2124"/>
      <c r="Q4" s="2124"/>
      <c r="R4" s="2124"/>
      <c r="S4" s="2124"/>
    </row>
    <row r="5" spans="1:19" ht="15" customHeight="1" x14ac:dyDescent="0.25">
      <c r="A5" s="2190" t="s">
        <v>956</v>
      </c>
      <c r="B5" s="2190"/>
      <c r="C5" s="2190"/>
      <c r="D5" s="2190"/>
      <c r="E5" s="2190"/>
      <c r="F5" s="2190"/>
      <c r="G5" s="2190"/>
      <c r="H5" s="2190"/>
      <c r="I5" s="2190"/>
      <c r="J5" s="2190"/>
      <c r="K5" s="2190"/>
      <c r="L5" s="2190"/>
      <c r="M5" s="2190"/>
      <c r="N5" s="2190"/>
      <c r="O5" s="2190"/>
      <c r="P5" s="2190"/>
      <c r="Q5" s="2190"/>
      <c r="R5" s="2190"/>
      <c r="S5" s="2190"/>
    </row>
    <row r="6" spans="1:19" ht="14.4" thickBot="1" x14ac:dyDescent="0.3"/>
    <row r="7" spans="1:19" s="31" customFormat="1" ht="42" customHeight="1" thickTop="1" x14ac:dyDescent="0.3">
      <c r="A7" s="2191" t="s">
        <v>0</v>
      </c>
      <c r="B7" s="2193" t="s">
        <v>103</v>
      </c>
      <c r="C7" s="2193" t="s">
        <v>613</v>
      </c>
      <c r="D7" s="2193" t="s">
        <v>105</v>
      </c>
      <c r="E7" s="2193"/>
      <c r="F7" s="2193"/>
      <c r="G7" s="2195" t="s">
        <v>107</v>
      </c>
      <c r="H7" s="2196"/>
      <c r="I7" s="2196"/>
      <c r="J7" s="2196"/>
      <c r="K7" s="2197"/>
      <c r="L7" s="2126" t="s">
        <v>967</v>
      </c>
      <c r="M7" s="2198" t="s">
        <v>182</v>
      </c>
      <c r="N7" s="2199"/>
      <c r="O7" s="2199"/>
      <c r="P7" s="2199"/>
      <c r="Q7" s="2199"/>
      <c r="R7" s="2122"/>
      <c r="S7" s="2201" t="s">
        <v>1</v>
      </c>
    </row>
    <row r="8" spans="1:19" s="31" customFormat="1" ht="42" customHeight="1" x14ac:dyDescent="0.3">
      <c r="A8" s="2192"/>
      <c r="B8" s="2194"/>
      <c r="C8" s="2194"/>
      <c r="D8" s="1091" t="s">
        <v>23</v>
      </c>
      <c r="E8" s="1091" t="s">
        <v>25</v>
      </c>
      <c r="F8" s="1091" t="s">
        <v>27</v>
      </c>
      <c r="G8" s="1091" t="s">
        <v>29</v>
      </c>
      <c r="H8" s="1091" t="s">
        <v>87</v>
      </c>
      <c r="I8" s="1091" t="s">
        <v>49</v>
      </c>
      <c r="J8" s="1091" t="s">
        <v>209</v>
      </c>
      <c r="K8" s="1091" t="s">
        <v>22</v>
      </c>
      <c r="L8" s="2121"/>
      <c r="M8" s="1091" t="s">
        <v>101</v>
      </c>
      <c r="N8" s="1091" t="s">
        <v>149</v>
      </c>
      <c r="O8" s="1091" t="s">
        <v>102</v>
      </c>
      <c r="P8" s="1091" t="s">
        <v>149</v>
      </c>
      <c r="Q8" s="1091" t="s">
        <v>133</v>
      </c>
      <c r="R8" s="1092" t="s">
        <v>149</v>
      </c>
      <c r="S8" s="2202"/>
    </row>
    <row r="9" spans="1:19" s="629" customFormat="1" ht="25.8" x14ac:dyDescent="0.2">
      <c r="A9" s="527">
        <v>1</v>
      </c>
      <c r="B9" s="552" t="s">
        <v>969</v>
      </c>
      <c r="C9" s="890" t="s">
        <v>12</v>
      </c>
      <c r="D9" s="529" t="s">
        <v>78</v>
      </c>
      <c r="E9" s="529"/>
      <c r="F9" s="901" t="s">
        <v>74</v>
      </c>
      <c r="G9" s="530" t="s">
        <v>35</v>
      </c>
      <c r="H9" s="921">
        <v>3</v>
      </c>
      <c r="I9" s="512">
        <v>465000</v>
      </c>
      <c r="J9" s="518">
        <f t="shared" ref="J9:J27" si="0">H9*I9</f>
        <v>1395000</v>
      </c>
      <c r="K9" s="531">
        <v>0.2</v>
      </c>
      <c r="L9" s="512">
        <f t="shared" ref="L9:L27" si="1">H9*I9*(1-K9)</f>
        <v>1116000</v>
      </c>
      <c r="M9" s="512">
        <v>111</v>
      </c>
      <c r="N9" s="512">
        <f>SUM(L9:L15)</f>
        <v>9268000</v>
      </c>
      <c r="O9" s="512"/>
      <c r="P9" s="512"/>
      <c r="Q9" s="512"/>
      <c r="R9" s="512"/>
      <c r="S9" s="716" t="s">
        <v>1078</v>
      </c>
    </row>
    <row r="10" spans="1:19" s="629" customFormat="1" ht="10.199999999999999" x14ac:dyDescent="0.2">
      <c r="A10" s="535"/>
      <c r="B10" s="552" t="s">
        <v>969</v>
      </c>
      <c r="C10" s="890" t="s">
        <v>12</v>
      </c>
      <c r="D10" s="529" t="s">
        <v>78</v>
      </c>
      <c r="E10" s="542"/>
      <c r="F10" s="776"/>
      <c r="G10" s="526" t="s">
        <v>36</v>
      </c>
      <c r="H10" s="878">
        <v>0</v>
      </c>
      <c r="I10" s="507">
        <v>275000</v>
      </c>
      <c r="J10" s="507">
        <f t="shared" si="0"/>
        <v>0</v>
      </c>
      <c r="K10" s="537">
        <v>0.2</v>
      </c>
      <c r="L10" s="507">
        <f t="shared" si="1"/>
        <v>0</v>
      </c>
      <c r="M10" s="507"/>
      <c r="N10" s="507"/>
      <c r="O10" s="507"/>
      <c r="P10" s="507"/>
      <c r="Q10" s="507"/>
      <c r="R10" s="507"/>
      <c r="S10" s="716"/>
    </row>
    <row r="11" spans="1:19" s="629" customFormat="1" ht="10.199999999999999" x14ac:dyDescent="0.2">
      <c r="A11" s="535"/>
      <c r="B11" s="552" t="s">
        <v>969</v>
      </c>
      <c r="C11" s="890" t="s">
        <v>12</v>
      </c>
      <c r="D11" s="529" t="s">
        <v>78</v>
      </c>
      <c r="E11" s="542"/>
      <c r="F11" s="776"/>
      <c r="G11" s="526" t="s">
        <v>39</v>
      </c>
      <c r="H11" s="878">
        <v>4</v>
      </c>
      <c r="I11" s="507">
        <v>285000</v>
      </c>
      <c r="J11" s="507">
        <f t="shared" si="0"/>
        <v>1140000</v>
      </c>
      <c r="K11" s="537">
        <v>0.2</v>
      </c>
      <c r="L11" s="507">
        <f t="shared" si="1"/>
        <v>912000</v>
      </c>
      <c r="M11" s="507"/>
      <c r="N11" s="507"/>
      <c r="O11" s="507"/>
      <c r="P11" s="507"/>
      <c r="Q11" s="507"/>
      <c r="R11" s="507"/>
      <c r="S11" s="541"/>
    </row>
    <row r="12" spans="1:19" s="629" customFormat="1" ht="10.199999999999999" x14ac:dyDescent="0.2">
      <c r="A12" s="535"/>
      <c r="B12" s="552" t="s">
        <v>969</v>
      </c>
      <c r="C12" s="890" t="s">
        <v>12</v>
      </c>
      <c r="D12" s="529" t="s">
        <v>78</v>
      </c>
      <c r="E12" s="542"/>
      <c r="F12" s="776"/>
      <c r="G12" s="526" t="s">
        <v>44</v>
      </c>
      <c r="H12" s="878">
        <v>10</v>
      </c>
      <c r="I12" s="507">
        <v>455000</v>
      </c>
      <c r="J12" s="507">
        <f t="shared" si="0"/>
        <v>4550000</v>
      </c>
      <c r="K12" s="537">
        <v>0.2</v>
      </c>
      <c r="L12" s="507">
        <f t="shared" si="1"/>
        <v>3640000</v>
      </c>
      <c r="M12" s="507"/>
      <c r="N12" s="507"/>
      <c r="O12" s="507"/>
      <c r="P12" s="507"/>
      <c r="Q12" s="507"/>
      <c r="R12" s="507"/>
      <c r="S12" s="541"/>
    </row>
    <row r="13" spans="1:19" s="629" customFormat="1" ht="10.199999999999999" x14ac:dyDescent="0.2">
      <c r="A13" s="535"/>
      <c r="B13" s="552" t="s">
        <v>969</v>
      </c>
      <c r="C13" s="890" t="s">
        <v>12</v>
      </c>
      <c r="D13" s="529" t="s">
        <v>78</v>
      </c>
      <c r="E13" s="542"/>
      <c r="F13" s="776"/>
      <c r="G13" s="526" t="s">
        <v>44</v>
      </c>
      <c r="H13" s="878">
        <v>2</v>
      </c>
      <c r="I13" s="507">
        <v>455000</v>
      </c>
      <c r="J13" s="507">
        <f t="shared" si="0"/>
        <v>910000</v>
      </c>
      <c r="K13" s="537">
        <v>1</v>
      </c>
      <c r="L13" s="507">
        <f t="shared" si="1"/>
        <v>0</v>
      </c>
      <c r="M13" s="507"/>
      <c r="N13" s="507"/>
      <c r="O13" s="507"/>
      <c r="P13" s="507"/>
      <c r="Q13" s="507"/>
      <c r="R13" s="507"/>
      <c r="S13" s="541" t="s">
        <v>89</v>
      </c>
    </row>
    <row r="14" spans="1:19" s="629" customFormat="1" ht="10.199999999999999" x14ac:dyDescent="0.2">
      <c r="A14" s="535"/>
      <c r="B14" s="552" t="s">
        <v>969</v>
      </c>
      <c r="C14" s="851" t="s">
        <v>12</v>
      </c>
      <c r="D14" s="542" t="s">
        <v>78</v>
      </c>
      <c r="E14" s="542"/>
      <c r="F14" s="776"/>
      <c r="G14" s="526" t="s">
        <v>46</v>
      </c>
      <c r="H14" s="878">
        <v>10</v>
      </c>
      <c r="I14" s="507">
        <v>450000</v>
      </c>
      <c r="J14" s="507">
        <f t="shared" si="0"/>
        <v>4500000</v>
      </c>
      <c r="K14" s="537">
        <v>0.2</v>
      </c>
      <c r="L14" s="507">
        <f t="shared" si="1"/>
        <v>3600000</v>
      </c>
      <c r="M14" s="507"/>
      <c r="N14" s="507"/>
      <c r="O14" s="507"/>
      <c r="P14" s="507"/>
      <c r="Q14" s="507"/>
      <c r="R14" s="507"/>
      <c r="S14" s="541"/>
    </row>
    <row r="15" spans="1:19" s="629" customFormat="1" ht="10.199999999999999" x14ac:dyDescent="0.2">
      <c r="A15" s="544"/>
      <c r="B15" s="552" t="s">
        <v>969</v>
      </c>
      <c r="C15" s="673" t="s">
        <v>12</v>
      </c>
      <c r="D15" s="554" t="s">
        <v>78</v>
      </c>
      <c r="E15" s="546"/>
      <c r="F15" s="902"/>
      <c r="G15" s="547" t="s">
        <v>46</v>
      </c>
      <c r="H15" s="702">
        <v>1</v>
      </c>
      <c r="I15" s="513">
        <v>450000</v>
      </c>
      <c r="J15" s="508">
        <f t="shared" si="0"/>
        <v>450000</v>
      </c>
      <c r="K15" s="548">
        <v>1</v>
      </c>
      <c r="L15" s="513">
        <f t="shared" si="1"/>
        <v>0</v>
      </c>
      <c r="M15" s="513"/>
      <c r="N15" s="513"/>
      <c r="O15" s="513"/>
      <c r="P15" s="513"/>
      <c r="Q15" s="513"/>
      <c r="R15" s="513"/>
      <c r="S15" s="556" t="s">
        <v>89</v>
      </c>
    </row>
    <row r="16" spans="1:19" s="629" customFormat="1" ht="10.199999999999999" x14ac:dyDescent="0.2">
      <c r="A16" s="557">
        <v>2</v>
      </c>
      <c r="B16" s="560" t="s">
        <v>969</v>
      </c>
      <c r="C16" s="558" t="s">
        <v>12</v>
      </c>
      <c r="D16" s="559" t="s">
        <v>99</v>
      </c>
      <c r="E16" s="559"/>
      <c r="F16" s="747" t="s">
        <v>100</v>
      </c>
      <c r="G16" s="561" t="s">
        <v>39</v>
      </c>
      <c r="H16" s="680">
        <v>1</v>
      </c>
      <c r="I16" s="517">
        <v>285000</v>
      </c>
      <c r="J16" s="517">
        <f t="shared" si="0"/>
        <v>285000</v>
      </c>
      <c r="K16" s="562">
        <v>0.2</v>
      </c>
      <c r="L16" s="517">
        <f t="shared" si="1"/>
        <v>228000</v>
      </c>
      <c r="M16" s="517">
        <v>111</v>
      </c>
      <c r="N16" s="517">
        <f>L16</f>
        <v>228000</v>
      </c>
      <c r="O16" s="517"/>
      <c r="P16" s="517"/>
      <c r="Q16" s="517"/>
      <c r="R16" s="517"/>
      <c r="S16" s="573"/>
    </row>
    <row r="17" spans="1:19" s="629" customFormat="1" ht="10.199999999999999" x14ac:dyDescent="0.2">
      <c r="A17" s="557">
        <v>3</v>
      </c>
      <c r="B17" s="560" t="s">
        <v>969</v>
      </c>
      <c r="C17" s="558" t="s">
        <v>12</v>
      </c>
      <c r="D17" s="559" t="s">
        <v>109</v>
      </c>
      <c r="E17" s="559" t="s">
        <v>116</v>
      </c>
      <c r="F17" s="747" t="s">
        <v>110</v>
      </c>
      <c r="G17" s="561" t="s">
        <v>34</v>
      </c>
      <c r="H17" s="680">
        <v>2</v>
      </c>
      <c r="I17" s="517">
        <v>265000</v>
      </c>
      <c r="J17" s="517">
        <f t="shared" si="0"/>
        <v>530000</v>
      </c>
      <c r="K17" s="562">
        <v>0.2</v>
      </c>
      <c r="L17" s="517">
        <f t="shared" si="1"/>
        <v>424000</v>
      </c>
      <c r="M17" s="517">
        <v>111</v>
      </c>
      <c r="N17" s="517">
        <f>L17</f>
        <v>424000</v>
      </c>
      <c r="O17" s="517"/>
      <c r="P17" s="517"/>
      <c r="Q17" s="517"/>
      <c r="R17" s="517"/>
      <c r="S17" s="573"/>
    </row>
    <row r="18" spans="1:19" s="629" customFormat="1" ht="17.399999999999999" x14ac:dyDescent="0.2">
      <c r="A18" s="527">
        <v>4</v>
      </c>
      <c r="B18" s="552" t="s">
        <v>969</v>
      </c>
      <c r="C18" s="528" t="s">
        <v>12</v>
      </c>
      <c r="D18" s="529" t="s">
        <v>111</v>
      </c>
      <c r="E18" s="529"/>
      <c r="F18" s="901" t="s">
        <v>112</v>
      </c>
      <c r="G18" s="530" t="s">
        <v>40</v>
      </c>
      <c r="H18" s="921">
        <v>1</v>
      </c>
      <c r="I18" s="512">
        <v>485000</v>
      </c>
      <c r="J18" s="517">
        <f t="shared" si="0"/>
        <v>485000</v>
      </c>
      <c r="K18" s="531">
        <v>0.2</v>
      </c>
      <c r="L18" s="512">
        <f t="shared" si="1"/>
        <v>388000</v>
      </c>
      <c r="M18" s="512">
        <v>111</v>
      </c>
      <c r="N18" s="512">
        <f>SUM(L18:L19)</f>
        <v>752000</v>
      </c>
      <c r="O18" s="512"/>
      <c r="P18" s="512"/>
      <c r="Q18" s="512"/>
      <c r="R18" s="512"/>
      <c r="S18" s="716"/>
    </row>
    <row r="19" spans="1:19" s="629" customFormat="1" ht="17.399999999999999" x14ac:dyDescent="0.2">
      <c r="A19" s="544"/>
      <c r="B19" s="555"/>
      <c r="C19" s="528" t="s">
        <v>12</v>
      </c>
      <c r="D19" s="529" t="s">
        <v>111</v>
      </c>
      <c r="E19" s="546"/>
      <c r="F19" s="902"/>
      <c r="G19" s="547" t="s">
        <v>42</v>
      </c>
      <c r="H19" s="702">
        <v>1</v>
      </c>
      <c r="I19" s="513">
        <v>455000</v>
      </c>
      <c r="J19" s="517">
        <f t="shared" si="0"/>
        <v>455000</v>
      </c>
      <c r="K19" s="548">
        <v>0.2</v>
      </c>
      <c r="L19" s="513">
        <f t="shared" si="1"/>
        <v>364000</v>
      </c>
      <c r="M19" s="513"/>
      <c r="N19" s="513"/>
      <c r="O19" s="513"/>
      <c r="P19" s="513"/>
      <c r="Q19" s="513"/>
      <c r="R19" s="513"/>
      <c r="S19" s="556"/>
    </row>
    <row r="20" spans="1:19" s="629" customFormat="1" ht="10.199999999999999" x14ac:dyDescent="0.2">
      <c r="A20" s="557">
        <v>5</v>
      </c>
      <c r="B20" s="560" t="s">
        <v>969</v>
      </c>
      <c r="C20" s="558" t="s">
        <v>12</v>
      </c>
      <c r="D20" s="559" t="s">
        <v>113</v>
      </c>
      <c r="E20" s="559" t="s">
        <v>114</v>
      </c>
      <c r="F20" s="747" t="s">
        <v>115</v>
      </c>
      <c r="G20" s="561" t="s">
        <v>37</v>
      </c>
      <c r="H20" s="680">
        <v>1</v>
      </c>
      <c r="I20" s="517">
        <v>475000</v>
      </c>
      <c r="J20" s="517">
        <f t="shared" si="0"/>
        <v>475000</v>
      </c>
      <c r="K20" s="562">
        <v>0.2</v>
      </c>
      <c r="L20" s="517">
        <f t="shared" si="1"/>
        <v>380000</v>
      </c>
      <c r="M20" s="517">
        <v>111</v>
      </c>
      <c r="N20" s="517">
        <f>L20</f>
        <v>380000</v>
      </c>
      <c r="O20" s="517"/>
      <c r="P20" s="517"/>
      <c r="Q20" s="517"/>
      <c r="R20" s="517"/>
      <c r="S20" s="573"/>
    </row>
    <row r="21" spans="1:19" s="629" customFormat="1" ht="10.199999999999999" x14ac:dyDescent="0.2">
      <c r="A21" s="565">
        <v>6</v>
      </c>
      <c r="B21" s="567" t="s">
        <v>969</v>
      </c>
      <c r="C21" s="903" t="s">
        <v>12</v>
      </c>
      <c r="D21" s="566" t="s">
        <v>109</v>
      </c>
      <c r="E21" s="566" t="s">
        <v>116</v>
      </c>
      <c r="F21" s="854" t="s">
        <v>110</v>
      </c>
      <c r="G21" s="568" t="s">
        <v>40</v>
      </c>
      <c r="H21" s="887">
        <v>1</v>
      </c>
      <c r="I21" s="518">
        <v>485000</v>
      </c>
      <c r="J21" s="517">
        <f t="shared" si="0"/>
        <v>485000</v>
      </c>
      <c r="K21" s="569">
        <v>0.2</v>
      </c>
      <c r="L21" s="518">
        <f t="shared" si="1"/>
        <v>388000</v>
      </c>
      <c r="M21" s="518">
        <v>111</v>
      </c>
      <c r="N21" s="518">
        <f>SUM(L21+L22)</f>
        <v>752000</v>
      </c>
      <c r="O21" s="518"/>
      <c r="P21" s="518"/>
      <c r="Q21" s="518"/>
      <c r="R21" s="518"/>
      <c r="S21" s="741"/>
    </row>
    <row r="22" spans="1:19" s="629" customFormat="1" ht="10.199999999999999" x14ac:dyDescent="0.2">
      <c r="A22" s="544"/>
      <c r="B22" s="555"/>
      <c r="C22" s="903" t="s">
        <v>12</v>
      </c>
      <c r="D22" s="566" t="s">
        <v>109</v>
      </c>
      <c r="E22" s="546"/>
      <c r="F22" s="902"/>
      <c r="G22" s="547" t="s">
        <v>42</v>
      </c>
      <c r="H22" s="702">
        <v>1</v>
      </c>
      <c r="I22" s="513">
        <v>455000</v>
      </c>
      <c r="J22" s="517">
        <f t="shared" si="0"/>
        <v>455000</v>
      </c>
      <c r="K22" s="548">
        <v>0.2</v>
      </c>
      <c r="L22" s="513">
        <f t="shared" si="1"/>
        <v>364000</v>
      </c>
      <c r="M22" s="513"/>
      <c r="N22" s="513"/>
      <c r="O22" s="513"/>
      <c r="P22" s="513"/>
      <c r="Q22" s="513"/>
      <c r="R22" s="513"/>
      <c r="S22" s="556"/>
    </row>
    <row r="23" spans="1:19" s="629" customFormat="1" ht="17.399999999999999" x14ac:dyDescent="0.2">
      <c r="A23" s="557">
        <v>7</v>
      </c>
      <c r="B23" s="560" t="s">
        <v>970</v>
      </c>
      <c r="C23" s="558" t="s">
        <v>12</v>
      </c>
      <c r="D23" s="559" t="s">
        <v>124</v>
      </c>
      <c r="E23" s="559" t="s">
        <v>117</v>
      </c>
      <c r="F23" s="747" t="s">
        <v>118</v>
      </c>
      <c r="G23" s="561" t="s">
        <v>46</v>
      </c>
      <c r="H23" s="680">
        <v>1</v>
      </c>
      <c r="I23" s="517">
        <v>450000</v>
      </c>
      <c r="J23" s="517">
        <f t="shared" si="0"/>
        <v>450000</v>
      </c>
      <c r="K23" s="562">
        <v>0.2</v>
      </c>
      <c r="L23" s="517">
        <f t="shared" si="1"/>
        <v>360000</v>
      </c>
      <c r="M23" s="517">
        <v>111</v>
      </c>
      <c r="N23" s="517">
        <f>L23</f>
        <v>360000</v>
      </c>
      <c r="O23" s="517"/>
      <c r="P23" s="517"/>
      <c r="Q23" s="517"/>
      <c r="R23" s="517"/>
      <c r="S23" s="573"/>
    </row>
    <row r="24" spans="1:19" s="629" customFormat="1" ht="17.399999999999999" x14ac:dyDescent="0.2">
      <c r="A24" s="557">
        <v>8</v>
      </c>
      <c r="B24" s="560" t="s">
        <v>970</v>
      </c>
      <c r="C24" s="558" t="s">
        <v>12</v>
      </c>
      <c r="D24" s="559" t="s">
        <v>119</v>
      </c>
      <c r="E24" s="559"/>
      <c r="F24" s="747" t="s">
        <v>120</v>
      </c>
      <c r="G24" s="561" t="s">
        <v>46</v>
      </c>
      <c r="H24" s="680">
        <v>1</v>
      </c>
      <c r="I24" s="517">
        <v>450000</v>
      </c>
      <c r="J24" s="517">
        <f t="shared" si="0"/>
        <v>450000</v>
      </c>
      <c r="K24" s="562">
        <v>0.2</v>
      </c>
      <c r="L24" s="517">
        <f t="shared" si="1"/>
        <v>360000</v>
      </c>
      <c r="M24" s="517">
        <v>111</v>
      </c>
      <c r="N24" s="517">
        <f>L24</f>
        <v>360000</v>
      </c>
      <c r="O24" s="517"/>
      <c r="P24" s="517"/>
      <c r="Q24" s="517"/>
      <c r="R24" s="517"/>
      <c r="S24" s="573"/>
    </row>
    <row r="25" spans="1:19" s="629" customFormat="1" ht="25.8" x14ac:dyDescent="0.2">
      <c r="A25" s="527">
        <v>9</v>
      </c>
      <c r="B25" s="552" t="s">
        <v>970</v>
      </c>
      <c r="C25" s="528" t="s">
        <v>12</v>
      </c>
      <c r="D25" s="529" t="s">
        <v>121</v>
      </c>
      <c r="E25" s="529" t="s">
        <v>122</v>
      </c>
      <c r="F25" s="901" t="s">
        <v>123</v>
      </c>
      <c r="G25" s="530" t="s">
        <v>33</v>
      </c>
      <c r="H25" s="921">
        <v>1</v>
      </c>
      <c r="I25" s="512">
        <v>455000</v>
      </c>
      <c r="J25" s="518">
        <f t="shared" si="0"/>
        <v>455000</v>
      </c>
      <c r="K25" s="531">
        <v>0.2</v>
      </c>
      <c r="L25" s="512">
        <f t="shared" si="1"/>
        <v>364000</v>
      </c>
      <c r="M25" s="512">
        <v>111</v>
      </c>
      <c r="N25" s="512">
        <f>SUM(L25+L26)</f>
        <v>1140000</v>
      </c>
      <c r="O25" s="512"/>
      <c r="P25" s="512"/>
      <c r="Q25" s="512"/>
      <c r="R25" s="512"/>
      <c r="S25" s="716"/>
    </row>
    <row r="26" spans="1:19" s="629" customFormat="1" ht="25.8" x14ac:dyDescent="0.2">
      <c r="A26" s="728"/>
      <c r="B26" s="742"/>
      <c r="C26" s="904" t="s">
        <v>12</v>
      </c>
      <c r="D26" s="634" t="s">
        <v>121</v>
      </c>
      <c r="E26" s="634" t="s">
        <v>122</v>
      </c>
      <c r="F26" s="905"/>
      <c r="G26" s="547" t="s">
        <v>40</v>
      </c>
      <c r="H26" s="702">
        <v>2</v>
      </c>
      <c r="I26" s="513">
        <v>485000</v>
      </c>
      <c r="J26" s="508">
        <f t="shared" si="0"/>
        <v>970000</v>
      </c>
      <c r="K26" s="548">
        <v>0.2</v>
      </c>
      <c r="L26" s="513">
        <f t="shared" si="1"/>
        <v>776000</v>
      </c>
      <c r="M26" s="513"/>
      <c r="N26" s="513"/>
      <c r="O26" s="513"/>
      <c r="P26" s="513"/>
      <c r="Q26" s="513"/>
      <c r="R26" s="513"/>
      <c r="S26" s="556"/>
    </row>
    <row r="27" spans="1:19" s="629" customFormat="1" ht="10.199999999999999" x14ac:dyDescent="0.2">
      <c r="A27" s="557">
        <v>10</v>
      </c>
      <c r="B27" s="560" t="s">
        <v>970</v>
      </c>
      <c r="C27" s="558" t="s">
        <v>12</v>
      </c>
      <c r="D27" s="559" t="s">
        <v>66</v>
      </c>
      <c r="E27" s="559"/>
      <c r="F27" s="560"/>
      <c r="G27" s="640" t="s">
        <v>40</v>
      </c>
      <c r="H27" s="881">
        <v>1</v>
      </c>
      <c r="I27" s="549">
        <v>485000</v>
      </c>
      <c r="J27" s="517">
        <f t="shared" si="0"/>
        <v>485000</v>
      </c>
      <c r="K27" s="643">
        <v>0.2</v>
      </c>
      <c r="L27" s="549">
        <f t="shared" si="1"/>
        <v>388000</v>
      </c>
      <c r="M27" s="549">
        <v>111</v>
      </c>
      <c r="N27" s="549">
        <f>L27</f>
        <v>388000</v>
      </c>
      <c r="O27" s="549"/>
      <c r="P27" s="549"/>
      <c r="Q27" s="549"/>
      <c r="R27" s="549"/>
      <c r="S27" s="906"/>
    </row>
    <row r="28" spans="1:19" s="629" customFormat="1" ht="17.399999999999999" x14ac:dyDescent="0.2">
      <c r="A28" s="527">
        <v>11</v>
      </c>
      <c r="B28" s="552" t="s">
        <v>220</v>
      </c>
      <c r="C28" s="528" t="s">
        <v>12</v>
      </c>
      <c r="D28" s="529" t="s">
        <v>24</v>
      </c>
      <c r="E28" s="529" t="s">
        <v>26</v>
      </c>
      <c r="F28" s="571"/>
      <c r="G28" s="530" t="s">
        <v>35</v>
      </c>
      <c r="H28" s="921">
        <v>1</v>
      </c>
      <c r="I28" s="512">
        <v>465000</v>
      </c>
      <c r="J28" s="512">
        <f t="shared" ref="J28:J30" si="2">H28*I28</f>
        <v>465000</v>
      </c>
      <c r="K28" s="531">
        <v>0.1</v>
      </c>
      <c r="L28" s="512">
        <f t="shared" ref="L28:L30" si="3">H28*I28*(1-K28)</f>
        <v>418500</v>
      </c>
      <c r="M28" s="512">
        <v>111</v>
      </c>
      <c r="N28" s="512">
        <f>SUM(L28:L30)</f>
        <v>2092500</v>
      </c>
      <c r="O28" s="512"/>
      <c r="P28" s="512"/>
      <c r="Q28" s="512"/>
      <c r="R28" s="512"/>
      <c r="S28" s="716"/>
    </row>
    <row r="29" spans="1:19" s="629" customFormat="1" ht="10.199999999999999" x14ac:dyDescent="0.2">
      <c r="A29" s="535"/>
      <c r="B29" s="540"/>
      <c r="C29" s="528" t="s">
        <v>12</v>
      </c>
      <c r="D29" s="529" t="s">
        <v>24</v>
      </c>
      <c r="E29" s="542"/>
      <c r="F29" s="543"/>
      <c r="G29" s="526" t="s">
        <v>37</v>
      </c>
      <c r="H29" s="878">
        <v>2</v>
      </c>
      <c r="I29" s="507">
        <v>475000</v>
      </c>
      <c r="J29" s="507">
        <f t="shared" si="2"/>
        <v>950000</v>
      </c>
      <c r="K29" s="537">
        <v>0.1</v>
      </c>
      <c r="L29" s="507">
        <f t="shared" si="3"/>
        <v>855000</v>
      </c>
      <c r="M29" s="507">
        <v>111</v>
      </c>
      <c r="N29" s="507"/>
      <c r="O29" s="507"/>
      <c r="P29" s="507"/>
      <c r="Q29" s="507"/>
      <c r="R29" s="507"/>
      <c r="S29" s="541"/>
    </row>
    <row r="30" spans="1:19" s="629" customFormat="1" ht="10.199999999999999" x14ac:dyDescent="0.2">
      <c r="A30" s="544"/>
      <c r="B30" s="555"/>
      <c r="C30" s="545" t="s">
        <v>12</v>
      </c>
      <c r="D30" s="546" t="s">
        <v>24</v>
      </c>
      <c r="E30" s="546"/>
      <c r="F30" s="575"/>
      <c r="G30" s="547" t="s">
        <v>42</v>
      </c>
      <c r="H30" s="702">
        <v>2</v>
      </c>
      <c r="I30" s="513">
        <v>455000</v>
      </c>
      <c r="J30" s="508">
        <f t="shared" si="2"/>
        <v>910000</v>
      </c>
      <c r="K30" s="548">
        <v>0.1</v>
      </c>
      <c r="L30" s="513">
        <f t="shared" si="3"/>
        <v>819000</v>
      </c>
      <c r="M30" s="513">
        <v>111</v>
      </c>
      <c r="N30" s="513"/>
      <c r="O30" s="513"/>
      <c r="P30" s="513"/>
      <c r="Q30" s="513"/>
      <c r="R30" s="513"/>
      <c r="S30" s="556"/>
    </row>
    <row r="31" spans="1:19" s="629" customFormat="1" ht="25.8" x14ac:dyDescent="0.2">
      <c r="A31" s="527">
        <v>12</v>
      </c>
      <c r="B31" s="552" t="s">
        <v>220</v>
      </c>
      <c r="C31" s="528"/>
      <c r="D31" s="529" t="s">
        <v>63</v>
      </c>
      <c r="E31" s="529" t="s">
        <v>68</v>
      </c>
      <c r="F31" s="552" t="s">
        <v>64</v>
      </c>
      <c r="G31" s="530" t="s">
        <v>37</v>
      </c>
      <c r="H31" s="921">
        <v>5</v>
      </c>
      <c r="I31" s="512">
        <v>475000</v>
      </c>
      <c r="J31" s="518">
        <f t="shared" ref="J31:J58" si="4">H31*I31</f>
        <v>2375000</v>
      </c>
      <c r="K31" s="531">
        <v>1</v>
      </c>
      <c r="L31" s="512">
        <f t="shared" ref="L31:L58" si="5">H31*I31*(1-K31)</f>
        <v>0</v>
      </c>
      <c r="M31" s="512"/>
      <c r="N31" s="512"/>
      <c r="O31" s="512"/>
      <c r="P31" s="512"/>
      <c r="Q31" s="512"/>
      <c r="R31" s="512"/>
      <c r="S31" s="716"/>
    </row>
    <row r="32" spans="1:19" s="629" customFormat="1" ht="25.8" x14ac:dyDescent="0.2">
      <c r="A32" s="544"/>
      <c r="B32" s="555"/>
      <c r="C32" s="545"/>
      <c r="D32" s="546" t="s">
        <v>63</v>
      </c>
      <c r="E32" s="546" t="s">
        <v>68</v>
      </c>
      <c r="F32" s="555"/>
      <c r="G32" s="547" t="s">
        <v>40</v>
      </c>
      <c r="H32" s="702">
        <v>10</v>
      </c>
      <c r="I32" s="513">
        <v>485000</v>
      </c>
      <c r="J32" s="508">
        <f t="shared" si="4"/>
        <v>4850000</v>
      </c>
      <c r="K32" s="548">
        <v>1</v>
      </c>
      <c r="L32" s="513">
        <f t="shared" si="5"/>
        <v>0</v>
      </c>
      <c r="M32" s="513"/>
      <c r="N32" s="513"/>
      <c r="O32" s="513"/>
      <c r="P32" s="513"/>
      <c r="Q32" s="513"/>
      <c r="R32" s="513"/>
      <c r="S32" s="556"/>
    </row>
    <row r="33" spans="1:19" s="629" customFormat="1" ht="32.25" customHeight="1" x14ac:dyDescent="0.2">
      <c r="A33" s="633">
        <v>13</v>
      </c>
      <c r="B33" s="635" t="s">
        <v>220</v>
      </c>
      <c r="C33" s="904" t="s">
        <v>12</v>
      </c>
      <c r="D33" s="634" t="s">
        <v>599</v>
      </c>
      <c r="E33" s="634" t="s">
        <v>67</v>
      </c>
      <c r="F33" s="746" t="s">
        <v>69</v>
      </c>
      <c r="G33" s="636" t="s">
        <v>34</v>
      </c>
      <c r="H33" s="686">
        <v>10</v>
      </c>
      <c r="I33" s="519">
        <v>265000</v>
      </c>
      <c r="J33" s="518">
        <f t="shared" si="4"/>
        <v>2650000</v>
      </c>
      <c r="K33" s="631">
        <v>0.41</v>
      </c>
      <c r="L33" s="519">
        <f t="shared" si="5"/>
        <v>1563500.0000000002</v>
      </c>
      <c r="M33" s="519"/>
      <c r="N33" s="519"/>
      <c r="O33" s="907">
        <v>112</v>
      </c>
      <c r="P33" s="514">
        <f>SUM(L33:L44)-R33</f>
        <v>13346750.000000002</v>
      </c>
      <c r="Q33" s="907">
        <v>131</v>
      </c>
      <c r="R33" s="514">
        <v>297000</v>
      </c>
      <c r="S33" s="745" t="s">
        <v>152</v>
      </c>
    </row>
    <row r="34" spans="1:19" s="629" customFormat="1" ht="24.9" customHeight="1" x14ac:dyDescent="0.2">
      <c r="A34" s="535"/>
      <c r="B34" s="635" t="s">
        <v>220</v>
      </c>
      <c r="C34" s="904" t="s">
        <v>12</v>
      </c>
      <c r="D34" s="634" t="s">
        <v>599</v>
      </c>
      <c r="E34" s="542"/>
      <c r="F34" s="776"/>
      <c r="G34" s="526" t="s">
        <v>35</v>
      </c>
      <c r="H34" s="878">
        <v>10</v>
      </c>
      <c r="I34" s="507">
        <v>465000</v>
      </c>
      <c r="J34" s="507">
        <f t="shared" si="4"/>
        <v>4650000</v>
      </c>
      <c r="K34" s="537">
        <v>0.41</v>
      </c>
      <c r="L34" s="507">
        <f t="shared" si="5"/>
        <v>2743500.0000000005</v>
      </c>
      <c r="M34" s="507"/>
      <c r="N34" s="507"/>
      <c r="O34" s="909"/>
      <c r="P34" s="515"/>
      <c r="Q34" s="909"/>
      <c r="R34" s="515"/>
      <c r="S34" s="541"/>
    </row>
    <row r="35" spans="1:19" s="629" customFormat="1" ht="24.9" customHeight="1" x14ac:dyDescent="0.2">
      <c r="A35" s="535"/>
      <c r="B35" s="540"/>
      <c r="C35" s="904" t="s">
        <v>12</v>
      </c>
      <c r="D35" s="634" t="s">
        <v>599</v>
      </c>
      <c r="E35" s="542"/>
      <c r="F35" s="776"/>
      <c r="G35" s="526" t="s">
        <v>36</v>
      </c>
      <c r="H35" s="878">
        <v>5</v>
      </c>
      <c r="I35" s="507">
        <v>275000</v>
      </c>
      <c r="J35" s="507">
        <f t="shared" si="4"/>
        <v>1375000</v>
      </c>
      <c r="K35" s="537">
        <v>0.41</v>
      </c>
      <c r="L35" s="507">
        <f t="shared" si="5"/>
        <v>811250.00000000012</v>
      </c>
      <c r="M35" s="507"/>
      <c r="N35" s="507"/>
      <c r="O35" s="909"/>
      <c r="P35" s="515"/>
      <c r="Q35" s="909"/>
      <c r="R35" s="515"/>
      <c r="S35" s="541"/>
    </row>
    <row r="36" spans="1:19" s="629" customFormat="1" ht="24.9" customHeight="1" x14ac:dyDescent="0.2">
      <c r="A36" s="535"/>
      <c r="B36" s="540"/>
      <c r="C36" s="904" t="s">
        <v>12</v>
      </c>
      <c r="D36" s="634" t="s">
        <v>599</v>
      </c>
      <c r="E36" s="542"/>
      <c r="F36" s="776"/>
      <c r="G36" s="526" t="s">
        <v>37</v>
      </c>
      <c r="H36" s="878">
        <v>5</v>
      </c>
      <c r="I36" s="507">
        <v>475000</v>
      </c>
      <c r="J36" s="507">
        <f t="shared" si="4"/>
        <v>2375000</v>
      </c>
      <c r="K36" s="537">
        <v>0.41</v>
      </c>
      <c r="L36" s="507">
        <f t="shared" si="5"/>
        <v>1401250.0000000002</v>
      </c>
      <c r="M36" s="507"/>
      <c r="N36" s="507"/>
      <c r="O36" s="909"/>
      <c r="P36" s="515"/>
      <c r="Q36" s="909"/>
      <c r="R36" s="515"/>
      <c r="S36" s="541"/>
    </row>
    <row r="37" spans="1:19" s="629" customFormat="1" ht="24.9" customHeight="1" x14ac:dyDescent="0.2">
      <c r="A37" s="535"/>
      <c r="B37" s="540"/>
      <c r="C37" s="904" t="s">
        <v>12</v>
      </c>
      <c r="D37" s="634" t="s">
        <v>599</v>
      </c>
      <c r="E37" s="542"/>
      <c r="F37" s="776"/>
      <c r="G37" s="526" t="s">
        <v>38</v>
      </c>
      <c r="H37" s="878">
        <v>5</v>
      </c>
      <c r="I37" s="507">
        <v>285000</v>
      </c>
      <c r="J37" s="507">
        <f t="shared" si="4"/>
        <v>1425000</v>
      </c>
      <c r="K37" s="537">
        <v>0.41</v>
      </c>
      <c r="L37" s="507">
        <f t="shared" si="5"/>
        <v>840750.00000000012</v>
      </c>
      <c r="M37" s="507"/>
      <c r="N37" s="507"/>
      <c r="O37" s="909"/>
      <c r="P37" s="515"/>
      <c r="Q37" s="909"/>
      <c r="R37" s="515"/>
      <c r="S37" s="541"/>
    </row>
    <row r="38" spans="1:19" s="629" customFormat="1" ht="24.9" customHeight="1" x14ac:dyDescent="0.2">
      <c r="A38" s="535"/>
      <c r="B38" s="540"/>
      <c r="C38" s="904" t="s">
        <v>12</v>
      </c>
      <c r="D38" s="634" t="s">
        <v>599</v>
      </c>
      <c r="E38" s="542"/>
      <c r="F38" s="776"/>
      <c r="G38" s="526" t="s">
        <v>60</v>
      </c>
      <c r="H38" s="878">
        <v>0</v>
      </c>
      <c r="I38" s="507">
        <v>485000</v>
      </c>
      <c r="J38" s="507">
        <f t="shared" si="4"/>
        <v>0</v>
      </c>
      <c r="K38" s="537">
        <v>0.41</v>
      </c>
      <c r="L38" s="507">
        <f t="shared" si="5"/>
        <v>0</v>
      </c>
      <c r="M38" s="507"/>
      <c r="N38" s="507"/>
      <c r="O38" s="909"/>
      <c r="P38" s="515"/>
      <c r="Q38" s="909"/>
      <c r="R38" s="515"/>
      <c r="S38" s="541"/>
    </row>
    <row r="39" spans="1:19" s="629" customFormat="1" ht="24.9" customHeight="1" x14ac:dyDescent="0.2">
      <c r="A39" s="535"/>
      <c r="B39" s="540"/>
      <c r="C39" s="904" t="s">
        <v>12</v>
      </c>
      <c r="D39" s="634" t="s">
        <v>599</v>
      </c>
      <c r="E39" s="542"/>
      <c r="F39" s="776"/>
      <c r="G39" s="526" t="s">
        <v>39</v>
      </c>
      <c r="H39" s="878">
        <v>5</v>
      </c>
      <c r="I39" s="507">
        <v>285000</v>
      </c>
      <c r="J39" s="507">
        <f t="shared" si="4"/>
        <v>1425000</v>
      </c>
      <c r="K39" s="537">
        <v>0.41</v>
      </c>
      <c r="L39" s="507">
        <f t="shared" si="5"/>
        <v>840750.00000000012</v>
      </c>
      <c r="M39" s="507"/>
      <c r="N39" s="507"/>
      <c r="O39" s="909"/>
      <c r="P39" s="515"/>
      <c r="Q39" s="909"/>
      <c r="R39" s="515"/>
      <c r="S39" s="541"/>
    </row>
    <row r="40" spans="1:19" s="629" customFormat="1" ht="24.9" customHeight="1" x14ac:dyDescent="0.2">
      <c r="A40" s="535"/>
      <c r="B40" s="540"/>
      <c r="C40" s="904" t="s">
        <v>12</v>
      </c>
      <c r="D40" s="634" t="s">
        <v>599</v>
      </c>
      <c r="E40" s="542"/>
      <c r="F40" s="776"/>
      <c r="G40" s="526" t="s">
        <v>40</v>
      </c>
      <c r="H40" s="878">
        <v>5</v>
      </c>
      <c r="I40" s="507">
        <v>485000</v>
      </c>
      <c r="J40" s="507">
        <f t="shared" si="4"/>
        <v>2425000</v>
      </c>
      <c r="K40" s="537">
        <v>0.41</v>
      </c>
      <c r="L40" s="507">
        <f t="shared" si="5"/>
        <v>1430750.0000000002</v>
      </c>
      <c r="M40" s="507"/>
      <c r="N40" s="507"/>
      <c r="O40" s="909"/>
      <c r="P40" s="515"/>
      <c r="Q40" s="909"/>
      <c r="R40" s="515"/>
      <c r="S40" s="541"/>
    </row>
    <row r="41" spans="1:19" s="629" customFormat="1" ht="24.9" customHeight="1" x14ac:dyDescent="0.2">
      <c r="A41" s="535"/>
      <c r="B41" s="540"/>
      <c r="C41" s="904" t="s">
        <v>12</v>
      </c>
      <c r="D41" s="634" t="s">
        <v>599</v>
      </c>
      <c r="E41" s="542"/>
      <c r="F41" s="776"/>
      <c r="G41" s="526" t="s">
        <v>42</v>
      </c>
      <c r="H41" s="878">
        <v>5</v>
      </c>
      <c r="I41" s="507">
        <v>455000</v>
      </c>
      <c r="J41" s="507">
        <f t="shared" si="4"/>
        <v>2275000</v>
      </c>
      <c r="K41" s="537">
        <v>0.41</v>
      </c>
      <c r="L41" s="507">
        <f t="shared" si="5"/>
        <v>1342250.0000000002</v>
      </c>
      <c r="M41" s="507"/>
      <c r="N41" s="507"/>
      <c r="O41" s="909"/>
      <c r="P41" s="515"/>
      <c r="Q41" s="909"/>
      <c r="R41" s="515"/>
      <c r="S41" s="541"/>
    </row>
    <row r="42" spans="1:19" s="629" customFormat="1" ht="24.9" customHeight="1" x14ac:dyDescent="0.2">
      <c r="A42" s="535"/>
      <c r="B42" s="540"/>
      <c r="C42" s="904" t="s">
        <v>12</v>
      </c>
      <c r="D42" s="634" t="s">
        <v>599</v>
      </c>
      <c r="E42" s="542"/>
      <c r="F42" s="776"/>
      <c r="G42" s="526" t="s">
        <v>44</v>
      </c>
      <c r="H42" s="878">
        <v>5</v>
      </c>
      <c r="I42" s="507">
        <v>455000</v>
      </c>
      <c r="J42" s="507">
        <f t="shared" si="4"/>
        <v>2275000</v>
      </c>
      <c r="K42" s="537">
        <v>0.41</v>
      </c>
      <c r="L42" s="507">
        <f t="shared" si="5"/>
        <v>1342250.0000000002</v>
      </c>
      <c r="M42" s="507"/>
      <c r="N42" s="507"/>
      <c r="O42" s="909"/>
      <c r="P42" s="515"/>
      <c r="Q42" s="909"/>
      <c r="R42" s="515"/>
      <c r="S42" s="541"/>
    </row>
    <row r="43" spans="1:19" s="629" customFormat="1" ht="24.9" customHeight="1" x14ac:dyDescent="0.2">
      <c r="A43" s="535"/>
      <c r="B43" s="540"/>
      <c r="C43" s="904" t="s">
        <v>12</v>
      </c>
      <c r="D43" s="634" t="s">
        <v>599</v>
      </c>
      <c r="E43" s="542"/>
      <c r="F43" s="776"/>
      <c r="G43" s="526" t="s">
        <v>41</v>
      </c>
      <c r="H43" s="878">
        <v>0</v>
      </c>
      <c r="I43" s="507">
        <v>550000</v>
      </c>
      <c r="J43" s="507">
        <f t="shared" si="4"/>
        <v>0</v>
      </c>
      <c r="K43" s="537">
        <v>0.41</v>
      </c>
      <c r="L43" s="507">
        <f t="shared" si="5"/>
        <v>0</v>
      </c>
      <c r="M43" s="507"/>
      <c r="N43" s="507"/>
      <c r="O43" s="909"/>
      <c r="P43" s="515"/>
      <c r="Q43" s="909"/>
      <c r="R43" s="515"/>
      <c r="S43" s="541"/>
    </row>
    <row r="44" spans="1:19" s="629" customFormat="1" ht="24.9" customHeight="1" x14ac:dyDescent="0.2">
      <c r="A44" s="544"/>
      <c r="B44" s="555"/>
      <c r="C44" s="553" t="s">
        <v>12</v>
      </c>
      <c r="D44" s="554" t="s">
        <v>599</v>
      </c>
      <c r="E44" s="546"/>
      <c r="F44" s="902"/>
      <c r="G44" s="547" t="s">
        <v>46</v>
      </c>
      <c r="H44" s="702">
        <v>5</v>
      </c>
      <c r="I44" s="513">
        <v>450000</v>
      </c>
      <c r="J44" s="513">
        <f t="shared" si="4"/>
        <v>2250000</v>
      </c>
      <c r="K44" s="548">
        <v>0.41</v>
      </c>
      <c r="L44" s="513">
        <f t="shared" si="5"/>
        <v>1327500.0000000002</v>
      </c>
      <c r="M44" s="513"/>
      <c r="N44" s="513"/>
      <c r="O44" s="910"/>
      <c r="P44" s="516"/>
      <c r="Q44" s="910"/>
      <c r="R44" s="516"/>
      <c r="S44" s="556"/>
    </row>
    <row r="45" spans="1:19" s="629" customFormat="1" ht="42.6" x14ac:dyDescent="0.2">
      <c r="A45" s="527">
        <v>14</v>
      </c>
      <c r="B45" s="552" t="s">
        <v>223</v>
      </c>
      <c r="C45" s="528" t="s">
        <v>12</v>
      </c>
      <c r="D45" s="529" t="s">
        <v>78</v>
      </c>
      <c r="E45" s="529" t="s">
        <v>73</v>
      </c>
      <c r="F45" s="901" t="s">
        <v>74</v>
      </c>
      <c r="G45" s="530" t="s">
        <v>42</v>
      </c>
      <c r="H45" s="921">
        <v>4</v>
      </c>
      <c r="I45" s="512">
        <v>455000</v>
      </c>
      <c r="J45" s="518">
        <f>H45*I45</f>
        <v>1820000</v>
      </c>
      <c r="K45" s="531">
        <v>0.41</v>
      </c>
      <c r="L45" s="512">
        <f>H45*I45*(1-K45)</f>
        <v>1073800.0000000002</v>
      </c>
      <c r="M45" s="512">
        <v>111</v>
      </c>
      <c r="N45" s="512">
        <f>SUM(L45:L46)</f>
        <v>3758300.0000000009</v>
      </c>
      <c r="O45" s="512"/>
      <c r="P45" s="512"/>
      <c r="Q45" s="512"/>
      <c r="R45" s="512"/>
      <c r="S45" s="716" t="s">
        <v>1150</v>
      </c>
    </row>
    <row r="46" spans="1:19" s="629" customFormat="1" ht="10.199999999999999" x14ac:dyDescent="0.2">
      <c r="A46" s="544"/>
      <c r="B46" s="555"/>
      <c r="C46" s="545" t="s">
        <v>12</v>
      </c>
      <c r="D46" s="546" t="s">
        <v>78</v>
      </c>
      <c r="E46" s="546"/>
      <c r="F46" s="902"/>
      <c r="G46" s="547" t="s">
        <v>44</v>
      </c>
      <c r="H46" s="702">
        <v>10</v>
      </c>
      <c r="I46" s="513">
        <v>455000</v>
      </c>
      <c r="J46" s="508">
        <f>H46*I46</f>
        <v>4550000</v>
      </c>
      <c r="K46" s="548">
        <v>0.41</v>
      </c>
      <c r="L46" s="513">
        <f>H46*I46*(1-K46)</f>
        <v>2684500.0000000005</v>
      </c>
      <c r="M46" s="513"/>
      <c r="N46" s="513"/>
      <c r="O46" s="513"/>
      <c r="P46" s="513"/>
      <c r="Q46" s="513"/>
      <c r="R46" s="513"/>
      <c r="S46" s="556"/>
    </row>
    <row r="47" spans="1:19" s="629" customFormat="1" ht="42.6" x14ac:dyDescent="0.2">
      <c r="A47" s="527">
        <v>15</v>
      </c>
      <c r="B47" s="552" t="s">
        <v>222</v>
      </c>
      <c r="C47" s="528" t="s">
        <v>12</v>
      </c>
      <c r="D47" s="529" t="s">
        <v>71</v>
      </c>
      <c r="E47" s="529" t="s">
        <v>70</v>
      </c>
      <c r="F47" s="901" t="s">
        <v>72</v>
      </c>
      <c r="G47" s="530" t="s">
        <v>40</v>
      </c>
      <c r="H47" s="921">
        <v>1</v>
      </c>
      <c r="I47" s="512">
        <v>485000</v>
      </c>
      <c r="J47" s="518">
        <f t="shared" si="4"/>
        <v>485000</v>
      </c>
      <c r="K47" s="531">
        <v>0.1</v>
      </c>
      <c r="L47" s="512">
        <f t="shared" si="5"/>
        <v>436500</v>
      </c>
      <c r="M47" s="911">
        <v>111</v>
      </c>
      <c r="N47" s="911">
        <f>SUM(L47+L48)</f>
        <v>846000</v>
      </c>
      <c r="O47" s="512"/>
      <c r="P47" s="512"/>
      <c r="Q47" s="512"/>
      <c r="R47" s="512"/>
      <c r="S47" s="716" t="s">
        <v>126</v>
      </c>
    </row>
    <row r="48" spans="1:19" s="629" customFormat="1" ht="39" customHeight="1" x14ac:dyDescent="0.2">
      <c r="A48" s="544"/>
      <c r="B48" s="555"/>
      <c r="C48" s="545" t="s">
        <v>12</v>
      </c>
      <c r="D48" s="546" t="s">
        <v>71</v>
      </c>
      <c r="E48" s="546"/>
      <c r="F48" s="902"/>
      <c r="G48" s="547" t="s">
        <v>42</v>
      </c>
      <c r="H48" s="702">
        <v>1</v>
      </c>
      <c r="I48" s="513">
        <v>455000</v>
      </c>
      <c r="J48" s="508">
        <f t="shared" si="4"/>
        <v>455000</v>
      </c>
      <c r="K48" s="548">
        <v>0.1</v>
      </c>
      <c r="L48" s="513">
        <f t="shared" si="5"/>
        <v>409500</v>
      </c>
      <c r="M48" s="912"/>
      <c r="N48" s="912"/>
      <c r="O48" s="513"/>
      <c r="P48" s="513"/>
      <c r="Q48" s="513"/>
      <c r="R48" s="513"/>
      <c r="S48" s="556"/>
    </row>
    <row r="49" spans="1:20" s="1493" customFormat="1" ht="25.8" x14ac:dyDescent="0.2">
      <c r="A49" s="1814">
        <v>16</v>
      </c>
      <c r="B49" s="1815" t="s">
        <v>222</v>
      </c>
      <c r="C49" s="1816" t="s">
        <v>12</v>
      </c>
      <c r="D49" s="1817" t="s">
        <v>601</v>
      </c>
      <c r="E49" s="1817" t="s">
        <v>76</v>
      </c>
      <c r="F49" s="1818"/>
      <c r="G49" s="1819" t="s">
        <v>35</v>
      </c>
      <c r="H49" s="1698">
        <v>12</v>
      </c>
      <c r="I49" s="1820">
        <v>465000</v>
      </c>
      <c r="J49" s="1820">
        <f>H49*I49</f>
        <v>5580000</v>
      </c>
      <c r="K49" s="1821">
        <v>0.41</v>
      </c>
      <c r="L49" s="1820">
        <f>H49*I49*(1-K49)</f>
        <v>3292200.0000000005</v>
      </c>
      <c r="M49" s="1820"/>
      <c r="N49" s="1820"/>
      <c r="O49" s="1820"/>
      <c r="P49" s="1820"/>
      <c r="Q49" s="1820">
        <v>131</v>
      </c>
      <c r="R49" s="1820">
        <f>L49</f>
        <v>3292200.0000000005</v>
      </c>
      <c r="S49" s="1822"/>
    </row>
    <row r="50" spans="1:20" s="629" customFormat="1" ht="67.8" x14ac:dyDescent="0.2">
      <c r="A50" s="557">
        <v>17</v>
      </c>
      <c r="B50" s="560" t="s">
        <v>222</v>
      </c>
      <c r="C50" s="558" t="s">
        <v>750</v>
      </c>
      <c r="D50" s="559" t="s">
        <v>127</v>
      </c>
      <c r="E50" s="559" t="s">
        <v>77</v>
      </c>
      <c r="F50" s="572"/>
      <c r="G50" s="561" t="s">
        <v>40</v>
      </c>
      <c r="H50" s="680">
        <v>1</v>
      </c>
      <c r="I50" s="517">
        <v>485000</v>
      </c>
      <c r="J50" s="517">
        <f>H50*I50</f>
        <v>485000</v>
      </c>
      <c r="K50" s="562">
        <v>0.21</v>
      </c>
      <c r="L50" s="517">
        <f>H50*I50*(1-K50)</f>
        <v>383150</v>
      </c>
      <c r="M50" s="517">
        <v>111</v>
      </c>
      <c r="N50" s="517">
        <f>L50</f>
        <v>383150</v>
      </c>
      <c r="O50" s="517"/>
      <c r="P50" s="517"/>
      <c r="Q50" s="517"/>
      <c r="R50" s="517"/>
      <c r="S50" s="573" t="s">
        <v>1473</v>
      </c>
    </row>
    <row r="51" spans="1:20" s="629" customFormat="1" ht="34.200000000000003" x14ac:dyDescent="0.2">
      <c r="A51" s="527">
        <v>18</v>
      </c>
      <c r="B51" s="913" t="s">
        <v>224</v>
      </c>
      <c r="C51" s="528" t="s">
        <v>12</v>
      </c>
      <c r="D51" s="529" t="s">
        <v>600</v>
      </c>
      <c r="E51" s="529" t="s">
        <v>75</v>
      </c>
      <c r="F51" s="571"/>
      <c r="G51" s="530" t="s">
        <v>40</v>
      </c>
      <c r="H51" s="921">
        <v>24</v>
      </c>
      <c r="I51" s="512">
        <v>485000</v>
      </c>
      <c r="J51" s="518">
        <f t="shared" si="4"/>
        <v>11640000</v>
      </c>
      <c r="K51" s="531">
        <v>0.41</v>
      </c>
      <c r="L51" s="512">
        <f t="shared" si="5"/>
        <v>6867600.0000000009</v>
      </c>
      <c r="M51" s="512">
        <v>111</v>
      </c>
      <c r="N51" s="512">
        <v>13100000</v>
      </c>
      <c r="O51" s="512"/>
      <c r="P51" s="512"/>
      <c r="Q51" s="512"/>
      <c r="R51" s="512"/>
      <c r="S51" s="716" t="s">
        <v>128</v>
      </c>
    </row>
    <row r="52" spans="1:20" s="629" customFormat="1" ht="17.399999999999999" x14ac:dyDescent="0.2">
      <c r="A52" s="535"/>
      <c r="B52" s="914"/>
      <c r="C52" s="528" t="s">
        <v>12</v>
      </c>
      <c r="D52" s="529" t="s">
        <v>600</v>
      </c>
      <c r="E52" s="542"/>
      <c r="F52" s="543"/>
      <c r="G52" s="526" t="s">
        <v>42</v>
      </c>
      <c r="H52" s="878">
        <v>12</v>
      </c>
      <c r="I52" s="507">
        <v>455000</v>
      </c>
      <c r="J52" s="507">
        <f t="shared" si="4"/>
        <v>5460000</v>
      </c>
      <c r="K52" s="537">
        <v>0.41</v>
      </c>
      <c r="L52" s="507">
        <f t="shared" si="5"/>
        <v>3221400.0000000005</v>
      </c>
      <c r="M52" s="507"/>
      <c r="N52" s="507"/>
      <c r="O52" s="507"/>
      <c r="P52" s="507"/>
      <c r="Q52" s="507"/>
      <c r="R52" s="507"/>
      <c r="S52" s="541"/>
    </row>
    <row r="53" spans="1:20" s="629" customFormat="1" ht="17.399999999999999" x14ac:dyDescent="0.2">
      <c r="A53" s="544"/>
      <c r="B53" s="915"/>
      <c r="C53" s="528" t="s">
        <v>12</v>
      </c>
      <c r="D53" s="529" t="s">
        <v>600</v>
      </c>
      <c r="E53" s="546"/>
      <c r="F53" s="575"/>
      <c r="G53" s="547" t="s">
        <v>44</v>
      </c>
      <c r="H53" s="702">
        <v>12</v>
      </c>
      <c r="I53" s="513">
        <v>455000</v>
      </c>
      <c r="J53" s="508">
        <f t="shared" si="4"/>
        <v>5460000</v>
      </c>
      <c r="K53" s="548">
        <v>0.41</v>
      </c>
      <c r="L53" s="513">
        <f t="shared" si="5"/>
        <v>3221400.0000000005</v>
      </c>
      <c r="M53" s="513"/>
      <c r="N53" s="513"/>
      <c r="O53" s="513"/>
      <c r="P53" s="513"/>
      <c r="Q53" s="513"/>
      <c r="R53" s="513"/>
      <c r="S53" s="556"/>
    </row>
    <row r="54" spans="1:20" s="629" customFormat="1" ht="10.199999999999999" x14ac:dyDescent="0.2">
      <c r="A54" s="557">
        <v>19</v>
      </c>
      <c r="B54" s="916" t="s">
        <v>224</v>
      </c>
      <c r="C54" s="558" t="s">
        <v>750</v>
      </c>
      <c r="D54" s="559" t="s">
        <v>79</v>
      </c>
      <c r="E54" s="559" t="s">
        <v>80</v>
      </c>
      <c r="F54" s="572"/>
      <c r="G54" s="561" t="s">
        <v>44</v>
      </c>
      <c r="H54" s="680">
        <v>1</v>
      </c>
      <c r="I54" s="517">
        <v>455000</v>
      </c>
      <c r="J54" s="549">
        <f>H54*I54</f>
        <v>455000</v>
      </c>
      <c r="K54" s="562">
        <v>0.41</v>
      </c>
      <c r="L54" s="517">
        <f>H54*I54*(1-K54)</f>
        <v>268450.00000000006</v>
      </c>
      <c r="M54" s="517">
        <v>111</v>
      </c>
      <c r="N54" s="517">
        <f>L54</f>
        <v>268450.00000000006</v>
      </c>
      <c r="O54" s="517"/>
      <c r="P54" s="517"/>
      <c r="Q54" s="517"/>
      <c r="R54" s="517"/>
      <c r="S54" s="573"/>
    </row>
    <row r="55" spans="1:20" s="629" customFormat="1" ht="25.8" x14ac:dyDescent="0.2">
      <c r="A55" s="557">
        <v>20</v>
      </c>
      <c r="B55" s="560" t="s">
        <v>93</v>
      </c>
      <c r="C55" s="559" t="s">
        <v>61</v>
      </c>
      <c r="D55" s="559" t="s">
        <v>127</v>
      </c>
      <c r="E55" s="559" t="s">
        <v>77</v>
      </c>
      <c r="F55" s="572"/>
      <c r="G55" s="561" t="s">
        <v>44</v>
      </c>
      <c r="H55" s="680">
        <v>1</v>
      </c>
      <c r="I55" s="517">
        <v>455000</v>
      </c>
      <c r="J55" s="517">
        <f t="shared" si="4"/>
        <v>455000</v>
      </c>
      <c r="K55" s="562">
        <v>0.41</v>
      </c>
      <c r="L55" s="517">
        <f t="shared" si="5"/>
        <v>268450.00000000006</v>
      </c>
      <c r="M55" s="517">
        <v>111</v>
      </c>
      <c r="N55" s="517">
        <v>268450</v>
      </c>
      <c r="O55" s="517"/>
      <c r="P55" s="517"/>
      <c r="Q55" s="517"/>
      <c r="R55" s="517"/>
      <c r="S55" s="573"/>
    </row>
    <row r="56" spans="1:20" s="629" customFormat="1" ht="30" customHeight="1" x14ac:dyDescent="0.2">
      <c r="A56" s="527">
        <v>21</v>
      </c>
      <c r="B56" s="552" t="s">
        <v>221</v>
      </c>
      <c r="C56" s="740" t="s">
        <v>61</v>
      </c>
      <c r="D56" s="529" t="s">
        <v>127</v>
      </c>
      <c r="E56" s="529" t="s">
        <v>77</v>
      </c>
      <c r="F56" s="552" t="s">
        <v>62</v>
      </c>
      <c r="G56" s="530" t="s">
        <v>34</v>
      </c>
      <c r="H56" s="921">
        <v>1</v>
      </c>
      <c r="I56" s="512">
        <v>265000</v>
      </c>
      <c r="J56" s="512">
        <f>H56*I56</f>
        <v>265000</v>
      </c>
      <c r="K56" s="531">
        <v>0.41</v>
      </c>
      <c r="L56" s="512">
        <f>H56*I56*(1-K56)</f>
        <v>156350.00000000003</v>
      </c>
      <c r="M56" s="917">
        <v>111</v>
      </c>
      <c r="N56" s="917">
        <f>L56+L57</f>
        <v>805350.00000000012</v>
      </c>
      <c r="O56" s="512"/>
      <c r="P56" s="512"/>
      <c r="Q56" s="512"/>
      <c r="R56" s="512"/>
      <c r="S56" s="716"/>
    </row>
    <row r="57" spans="1:20" s="629" customFormat="1" ht="30" customHeight="1" x14ac:dyDescent="0.2">
      <c r="A57" s="544"/>
      <c r="B57" s="639"/>
      <c r="C57" s="918" t="s">
        <v>61</v>
      </c>
      <c r="D57" s="546" t="s">
        <v>127</v>
      </c>
      <c r="E57" s="546"/>
      <c r="F57" s="555"/>
      <c r="G57" s="547" t="s">
        <v>36</v>
      </c>
      <c r="H57" s="702">
        <v>4</v>
      </c>
      <c r="I57" s="513">
        <v>275000</v>
      </c>
      <c r="J57" s="508">
        <f>H57*I57</f>
        <v>1100000</v>
      </c>
      <c r="K57" s="548">
        <v>0.41</v>
      </c>
      <c r="L57" s="513">
        <f>H57*I57*(1-K57)</f>
        <v>649000.00000000012</v>
      </c>
      <c r="M57" s="919"/>
      <c r="N57" s="919"/>
      <c r="O57" s="513"/>
      <c r="P57" s="513"/>
      <c r="Q57" s="513"/>
      <c r="R57" s="513"/>
      <c r="S57" s="556"/>
    </row>
    <row r="58" spans="1:20" s="629" customFormat="1" ht="48.75" customHeight="1" x14ac:dyDescent="0.2">
      <c r="A58" s="557">
        <v>22</v>
      </c>
      <c r="B58" s="560" t="s">
        <v>1079</v>
      </c>
      <c r="C58" s="558" t="s">
        <v>12</v>
      </c>
      <c r="D58" s="559" t="s">
        <v>81</v>
      </c>
      <c r="E58" s="559"/>
      <c r="F58" s="747" t="s">
        <v>82</v>
      </c>
      <c r="G58" s="561" t="s">
        <v>35</v>
      </c>
      <c r="H58" s="680">
        <v>1</v>
      </c>
      <c r="I58" s="517">
        <v>465000</v>
      </c>
      <c r="J58" s="517">
        <f t="shared" si="4"/>
        <v>465000</v>
      </c>
      <c r="K58" s="562">
        <v>0.2</v>
      </c>
      <c r="L58" s="517">
        <f t="shared" si="5"/>
        <v>372000</v>
      </c>
      <c r="M58" s="517">
        <v>111</v>
      </c>
      <c r="N58" s="517">
        <v>370000</v>
      </c>
      <c r="O58" s="517"/>
      <c r="P58" s="517"/>
      <c r="Q58" s="517"/>
      <c r="R58" s="517"/>
      <c r="S58" s="573"/>
    </row>
    <row r="59" spans="1:20" s="629" customFormat="1" ht="44.25" customHeight="1" x14ac:dyDescent="0.2">
      <c r="A59" s="527">
        <v>23</v>
      </c>
      <c r="B59" s="552" t="s">
        <v>225</v>
      </c>
      <c r="C59" s="528" t="s">
        <v>12</v>
      </c>
      <c r="D59" s="529" t="s">
        <v>86</v>
      </c>
      <c r="E59" s="529"/>
      <c r="F59" s="901" t="s">
        <v>83</v>
      </c>
      <c r="G59" s="530" t="s">
        <v>35</v>
      </c>
      <c r="H59" s="921">
        <v>2</v>
      </c>
      <c r="I59" s="512">
        <v>465000</v>
      </c>
      <c r="J59" s="518">
        <f t="shared" ref="J59:J61" si="6">H59*I59</f>
        <v>930000</v>
      </c>
      <c r="K59" s="531">
        <v>0.2</v>
      </c>
      <c r="L59" s="512">
        <f t="shared" ref="L59:L61" si="7">H59*I59*(1-K59)</f>
        <v>744000</v>
      </c>
      <c r="M59" s="512"/>
      <c r="N59" s="512"/>
      <c r="O59" s="512"/>
      <c r="P59" s="512"/>
      <c r="Q59" s="512">
        <v>131</v>
      </c>
      <c r="R59" s="512">
        <f>SUM(L59:L61)</f>
        <v>1472000</v>
      </c>
      <c r="S59" s="716"/>
    </row>
    <row r="60" spans="1:20" s="629" customFormat="1" ht="17.399999999999999" x14ac:dyDescent="0.2">
      <c r="A60" s="535"/>
      <c r="B60" s="540"/>
      <c r="C60" s="528" t="s">
        <v>12</v>
      </c>
      <c r="D60" s="529" t="s">
        <v>86</v>
      </c>
      <c r="E60" s="542"/>
      <c r="F60" s="776" t="s">
        <v>83</v>
      </c>
      <c r="G60" s="526" t="s">
        <v>44</v>
      </c>
      <c r="H60" s="878">
        <v>1</v>
      </c>
      <c r="I60" s="507">
        <v>455000</v>
      </c>
      <c r="J60" s="507">
        <f t="shared" si="6"/>
        <v>455000</v>
      </c>
      <c r="K60" s="537">
        <v>0.2</v>
      </c>
      <c r="L60" s="507">
        <f t="shared" si="7"/>
        <v>364000</v>
      </c>
      <c r="M60" s="507"/>
      <c r="N60" s="507"/>
      <c r="O60" s="507"/>
      <c r="P60" s="507"/>
      <c r="Q60" s="507"/>
      <c r="R60" s="507"/>
      <c r="S60" s="541"/>
    </row>
    <row r="61" spans="1:20" s="629" customFormat="1" ht="17.399999999999999" x14ac:dyDescent="0.2">
      <c r="A61" s="544"/>
      <c r="B61" s="555"/>
      <c r="C61" s="545" t="s">
        <v>12</v>
      </c>
      <c r="D61" s="546" t="s">
        <v>86</v>
      </c>
      <c r="E61" s="546"/>
      <c r="F61" s="902" t="s">
        <v>83</v>
      </c>
      <c r="G61" s="547" t="s">
        <v>42</v>
      </c>
      <c r="H61" s="547">
        <v>1</v>
      </c>
      <c r="I61" s="513">
        <v>455000</v>
      </c>
      <c r="J61" s="508">
        <f t="shared" si="6"/>
        <v>455000</v>
      </c>
      <c r="K61" s="548">
        <v>0.2</v>
      </c>
      <c r="L61" s="513">
        <f t="shared" si="7"/>
        <v>364000</v>
      </c>
      <c r="M61" s="513"/>
      <c r="N61" s="513"/>
      <c r="O61" s="513"/>
      <c r="P61" s="513"/>
      <c r="Q61" s="513"/>
      <c r="R61" s="513"/>
      <c r="S61" s="556"/>
    </row>
    <row r="62" spans="1:20" s="1364" customFormat="1" ht="18" customHeight="1" x14ac:dyDescent="0.3">
      <c r="A62" s="2206" t="s">
        <v>2</v>
      </c>
      <c r="B62" s="2207"/>
      <c r="C62" s="2207"/>
      <c r="D62" s="2207"/>
      <c r="E62" s="2207"/>
      <c r="F62" s="2207"/>
      <c r="G62" s="2207"/>
      <c r="H62" s="1360">
        <f>SUM(H9:H61)</f>
        <v>213</v>
      </c>
      <c r="I62" s="1361"/>
      <c r="J62" s="1360">
        <f>SUM(J9:J61)</f>
        <v>92115000</v>
      </c>
      <c r="K62" s="1361"/>
      <c r="L62" s="1360">
        <f>SUM(L9:L61)</f>
        <v>54564550</v>
      </c>
      <c r="M62" s="1360"/>
      <c r="N62" s="1360">
        <f>SUM(N9:N61)</f>
        <v>35944200</v>
      </c>
      <c r="O62" s="1360"/>
      <c r="P62" s="1360">
        <f>SUM(P9:P61)</f>
        <v>13346750.000000002</v>
      </c>
      <c r="Q62" s="1360"/>
      <c r="R62" s="1360">
        <f>SUM(R9:R61)</f>
        <v>5061200</v>
      </c>
      <c r="S62" s="1362"/>
      <c r="T62" s="1363"/>
    </row>
    <row r="63" spans="1:20" s="1364" customFormat="1" ht="17.25" customHeight="1" x14ac:dyDescent="0.3">
      <c r="A63" s="2208" t="s">
        <v>190</v>
      </c>
      <c r="B63" s="2209"/>
      <c r="C63" s="2209"/>
      <c r="D63" s="2209"/>
      <c r="E63" s="2209"/>
      <c r="F63" s="2209"/>
      <c r="G63" s="2210"/>
      <c r="H63" s="1360">
        <f>H62</f>
        <v>213</v>
      </c>
      <c r="I63" s="1361"/>
      <c r="J63" s="1361"/>
      <c r="K63" s="1361"/>
      <c r="L63" s="1360">
        <f>L62</f>
        <v>54564550</v>
      </c>
      <c r="M63" s="1360"/>
      <c r="N63" s="1360"/>
      <c r="O63" s="1360"/>
      <c r="P63" s="1360"/>
      <c r="Q63" s="1360"/>
      <c r="R63" s="1360"/>
      <c r="S63" s="1362"/>
      <c r="T63" s="1363"/>
    </row>
    <row r="64" spans="1:20" s="1364" customFormat="1" ht="17.25" customHeight="1" x14ac:dyDescent="0.3">
      <c r="A64" s="2208" t="s">
        <v>191</v>
      </c>
      <c r="B64" s="2209"/>
      <c r="C64" s="2209"/>
      <c r="D64" s="2209"/>
      <c r="E64" s="2209"/>
      <c r="F64" s="2209"/>
      <c r="G64" s="2210"/>
      <c r="H64" s="1360"/>
      <c r="I64" s="1361"/>
      <c r="J64" s="1361"/>
      <c r="K64" s="1361"/>
      <c r="L64" s="1360">
        <f>N62</f>
        <v>35944200</v>
      </c>
      <c r="M64" s="1360"/>
      <c r="N64" s="1360"/>
      <c r="O64" s="1360"/>
      <c r="P64" s="1360"/>
      <c r="Q64" s="1360"/>
      <c r="R64" s="1360"/>
      <c r="S64" s="1362"/>
      <c r="T64" s="1363"/>
    </row>
    <row r="65" spans="1:19" s="1364" customFormat="1" ht="17.25" customHeight="1" x14ac:dyDescent="0.3">
      <c r="A65" s="2208" t="s">
        <v>1853</v>
      </c>
      <c r="B65" s="2209"/>
      <c r="C65" s="2209"/>
      <c r="D65" s="2209"/>
      <c r="E65" s="2209"/>
      <c r="F65" s="2209"/>
      <c r="G65" s="2210"/>
      <c r="H65" s="1360"/>
      <c r="I65" s="1361"/>
      <c r="J65" s="1361"/>
      <c r="K65" s="1361"/>
      <c r="L65" s="1360">
        <f>P62</f>
        <v>13346750.000000002</v>
      </c>
      <c r="M65" s="1360"/>
      <c r="N65" s="1360"/>
      <c r="O65" s="1360"/>
      <c r="P65" s="1360"/>
      <c r="Q65" s="1360"/>
      <c r="R65" s="1360"/>
      <c r="S65" s="1362"/>
    </row>
    <row r="66" spans="1:19" s="1364" customFormat="1" ht="17.25" customHeight="1" x14ac:dyDescent="0.3">
      <c r="A66" s="2208" t="s">
        <v>192</v>
      </c>
      <c r="B66" s="2209"/>
      <c r="C66" s="2209"/>
      <c r="D66" s="2209"/>
      <c r="E66" s="2209"/>
      <c r="F66" s="2209"/>
      <c r="G66" s="2210"/>
      <c r="H66" s="1360"/>
      <c r="I66" s="1361"/>
      <c r="J66" s="1361"/>
      <c r="K66" s="1361"/>
      <c r="L66" s="1360">
        <f>R62</f>
        <v>5061200</v>
      </c>
      <c r="M66" s="1360"/>
      <c r="N66" s="1360"/>
      <c r="O66" s="1360"/>
      <c r="P66" s="1360"/>
      <c r="Q66" s="1360"/>
      <c r="R66" s="1360"/>
      <c r="S66" s="1362"/>
    </row>
    <row r="67" spans="1:19" s="1364" customFormat="1" ht="17.25" customHeight="1" x14ac:dyDescent="0.3">
      <c r="A67" s="1365" t="s">
        <v>751</v>
      </c>
      <c r="B67" s="1366"/>
      <c r="C67" s="1366"/>
      <c r="D67" s="1366"/>
      <c r="E67" s="1366"/>
      <c r="F67" s="1366"/>
      <c r="G67" s="1367"/>
      <c r="H67" s="1360"/>
      <c r="I67" s="1361"/>
      <c r="J67" s="1361"/>
      <c r="K67" s="1361"/>
      <c r="L67" s="1360">
        <v>200000</v>
      </c>
      <c r="M67" s="1360"/>
      <c r="N67" s="1360"/>
      <c r="O67" s="1360"/>
      <c r="P67" s="1360"/>
      <c r="Q67" s="1360"/>
      <c r="R67" s="1360"/>
      <c r="S67" s="1362"/>
    </row>
    <row r="68" spans="1:19" s="1364" customFormat="1" ht="17.25" customHeight="1" x14ac:dyDescent="0.3">
      <c r="A68" s="2208" t="s">
        <v>193</v>
      </c>
      <c r="B68" s="2209"/>
      <c r="C68" s="2209"/>
      <c r="D68" s="2209"/>
      <c r="E68" s="2209"/>
      <c r="F68" s="2209"/>
      <c r="G68" s="2210"/>
      <c r="H68" s="1360"/>
      <c r="I68" s="1361"/>
      <c r="J68" s="1361"/>
      <c r="K68" s="1361"/>
      <c r="L68" s="1360">
        <v>52839150</v>
      </c>
      <c r="M68" s="1360"/>
      <c r="N68" s="1360"/>
      <c r="O68" s="1360"/>
      <c r="P68" s="1360"/>
      <c r="Q68" s="1360"/>
      <c r="R68" s="1360"/>
      <c r="S68" s="1362"/>
    </row>
    <row r="69" spans="1:19" s="1371" customFormat="1" ht="17.25" customHeight="1" x14ac:dyDescent="0.25">
      <c r="A69" s="2203" t="s">
        <v>202</v>
      </c>
      <c r="B69" s="2204"/>
      <c r="C69" s="2204"/>
      <c r="D69" s="2204"/>
      <c r="E69" s="2204"/>
      <c r="F69" s="2204"/>
      <c r="G69" s="2205"/>
      <c r="H69" s="1368"/>
      <c r="I69" s="1368"/>
      <c r="J69" s="1368"/>
      <c r="K69" s="1368"/>
      <c r="L69" s="1369">
        <v>651600</v>
      </c>
      <c r="M69" s="1368"/>
      <c r="N69" s="1368"/>
      <c r="O69" s="1368"/>
      <c r="P69" s="1368"/>
      <c r="Q69" s="1368"/>
      <c r="R69" s="1368"/>
      <c r="S69" s="1370"/>
    </row>
    <row r="70" spans="1:19" s="1371" customFormat="1" ht="17.25" customHeight="1" thickBot="1" x14ac:dyDescent="0.3">
      <c r="A70" s="1372" t="s">
        <v>752</v>
      </c>
      <c r="B70" s="1373"/>
      <c r="C70" s="1373"/>
      <c r="D70" s="1373"/>
      <c r="E70" s="1373"/>
      <c r="F70" s="1373"/>
      <c r="G70" s="1374"/>
      <c r="H70" s="1375"/>
      <c r="I70" s="1375"/>
      <c r="J70" s="1375"/>
      <c r="K70" s="1375"/>
      <c r="L70" s="1376">
        <v>1073800</v>
      </c>
      <c r="M70" s="1375"/>
      <c r="N70" s="1375"/>
      <c r="O70" s="1375"/>
      <c r="P70" s="1375"/>
      <c r="Q70" s="1375"/>
      <c r="R70" s="1375"/>
      <c r="S70" s="1377"/>
    </row>
    <row r="71" spans="1:19" ht="27.9" customHeight="1" thickTop="1" x14ac:dyDescent="0.25">
      <c r="D71" s="2200" t="s">
        <v>84</v>
      </c>
      <c r="E71" s="2200"/>
      <c r="F71" s="2200"/>
      <c r="G71" s="378"/>
      <c r="H71" s="2"/>
      <c r="I71" s="2"/>
      <c r="J71" s="2"/>
      <c r="L71" s="2"/>
      <c r="M71" s="378" t="s">
        <v>85</v>
      </c>
      <c r="N71" s="2"/>
      <c r="O71" s="2"/>
      <c r="P71" s="2"/>
      <c r="Q71" s="2"/>
      <c r="R71" s="520"/>
    </row>
    <row r="72" spans="1:19" ht="27.9" customHeight="1" x14ac:dyDescent="0.25">
      <c r="A72" s="2"/>
      <c r="B72" s="2"/>
      <c r="C72" s="2"/>
      <c r="D72" s="1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520"/>
    </row>
    <row r="73" spans="1:19" ht="27.9" customHeight="1" x14ac:dyDescent="0.25"/>
    <row r="74" spans="1:19" ht="27.9" customHeight="1" x14ac:dyDescent="0.25"/>
    <row r="75" spans="1:19" ht="27.9" customHeight="1" x14ac:dyDescent="0.25"/>
    <row r="76" spans="1:19" ht="27.9" customHeight="1" x14ac:dyDescent="0.25"/>
    <row r="77" spans="1:19" ht="27.9" customHeight="1" x14ac:dyDescent="0.25"/>
    <row r="78" spans="1:19" ht="27.9" customHeight="1" x14ac:dyDescent="0.25"/>
    <row r="79" spans="1:19" ht="27.9" customHeight="1" x14ac:dyDescent="0.25"/>
    <row r="80" spans="1:19" ht="27.9" customHeight="1" x14ac:dyDescent="0.25"/>
    <row r="81" spans="4:19" x14ac:dyDescent="0.25">
      <c r="D81" s="1"/>
      <c r="S81" s="1"/>
    </row>
    <row r="82" spans="4:19" x14ac:dyDescent="0.25">
      <c r="D82" s="1"/>
      <c r="S82" s="1"/>
    </row>
    <row r="83" spans="4:19" x14ac:dyDescent="0.25">
      <c r="D83" s="1"/>
      <c r="S83" s="1"/>
    </row>
    <row r="84" spans="4:19" x14ac:dyDescent="0.25">
      <c r="D84" s="1"/>
      <c r="S84" s="1"/>
    </row>
    <row r="85" spans="4:19" x14ac:dyDescent="0.25">
      <c r="D85" s="1"/>
      <c r="S85" s="1"/>
    </row>
    <row r="86" spans="4:19" x14ac:dyDescent="0.25">
      <c r="D86" s="1"/>
      <c r="S86" s="1"/>
    </row>
    <row r="87" spans="4:19" x14ac:dyDescent="0.25">
      <c r="D87" s="1"/>
      <c r="S87" s="1"/>
    </row>
    <row r="88" spans="4:19" x14ac:dyDescent="0.25">
      <c r="D88" s="1"/>
      <c r="S88" s="1"/>
    </row>
    <row r="89" spans="4:19" x14ac:dyDescent="0.25">
      <c r="D89" s="1"/>
      <c r="S89" s="1"/>
    </row>
    <row r="90" spans="4:19" x14ac:dyDescent="0.25">
      <c r="D90" s="1"/>
      <c r="S90" s="1"/>
    </row>
    <row r="91" spans="4:19" x14ac:dyDescent="0.25">
      <c r="D91" s="1"/>
      <c r="S91" s="1"/>
    </row>
    <row r="92" spans="4:19" x14ac:dyDescent="0.25">
      <c r="D92" s="1"/>
      <c r="S92" s="1"/>
    </row>
    <row r="93" spans="4:19" x14ac:dyDescent="0.25">
      <c r="D93" s="1"/>
      <c r="S93" s="1"/>
    </row>
    <row r="94" spans="4:19" x14ac:dyDescent="0.25">
      <c r="D94" s="1"/>
      <c r="S94" s="1"/>
    </row>
    <row r="95" spans="4:19" x14ac:dyDescent="0.25">
      <c r="D95" s="1"/>
      <c r="S95" s="1"/>
    </row>
    <row r="96" spans="4:19" x14ac:dyDescent="0.25">
      <c r="D96" s="1"/>
      <c r="S96" s="1"/>
    </row>
    <row r="97" spans="4:19" x14ac:dyDescent="0.25">
      <c r="D97" s="1"/>
      <c r="S97" s="1"/>
    </row>
    <row r="98" spans="4:19" x14ac:dyDescent="0.25">
      <c r="D98" s="1"/>
      <c r="S98" s="1"/>
    </row>
    <row r="99" spans="4:19" x14ac:dyDescent="0.25">
      <c r="D99" s="1"/>
      <c r="S99" s="1"/>
    </row>
    <row r="100" spans="4:19" x14ac:dyDescent="0.25">
      <c r="D100" s="1"/>
      <c r="S100" s="1"/>
    </row>
    <row r="101" spans="4:19" x14ac:dyDescent="0.25">
      <c r="D101" s="1"/>
      <c r="S101" s="1"/>
    </row>
    <row r="102" spans="4:19" x14ac:dyDescent="0.25">
      <c r="D102" s="1"/>
      <c r="S102" s="1"/>
    </row>
    <row r="103" spans="4:19" x14ac:dyDescent="0.25">
      <c r="D103" s="1"/>
      <c r="S103" s="1"/>
    </row>
    <row r="104" spans="4:19" x14ac:dyDescent="0.25">
      <c r="D104" s="1"/>
      <c r="S104" s="1"/>
    </row>
    <row r="105" spans="4:19" x14ac:dyDescent="0.25">
      <c r="D105" s="1"/>
      <c r="S105" s="1"/>
    </row>
    <row r="106" spans="4:19" x14ac:dyDescent="0.25">
      <c r="D106" s="1"/>
      <c r="S106" s="1"/>
    </row>
    <row r="107" spans="4:19" x14ac:dyDescent="0.25">
      <c r="D107" s="1"/>
      <c r="S107" s="1"/>
    </row>
    <row r="108" spans="4:19" x14ac:dyDescent="0.25">
      <c r="D108" s="1"/>
      <c r="S108" s="1"/>
    </row>
    <row r="109" spans="4:19" x14ac:dyDescent="0.25">
      <c r="D109" s="1"/>
      <c r="S109" s="1"/>
    </row>
    <row r="110" spans="4:19" x14ac:dyDescent="0.25">
      <c r="D110" s="1"/>
      <c r="S110" s="1"/>
    </row>
    <row r="111" spans="4:19" x14ac:dyDescent="0.25">
      <c r="D111" s="1"/>
      <c r="S111" s="1"/>
    </row>
    <row r="112" spans="4:19" x14ac:dyDescent="0.25">
      <c r="D112" s="1"/>
      <c r="S112" s="1"/>
    </row>
    <row r="113" spans="4:19" x14ac:dyDescent="0.25">
      <c r="D113" s="1"/>
      <c r="S113" s="1"/>
    </row>
    <row r="114" spans="4:19" x14ac:dyDescent="0.25">
      <c r="D114" s="1"/>
      <c r="S114" s="1"/>
    </row>
    <row r="115" spans="4:19" x14ac:dyDescent="0.25">
      <c r="D115" s="1"/>
      <c r="S115" s="1"/>
    </row>
    <row r="116" spans="4:19" x14ac:dyDescent="0.25">
      <c r="D116" s="1"/>
      <c r="S116" s="1"/>
    </row>
    <row r="117" spans="4:19" x14ac:dyDescent="0.25">
      <c r="D117" s="1"/>
      <c r="S117" s="1"/>
    </row>
    <row r="118" spans="4:19" x14ac:dyDescent="0.25">
      <c r="D118" s="1"/>
      <c r="S118" s="1"/>
    </row>
    <row r="119" spans="4:19" x14ac:dyDescent="0.25">
      <c r="D119" s="1"/>
      <c r="S119" s="1"/>
    </row>
    <row r="120" spans="4:19" x14ac:dyDescent="0.25">
      <c r="D120" s="1"/>
      <c r="S120" s="1"/>
    </row>
    <row r="121" spans="4:19" x14ac:dyDescent="0.25">
      <c r="D121" s="1"/>
      <c r="S121" s="1"/>
    </row>
  </sheetData>
  <mergeCells count="18">
    <mergeCell ref="D71:F71"/>
    <mergeCell ref="S7:S8"/>
    <mergeCell ref="A69:G69"/>
    <mergeCell ref="A62:G62"/>
    <mergeCell ref="A63:G63"/>
    <mergeCell ref="A64:G64"/>
    <mergeCell ref="A65:G65"/>
    <mergeCell ref="A66:G66"/>
    <mergeCell ref="A68:G68"/>
    <mergeCell ref="A4:S4"/>
    <mergeCell ref="A5:S5"/>
    <mergeCell ref="A7:A8"/>
    <mergeCell ref="B7:B8"/>
    <mergeCell ref="C7:C8"/>
    <mergeCell ref="D7:F7"/>
    <mergeCell ref="G7:K7"/>
    <mergeCell ref="L7:L8"/>
    <mergeCell ref="M7:R7"/>
  </mergeCells>
  <pageMargins left="0" right="0" top="0" bottom="0" header="0.31496062992125984" footer="0.31496062992125984"/>
  <pageSetup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topLeftCell="A4" zoomScaleNormal="100" workbookViewId="0">
      <pane ySplit="6" topLeftCell="A10" activePane="bottomLeft" state="frozen"/>
      <selection activeCell="A4" sqref="A4"/>
      <selection pane="bottomLeft" activeCell="A6" sqref="A6:S6"/>
    </sheetView>
  </sheetViews>
  <sheetFormatPr defaultColWidth="9.109375" defaultRowHeight="13.8" x14ac:dyDescent="0.25"/>
  <cols>
    <col min="1" max="1" width="3.109375" style="511" customWidth="1"/>
    <col min="2" max="2" width="3.5546875" style="511" customWidth="1"/>
    <col min="3" max="3" width="7.44140625" style="511" customWidth="1"/>
    <col min="4" max="4" width="5.88671875" style="658" customWidth="1"/>
    <col min="5" max="5" width="10.5546875" style="658" customWidth="1"/>
    <col min="6" max="6" width="7.44140625" style="658" customWidth="1"/>
    <col min="7" max="7" width="5.5546875" style="511" customWidth="1"/>
    <col min="8" max="8" width="5.44140625" style="606" customWidth="1"/>
    <col min="9" max="9" width="5.5546875" style="511" customWidth="1"/>
    <col min="10" max="10" width="10.88671875" style="511" customWidth="1"/>
    <col min="11" max="11" width="4.44140625" style="652" customWidth="1"/>
    <col min="12" max="12" width="12.33203125" style="511" customWidth="1"/>
    <col min="13" max="13" width="4.88671875" style="511" customWidth="1"/>
    <col min="14" max="14" width="10.44140625" style="511" customWidth="1"/>
    <col min="15" max="15" width="5.44140625" style="511" customWidth="1"/>
    <col min="16" max="16" width="11.109375" style="511" customWidth="1"/>
    <col min="17" max="17" width="5.44140625" style="511" customWidth="1"/>
    <col min="18" max="18" width="10.44140625" style="511" customWidth="1"/>
    <col min="19" max="19" width="10.109375" style="511" customWidth="1"/>
    <col min="20" max="16384" width="9.109375" style="511"/>
  </cols>
  <sheetData>
    <row r="1" spans="1:19" ht="16.8" x14ac:dyDescent="0.3">
      <c r="A1" s="649" t="s">
        <v>3</v>
      </c>
      <c r="B1" s="649"/>
      <c r="C1" s="650"/>
      <c r="D1" s="651"/>
      <c r="E1" s="651"/>
      <c r="F1" s="651"/>
      <c r="N1" s="650"/>
      <c r="Q1" s="509" t="s">
        <v>4</v>
      </c>
      <c r="R1" s="653"/>
    </row>
    <row r="2" spans="1:19" ht="15.6" x14ac:dyDescent="0.25">
      <c r="A2" s="654" t="s">
        <v>5</v>
      </c>
      <c r="B2" s="654"/>
      <c r="C2" s="655"/>
      <c r="D2" s="656"/>
      <c r="E2" s="656"/>
      <c r="F2" s="656"/>
      <c r="N2" s="655"/>
      <c r="Q2" s="510" t="s">
        <v>6</v>
      </c>
      <c r="R2" s="657"/>
    </row>
    <row r="3" spans="1:19" ht="15.6" x14ac:dyDescent="0.25">
      <c r="A3" s="654" t="s">
        <v>7</v>
      </c>
      <c r="Q3" s="659"/>
      <c r="R3" s="659"/>
    </row>
    <row r="4" spans="1:19" ht="16.8" x14ac:dyDescent="0.3">
      <c r="A4" s="649" t="s">
        <v>3</v>
      </c>
      <c r="B4" s="649"/>
      <c r="C4" s="650"/>
      <c r="D4" s="651"/>
      <c r="E4" s="650"/>
      <c r="F4" s="650"/>
      <c r="I4" s="509"/>
      <c r="J4" s="509"/>
      <c r="K4" s="509"/>
      <c r="L4" s="509"/>
      <c r="M4" s="509"/>
      <c r="N4" s="509"/>
      <c r="O4" s="509" t="s">
        <v>4</v>
      </c>
      <c r="P4" s="509"/>
      <c r="Q4" s="509"/>
      <c r="R4" s="509"/>
      <c r="S4" s="509"/>
    </row>
    <row r="5" spans="1:19" ht="15.6" x14ac:dyDescent="0.25">
      <c r="A5" s="654" t="s">
        <v>5</v>
      </c>
      <c r="B5" s="654"/>
      <c r="C5" s="655"/>
      <c r="D5" s="656"/>
      <c r="E5" s="655"/>
      <c r="F5" s="655"/>
      <c r="I5" s="510"/>
      <c r="J5" s="510"/>
      <c r="K5" s="510"/>
      <c r="L5" s="510"/>
      <c r="M5" s="510"/>
      <c r="N5" s="510"/>
      <c r="O5" s="510" t="s">
        <v>6</v>
      </c>
      <c r="P5" s="510"/>
      <c r="Q5" s="510"/>
      <c r="R5" s="510"/>
      <c r="S5" s="510"/>
    </row>
    <row r="6" spans="1:19" ht="20.399999999999999" x14ac:dyDescent="0.35">
      <c r="A6" s="2220" t="s">
        <v>615</v>
      </c>
      <c r="B6" s="2220"/>
      <c r="C6" s="2220"/>
      <c r="D6" s="2220"/>
      <c r="E6" s="2220"/>
      <c r="F6" s="2220"/>
      <c r="G6" s="2220"/>
      <c r="H6" s="2220"/>
      <c r="I6" s="2220"/>
      <c r="J6" s="2220"/>
      <c r="K6" s="2221"/>
      <c r="L6" s="2220"/>
      <c r="M6" s="2220"/>
      <c r="N6" s="2220"/>
      <c r="O6" s="2220"/>
      <c r="P6" s="2220"/>
      <c r="Q6" s="2220"/>
      <c r="R6" s="2220"/>
      <c r="S6" s="2220"/>
    </row>
    <row r="7" spans="1:19" ht="15" customHeight="1" thickBot="1" x14ac:dyDescent="0.3">
      <c r="A7" s="2222" t="s">
        <v>622</v>
      </c>
      <c r="B7" s="2222"/>
      <c r="C7" s="2222"/>
      <c r="D7" s="2222"/>
      <c r="E7" s="2222"/>
      <c r="F7" s="2222"/>
      <c r="G7" s="2222"/>
      <c r="H7" s="2222"/>
      <c r="I7" s="2222"/>
      <c r="J7" s="2222"/>
      <c r="K7" s="2223"/>
      <c r="L7" s="2222"/>
      <c r="M7" s="2222"/>
      <c r="N7" s="2222"/>
      <c r="O7" s="2222"/>
      <c r="P7" s="2222"/>
      <c r="Q7" s="2222"/>
      <c r="R7" s="2222"/>
      <c r="S7" s="2222"/>
    </row>
    <row r="8" spans="1:19" s="197" customFormat="1" ht="34.5" customHeight="1" thickTop="1" x14ac:dyDescent="0.15">
      <c r="A8" s="2224" t="s">
        <v>0</v>
      </c>
      <c r="B8" s="2226" t="s">
        <v>153</v>
      </c>
      <c r="C8" s="2226" t="s">
        <v>613</v>
      </c>
      <c r="D8" s="2226" t="s">
        <v>105</v>
      </c>
      <c r="E8" s="2226"/>
      <c r="F8" s="2226"/>
      <c r="G8" s="2228" t="s">
        <v>130</v>
      </c>
      <c r="H8" s="2229"/>
      <c r="I8" s="2229"/>
      <c r="J8" s="2229"/>
      <c r="K8" s="2231"/>
      <c r="L8" s="2126" t="s">
        <v>966</v>
      </c>
      <c r="M8" s="2228" t="s">
        <v>182</v>
      </c>
      <c r="N8" s="2229"/>
      <c r="O8" s="2229"/>
      <c r="P8" s="2229"/>
      <c r="Q8" s="2229"/>
      <c r="R8" s="2230"/>
      <c r="S8" s="2218" t="s">
        <v>1</v>
      </c>
    </row>
    <row r="9" spans="1:19" s="197" customFormat="1" ht="43.5" customHeight="1" x14ac:dyDescent="0.15">
      <c r="A9" s="2225"/>
      <c r="B9" s="2227"/>
      <c r="C9" s="2227"/>
      <c r="D9" s="662" t="s">
        <v>23</v>
      </c>
      <c r="E9" s="506" t="s">
        <v>25</v>
      </c>
      <c r="F9" s="506" t="s">
        <v>27</v>
      </c>
      <c r="G9" s="506" t="s">
        <v>29</v>
      </c>
      <c r="H9" s="1093" t="s">
        <v>87</v>
      </c>
      <c r="I9" s="506" t="s">
        <v>49</v>
      </c>
      <c r="J9" s="806" t="s">
        <v>209</v>
      </c>
      <c r="K9" s="663" t="s">
        <v>22</v>
      </c>
      <c r="L9" s="2121"/>
      <c r="M9" s="506" t="s">
        <v>131</v>
      </c>
      <c r="N9" s="506" t="s">
        <v>149</v>
      </c>
      <c r="O9" s="506" t="s">
        <v>132</v>
      </c>
      <c r="P9" s="506" t="s">
        <v>149</v>
      </c>
      <c r="Q9" s="506" t="s">
        <v>133</v>
      </c>
      <c r="R9" s="506" t="s">
        <v>149</v>
      </c>
      <c r="S9" s="2219"/>
    </row>
    <row r="10" spans="1:19" s="197" customFormat="1" ht="16.8" x14ac:dyDescent="0.15">
      <c r="A10" s="557">
        <v>1</v>
      </c>
      <c r="B10" s="664" t="s">
        <v>228</v>
      </c>
      <c r="C10" s="558" t="s">
        <v>17</v>
      </c>
      <c r="D10" s="559" t="s">
        <v>134</v>
      </c>
      <c r="E10" s="559" t="s">
        <v>135</v>
      </c>
      <c r="F10" s="558"/>
      <c r="G10" s="561" t="s">
        <v>35</v>
      </c>
      <c r="H10" s="680">
        <v>1</v>
      </c>
      <c r="I10" s="517">
        <v>465000</v>
      </c>
      <c r="J10" s="517">
        <f>H10*I10</f>
        <v>465000</v>
      </c>
      <c r="K10" s="562">
        <v>0.16</v>
      </c>
      <c r="L10" s="517">
        <f>H10*I10*(1-K10)</f>
        <v>390600</v>
      </c>
      <c r="M10" s="517"/>
      <c r="N10" s="517"/>
      <c r="O10" s="517">
        <v>112</v>
      </c>
      <c r="P10" s="517">
        <v>400000</v>
      </c>
      <c r="Q10" s="517"/>
      <c r="R10" s="665"/>
      <c r="S10" s="683" t="s">
        <v>731</v>
      </c>
    </row>
    <row r="11" spans="1:19" s="197" customFormat="1" ht="25.2" x14ac:dyDescent="0.15">
      <c r="A11" s="527">
        <v>2</v>
      </c>
      <c r="B11" s="666" t="s">
        <v>228</v>
      </c>
      <c r="C11" s="528" t="s">
        <v>12</v>
      </c>
      <c r="D11" s="529" t="s">
        <v>596</v>
      </c>
      <c r="E11" s="529" t="s">
        <v>137</v>
      </c>
      <c r="F11" s="528"/>
      <c r="G11" s="530" t="s">
        <v>35</v>
      </c>
      <c r="H11" s="921">
        <v>5</v>
      </c>
      <c r="I11" s="512">
        <v>465000</v>
      </c>
      <c r="J11" s="532">
        <f t="shared" ref="J11:J74" si="0">H11*I11</f>
        <v>2325000</v>
      </c>
      <c r="K11" s="531">
        <v>0.35</v>
      </c>
      <c r="L11" s="512">
        <f t="shared" ref="L11:L118" si="1">H11*I11*(1-K11)</f>
        <v>1511250</v>
      </c>
      <c r="M11" s="512"/>
      <c r="N11" s="512"/>
      <c r="O11" s="512"/>
      <c r="P11" s="512"/>
      <c r="Q11" s="512">
        <v>131</v>
      </c>
      <c r="R11" s="667">
        <f>SUM(L11:L14)</f>
        <v>2304250</v>
      </c>
      <c r="S11" s="534"/>
    </row>
    <row r="12" spans="1:19" s="197" customFormat="1" ht="25.2" x14ac:dyDescent="0.15">
      <c r="A12" s="535"/>
      <c r="B12" s="666" t="s">
        <v>228</v>
      </c>
      <c r="C12" s="528" t="s">
        <v>12</v>
      </c>
      <c r="D12" s="529" t="s">
        <v>596</v>
      </c>
      <c r="E12" s="529"/>
      <c r="F12" s="536"/>
      <c r="G12" s="526" t="s">
        <v>40</v>
      </c>
      <c r="H12" s="878">
        <v>1</v>
      </c>
      <c r="I12" s="507">
        <v>485000</v>
      </c>
      <c r="J12" s="507">
        <f t="shared" si="0"/>
        <v>485000</v>
      </c>
      <c r="K12" s="537">
        <v>0.35</v>
      </c>
      <c r="L12" s="507">
        <f t="shared" si="1"/>
        <v>315250</v>
      </c>
      <c r="M12" s="507"/>
      <c r="N12" s="507"/>
      <c r="O12" s="507"/>
      <c r="P12" s="507"/>
      <c r="Q12" s="507"/>
      <c r="R12" s="668"/>
      <c r="S12" s="539"/>
    </row>
    <row r="13" spans="1:19" s="197" customFormat="1" ht="25.2" x14ac:dyDescent="0.15">
      <c r="A13" s="535"/>
      <c r="B13" s="666" t="s">
        <v>228</v>
      </c>
      <c r="C13" s="528" t="s">
        <v>12</v>
      </c>
      <c r="D13" s="529" t="s">
        <v>596</v>
      </c>
      <c r="E13" s="529"/>
      <c r="F13" s="536"/>
      <c r="G13" s="526" t="s">
        <v>38</v>
      </c>
      <c r="H13" s="878">
        <v>1</v>
      </c>
      <c r="I13" s="507">
        <v>285000</v>
      </c>
      <c r="J13" s="507">
        <f t="shared" si="0"/>
        <v>285000</v>
      </c>
      <c r="K13" s="537">
        <v>0.35</v>
      </c>
      <c r="L13" s="507">
        <f t="shared" si="1"/>
        <v>185250</v>
      </c>
      <c r="M13" s="507"/>
      <c r="N13" s="507"/>
      <c r="O13" s="507"/>
      <c r="P13" s="507"/>
      <c r="Q13" s="507"/>
      <c r="R13" s="668"/>
      <c r="S13" s="539"/>
    </row>
    <row r="14" spans="1:19" s="197" customFormat="1" ht="25.2" x14ac:dyDescent="0.15">
      <c r="A14" s="544"/>
      <c r="B14" s="666" t="s">
        <v>228</v>
      </c>
      <c r="C14" s="545" t="s">
        <v>12</v>
      </c>
      <c r="D14" s="546" t="s">
        <v>596</v>
      </c>
      <c r="E14" s="546"/>
      <c r="F14" s="555"/>
      <c r="G14" s="547" t="s">
        <v>46</v>
      </c>
      <c r="H14" s="702">
        <v>1</v>
      </c>
      <c r="I14" s="513">
        <v>450000</v>
      </c>
      <c r="J14" s="549">
        <f t="shared" si="0"/>
        <v>450000</v>
      </c>
      <c r="K14" s="548">
        <v>0.35</v>
      </c>
      <c r="L14" s="513">
        <f t="shared" si="1"/>
        <v>292500</v>
      </c>
      <c r="M14" s="513"/>
      <c r="N14" s="513"/>
      <c r="O14" s="513"/>
      <c r="P14" s="513"/>
      <c r="Q14" s="513"/>
      <c r="R14" s="670"/>
      <c r="S14" s="551"/>
    </row>
    <row r="15" spans="1:19" s="197" customFormat="1" ht="50.4" x14ac:dyDescent="0.15">
      <c r="A15" s="527">
        <v>3</v>
      </c>
      <c r="B15" s="666" t="s">
        <v>229</v>
      </c>
      <c r="C15" s="571" t="s">
        <v>723</v>
      </c>
      <c r="D15" s="529" t="s">
        <v>597</v>
      </c>
      <c r="E15" s="529" t="s">
        <v>138</v>
      </c>
      <c r="F15" s="552"/>
      <c r="G15" s="530" t="s">
        <v>35</v>
      </c>
      <c r="H15" s="921">
        <v>12</v>
      </c>
      <c r="I15" s="512">
        <v>465000</v>
      </c>
      <c r="J15" s="532">
        <f t="shared" si="0"/>
        <v>5580000</v>
      </c>
      <c r="K15" s="531">
        <v>0.35</v>
      </c>
      <c r="L15" s="512">
        <f t="shared" si="1"/>
        <v>3627000</v>
      </c>
      <c r="M15" s="512"/>
      <c r="N15" s="512"/>
      <c r="O15" s="512">
        <v>112</v>
      </c>
      <c r="P15" s="512">
        <v>15000000</v>
      </c>
      <c r="Q15" s="512"/>
      <c r="R15" s="667"/>
      <c r="S15" s="534"/>
    </row>
    <row r="16" spans="1:19" s="197" customFormat="1" ht="50.4" x14ac:dyDescent="0.15">
      <c r="A16" s="535"/>
      <c r="B16" s="671"/>
      <c r="C16" s="571" t="s">
        <v>723</v>
      </c>
      <c r="D16" s="529" t="s">
        <v>597</v>
      </c>
      <c r="E16" s="529"/>
      <c r="F16" s="540"/>
      <c r="G16" s="526" t="s">
        <v>37</v>
      </c>
      <c r="H16" s="878">
        <v>12</v>
      </c>
      <c r="I16" s="507">
        <v>475000</v>
      </c>
      <c r="J16" s="507">
        <f t="shared" si="0"/>
        <v>5700000</v>
      </c>
      <c r="K16" s="537">
        <v>0.35</v>
      </c>
      <c r="L16" s="507">
        <f t="shared" si="1"/>
        <v>3705000</v>
      </c>
      <c r="M16" s="507"/>
      <c r="N16" s="507"/>
      <c r="O16" s="507"/>
      <c r="P16" s="507"/>
      <c r="Q16" s="507"/>
      <c r="R16" s="668"/>
      <c r="S16" s="539"/>
    </row>
    <row r="17" spans="1:19" s="197" customFormat="1" ht="50.4" x14ac:dyDescent="0.15">
      <c r="A17" s="544"/>
      <c r="B17" s="669"/>
      <c r="C17" s="575" t="s">
        <v>723</v>
      </c>
      <c r="D17" s="546" t="s">
        <v>597</v>
      </c>
      <c r="E17" s="546"/>
      <c r="F17" s="555"/>
      <c r="G17" s="547" t="s">
        <v>42</v>
      </c>
      <c r="H17" s="702">
        <v>12</v>
      </c>
      <c r="I17" s="513">
        <v>455000</v>
      </c>
      <c r="J17" s="549">
        <f t="shared" si="0"/>
        <v>5460000</v>
      </c>
      <c r="K17" s="548">
        <v>0.35</v>
      </c>
      <c r="L17" s="513">
        <f t="shared" si="1"/>
        <v>3549000</v>
      </c>
      <c r="M17" s="513"/>
      <c r="N17" s="513"/>
      <c r="O17" s="513"/>
      <c r="P17" s="513"/>
      <c r="Q17" s="513"/>
      <c r="R17" s="670"/>
      <c r="S17" s="551"/>
    </row>
    <row r="18" spans="1:19" s="197" customFormat="1" ht="25.2" x14ac:dyDescent="0.15">
      <c r="A18" s="527">
        <v>4</v>
      </c>
      <c r="B18" s="666" t="s">
        <v>230</v>
      </c>
      <c r="C18" s="528" t="s">
        <v>12</v>
      </c>
      <c r="D18" s="529" t="s">
        <v>596</v>
      </c>
      <c r="E18" s="529" t="s">
        <v>137</v>
      </c>
      <c r="F18" s="552"/>
      <c r="G18" s="530" t="s">
        <v>35</v>
      </c>
      <c r="H18" s="921">
        <v>3</v>
      </c>
      <c r="I18" s="512">
        <v>465000</v>
      </c>
      <c r="J18" s="532">
        <f t="shared" si="0"/>
        <v>1395000</v>
      </c>
      <c r="K18" s="531">
        <v>0.35</v>
      </c>
      <c r="L18" s="512">
        <f t="shared" si="1"/>
        <v>906750</v>
      </c>
      <c r="M18" s="512"/>
      <c r="N18" s="512"/>
      <c r="O18" s="512"/>
      <c r="P18" s="512"/>
      <c r="Q18" s="512">
        <v>131</v>
      </c>
      <c r="R18" s="667">
        <f>SUM(L18:L23)</f>
        <v>3360500</v>
      </c>
      <c r="S18" s="534"/>
    </row>
    <row r="19" spans="1:19" s="197" customFormat="1" ht="25.2" x14ac:dyDescent="0.15">
      <c r="A19" s="535"/>
      <c r="B19" s="666" t="s">
        <v>230</v>
      </c>
      <c r="C19" s="528" t="s">
        <v>12</v>
      </c>
      <c r="D19" s="529" t="s">
        <v>596</v>
      </c>
      <c r="E19" s="529"/>
      <c r="F19" s="540"/>
      <c r="G19" s="526" t="s">
        <v>40</v>
      </c>
      <c r="H19" s="878">
        <v>1</v>
      </c>
      <c r="I19" s="507">
        <v>485000</v>
      </c>
      <c r="J19" s="507">
        <f t="shared" si="0"/>
        <v>485000</v>
      </c>
      <c r="K19" s="537">
        <v>0.35</v>
      </c>
      <c r="L19" s="507">
        <f t="shared" si="1"/>
        <v>315250</v>
      </c>
      <c r="M19" s="507"/>
      <c r="N19" s="507"/>
      <c r="O19" s="507"/>
      <c r="P19" s="507"/>
      <c r="Q19" s="507"/>
      <c r="R19" s="668"/>
      <c r="S19" s="539"/>
    </row>
    <row r="20" spans="1:19" s="197" customFormat="1" ht="25.2" x14ac:dyDescent="0.15">
      <c r="A20" s="535"/>
      <c r="B20" s="666" t="s">
        <v>230</v>
      </c>
      <c r="C20" s="528" t="s">
        <v>12</v>
      </c>
      <c r="D20" s="529" t="s">
        <v>596</v>
      </c>
      <c r="E20" s="529"/>
      <c r="F20" s="540"/>
      <c r="G20" s="526" t="s">
        <v>38</v>
      </c>
      <c r="H20" s="878">
        <v>2</v>
      </c>
      <c r="I20" s="507">
        <v>285000</v>
      </c>
      <c r="J20" s="507">
        <f t="shared" si="0"/>
        <v>570000</v>
      </c>
      <c r="K20" s="537">
        <v>0.35</v>
      </c>
      <c r="L20" s="507">
        <f t="shared" si="1"/>
        <v>370500</v>
      </c>
      <c r="M20" s="507"/>
      <c r="N20" s="507"/>
      <c r="O20" s="507"/>
      <c r="P20" s="507"/>
      <c r="Q20" s="507"/>
      <c r="R20" s="668"/>
      <c r="S20" s="539"/>
    </row>
    <row r="21" spans="1:19" s="197" customFormat="1" ht="25.2" x14ac:dyDescent="0.15">
      <c r="A21" s="535"/>
      <c r="B21" s="666" t="s">
        <v>230</v>
      </c>
      <c r="C21" s="528" t="s">
        <v>12</v>
      </c>
      <c r="D21" s="529" t="s">
        <v>596</v>
      </c>
      <c r="E21" s="529"/>
      <c r="F21" s="540"/>
      <c r="G21" s="526" t="s">
        <v>46</v>
      </c>
      <c r="H21" s="878">
        <v>2</v>
      </c>
      <c r="I21" s="507">
        <v>450000</v>
      </c>
      <c r="J21" s="507">
        <f t="shared" si="0"/>
        <v>900000</v>
      </c>
      <c r="K21" s="537">
        <v>0.35</v>
      </c>
      <c r="L21" s="507">
        <f t="shared" si="1"/>
        <v>585000</v>
      </c>
      <c r="M21" s="507"/>
      <c r="N21" s="507"/>
      <c r="O21" s="507"/>
      <c r="P21" s="507"/>
      <c r="Q21" s="507"/>
      <c r="R21" s="668"/>
      <c r="S21" s="539"/>
    </row>
    <row r="22" spans="1:19" s="197" customFormat="1" ht="25.2" x14ac:dyDescent="0.15">
      <c r="A22" s="535"/>
      <c r="B22" s="666" t="s">
        <v>230</v>
      </c>
      <c r="C22" s="528" t="s">
        <v>12</v>
      </c>
      <c r="D22" s="529" t="s">
        <v>596</v>
      </c>
      <c r="E22" s="529"/>
      <c r="F22" s="540"/>
      <c r="G22" s="526" t="s">
        <v>44</v>
      </c>
      <c r="H22" s="878">
        <v>2</v>
      </c>
      <c r="I22" s="507">
        <v>455000</v>
      </c>
      <c r="J22" s="507">
        <f t="shared" si="0"/>
        <v>910000</v>
      </c>
      <c r="K22" s="537">
        <v>0.35</v>
      </c>
      <c r="L22" s="507">
        <f t="shared" si="1"/>
        <v>591500</v>
      </c>
      <c r="M22" s="507"/>
      <c r="N22" s="507"/>
      <c r="O22" s="507"/>
      <c r="P22" s="507"/>
      <c r="Q22" s="507"/>
      <c r="R22" s="668"/>
      <c r="S22" s="539"/>
    </row>
    <row r="23" spans="1:19" s="197" customFormat="1" ht="25.2" x14ac:dyDescent="0.15">
      <c r="A23" s="544"/>
      <c r="B23" s="666" t="s">
        <v>230</v>
      </c>
      <c r="C23" s="545" t="s">
        <v>12</v>
      </c>
      <c r="D23" s="546" t="s">
        <v>596</v>
      </c>
      <c r="E23" s="546"/>
      <c r="F23" s="555"/>
      <c r="G23" s="547" t="s">
        <v>42</v>
      </c>
      <c r="H23" s="702">
        <v>2</v>
      </c>
      <c r="I23" s="513">
        <v>455000</v>
      </c>
      <c r="J23" s="513">
        <f t="shared" si="0"/>
        <v>910000</v>
      </c>
      <c r="K23" s="548">
        <v>0.35</v>
      </c>
      <c r="L23" s="513">
        <f t="shared" si="1"/>
        <v>591500</v>
      </c>
      <c r="M23" s="513"/>
      <c r="N23" s="513"/>
      <c r="O23" s="513"/>
      <c r="P23" s="513"/>
      <c r="Q23" s="513"/>
      <c r="R23" s="670"/>
      <c r="S23" s="551"/>
    </row>
    <row r="24" spans="1:19" s="197" customFormat="1" ht="25.2" x14ac:dyDescent="0.15">
      <c r="A24" s="527">
        <v>5</v>
      </c>
      <c r="B24" s="666" t="s">
        <v>230</v>
      </c>
      <c r="C24" s="528" t="s">
        <v>12</v>
      </c>
      <c r="D24" s="529" t="s">
        <v>139</v>
      </c>
      <c r="E24" s="529" t="s">
        <v>140</v>
      </c>
      <c r="F24" s="528"/>
      <c r="G24" s="530" t="s">
        <v>35</v>
      </c>
      <c r="H24" s="921">
        <v>2</v>
      </c>
      <c r="I24" s="512">
        <v>465000</v>
      </c>
      <c r="J24" s="512">
        <f t="shared" si="0"/>
        <v>930000</v>
      </c>
      <c r="K24" s="533">
        <v>0.2</v>
      </c>
      <c r="L24" s="512">
        <f>H24*I24*(1-K24)</f>
        <v>744000</v>
      </c>
      <c r="M24" s="512">
        <v>111</v>
      </c>
      <c r="N24" s="512">
        <f>SUM(L24:L27)</f>
        <v>2960000</v>
      </c>
      <c r="O24" s="512"/>
      <c r="P24" s="512"/>
      <c r="Q24" s="512"/>
      <c r="R24" s="667"/>
      <c r="S24" s="534"/>
    </row>
    <row r="25" spans="1:19" s="197" customFormat="1" ht="8.4" x14ac:dyDescent="0.15">
      <c r="A25" s="535"/>
      <c r="B25" s="671"/>
      <c r="C25" s="528" t="s">
        <v>12</v>
      </c>
      <c r="D25" s="529" t="s">
        <v>139</v>
      </c>
      <c r="E25" s="529"/>
      <c r="F25" s="536"/>
      <c r="G25" s="526" t="s">
        <v>37</v>
      </c>
      <c r="H25" s="878">
        <v>2</v>
      </c>
      <c r="I25" s="507">
        <v>475000</v>
      </c>
      <c r="J25" s="507">
        <f t="shared" si="0"/>
        <v>950000</v>
      </c>
      <c r="K25" s="538">
        <v>0.2</v>
      </c>
      <c r="L25" s="507">
        <f t="shared" ref="L25:L28" si="2">H25*I25*(1-K25)</f>
        <v>760000</v>
      </c>
      <c r="M25" s="507"/>
      <c r="N25" s="507"/>
      <c r="O25" s="507"/>
      <c r="P25" s="507"/>
      <c r="Q25" s="507"/>
      <c r="R25" s="668"/>
      <c r="S25" s="539"/>
    </row>
    <row r="26" spans="1:19" s="197" customFormat="1" ht="8.4" x14ac:dyDescent="0.15">
      <c r="A26" s="535"/>
      <c r="B26" s="671"/>
      <c r="C26" s="528" t="s">
        <v>12</v>
      </c>
      <c r="D26" s="529" t="s">
        <v>139</v>
      </c>
      <c r="E26" s="529"/>
      <c r="F26" s="536"/>
      <c r="G26" s="526" t="s">
        <v>44</v>
      </c>
      <c r="H26" s="878">
        <v>2</v>
      </c>
      <c r="I26" s="507">
        <v>455000</v>
      </c>
      <c r="J26" s="507">
        <f t="shared" si="0"/>
        <v>910000</v>
      </c>
      <c r="K26" s="538">
        <v>0.2</v>
      </c>
      <c r="L26" s="507">
        <f t="shared" si="2"/>
        <v>728000</v>
      </c>
      <c r="M26" s="507"/>
      <c r="N26" s="507"/>
      <c r="O26" s="507"/>
      <c r="P26" s="507"/>
      <c r="Q26" s="507"/>
      <c r="R26" s="668"/>
      <c r="S26" s="539"/>
    </row>
    <row r="27" spans="1:19" s="197" customFormat="1" ht="8.4" x14ac:dyDescent="0.15">
      <c r="A27" s="544"/>
      <c r="B27" s="669"/>
      <c r="C27" s="545" t="s">
        <v>12</v>
      </c>
      <c r="D27" s="546" t="s">
        <v>139</v>
      </c>
      <c r="E27" s="546"/>
      <c r="F27" s="545"/>
      <c r="G27" s="547" t="s">
        <v>42</v>
      </c>
      <c r="H27" s="702">
        <v>2</v>
      </c>
      <c r="I27" s="513">
        <v>455000</v>
      </c>
      <c r="J27" s="513">
        <f t="shared" si="0"/>
        <v>910000</v>
      </c>
      <c r="K27" s="550">
        <v>0.2</v>
      </c>
      <c r="L27" s="513">
        <f t="shared" si="2"/>
        <v>728000</v>
      </c>
      <c r="M27" s="513"/>
      <c r="N27" s="513"/>
      <c r="O27" s="513"/>
      <c r="P27" s="513"/>
      <c r="Q27" s="513"/>
      <c r="R27" s="670"/>
      <c r="S27" s="551"/>
    </row>
    <row r="28" spans="1:19" s="197" customFormat="1" ht="42" x14ac:dyDescent="0.15">
      <c r="A28" s="527">
        <v>6</v>
      </c>
      <c r="B28" s="666" t="s">
        <v>230</v>
      </c>
      <c r="C28" s="528" t="s">
        <v>12</v>
      </c>
      <c r="D28" s="529" t="s">
        <v>598</v>
      </c>
      <c r="E28" s="529" t="s">
        <v>141</v>
      </c>
      <c r="F28" s="552" t="s">
        <v>142</v>
      </c>
      <c r="G28" s="530" t="s">
        <v>35</v>
      </c>
      <c r="H28" s="921">
        <v>1</v>
      </c>
      <c r="I28" s="512">
        <v>465000</v>
      </c>
      <c r="J28" s="512">
        <f t="shared" si="0"/>
        <v>465000</v>
      </c>
      <c r="K28" s="531">
        <v>0.41</v>
      </c>
      <c r="L28" s="512">
        <f t="shared" si="2"/>
        <v>274350.00000000006</v>
      </c>
      <c r="M28" s="512"/>
      <c r="N28" s="512"/>
      <c r="O28" s="512"/>
      <c r="P28" s="512"/>
      <c r="Q28" s="512">
        <v>131</v>
      </c>
      <c r="R28" s="667">
        <v>1090000</v>
      </c>
      <c r="S28" s="534"/>
    </row>
    <row r="29" spans="1:19" s="197" customFormat="1" ht="42" x14ac:dyDescent="0.15">
      <c r="A29" s="535"/>
      <c r="B29" s="671"/>
      <c r="C29" s="528" t="s">
        <v>12</v>
      </c>
      <c r="D29" s="529" t="s">
        <v>598</v>
      </c>
      <c r="E29" s="529"/>
      <c r="F29" s="540"/>
      <c r="G29" s="526" t="s">
        <v>36</v>
      </c>
      <c r="H29" s="878">
        <v>1</v>
      </c>
      <c r="I29" s="507">
        <v>275000</v>
      </c>
      <c r="J29" s="507">
        <f t="shared" si="0"/>
        <v>275000</v>
      </c>
      <c r="K29" s="537">
        <v>1</v>
      </c>
      <c r="L29" s="507">
        <f t="shared" si="1"/>
        <v>0</v>
      </c>
      <c r="M29" s="507"/>
      <c r="N29" s="507"/>
      <c r="O29" s="507"/>
      <c r="P29" s="507"/>
      <c r="Q29" s="507"/>
      <c r="R29" s="668"/>
      <c r="S29" s="539" t="s">
        <v>143</v>
      </c>
    </row>
    <row r="30" spans="1:19" s="197" customFormat="1" ht="42" x14ac:dyDescent="0.15">
      <c r="A30" s="535"/>
      <c r="B30" s="671"/>
      <c r="C30" s="528" t="s">
        <v>12</v>
      </c>
      <c r="D30" s="529" t="s">
        <v>598</v>
      </c>
      <c r="E30" s="529"/>
      <c r="F30" s="540"/>
      <c r="G30" s="526" t="s">
        <v>40</v>
      </c>
      <c r="H30" s="878">
        <v>1</v>
      </c>
      <c r="I30" s="507">
        <v>485000</v>
      </c>
      <c r="J30" s="507">
        <f t="shared" si="0"/>
        <v>485000</v>
      </c>
      <c r="K30" s="537">
        <v>0.41</v>
      </c>
      <c r="L30" s="507">
        <f t="shared" si="1"/>
        <v>286150.00000000006</v>
      </c>
      <c r="M30" s="507"/>
      <c r="N30" s="507"/>
      <c r="O30" s="507"/>
      <c r="P30" s="507"/>
      <c r="Q30" s="507"/>
      <c r="R30" s="668"/>
      <c r="S30" s="539"/>
    </row>
    <row r="31" spans="1:19" s="197" customFormat="1" ht="42" x14ac:dyDescent="0.15">
      <c r="A31" s="535"/>
      <c r="B31" s="671"/>
      <c r="C31" s="528" t="s">
        <v>12</v>
      </c>
      <c r="D31" s="529" t="s">
        <v>598</v>
      </c>
      <c r="E31" s="529"/>
      <c r="F31" s="540"/>
      <c r="G31" s="526" t="s">
        <v>44</v>
      </c>
      <c r="H31" s="878">
        <v>1</v>
      </c>
      <c r="I31" s="507">
        <v>455000</v>
      </c>
      <c r="J31" s="507">
        <f t="shared" si="0"/>
        <v>455000</v>
      </c>
      <c r="K31" s="537">
        <v>0.41</v>
      </c>
      <c r="L31" s="507">
        <f t="shared" si="1"/>
        <v>268450.00000000006</v>
      </c>
      <c r="M31" s="507"/>
      <c r="N31" s="507"/>
      <c r="O31" s="507"/>
      <c r="P31" s="507"/>
      <c r="Q31" s="507"/>
      <c r="R31" s="668"/>
      <c r="S31" s="539"/>
    </row>
    <row r="32" spans="1:19" s="197" customFormat="1" ht="42" x14ac:dyDescent="0.15">
      <c r="A32" s="544"/>
      <c r="B32" s="669"/>
      <c r="C32" s="528" t="s">
        <v>12</v>
      </c>
      <c r="D32" s="529" t="s">
        <v>598</v>
      </c>
      <c r="E32" s="529"/>
      <c r="F32" s="555"/>
      <c r="G32" s="547" t="s">
        <v>42</v>
      </c>
      <c r="H32" s="702">
        <v>1</v>
      </c>
      <c r="I32" s="513">
        <v>455000</v>
      </c>
      <c r="J32" s="513">
        <f t="shared" si="0"/>
        <v>455000</v>
      </c>
      <c r="K32" s="548">
        <v>0.41</v>
      </c>
      <c r="L32" s="513">
        <f t="shared" si="1"/>
        <v>268450.00000000006</v>
      </c>
      <c r="M32" s="513"/>
      <c r="N32" s="513"/>
      <c r="O32" s="513"/>
      <c r="P32" s="513"/>
      <c r="Q32" s="513"/>
      <c r="R32" s="670"/>
      <c r="S32" s="551"/>
    </row>
    <row r="33" spans="1:19" s="197" customFormat="1" ht="8.4" x14ac:dyDescent="0.15">
      <c r="A33" s="557">
        <v>7</v>
      </c>
      <c r="B33" s="664" t="s">
        <v>231</v>
      </c>
      <c r="C33" s="558" t="s">
        <v>61</v>
      </c>
      <c r="D33" s="559" t="s">
        <v>127</v>
      </c>
      <c r="E33" s="559"/>
      <c r="F33" s="558"/>
      <c r="G33" s="561" t="s">
        <v>44</v>
      </c>
      <c r="H33" s="680">
        <v>1</v>
      </c>
      <c r="I33" s="517">
        <v>455000</v>
      </c>
      <c r="J33" s="519">
        <f t="shared" si="0"/>
        <v>455000</v>
      </c>
      <c r="K33" s="562">
        <v>0.41</v>
      </c>
      <c r="L33" s="517">
        <f t="shared" si="1"/>
        <v>268450.00000000006</v>
      </c>
      <c r="M33" s="517">
        <v>111</v>
      </c>
      <c r="N33" s="517">
        <v>268000</v>
      </c>
      <c r="O33" s="517"/>
      <c r="P33" s="517"/>
      <c r="Q33" s="517"/>
      <c r="R33" s="665"/>
      <c r="S33" s="564"/>
    </row>
    <row r="34" spans="1:19" s="197" customFormat="1" ht="16.8" x14ac:dyDescent="0.15">
      <c r="A34" s="557">
        <v>8</v>
      </c>
      <c r="B34" s="664" t="s">
        <v>231</v>
      </c>
      <c r="C34" s="558" t="s">
        <v>12</v>
      </c>
      <c r="D34" s="559" t="s">
        <v>127</v>
      </c>
      <c r="E34" s="559" t="s">
        <v>144</v>
      </c>
      <c r="F34" s="558"/>
      <c r="G34" s="561" t="s">
        <v>46</v>
      </c>
      <c r="H34" s="680">
        <v>3</v>
      </c>
      <c r="I34" s="517">
        <v>450000</v>
      </c>
      <c r="J34" s="517">
        <f t="shared" si="0"/>
        <v>1350000</v>
      </c>
      <c r="K34" s="562">
        <v>0.25900000000000001</v>
      </c>
      <c r="L34" s="517">
        <f t="shared" si="1"/>
        <v>1000350</v>
      </c>
      <c r="M34" s="517">
        <v>111</v>
      </c>
      <c r="N34" s="517">
        <v>1000000</v>
      </c>
      <c r="O34" s="517"/>
      <c r="P34" s="517"/>
      <c r="Q34" s="517"/>
      <c r="R34" s="665"/>
      <c r="S34" s="564"/>
    </row>
    <row r="35" spans="1:19" s="197" customFormat="1" ht="8.4" x14ac:dyDescent="0.15">
      <c r="A35" s="527">
        <v>9</v>
      </c>
      <c r="B35" s="666" t="s">
        <v>232</v>
      </c>
      <c r="C35" s="528" t="s">
        <v>12</v>
      </c>
      <c r="D35" s="529" t="s">
        <v>145</v>
      </c>
      <c r="E35" s="529" t="s">
        <v>146</v>
      </c>
      <c r="F35" s="528"/>
      <c r="G35" s="530" t="s">
        <v>37</v>
      </c>
      <c r="H35" s="921">
        <v>1</v>
      </c>
      <c r="I35" s="512">
        <v>475000</v>
      </c>
      <c r="J35" s="512">
        <f t="shared" si="0"/>
        <v>475000</v>
      </c>
      <c r="K35" s="531">
        <v>0.25</v>
      </c>
      <c r="L35" s="512">
        <f t="shared" si="1"/>
        <v>356250</v>
      </c>
      <c r="M35" s="512">
        <v>111</v>
      </c>
      <c r="N35" s="512">
        <v>1616000</v>
      </c>
      <c r="O35" s="512"/>
      <c r="P35" s="512"/>
      <c r="Q35" s="512"/>
      <c r="R35" s="667"/>
      <c r="S35" s="534"/>
    </row>
    <row r="36" spans="1:19" s="197" customFormat="1" ht="8.4" x14ac:dyDescent="0.15">
      <c r="A36" s="535"/>
      <c r="B36" s="666" t="s">
        <v>232</v>
      </c>
      <c r="C36" s="528" t="s">
        <v>12</v>
      </c>
      <c r="D36" s="529" t="s">
        <v>145</v>
      </c>
      <c r="E36" s="529"/>
      <c r="F36" s="536"/>
      <c r="G36" s="526" t="s">
        <v>40</v>
      </c>
      <c r="H36" s="878">
        <v>1</v>
      </c>
      <c r="I36" s="507">
        <v>485000</v>
      </c>
      <c r="J36" s="507">
        <f t="shared" si="0"/>
        <v>485000</v>
      </c>
      <c r="K36" s="537">
        <v>0.25</v>
      </c>
      <c r="L36" s="507">
        <f t="shared" si="1"/>
        <v>363750</v>
      </c>
      <c r="M36" s="507"/>
      <c r="N36" s="507"/>
      <c r="O36" s="507"/>
      <c r="P36" s="507"/>
      <c r="Q36" s="507"/>
      <c r="R36" s="668"/>
      <c r="S36" s="539"/>
    </row>
    <row r="37" spans="1:19" s="197" customFormat="1" ht="8.4" x14ac:dyDescent="0.15">
      <c r="A37" s="535"/>
      <c r="B37" s="666" t="s">
        <v>232</v>
      </c>
      <c r="C37" s="528" t="s">
        <v>12</v>
      </c>
      <c r="D37" s="529" t="s">
        <v>145</v>
      </c>
      <c r="E37" s="529"/>
      <c r="F37" s="536"/>
      <c r="G37" s="526" t="s">
        <v>38</v>
      </c>
      <c r="H37" s="878">
        <v>1</v>
      </c>
      <c r="I37" s="507">
        <v>285000</v>
      </c>
      <c r="J37" s="507">
        <f t="shared" si="0"/>
        <v>285000</v>
      </c>
      <c r="K37" s="537">
        <v>0.25</v>
      </c>
      <c r="L37" s="507">
        <f t="shared" si="1"/>
        <v>213750</v>
      </c>
      <c r="M37" s="507"/>
      <c r="N37" s="507"/>
      <c r="O37" s="507"/>
      <c r="P37" s="507"/>
      <c r="Q37" s="507"/>
      <c r="R37" s="668"/>
      <c r="S37" s="539"/>
    </row>
    <row r="38" spans="1:19" s="197" customFormat="1" ht="8.4" x14ac:dyDescent="0.15">
      <c r="A38" s="535"/>
      <c r="B38" s="666" t="s">
        <v>232</v>
      </c>
      <c r="C38" s="528" t="s">
        <v>12</v>
      </c>
      <c r="D38" s="529" t="s">
        <v>145</v>
      </c>
      <c r="E38" s="529"/>
      <c r="F38" s="536"/>
      <c r="G38" s="526" t="s">
        <v>44</v>
      </c>
      <c r="H38" s="878">
        <v>1</v>
      </c>
      <c r="I38" s="507">
        <v>455000</v>
      </c>
      <c r="J38" s="507">
        <f t="shared" si="0"/>
        <v>455000</v>
      </c>
      <c r="K38" s="537">
        <v>0.25</v>
      </c>
      <c r="L38" s="507">
        <f t="shared" si="1"/>
        <v>341250</v>
      </c>
      <c r="M38" s="507"/>
      <c r="N38" s="507"/>
      <c r="O38" s="507"/>
      <c r="P38" s="507"/>
      <c r="Q38" s="507"/>
      <c r="R38" s="668"/>
      <c r="S38" s="539"/>
    </row>
    <row r="39" spans="1:19" s="197" customFormat="1" ht="8.4" x14ac:dyDescent="0.15">
      <c r="A39" s="544"/>
      <c r="B39" s="666" t="s">
        <v>232</v>
      </c>
      <c r="C39" s="545" t="s">
        <v>12</v>
      </c>
      <c r="D39" s="546" t="s">
        <v>145</v>
      </c>
      <c r="E39" s="546"/>
      <c r="F39" s="545"/>
      <c r="G39" s="547" t="s">
        <v>42</v>
      </c>
      <c r="H39" s="702">
        <v>1</v>
      </c>
      <c r="I39" s="513">
        <v>455000</v>
      </c>
      <c r="J39" s="508">
        <f t="shared" si="0"/>
        <v>455000</v>
      </c>
      <c r="K39" s="548">
        <v>0.25</v>
      </c>
      <c r="L39" s="513">
        <f t="shared" si="1"/>
        <v>341250</v>
      </c>
      <c r="M39" s="513"/>
      <c r="N39" s="513"/>
      <c r="O39" s="513"/>
      <c r="P39" s="513"/>
      <c r="Q39" s="513"/>
      <c r="R39" s="670"/>
      <c r="S39" s="551"/>
    </row>
    <row r="40" spans="1:19" s="197" customFormat="1" ht="42" customHeight="1" x14ac:dyDescent="0.15">
      <c r="A40" s="527">
        <v>10</v>
      </c>
      <c r="B40" s="666" t="s">
        <v>233</v>
      </c>
      <c r="C40" s="672" t="s">
        <v>753</v>
      </c>
      <c r="D40" s="529" t="s">
        <v>127</v>
      </c>
      <c r="E40" s="529"/>
      <c r="F40" s="528"/>
      <c r="G40" s="530" t="s">
        <v>39</v>
      </c>
      <c r="H40" s="921">
        <v>1</v>
      </c>
      <c r="I40" s="512">
        <v>285000</v>
      </c>
      <c r="J40" s="518">
        <f t="shared" si="0"/>
        <v>285000</v>
      </c>
      <c r="K40" s="531">
        <v>0.21</v>
      </c>
      <c r="L40" s="512">
        <f t="shared" si="1"/>
        <v>225150</v>
      </c>
      <c r="M40" s="512">
        <v>111</v>
      </c>
      <c r="N40" s="512">
        <f>L40+L41</f>
        <v>584600</v>
      </c>
      <c r="O40" s="512"/>
      <c r="P40" s="512"/>
      <c r="Q40" s="512"/>
      <c r="R40" s="667"/>
      <c r="S40" s="2235" t="s">
        <v>1473</v>
      </c>
    </row>
    <row r="41" spans="1:19" s="197" customFormat="1" ht="14.25" customHeight="1" x14ac:dyDescent="0.15">
      <c r="A41" s="544"/>
      <c r="B41" s="669"/>
      <c r="C41" s="673" t="s">
        <v>753</v>
      </c>
      <c r="D41" s="554" t="s">
        <v>127</v>
      </c>
      <c r="E41" s="554"/>
      <c r="F41" s="545"/>
      <c r="G41" s="547" t="s">
        <v>42</v>
      </c>
      <c r="H41" s="702">
        <v>1</v>
      </c>
      <c r="I41" s="513">
        <v>455000</v>
      </c>
      <c r="J41" s="513">
        <f t="shared" si="0"/>
        <v>455000</v>
      </c>
      <c r="K41" s="548">
        <v>0.21</v>
      </c>
      <c r="L41" s="513">
        <f t="shared" si="1"/>
        <v>359450</v>
      </c>
      <c r="M41" s="513"/>
      <c r="N41" s="513"/>
      <c r="O41" s="513"/>
      <c r="P41" s="513"/>
      <c r="Q41" s="513"/>
      <c r="R41" s="670"/>
      <c r="S41" s="2236"/>
    </row>
    <row r="42" spans="1:19" s="197" customFormat="1" ht="8.4" x14ac:dyDescent="0.15">
      <c r="A42" s="557">
        <v>11</v>
      </c>
      <c r="B42" s="664" t="s">
        <v>233</v>
      </c>
      <c r="C42" s="558" t="s">
        <v>61</v>
      </c>
      <c r="D42" s="559" t="s">
        <v>127</v>
      </c>
      <c r="E42" s="559"/>
      <c r="F42" s="560"/>
      <c r="G42" s="561" t="s">
        <v>35</v>
      </c>
      <c r="H42" s="680">
        <v>1</v>
      </c>
      <c r="I42" s="517">
        <v>465000</v>
      </c>
      <c r="J42" s="519">
        <f t="shared" si="0"/>
        <v>465000</v>
      </c>
      <c r="K42" s="562">
        <v>0.41</v>
      </c>
      <c r="L42" s="517">
        <f t="shared" si="1"/>
        <v>274350.00000000006</v>
      </c>
      <c r="M42" s="517">
        <v>111</v>
      </c>
      <c r="N42" s="517">
        <f>L42</f>
        <v>274350.00000000006</v>
      </c>
      <c r="O42" s="517"/>
      <c r="P42" s="517"/>
      <c r="Q42" s="517"/>
      <c r="R42" s="665"/>
      <c r="S42" s="564"/>
    </row>
    <row r="43" spans="1:19" s="197" customFormat="1" ht="16.8" x14ac:dyDescent="0.15">
      <c r="A43" s="638">
        <v>12</v>
      </c>
      <c r="B43" s="674" t="s">
        <v>233</v>
      </c>
      <c r="C43" s="553" t="s">
        <v>12</v>
      </c>
      <c r="D43" s="554" t="s">
        <v>139</v>
      </c>
      <c r="E43" s="554" t="s">
        <v>147</v>
      </c>
      <c r="F43" s="553"/>
      <c r="G43" s="640" t="s">
        <v>42</v>
      </c>
      <c r="H43" s="881">
        <v>3</v>
      </c>
      <c r="I43" s="549">
        <v>455000</v>
      </c>
      <c r="J43" s="517">
        <f t="shared" si="0"/>
        <v>1365000</v>
      </c>
      <c r="K43" s="641">
        <v>0.2</v>
      </c>
      <c r="L43" s="549">
        <f t="shared" si="1"/>
        <v>1092000</v>
      </c>
      <c r="M43" s="549">
        <v>111</v>
      </c>
      <c r="N43" s="549">
        <f>L43</f>
        <v>1092000</v>
      </c>
      <c r="O43" s="549"/>
      <c r="P43" s="549"/>
      <c r="Q43" s="549"/>
      <c r="R43" s="675"/>
      <c r="S43" s="642"/>
    </row>
    <row r="44" spans="1:19" s="197" customFormat="1" ht="50.4" x14ac:dyDescent="0.15">
      <c r="A44" s="527">
        <v>13</v>
      </c>
      <c r="B44" s="666" t="s">
        <v>234</v>
      </c>
      <c r="C44" s="528" t="s">
        <v>12</v>
      </c>
      <c r="D44" s="718" t="s">
        <v>597</v>
      </c>
      <c r="E44" s="529" t="s">
        <v>148</v>
      </c>
      <c r="F44" s="528"/>
      <c r="G44" s="530" t="s">
        <v>34</v>
      </c>
      <c r="H44" s="921">
        <v>24</v>
      </c>
      <c r="I44" s="512">
        <v>265000</v>
      </c>
      <c r="J44" s="512">
        <f t="shared" si="0"/>
        <v>6360000</v>
      </c>
      <c r="K44" s="531">
        <v>0.35</v>
      </c>
      <c r="L44" s="512">
        <f t="shared" si="1"/>
        <v>4134000</v>
      </c>
      <c r="M44" s="512"/>
      <c r="N44" s="512"/>
      <c r="O44" s="512">
        <v>112</v>
      </c>
      <c r="P44" s="512">
        <v>21156000</v>
      </c>
      <c r="Q44" s="512"/>
      <c r="R44" s="667"/>
      <c r="S44" s="534"/>
    </row>
    <row r="45" spans="1:19" s="197" customFormat="1" ht="50.4" x14ac:dyDescent="0.15">
      <c r="A45" s="535"/>
      <c r="B45" s="666" t="s">
        <v>234</v>
      </c>
      <c r="C45" s="528" t="s">
        <v>12</v>
      </c>
      <c r="D45" s="718" t="s">
        <v>597</v>
      </c>
      <c r="E45" s="529"/>
      <c r="F45" s="536"/>
      <c r="G45" s="526" t="s">
        <v>36</v>
      </c>
      <c r="H45" s="878">
        <v>24</v>
      </c>
      <c r="I45" s="507">
        <v>275000</v>
      </c>
      <c r="J45" s="507">
        <f t="shared" si="0"/>
        <v>6600000</v>
      </c>
      <c r="K45" s="537">
        <v>0.35</v>
      </c>
      <c r="L45" s="507">
        <f t="shared" si="1"/>
        <v>4290000</v>
      </c>
      <c r="M45" s="507"/>
      <c r="N45" s="507"/>
      <c r="O45" s="512"/>
      <c r="P45" s="507"/>
      <c r="Q45" s="507"/>
      <c r="R45" s="668"/>
      <c r="S45" s="539"/>
    </row>
    <row r="46" spans="1:19" s="197" customFormat="1" ht="50.4" x14ac:dyDescent="0.15">
      <c r="A46" s="535"/>
      <c r="B46" s="666" t="s">
        <v>234</v>
      </c>
      <c r="C46" s="528" t="s">
        <v>12</v>
      </c>
      <c r="D46" s="718" t="s">
        <v>597</v>
      </c>
      <c r="E46" s="529"/>
      <c r="F46" s="536"/>
      <c r="G46" s="526" t="s">
        <v>39</v>
      </c>
      <c r="H46" s="878">
        <v>36</v>
      </c>
      <c r="I46" s="507">
        <v>285000</v>
      </c>
      <c r="J46" s="507">
        <f t="shared" si="0"/>
        <v>10260000</v>
      </c>
      <c r="K46" s="537">
        <v>0.35</v>
      </c>
      <c r="L46" s="507">
        <f t="shared" si="1"/>
        <v>6669000</v>
      </c>
      <c r="M46" s="507"/>
      <c r="N46" s="507"/>
      <c r="O46" s="512"/>
      <c r="P46" s="507"/>
      <c r="Q46" s="507"/>
      <c r="R46" s="668"/>
      <c r="S46" s="541" t="s">
        <v>1029</v>
      </c>
    </row>
    <row r="47" spans="1:19" s="197" customFormat="1" ht="50.4" x14ac:dyDescent="0.15">
      <c r="A47" s="535"/>
      <c r="B47" s="666" t="s">
        <v>234</v>
      </c>
      <c r="C47" s="528" t="s">
        <v>12</v>
      </c>
      <c r="D47" s="718" t="s">
        <v>597</v>
      </c>
      <c r="E47" s="529"/>
      <c r="F47" s="536"/>
      <c r="G47" s="526" t="s">
        <v>38</v>
      </c>
      <c r="H47" s="878">
        <v>12</v>
      </c>
      <c r="I47" s="507">
        <v>285000</v>
      </c>
      <c r="J47" s="507">
        <f t="shared" si="0"/>
        <v>3420000</v>
      </c>
      <c r="K47" s="537">
        <v>0.35</v>
      </c>
      <c r="L47" s="507">
        <f t="shared" si="1"/>
        <v>2223000</v>
      </c>
      <c r="M47" s="507"/>
      <c r="N47" s="507"/>
      <c r="O47" s="512"/>
      <c r="P47" s="507"/>
      <c r="Q47" s="507"/>
      <c r="R47" s="668"/>
      <c r="S47" s="539"/>
    </row>
    <row r="48" spans="1:19" s="197" customFormat="1" ht="50.4" x14ac:dyDescent="0.15">
      <c r="A48" s="535"/>
      <c r="B48" s="666" t="s">
        <v>234</v>
      </c>
      <c r="C48" s="528" t="s">
        <v>12</v>
      </c>
      <c r="D48" s="718" t="s">
        <v>597</v>
      </c>
      <c r="E48" s="529"/>
      <c r="F48" s="536"/>
      <c r="G48" s="526" t="s">
        <v>46</v>
      </c>
      <c r="H48" s="878">
        <v>25</v>
      </c>
      <c r="I48" s="507">
        <v>450000</v>
      </c>
      <c r="J48" s="507">
        <f t="shared" si="0"/>
        <v>11250000</v>
      </c>
      <c r="K48" s="537">
        <v>0.35</v>
      </c>
      <c r="L48" s="507">
        <f t="shared" si="1"/>
        <v>7312500</v>
      </c>
      <c r="M48" s="507"/>
      <c r="N48" s="507"/>
      <c r="O48" s="512"/>
      <c r="P48" s="507"/>
      <c r="Q48" s="507"/>
      <c r="R48" s="668"/>
      <c r="S48" s="539"/>
    </row>
    <row r="49" spans="1:19" s="197" customFormat="1" ht="50.4" x14ac:dyDescent="0.15">
      <c r="A49" s="535"/>
      <c r="B49" s="666" t="s">
        <v>234</v>
      </c>
      <c r="C49" s="528" t="s">
        <v>12</v>
      </c>
      <c r="D49" s="718" t="s">
        <v>597</v>
      </c>
      <c r="E49" s="529"/>
      <c r="F49" s="536"/>
      <c r="G49" s="526" t="s">
        <v>44</v>
      </c>
      <c r="H49" s="878">
        <v>24</v>
      </c>
      <c r="I49" s="507">
        <v>455000</v>
      </c>
      <c r="J49" s="507">
        <f t="shared" si="0"/>
        <v>10920000</v>
      </c>
      <c r="K49" s="537">
        <v>0.35</v>
      </c>
      <c r="L49" s="507">
        <f t="shared" si="1"/>
        <v>7098000</v>
      </c>
      <c r="M49" s="507"/>
      <c r="N49" s="507"/>
      <c r="O49" s="507">
        <v>112</v>
      </c>
      <c r="P49" s="507">
        <v>10000000</v>
      </c>
      <c r="Q49" s="507"/>
      <c r="R49" s="668"/>
      <c r="S49" s="539"/>
    </row>
    <row r="50" spans="1:19" s="197" customFormat="1" ht="50.4" x14ac:dyDescent="0.15">
      <c r="A50" s="544"/>
      <c r="B50" s="666" t="s">
        <v>234</v>
      </c>
      <c r="C50" s="545" t="s">
        <v>12</v>
      </c>
      <c r="D50" s="701" t="s">
        <v>597</v>
      </c>
      <c r="E50" s="546"/>
      <c r="F50" s="545"/>
      <c r="G50" s="547" t="s">
        <v>42</v>
      </c>
      <c r="H50" s="702">
        <v>12</v>
      </c>
      <c r="I50" s="513">
        <v>455000</v>
      </c>
      <c r="J50" s="513">
        <f t="shared" si="0"/>
        <v>5460000</v>
      </c>
      <c r="K50" s="548">
        <v>0.35</v>
      </c>
      <c r="L50" s="513">
        <f t="shared" si="1"/>
        <v>3549000</v>
      </c>
      <c r="M50" s="513"/>
      <c r="N50" s="513"/>
      <c r="O50" s="513"/>
      <c r="P50" s="513"/>
      <c r="Q50" s="513"/>
      <c r="R50" s="670"/>
      <c r="S50" s="551"/>
    </row>
    <row r="51" spans="1:19" s="197" customFormat="1" ht="16.8" x14ac:dyDescent="0.15">
      <c r="A51" s="527">
        <v>14</v>
      </c>
      <c r="B51" s="666" t="s">
        <v>150</v>
      </c>
      <c r="C51" s="528" t="s">
        <v>12</v>
      </c>
      <c r="D51" s="529" t="s">
        <v>139</v>
      </c>
      <c r="E51" s="529" t="s">
        <v>147</v>
      </c>
      <c r="F51" s="528"/>
      <c r="G51" s="530" t="s">
        <v>35</v>
      </c>
      <c r="H51" s="921">
        <v>1</v>
      </c>
      <c r="I51" s="512">
        <v>455000</v>
      </c>
      <c r="J51" s="512">
        <f t="shared" si="0"/>
        <v>455000</v>
      </c>
      <c r="K51" s="533">
        <v>0.2</v>
      </c>
      <c r="L51" s="512">
        <f t="shared" si="1"/>
        <v>364000</v>
      </c>
      <c r="M51" s="512">
        <v>111</v>
      </c>
      <c r="N51" s="512">
        <f>SUM(L51:L53)</f>
        <v>1640000</v>
      </c>
      <c r="O51" s="512"/>
      <c r="P51" s="512"/>
      <c r="Q51" s="512"/>
      <c r="R51" s="667"/>
      <c r="S51" s="534"/>
    </row>
    <row r="52" spans="1:19" s="197" customFormat="1" ht="8.4" x14ac:dyDescent="0.15">
      <c r="A52" s="535"/>
      <c r="B52" s="671"/>
      <c r="C52" s="528" t="s">
        <v>12</v>
      </c>
      <c r="D52" s="529" t="s">
        <v>139</v>
      </c>
      <c r="E52" s="529"/>
      <c r="F52" s="536"/>
      <c r="G52" s="526" t="s">
        <v>39</v>
      </c>
      <c r="H52" s="878">
        <v>4</v>
      </c>
      <c r="I52" s="507">
        <v>285000</v>
      </c>
      <c r="J52" s="507">
        <f t="shared" si="0"/>
        <v>1140000</v>
      </c>
      <c r="K52" s="538">
        <v>0.2</v>
      </c>
      <c r="L52" s="507">
        <f t="shared" si="1"/>
        <v>912000</v>
      </c>
      <c r="M52" s="507"/>
      <c r="N52" s="507"/>
      <c r="O52" s="507"/>
      <c r="P52" s="507"/>
      <c r="Q52" s="507"/>
      <c r="R52" s="668"/>
      <c r="S52" s="539"/>
    </row>
    <row r="53" spans="1:19" s="197" customFormat="1" ht="8.4" x14ac:dyDescent="0.15">
      <c r="A53" s="544"/>
      <c r="B53" s="669"/>
      <c r="C53" s="528" t="s">
        <v>12</v>
      </c>
      <c r="D53" s="529" t="s">
        <v>139</v>
      </c>
      <c r="E53" s="529"/>
      <c r="F53" s="545"/>
      <c r="G53" s="547" t="s">
        <v>42</v>
      </c>
      <c r="H53" s="702">
        <v>1</v>
      </c>
      <c r="I53" s="513">
        <v>455000</v>
      </c>
      <c r="J53" s="513">
        <f t="shared" si="0"/>
        <v>455000</v>
      </c>
      <c r="K53" s="550">
        <v>0.2</v>
      </c>
      <c r="L53" s="513">
        <f t="shared" si="1"/>
        <v>364000</v>
      </c>
      <c r="M53" s="513"/>
      <c r="N53" s="513"/>
      <c r="O53" s="513"/>
      <c r="P53" s="513"/>
      <c r="Q53" s="513"/>
      <c r="R53" s="670"/>
      <c r="S53" s="551"/>
    </row>
    <row r="54" spans="1:19" s="197" customFormat="1" ht="16.8" x14ac:dyDescent="0.15">
      <c r="A54" s="557">
        <v>15</v>
      </c>
      <c r="B54" s="664" t="s">
        <v>150</v>
      </c>
      <c r="C54" s="558" t="s">
        <v>12</v>
      </c>
      <c r="D54" s="676" t="s">
        <v>180</v>
      </c>
      <c r="E54" s="559" t="s">
        <v>181</v>
      </c>
      <c r="F54" s="558"/>
      <c r="G54" s="561" t="s">
        <v>40</v>
      </c>
      <c r="H54" s="680">
        <v>2</v>
      </c>
      <c r="I54" s="517">
        <v>485000</v>
      </c>
      <c r="J54" s="517">
        <f t="shared" si="0"/>
        <v>970000</v>
      </c>
      <c r="K54" s="563">
        <v>0.1</v>
      </c>
      <c r="L54" s="517">
        <f t="shared" si="1"/>
        <v>873000</v>
      </c>
      <c r="M54" s="517">
        <v>111</v>
      </c>
      <c r="N54" s="517">
        <f>L54</f>
        <v>873000</v>
      </c>
      <c r="O54" s="517"/>
      <c r="P54" s="517"/>
      <c r="Q54" s="517"/>
      <c r="R54" s="665"/>
      <c r="S54" s="564"/>
    </row>
    <row r="55" spans="1:19" s="197" customFormat="1" ht="8.4" x14ac:dyDescent="0.15">
      <c r="A55" s="557">
        <v>16</v>
      </c>
      <c r="B55" s="664" t="s">
        <v>235</v>
      </c>
      <c r="C55" s="558" t="s">
        <v>136</v>
      </c>
      <c r="D55" s="676" t="s">
        <v>127</v>
      </c>
      <c r="E55" s="559"/>
      <c r="F55" s="558"/>
      <c r="G55" s="561" t="s">
        <v>42</v>
      </c>
      <c r="H55" s="680">
        <v>1</v>
      </c>
      <c r="I55" s="517">
        <v>455000</v>
      </c>
      <c r="J55" s="517">
        <f t="shared" si="0"/>
        <v>455000</v>
      </c>
      <c r="K55" s="562">
        <v>0.41</v>
      </c>
      <c r="L55" s="517">
        <f t="shared" si="1"/>
        <v>268450.00000000006</v>
      </c>
      <c r="M55" s="517">
        <v>111</v>
      </c>
      <c r="N55" s="517">
        <f>L55</f>
        <v>268450.00000000006</v>
      </c>
      <c r="O55" s="517"/>
      <c r="P55" s="517"/>
      <c r="Q55" s="517"/>
      <c r="R55" s="665"/>
      <c r="S55" s="564"/>
    </row>
    <row r="56" spans="1:19" s="197" customFormat="1" ht="8.4" x14ac:dyDescent="0.15">
      <c r="A56" s="557">
        <v>17</v>
      </c>
      <c r="B56" s="664" t="s">
        <v>160</v>
      </c>
      <c r="C56" s="558" t="s">
        <v>61</v>
      </c>
      <c r="D56" s="559" t="s">
        <v>127</v>
      </c>
      <c r="E56" s="559"/>
      <c r="F56" s="558"/>
      <c r="G56" s="561" t="s">
        <v>35</v>
      </c>
      <c r="H56" s="680">
        <v>1</v>
      </c>
      <c r="I56" s="517">
        <v>465000</v>
      </c>
      <c r="J56" s="517">
        <f t="shared" si="0"/>
        <v>465000</v>
      </c>
      <c r="K56" s="562">
        <v>0.41</v>
      </c>
      <c r="L56" s="517">
        <f t="shared" si="1"/>
        <v>274350.00000000006</v>
      </c>
      <c r="M56" s="517">
        <v>111</v>
      </c>
      <c r="N56" s="517">
        <v>274350</v>
      </c>
      <c r="O56" s="517"/>
      <c r="P56" s="517"/>
      <c r="Q56" s="517"/>
      <c r="R56" s="665"/>
      <c r="S56" s="564"/>
    </row>
    <row r="57" spans="1:19" s="197" customFormat="1" ht="25.2" x14ac:dyDescent="0.15">
      <c r="A57" s="677">
        <v>18</v>
      </c>
      <c r="B57" s="583" t="s">
        <v>160</v>
      </c>
      <c r="C57" s="678" t="s">
        <v>12</v>
      </c>
      <c r="D57" s="679" t="s">
        <v>236</v>
      </c>
      <c r="E57" s="679"/>
      <c r="F57" s="679"/>
      <c r="G57" s="680" t="s">
        <v>39</v>
      </c>
      <c r="H57" s="680">
        <v>1</v>
      </c>
      <c r="I57" s="446">
        <v>285000</v>
      </c>
      <c r="J57" s="517">
        <f t="shared" si="0"/>
        <v>285000</v>
      </c>
      <c r="K57" s="681">
        <v>1</v>
      </c>
      <c r="L57" s="517">
        <f t="shared" si="1"/>
        <v>0</v>
      </c>
      <c r="M57" s="446"/>
      <c r="N57" s="446"/>
      <c r="O57" s="446"/>
      <c r="P57" s="446"/>
      <c r="Q57" s="446"/>
      <c r="R57" s="682"/>
      <c r="S57" s="1382" t="s">
        <v>227</v>
      </c>
    </row>
    <row r="58" spans="1:19" s="197" customFormat="1" ht="8.4" x14ac:dyDescent="0.15">
      <c r="A58" s="684">
        <v>19</v>
      </c>
      <c r="B58" s="584" t="s">
        <v>237</v>
      </c>
      <c r="C58" s="672" t="s">
        <v>12</v>
      </c>
      <c r="D58" s="685" t="s">
        <v>139</v>
      </c>
      <c r="E58" s="685"/>
      <c r="F58" s="685"/>
      <c r="G58" s="686" t="s">
        <v>35</v>
      </c>
      <c r="H58" s="686">
        <v>1</v>
      </c>
      <c r="I58" s="687">
        <v>465000</v>
      </c>
      <c r="J58" s="512">
        <f t="shared" si="0"/>
        <v>465000</v>
      </c>
      <c r="K58" s="688">
        <v>0.2</v>
      </c>
      <c r="L58" s="512">
        <f t="shared" si="1"/>
        <v>372000</v>
      </c>
      <c r="M58" s="687">
        <v>111</v>
      </c>
      <c r="N58" s="687">
        <f>SUM(L58:L60)</f>
        <v>2492000</v>
      </c>
      <c r="O58" s="687"/>
      <c r="P58" s="687"/>
      <c r="Q58" s="687"/>
      <c r="R58" s="689"/>
      <c r="S58" s="690"/>
    </row>
    <row r="59" spans="1:19" s="197" customFormat="1" ht="8.4" x14ac:dyDescent="0.15">
      <c r="A59" s="691"/>
      <c r="B59" s="692"/>
      <c r="C59" s="672" t="s">
        <v>12</v>
      </c>
      <c r="D59" s="685" t="s">
        <v>139</v>
      </c>
      <c r="E59" s="693"/>
      <c r="F59" s="693"/>
      <c r="G59" s="694" t="s">
        <v>41</v>
      </c>
      <c r="H59" s="694">
        <v>4</v>
      </c>
      <c r="I59" s="695">
        <v>550000</v>
      </c>
      <c r="J59" s="507">
        <f t="shared" si="0"/>
        <v>2200000</v>
      </c>
      <c r="K59" s="696">
        <v>0.2</v>
      </c>
      <c r="L59" s="507">
        <f t="shared" si="1"/>
        <v>1760000</v>
      </c>
      <c r="M59" s="695"/>
      <c r="N59" s="695"/>
      <c r="O59" s="695"/>
      <c r="P59" s="695"/>
      <c r="Q59" s="695"/>
      <c r="R59" s="697"/>
      <c r="S59" s="698"/>
    </row>
    <row r="60" spans="1:19" s="197" customFormat="1" ht="8.4" x14ac:dyDescent="0.15">
      <c r="A60" s="699"/>
      <c r="B60" s="582"/>
      <c r="C60" s="673" t="s">
        <v>12</v>
      </c>
      <c r="D60" s="700" t="s">
        <v>139</v>
      </c>
      <c r="E60" s="701"/>
      <c r="F60" s="701"/>
      <c r="G60" s="702" t="s">
        <v>46</v>
      </c>
      <c r="H60" s="702">
        <v>1</v>
      </c>
      <c r="I60" s="445">
        <v>450000</v>
      </c>
      <c r="J60" s="513">
        <f t="shared" si="0"/>
        <v>450000</v>
      </c>
      <c r="K60" s="703">
        <v>0.2</v>
      </c>
      <c r="L60" s="513">
        <f t="shared" si="1"/>
        <v>360000</v>
      </c>
      <c r="M60" s="445"/>
      <c r="N60" s="445"/>
      <c r="O60" s="445"/>
      <c r="P60" s="445"/>
      <c r="Q60" s="445"/>
      <c r="R60" s="704"/>
      <c r="S60" s="705"/>
    </row>
    <row r="61" spans="1:19" s="197" customFormat="1" ht="8.4" x14ac:dyDescent="0.15">
      <c r="A61" s="684">
        <v>20</v>
      </c>
      <c r="B61" s="584" t="s">
        <v>238</v>
      </c>
      <c r="C61" s="672" t="s">
        <v>61</v>
      </c>
      <c r="D61" s="685" t="s">
        <v>127</v>
      </c>
      <c r="E61" s="685"/>
      <c r="F61" s="685"/>
      <c r="G61" s="686" t="s">
        <v>36</v>
      </c>
      <c r="H61" s="686">
        <v>1</v>
      </c>
      <c r="I61" s="687">
        <v>275000</v>
      </c>
      <c r="J61" s="512">
        <f t="shared" si="0"/>
        <v>275000</v>
      </c>
      <c r="K61" s="688">
        <v>0.41</v>
      </c>
      <c r="L61" s="443">
        <f t="shared" si="1"/>
        <v>162250.00000000003</v>
      </c>
      <c r="M61" s="687">
        <v>111</v>
      </c>
      <c r="N61" s="687">
        <v>427750</v>
      </c>
      <c r="O61" s="687"/>
      <c r="P61" s="687"/>
      <c r="Q61" s="687"/>
      <c r="R61" s="689"/>
      <c r="S61" s="690"/>
    </row>
    <row r="62" spans="1:19" s="197" customFormat="1" ht="8.4" x14ac:dyDescent="0.15">
      <c r="A62" s="699"/>
      <c r="B62" s="582"/>
      <c r="C62" s="672" t="s">
        <v>61</v>
      </c>
      <c r="D62" s="685" t="s">
        <v>127</v>
      </c>
      <c r="E62" s="701"/>
      <c r="F62" s="701"/>
      <c r="G62" s="702" t="s">
        <v>46</v>
      </c>
      <c r="H62" s="706">
        <v>1</v>
      </c>
      <c r="I62" s="445">
        <v>450000</v>
      </c>
      <c r="J62" s="513">
        <f t="shared" si="0"/>
        <v>450000</v>
      </c>
      <c r="K62" s="703">
        <v>0.41</v>
      </c>
      <c r="L62" s="445">
        <f t="shared" si="1"/>
        <v>265500.00000000006</v>
      </c>
      <c r="M62" s="445"/>
      <c r="N62" s="445"/>
      <c r="O62" s="445"/>
      <c r="P62" s="445"/>
      <c r="Q62" s="445"/>
      <c r="R62" s="704"/>
      <c r="S62" s="705"/>
    </row>
    <row r="63" spans="1:19" s="197" customFormat="1" ht="25.2" x14ac:dyDescent="0.15">
      <c r="A63" s="707">
        <v>21</v>
      </c>
      <c r="B63" s="708" t="s">
        <v>238</v>
      </c>
      <c r="C63" s="709" t="s">
        <v>12</v>
      </c>
      <c r="D63" s="710" t="s">
        <v>922</v>
      </c>
      <c r="E63" s="711" t="s">
        <v>923</v>
      </c>
      <c r="F63" s="711"/>
      <c r="G63" s="712" t="s">
        <v>41</v>
      </c>
      <c r="H63" s="712">
        <v>1</v>
      </c>
      <c r="I63" s="713">
        <v>550000</v>
      </c>
      <c r="J63" s="512">
        <f t="shared" si="0"/>
        <v>550000</v>
      </c>
      <c r="K63" s="714">
        <v>0.41</v>
      </c>
      <c r="L63" s="444">
        <f t="shared" si="1"/>
        <v>324500.00000000006</v>
      </c>
      <c r="M63" s="713">
        <v>111</v>
      </c>
      <c r="N63" s="713">
        <f>L63+L64</f>
        <v>2203650.0000000005</v>
      </c>
      <c r="O63" s="713"/>
      <c r="P63" s="713"/>
      <c r="Q63" s="713"/>
      <c r="R63" s="715"/>
      <c r="S63" s="716" t="s">
        <v>906</v>
      </c>
    </row>
    <row r="64" spans="1:19" s="197" customFormat="1" ht="16.8" x14ac:dyDescent="0.15">
      <c r="A64" s="699"/>
      <c r="B64" s="582"/>
      <c r="C64" s="717" t="s">
        <v>12</v>
      </c>
      <c r="D64" s="701" t="s">
        <v>924</v>
      </c>
      <c r="E64" s="701" t="s">
        <v>925</v>
      </c>
      <c r="F64" s="701"/>
      <c r="G64" s="702" t="s">
        <v>44</v>
      </c>
      <c r="H64" s="702">
        <v>7</v>
      </c>
      <c r="I64" s="445">
        <v>455000</v>
      </c>
      <c r="J64" s="513">
        <f t="shared" si="0"/>
        <v>3185000</v>
      </c>
      <c r="K64" s="703">
        <v>0.41</v>
      </c>
      <c r="L64" s="445">
        <f t="shared" si="1"/>
        <v>1879150.0000000002</v>
      </c>
      <c r="M64" s="445"/>
      <c r="N64" s="445"/>
      <c r="O64" s="445"/>
      <c r="P64" s="445"/>
      <c r="Q64" s="445"/>
      <c r="R64" s="704"/>
      <c r="S64" s="705"/>
    </row>
    <row r="65" spans="1:19" s="197" customFormat="1" ht="15" customHeight="1" x14ac:dyDescent="0.15">
      <c r="A65" s="677">
        <v>22</v>
      </c>
      <c r="B65" s="583" t="s">
        <v>239</v>
      </c>
      <c r="C65" s="678" t="s">
        <v>61</v>
      </c>
      <c r="D65" s="679" t="s">
        <v>127</v>
      </c>
      <c r="E65" s="679"/>
      <c r="F65" s="679"/>
      <c r="G65" s="680" t="s">
        <v>41</v>
      </c>
      <c r="H65" s="680">
        <v>1</v>
      </c>
      <c r="I65" s="446">
        <v>550000</v>
      </c>
      <c r="J65" s="517">
        <f t="shared" si="0"/>
        <v>550000</v>
      </c>
      <c r="K65" s="681">
        <v>0.41</v>
      </c>
      <c r="L65" s="446">
        <f t="shared" si="1"/>
        <v>324500.00000000006</v>
      </c>
      <c r="M65" s="446">
        <v>111</v>
      </c>
      <c r="N65" s="446">
        <v>324500</v>
      </c>
      <c r="O65" s="446"/>
      <c r="P65" s="446"/>
      <c r="Q65" s="446"/>
      <c r="R65" s="682"/>
      <c r="S65" s="683"/>
    </row>
    <row r="66" spans="1:19" s="197" customFormat="1" ht="46.5" customHeight="1" x14ac:dyDescent="0.15">
      <c r="A66" s="707">
        <v>23</v>
      </c>
      <c r="B66" s="708" t="s">
        <v>257</v>
      </c>
      <c r="C66" s="718" t="s">
        <v>754</v>
      </c>
      <c r="D66" s="718" t="s">
        <v>616</v>
      </c>
      <c r="E66" s="718" t="s">
        <v>258</v>
      </c>
      <c r="F66" s="719" t="s">
        <v>259</v>
      </c>
      <c r="G66" s="712" t="s">
        <v>34</v>
      </c>
      <c r="H66" s="712">
        <v>2</v>
      </c>
      <c r="I66" s="713">
        <v>265000</v>
      </c>
      <c r="J66" s="512">
        <f t="shared" si="0"/>
        <v>530000</v>
      </c>
      <c r="K66" s="714">
        <v>0.3</v>
      </c>
      <c r="L66" s="444">
        <f t="shared" si="1"/>
        <v>371000</v>
      </c>
      <c r="M66" s="713">
        <v>111</v>
      </c>
      <c r="N66" s="713">
        <f>SUM(L66:L74)</f>
        <v>5145000</v>
      </c>
      <c r="O66" s="713"/>
      <c r="P66" s="713"/>
      <c r="Q66" s="713"/>
      <c r="R66" s="715"/>
      <c r="S66" s="1383" t="s">
        <v>394</v>
      </c>
    </row>
    <row r="67" spans="1:19" s="197" customFormat="1" ht="25.2" x14ac:dyDescent="0.15">
      <c r="A67" s="691"/>
      <c r="B67" s="692"/>
      <c r="C67" s="718" t="s">
        <v>754</v>
      </c>
      <c r="D67" s="718" t="s">
        <v>616</v>
      </c>
      <c r="E67" s="720"/>
      <c r="F67" s="721"/>
      <c r="G67" s="694" t="s">
        <v>35</v>
      </c>
      <c r="H67" s="694">
        <v>2</v>
      </c>
      <c r="I67" s="695">
        <v>465000</v>
      </c>
      <c r="J67" s="507">
        <f t="shared" si="0"/>
        <v>930000</v>
      </c>
      <c r="K67" s="696">
        <v>0.3</v>
      </c>
      <c r="L67" s="332">
        <f t="shared" si="1"/>
        <v>651000</v>
      </c>
      <c r="M67" s="695"/>
      <c r="N67" s="695"/>
      <c r="O67" s="695"/>
      <c r="P67" s="695"/>
      <c r="Q67" s="695"/>
      <c r="R67" s="697"/>
      <c r="S67" s="698"/>
    </row>
    <row r="68" spans="1:19" s="197" customFormat="1" ht="25.2" x14ac:dyDescent="0.15">
      <c r="A68" s="691"/>
      <c r="B68" s="692"/>
      <c r="C68" s="718" t="s">
        <v>754</v>
      </c>
      <c r="D68" s="718" t="s">
        <v>616</v>
      </c>
      <c r="E68" s="720"/>
      <c r="F68" s="721"/>
      <c r="G68" s="694" t="s">
        <v>36</v>
      </c>
      <c r="H68" s="694">
        <v>2</v>
      </c>
      <c r="I68" s="695">
        <v>275000</v>
      </c>
      <c r="J68" s="507">
        <f t="shared" si="0"/>
        <v>550000</v>
      </c>
      <c r="K68" s="696">
        <v>0.3</v>
      </c>
      <c r="L68" s="332">
        <f t="shared" si="1"/>
        <v>385000</v>
      </c>
      <c r="M68" s="695"/>
      <c r="N68" s="695"/>
      <c r="O68" s="695"/>
      <c r="P68" s="695"/>
      <c r="Q68" s="695"/>
      <c r="R68" s="697"/>
      <c r="S68" s="698"/>
    </row>
    <row r="69" spans="1:19" s="197" customFormat="1" ht="25.2" x14ac:dyDescent="0.15">
      <c r="A69" s="691"/>
      <c r="B69" s="692"/>
      <c r="C69" s="718" t="s">
        <v>754</v>
      </c>
      <c r="D69" s="718" t="s">
        <v>616</v>
      </c>
      <c r="E69" s="720"/>
      <c r="F69" s="721"/>
      <c r="G69" s="694" t="s">
        <v>37</v>
      </c>
      <c r="H69" s="694">
        <v>2</v>
      </c>
      <c r="I69" s="695">
        <v>475000</v>
      </c>
      <c r="J69" s="507">
        <f t="shared" si="0"/>
        <v>950000</v>
      </c>
      <c r="K69" s="696">
        <v>0.3</v>
      </c>
      <c r="L69" s="332">
        <f t="shared" si="1"/>
        <v>665000</v>
      </c>
      <c r="M69" s="695"/>
      <c r="N69" s="695"/>
      <c r="O69" s="695"/>
      <c r="P69" s="695"/>
      <c r="Q69" s="695"/>
      <c r="R69" s="697"/>
      <c r="S69" s="698"/>
    </row>
    <row r="70" spans="1:19" s="197" customFormat="1" ht="25.2" x14ac:dyDescent="0.15">
      <c r="A70" s="691"/>
      <c r="B70" s="692"/>
      <c r="C70" s="718" t="s">
        <v>754</v>
      </c>
      <c r="D70" s="718" t="s">
        <v>616</v>
      </c>
      <c r="E70" s="720"/>
      <c r="F70" s="721"/>
      <c r="G70" s="694" t="s">
        <v>39</v>
      </c>
      <c r="H70" s="694">
        <v>2</v>
      </c>
      <c r="I70" s="695">
        <v>285000</v>
      </c>
      <c r="J70" s="507">
        <f t="shared" si="0"/>
        <v>570000</v>
      </c>
      <c r="K70" s="696">
        <v>0.3</v>
      </c>
      <c r="L70" s="332">
        <f t="shared" si="1"/>
        <v>399000</v>
      </c>
      <c r="M70" s="695"/>
      <c r="N70" s="695"/>
      <c r="O70" s="695"/>
      <c r="P70" s="695"/>
      <c r="Q70" s="695"/>
      <c r="R70" s="697"/>
      <c r="S70" s="698"/>
    </row>
    <row r="71" spans="1:19" s="197" customFormat="1" ht="25.2" x14ac:dyDescent="0.15">
      <c r="A71" s="691"/>
      <c r="B71" s="692"/>
      <c r="C71" s="718" t="s">
        <v>754</v>
      </c>
      <c r="D71" s="718" t="s">
        <v>616</v>
      </c>
      <c r="E71" s="720"/>
      <c r="F71" s="721"/>
      <c r="G71" s="694" t="s">
        <v>41</v>
      </c>
      <c r="H71" s="694">
        <v>2</v>
      </c>
      <c r="I71" s="695">
        <v>550000</v>
      </c>
      <c r="J71" s="507">
        <f t="shared" si="0"/>
        <v>1100000</v>
      </c>
      <c r="K71" s="696">
        <v>0.3</v>
      </c>
      <c r="L71" s="332">
        <f t="shared" si="1"/>
        <v>770000</v>
      </c>
      <c r="M71" s="695"/>
      <c r="N71" s="695"/>
      <c r="O71" s="695"/>
      <c r="P71" s="695"/>
      <c r="Q71" s="695"/>
      <c r="R71" s="697"/>
      <c r="S71" s="698"/>
    </row>
    <row r="72" spans="1:19" s="197" customFormat="1" ht="25.2" x14ac:dyDescent="0.15">
      <c r="A72" s="691"/>
      <c r="B72" s="692"/>
      <c r="C72" s="718" t="s">
        <v>754</v>
      </c>
      <c r="D72" s="718" t="s">
        <v>616</v>
      </c>
      <c r="E72" s="720"/>
      <c r="F72" s="721"/>
      <c r="G72" s="694" t="s">
        <v>46</v>
      </c>
      <c r="H72" s="694">
        <v>2</v>
      </c>
      <c r="I72" s="695">
        <v>450000</v>
      </c>
      <c r="J72" s="507">
        <f t="shared" si="0"/>
        <v>900000</v>
      </c>
      <c r="K72" s="696">
        <v>0.3</v>
      </c>
      <c r="L72" s="332">
        <f t="shared" si="1"/>
        <v>630000</v>
      </c>
      <c r="M72" s="695"/>
      <c r="N72" s="695"/>
      <c r="O72" s="695"/>
      <c r="P72" s="695"/>
      <c r="Q72" s="695"/>
      <c r="R72" s="697"/>
      <c r="S72" s="698"/>
    </row>
    <row r="73" spans="1:19" s="197" customFormat="1" ht="25.2" x14ac:dyDescent="0.15">
      <c r="A73" s="691"/>
      <c r="B73" s="692"/>
      <c r="C73" s="718" t="s">
        <v>754</v>
      </c>
      <c r="D73" s="718" t="s">
        <v>616</v>
      </c>
      <c r="E73" s="720"/>
      <c r="F73" s="721"/>
      <c r="G73" s="694" t="s">
        <v>44</v>
      </c>
      <c r="H73" s="694">
        <v>2</v>
      </c>
      <c r="I73" s="695">
        <v>455000</v>
      </c>
      <c r="J73" s="507">
        <f t="shared" si="0"/>
        <v>910000</v>
      </c>
      <c r="K73" s="696">
        <v>0.3</v>
      </c>
      <c r="L73" s="332">
        <f t="shared" si="1"/>
        <v>637000</v>
      </c>
      <c r="M73" s="695"/>
      <c r="N73" s="695"/>
      <c r="O73" s="695"/>
      <c r="P73" s="695"/>
      <c r="Q73" s="695"/>
      <c r="R73" s="697"/>
      <c r="S73" s="698"/>
    </row>
    <row r="74" spans="1:19" s="197" customFormat="1" ht="25.2" x14ac:dyDescent="0.15">
      <c r="A74" s="699"/>
      <c r="B74" s="582"/>
      <c r="C74" s="701" t="s">
        <v>754</v>
      </c>
      <c r="D74" s="701" t="s">
        <v>616</v>
      </c>
      <c r="E74" s="701"/>
      <c r="F74" s="722"/>
      <c r="G74" s="702" t="s">
        <v>42</v>
      </c>
      <c r="H74" s="702">
        <v>2</v>
      </c>
      <c r="I74" s="445">
        <v>455000</v>
      </c>
      <c r="J74" s="513">
        <f t="shared" si="0"/>
        <v>910000</v>
      </c>
      <c r="K74" s="703">
        <v>0.3</v>
      </c>
      <c r="L74" s="445">
        <f t="shared" si="1"/>
        <v>637000</v>
      </c>
      <c r="M74" s="445"/>
      <c r="N74" s="445"/>
      <c r="O74" s="445"/>
      <c r="P74" s="445"/>
      <c r="Q74" s="445"/>
      <c r="R74" s="704"/>
      <c r="S74" s="705"/>
    </row>
    <row r="75" spans="1:19" s="197" customFormat="1" ht="8.4" x14ac:dyDescent="0.15">
      <c r="A75" s="684">
        <v>24</v>
      </c>
      <c r="B75" s="584" t="s">
        <v>260</v>
      </c>
      <c r="C75" s="672" t="s">
        <v>17</v>
      </c>
      <c r="D75" s="685" t="s">
        <v>127</v>
      </c>
      <c r="E75" s="685"/>
      <c r="F75" s="685"/>
      <c r="G75" s="686" t="s">
        <v>46</v>
      </c>
      <c r="H75" s="686">
        <v>1</v>
      </c>
      <c r="I75" s="687">
        <v>450000</v>
      </c>
      <c r="J75" s="512">
        <f t="shared" ref="J75:J118" si="3">H75*I75</f>
        <v>450000</v>
      </c>
      <c r="K75" s="688">
        <v>0.41</v>
      </c>
      <c r="L75" s="443">
        <f t="shared" si="1"/>
        <v>265500.00000000006</v>
      </c>
      <c r="M75" s="687">
        <v>111</v>
      </c>
      <c r="N75" s="687">
        <v>1870000</v>
      </c>
      <c r="O75" s="687"/>
      <c r="P75" s="687"/>
      <c r="Q75" s="687"/>
      <c r="R75" s="689"/>
      <c r="S75" s="690"/>
    </row>
    <row r="76" spans="1:19" s="197" customFormat="1" ht="8.4" x14ac:dyDescent="0.15">
      <c r="A76" s="691"/>
      <c r="B76" s="692"/>
      <c r="C76" s="672" t="s">
        <v>17</v>
      </c>
      <c r="D76" s="685" t="s">
        <v>127</v>
      </c>
      <c r="E76" s="693"/>
      <c r="F76" s="693"/>
      <c r="G76" s="694" t="s">
        <v>44</v>
      </c>
      <c r="H76" s="694">
        <v>5</v>
      </c>
      <c r="I76" s="695">
        <v>455000</v>
      </c>
      <c r="J76" s="507">
        <f t="shared" si="3"/>
        <v>2275000</v>
      </c>
      <c r="K76" s="696">
        <v>0.41</v>
      </c>
      <c r="L76" s="332">
        <f t="shared" si="1"/>
        <v>1342250.0000000002</v>
      </c>
      <c r="M76" s="695"/>
      <c r="N76" s="695"/>
      <c r="O76" s="695"/>
      <c r="P76" s="695"/>
      <c r="Q76" s="695"/>
      <c r="R76" s="697"/>
      <c r="S76" s="698"/>
    </row>
    <row r="77" spans="1:19" s="197" customFormat="1" ht="8.4" x14ac:dyDescent="0.15">
      <c r="A77" s="691"/>
      <c r="B77" s="692"/>
      <c r="C77" s="672" t="s">
        <v>17</v>
      </c>
      <c r="D77" s="685" t="s">
        <v>127</v>
      </c>
      <c r="E77" s="693"/>
      <c r="F77" s="693"/>
      <c r="G77" s="694" t="s">
        <v>42</v>
      </c>
      <c r="H77" s="694">
        <v>1</v>
      </c>
      <c r="I77" s="695">
        <v>455000</v>
      </c>
      <c r="J77" s="507">
        <f t="shared" si="3"/>
        <v>455000</v>
      </c>
      <c r="K77" s="696">
        <v>0.41</v>
      </c>
      <c r="L77" s="332">
        <f t="shared" si="1"/>
        <v>268450.00000000006</v>
      </c>
      <c r="M77" s="695"/>
      <c r="N77" s="695"/>
      <c r="O77" s="695"/>
      <c r="P77" s="695"/>
      <c r="Q77" s="695"/>
      <c r="R77" s="697"/>
      <c r="S77" s="698"/>
    </row>
    <row r="78" spans="1:19" s="197" customFormat="1" ht="8.4" x14ac:dyDescent="0.15">
      <c r="A78" s="699"/>
      <c r="B78" s="582"/>
      <c r="C78" s="672" t="s">
        <v>17</v>
      </c>
      <c r="D78" s="685" t="s">
        <v>127</v>
      </c>
      <c r="E78" s="701"/>
      <c r="F78" s="701"/>
      <c r="G78" s="702" t="s">
        <v>42</v>
      </c>
      <c r="H78" s="702">
        <v>1</v>
      </c>
      <c r="I78" s="445">
        <v>455000</v>
      </c>
      <c r="J78" s="513">
        <f t="shared" si="3"/>
        <v>455000</v>
      </c>
      <c r="K78" s="703">
        <v>1</v>
      </c>
      <c r="L78" s="445">
        <f t="shared" si="1"/>
        <v>0</v>
      </c>
      <c r="M78" s="445"/>
      <c r="N78" s="445"/>
      <c r="O78" s="445"/>
      <c r="P78" s="445"/>
      <c r="Q78" s="445"/>
      <c r="R78" s="704"/>
      <c r="S78" s="705" t="s">
        <v>400</v>
      </c>
    </row>
    <row r="79" spans="1:19" s="197" customFormat="1" ht="16.8" x14ac:dyDescent="0.15">
      <c r="A79" s="677">
        <v>25</v>
      </c>
      <c r="B79" s="583" t="s">
        <v>257</v>
      </c>
      <c r="C79" s="678" t="s">
        <v>12</v>
      </c>
      <c r="D79" s="679" t="s">
        <v>618</v>
      </c>
      <c r="E79" s="679" t="s">
        <v>261</v>
      </c>
      <c r="F79" s="723" t="s">
        <v>262</v>
      </c>
      <c r="G79" s="680" t="s">
        <v>44</v>
      </c>
      <c r="H79" s="680">
        <v>36</v>
      </c>
      <c r="I79" s="446">
        <v>455000</v>
      </c>
      <c r="J79" s="517">
        <f t="shared" si="3"/>
        <v>16380000</v>
      </c>
      <c r="K79" s="681">
        <v>0.41</v>
      </c>
      <c r="L79" s="446">
        <f t="shared" si="1"/>
        <v>9664200.0000000019</v>
      </c>
      <c r="M79" s="446"/>
      <c r="N79" s="446"/>
      <c r="O79" s="446">
        <v>112</v>
      </c>
      <c r="P79" s="446">
        <v>9000000</v>
      </c>
      <c r="Q79" s="446">
        <v>131</v>
      </c>
      <c r="R79" s="682">
        <f>L79-P79</f>
        <v>664200.00000000186</v>
      </c>
      <c r="S79" s="683"/>
    </row>
    <row r="80" spans="1:19" s="197" customFormat="1" ht="8.4" x14ac:dyDescent="0.15">
      <c r="A80" s="677">
        <v>26</v>
      </c>
      <c r="B80" s="583" t="s">
        <v>266</v>
      </c>
      <c r="C80" s="678" t="s">
        <v>753</v>
      </c>
      <c r="D80" s="679" t="s">
        <v>127</v>
      </c>
      <c r="E80" s="679"/>
      <c r="F80" s="679"/>
      <c r="G80" s="680" t="s">
        <v>40</v>
      </c>
      <c r="H80" s="680">
        <v>1</v>
      </c>
      <c r="I80" s="446">
        <v>485000</v>
      </c>
      <c r="J80" s="517">
        <f t="shared" si="3"/>
        <v>485000</v>
      </c>
      <c r="K80" s="681">
        <v>0.41</v>
      </c>
      <c r="L80" s="446">
        <f t="shared" si="1"/>
        <v>286150.00000000006</v>
      </c>
      <c r="M80" s="446"/>
      <c r="N80" s="446"/>
      <c r="O80" s="446"/>
      <c r="P80" s="446"/>
      <c r="Q80" s="446">
        <v>131</v>
      </c>
      <c r="R80" s="682">
        <f>L80</f>
        <v>286150.00000000006</v>
      </c>
      <c r="S80" s="683"/>
    </row>
    <row r="81" spans="1:19" s="197" customFormat="1" ht="8.4" x14ac:dyDescent="0.15">
      <c r="A81" s="677">
        <v>27</v>
      </c>
      <c r="B81" s="583" t="s">
        <v>257</v>
      </c>
      <c r="C81" s="678" t="s">
        <v>61</v>
      </c>
      <c r="D81" s="679" t="s">
        <v>127</v>
      </c>
      <c r="E81" s="679"/>
      <c r="F81" s="679"/>
      <c r="G81" s="680" t="s">
        <v>34</v>
      </c>
      <c r="H81" s="680">
        <v>1</v>
      </c>
      <c r="I81" s="446">
        <v>265000</v>
      </c>
      <c r="J81" s="517">
        <f t="shared" si="3"/>
        <v>265000</v>
      </c>
      <c r="K81" s="681">
        <v>0.41</v>
      </c>
      <c r="L81" s="446">
        <f t="shared" si="1"/>
        <v>156350.00000000003</v>
      </c>
      <c r="M81" s="446">
        <v>111</v>
      </c>
      <c r="N81" s="446">
        <v>156350</v>
      </c>
      <c r="O81" s="446"/>
      <c r="P81" s="446"/>
      <c r="Q81" s="446"/>
      <c r="R81" s="682"/>
      <c r="S81" s="683"/>
    </row>
    <row r="82" spans="1:19" s="197" customFormat="1" ht="8.4" x14ac:dyDescent="0.15">
      <c r="A82" s="677">
        <v>28</v>
      </c>
      <c r="B82" s="583" t="s">
        <v>260</v>
      </c>
      <c r="C82" s="678" t="s">
        <v>136</v>
      </c>
      <c r="D82" s="679" t="s">
        <v>127</v>
      </c>
      <c r="E82" s="679"/>
      <c r="F82" s="679"/>
      <c r="G82" s="680" t="s">
        <v>44</v>
      </c>
      <c r="H82" s="680">
        <v>1</v>
      </c>
      <c r="I82" s="446">
        <v>455000</v>
      </c>
      <c r="J82" s="517">
        <f t="shared" si="3"/>
        <v>455000</v>
      </c>
      <c r="K82" s="681">
        <v>0.41</v>
      </c>
      <c r="L82" s="446">
        <f t="shared" si="1"/>
        <v>268450.00000000006</v>
      </c>
      <c r="M82" s="446"/>
      <c r="N82" s="446"/>
      <c r="O82" s="446">
        <v>112</v>
      </c>
      <c r="P82" s="446">
        <f>L82</f>
        <v>268450.00000000006</v>
      </c>
      <c r="Q82" s="446"/>
      <c r="R82" s="682"/>
      <c r="S82" s="683" t="s">
        <v>731</v>
      </c>
    </row>
    <row r="83" spans="1:19" s="197" customFormat="1" ht="8.4" x14ac:dyDescent="0.15">
      <c r="A83" s="677">
        <v>29</v>
      </c>
      <c r="B83" s="583" t="s">
        <v>263</v>
      </c>
      <c r="C83" s="678" t="s">
        <v>136</v>
      </c>
      <c r="D83" s="679" t="s">
        <v>127</v>
      </c>
      <c r="E83" s="679"/>
      <c r="F83" s="679"/>
      <c r="G83" s="680" t="s">
        <v>44</v>
      </c>
      <c r="H83" s="680">
        <v>2</v>
      </c>
      <c r="I83" s="446">
        <v>455000</v>
      </c>
      <c r="J83" s="517">
        <f t="shared" si="3"/>
        <v>910000</v>
      </c>
      <c r="K83" s="681">
        <v>0.1</v>
      </c>
      <c r="L83" s="446">
        <f t="shared" si="1"/>
        <v>819000</v>
      </c>
      <c r="M83" s="446"/>
      <c r="N83" s="446"/>
      <c r="O83" s="446">
        <v>112</v>
      </c>
      <c r="P83" s="446">
        <f>L83</f>
        <v>819000</v>
      </c>
      <c r="Q83" s="446"/>
      <c r="R83" s="682"/>
      <c r="S83" s="683" t="s">
        <v>731</v>
      </c>
    </row>
    <row r="84" spans="1:19" s="197" customFormat="1" ht="16.8" x14ac:dyDescent="0.15">
      <c r="A84" s="677">
        <v>30</v>
      </c>
      <c r="B84" s="583" t="s">
        <v>257</v>
      </c>
      <c r="C84" s="678" t="s">
        <v>12</v>
      </c>
      <c r="D84" s="679" t="s">
        <v>617</v>
      </c>
      <c r="E84" s="679" t="s">
        <v>264</v>
      </c>
      <c r="F84" s="723" t="s">
        <v>265</v>
      </c>
      <c r="G84" s="680" t="s">
        <v>38</v>
      </c>
      <c r="H84" s="680">
        <v>24</v>
      </c>
      <c r="I84" s="446">
        <v>285000</v>
      </c>
      <c r="J84" s="517">
        <f t="shared" si="3"/>
        <v>6840000</v>
      </c>
      <c r="K84" s="681">
        <v>0.3</v>
      </c>
      <c r="L84" s="446">
        <f t="shared" si="1"/>
        <v>4788000</v>
      </c>
      <c r="M84" s="446"/>
      <c r="N84" s="446"/>
      <c r="O84" s="446"/>
      <c r="P84" s="446"/>
      <c r="Q84" s="446">
        <v>131</v>
      </c>
      <c r="R84" s="682">
        <f>L84</f>
        <v>4788000</v>
      </c>
      <c r="S84" s="683"/>
    </row>
    <row r="85" spans="1:19" s="197" customFormat="1" ht="8.4" x14ac:dyDescent="0.15">
      <c r="A85" s="677">
        <v>31</v>
      </c>
      <c r="B85" s="583" t="s">
        <v>266</v>
      </c>
      <c r="C85" s="678" t="s">
        <v>136</v>
      </c>
      <c r="D85" s="679" t="s">
        <v>127</v>
      </c>
      <c r="E85" s="679"/>
      <c r="F85" s="679"/>
      <c r="G85" s="680" t="s">
        <v>44</v>
      </c>
      <c r="H85" s="680">
        <v>1</v>
      </c>
      <c r="I85" s="446">
        <v>455000</v>
      </c>
      <c r="J85" s="517">
        <f t="shared" si="3"/>
        <v>455000</v>
      </c>
      <c r="K85" s="681">
        <v>0.41</v>
      </c>
      <c r="L85" s="446">
        <f t="shared" si="1"/>
        <v>268450.00000000006</v>
      </c>
      <c r="M85" s="446"/>
      <c r="N85" s="446"/>
      <c r="O85" s="446">
        <v>112</v>
      </c>
      <c r="P85" s="446">
        <f>L85</f>
        <v>268450.00000000006</v>
      </c>
      <c r="Q85" s="446"/>
      <c r="R85" s="682"/>
      <c r="S85" s="683" t="s">
        <v>731</v>
      </c>
    </row>
    <row r="86" spans="1:19" s="197" customFormat="1" ht="25.2" x14ac:dyDescent="0.15">
      <c r="A86" s="684">
        <v>32</v>
      </c>
      <c r="B86" s="584" t="s">
        <v>257</v>
      </c>
      <c r="C86" s="890" t="s">
        <v>12</v>
      </c>
      <c r="D86" s="718" t="s">
        <v>619</v>
      </c>
      <c r="E86" s="718" t="s">
        <v>267</v>
      </c>
      <c r="F86" s="693"/>
      <c r="G86" s="694" t="s">
        <v>35</v>
      </c>
      <c r="H86" s="694">
        <v>2</v>
      </c>
      <c r="I86" s="695">
        <v>465000</v>
      </c>
      <c r="J86" s="512">
        <f t="shared" si="3"/>
        <v>930000</v>
      </c>
      <c r="K86" s="696">
        <v>0.41</v>
      </c>
      <c r="L86" s="332">
        <f t="shared" si="1"/>
        <v>548700.00000000012</v>
      </c>
      <c r="M86" s="695"/>
      <c r="N86" s="695"/>
      <c r="O86" s="695"/>
      <c r="P86" s="695"/>
      <c r="Q86" s="695">
        <v>131</v>
      </c>
      <c r="R86" s="697">
        <f>SUM(L86:L90)</f>
        <v>2244950.0000000005</v>
      </c>
      <c r="S86" s="2232" t="s">
        <v>740</v>
      </c>
    </row>
    <row r="87" spans="1:19" s="197" customFormat="1" ht="30" customHeight="1" x14ac:dyDescent="0.15">
      <c r="A87" s="853"/>
      <c r="B87" s="453"/>
      <c r="C87" s="851" t="s">
        <v>12</v>
      </c>
      <c r="D87" s="720" t="s">
        <v>619</v>
      </c>
      <c r="E87" s="720"/>
      <c r="F87" s="720"/>
      <c r="G87" s="694" t="s">
        <v>39</v>
      </c>
      <c r="H87" s="694">
        <v>1</v>
      </c>
      <c r="I87" s="695">
        <v>285000</v>
      </c>
      <c r="J87" s="507">
        <f t="shared" si="3"/>
        <v>285000</v>
      </c>
      <c r="K87" s="696">
        <v>0.41</v>
      </c>
      <c r="L87" s="332">
        <f t="shared" si="1"/>
        <v>168150.00000000003</v>
      </c>
      <c r="M87" s="695"/>
      <c r="N87" s="695"/>
      <c r="O87" s="695"/>
      <c r="P87" s="695"/>
      <c r="Q87" s="695"/>
      <c r="R87" s="697"/>
      <c r="S87" s="2233"/>
    </row>
    <row r="88" spans="1:19" s="197" customFormat="1" ht="21" customHeight="1" x14ac:dyDescent="0.15">
      <c r="A88" s="853"/>
      <c r="B88" s="453"/>
      <c r="C88" s="851" t="s">
        <v>12</v>
      </c>
      <c r="D88" s="720" t="s">
        <v>619</v>
      </c>
      <c r="E88" s="720"/>
      <c r="F88" s="720"/>
      <c r="G88" s="694" t="s">
        <v>40</v>
      </c>
      <c r="H88" s="694">
        <v>1</v>
      </c>
      <c r="I88" s="695">
        <v>485000</v>
      </c>
      <c r="J88" s="507">
        <f t="shared" si="3"/>
        <v>485000</v>
      </c>
      <c r="K88" s="696">
        <v>0.41</v>
      </c>
      <c r="L88" s="332">
        <f t="shared" si="1"/>
        <v>286150.00000000006</v>
      </c>
      <c r="M88" s="695"/>
      <c r="N88" s="695"/>
      <c r="O88" s="695"/>
      <c r="P88" s="695"/>
      <c r="Q88" s="695"/>
      <c r="R88" s="697"/>
      <c r="S88" s="2234"/>
    </row>
    <row r="89" spans="1:19" s="197" customFormat="1" ht="25.2" x14ac:dyDescent="0.15">
      <c r="A89" s="853"/>
      <c r="B89" s="453"/>
      <c r="C89" s="851" t="s">
        <v>12</v>
      </c>
      <c r="D89" s="720" t="s">
        <v>619</v>
      </c>
      <c r="E89" s="720"/>
      <c r="F89" s="720"/>
      <c r="G89" s="694" t="s">
        <v>41</v>
      </c>
      <c r="H89" s="694">
        <v>3</v>
      </c>
      <c r="I89" s="695">
        <v>550000</v>
      </c>
      <c r="J89" s="507">
        <f t="shared" si="3"/>
        <v>1650000</v>
      </c>
      <c r="K89" s="696">
        <v>0.41</v>
      </c>
      <c r="L89" s="332">
        <f t="shared" si="1"/>
        <v>973500.00000000012</v>
      </c>
      <c r="M89" s="695"/>
      <c r="N89" s="695"/>
      <c r="O89" s="695"/>
      <c r="P89" s="695"/>
      <c r="Q89" s="695"/>
      <c r="R89" s="697"/>
      <c r="S89" s="698"/>
    </row>
    <row r="90" spans="1:19" s="197" customFormat="1" ht="25.2" x14ac:dyDescent="0.15">
      <c r="A90" s="852"/>
      <c r="B90" s="744"/>
      <c r="C90" s="717" t="s">
        <v>12</v>
      </c>
      <c r="D90" s="701" t="s">
        <v>619</v>
      </c>
      <c r="E90" s="701"/>
      <c r="F90" s="700"/>
      <c r="G90" s="702" t="s">
        <v>42</v>
      </c>
      <c r="H90" s="702">
        <v>1</v>
      </c>
      <c r="I90" s="445">
        <v>455000</v>
      </c>
      <c r="J90" s="513">
        <f t="shared" si="3"/>
        <v>455000</v>
      </c>
      <c r="K90" s="703">
        <v>0.41</v>
      </c>
      <c r="L90" s="445">
        <f t="shared" si="1"/>
        <v>268450.00000000006</v>
      </c>
      <c r="M90" s="445"/>
      <c r="N90" s="445"/>
      <c r="O90" s="445"/>
      <c r="P90" s="445"/>
      <c r="Q90" s="445"/>
      <c r="R90" s="704"/>
      <c r="S90" s="705"/>
    </row>
    <row r="91" spans="1:19" s="197" customFormat="1" ht="25.2" x14ac:dyDescent="0.15">
      <c r="A91" s="677">
        <v>33</v>
      </c>
      <c r="B91" s="583" t="s">
        <v>266</v>
      </c>
      <c r="C91" s="678" t="s">
        <v>12</v>
      </c>
      <c r="D91" s="679" t="s">
        <v>268</v>
      </c>
      <c r="E91" s="679"/>
      <c r="F91" s="679"/>
      <c r="G91" s="680" t="s">
        <v>46</v>
      </c>
      <c r="H91" s="680">
        <v>3</v>
      </c>
      <c r="I91" s="446">
        <v>450000</v>
      </c>
      <c r="J91" s="517">
        <f t="shared" si="3"/>
        <v>1350000</v>
      </c>
      <c r="K91" s="681">
        <v>1</v>
      </c>
      <c r="L91" s="446">
        <f t="shared" si="1"/>
        <v>0</v>
      </c>
      <c r="M91" s="446"/>
      <c r="N91" s="446"/>
      <c r="O91" s="446"/>
      <c r="P91" s="446"/>
      <c r="Q91" s="446"/>
      <c r="R91" s="682"/>
      <c r="S91" s="724" t="s">
        <v>269</v>
      </c>
    </row>
    <row r="92" spans="1:19" s="197" customFormat="1" ht="16.8" x14ac:dyDescent="0.15">
      <c r="A92" s="684">
        <v>34</v>
      </c>
      <c r="B92" s="584" t="s">
        <v>260</v>
      </c>
      <c r="C92" s="718" t="s">
        <v>754</v>
      </c>
      <c r="D92" s="718" t="s">
        <v>391</v>
      </c>
      <c r="E92" s="718" t="s">
        <v>392</v>
      </c>
      <c r="F92" s="725" t="s">
        <v>393</v>
      </c>
      <c r="G92" s="686" t="s">
        <v>40</v>
      </c>
      <c r="H92" s="686">
        <v>1</v>
      </c>
      <c r="I92" s="687">
        <v>485000</v>
      </c>
      <c r="J92" s="512">
        <f t="shared" si="3"/>
        <v>485000</v>
      </c>
      <c r="K92" s="688"/>
      <c r="L92" s="443">
        <f t="shared" si="1"/>
        <v>485000</v>
      </c>
      <c r="M92" s="687">
        <v>111</v>
      </c>
      <c r="N92" s="687">
        <f>L92+L93</f>
        <v>940000</v>
      </c>
      <c r="O92" s="687"/>
      <c r="P92" s="687"/>
      <c r="Q92" s="687"/>
      <c r="R92" s="689"/>
      <c r="S92" s="690"/>
    </row>
    <row r="93" spans="1:19" s="197" customFormat="1" ht="16.8" x14ac:dyDescent="0.15">
      <c r="A93" s="699"/>
      <c r="B93" s="582"/>
      <c r="C93" s="701" t="s">
        <v>754</v>
      </c>
      <c r="D93" s="701" t="s">
        <v>391</v>
      </c>
      <c r="E93" s="701" t="s">
        <v>392</v>
      </c>
      <c r="F93" s="722" t="s">
        <v>393</v>
      </c>
      <c r="G93" s="702" t="s">
        <v>44</v>
      </c>
      <c r="H93" s="702">
        <v>1</v>
      </c>
      <c r="I93" s="445">
        <v>455000</v>
      </c>
      <c r="J93" s="513">
        <f t="shared" si="3"/>
        <v>455000</v>
      </c>
      <c r="K93" s="703"/>
      <c r="L93" s="445">
        <f t="shared" si="1"/>
        <v>455000</v>
      </c>
      <c r="M93" s="445"/>
      <c r="N93" s="445"/>
      <c r="O93" s="445"/>
      <c r="P93" s="445"/>
      <c r="Q93" s="445"/>
      <c r="R93" s="704"/>
      <c r="S93" s="705"/>
    </row>
    <row r="94" spans="1:19" s="197" customFormat="1" ht="16.8" x14ac:dyDescent="0.15">
      <c r="A94" s="684">
        <v>35</v>
      </c>
      <c r="B94" s="584" t="s">
        <v>260</v>
      </c>
      <c r="C94" s="718" t="s">
        <v>754</v>
      </c>
      <c r="D94" s="718" t="s">
        <v>395</v>
      </c>
      <c r="E94" s="718" t="s">
        <v>392</v>
      </c>
      <c r="F94" s="725" t="s">
        <v>396</v>
      </c>
      <c r="G94" s="686" t="s">
        <v>35</v>
      </c>
      <c r="H94" s="686">
        <v>1</v>
      </c>
      <c r="I94" s="687">
        <v>465000</v>
      </c>
      <c r="J94" s="512">
        <f t="shared" si="3"/>
        <v>465000</v>
      </c>
      <c r="K94" s="688">
        <v>0.35</v>
      </c>
      <c r="L94" s="443">
        <f t="shared" si="1"/>
        <v>302250</v>
      </c>
      <c r="M94" s="687">
        <v>111</v>
      </c>
      <c r="N94" s="687">
        <f>SUM(L94:L97)</f>
        <v>906750</v>
      </c>
      <c r="O94" s="687"/>
      <c r="P94" s="687"/>
      <c r="Q94" s="687"/>
      <c r="R94" s="689"/>
      <c r="S94" s="690"/>
    </row>
    <row r="95" spans="1:19" s="197" customFormat="1" ht="16.8" x14ac:dyDescent="0.15">
      <c r="A95" s="691"/>
      <c r="B95" s="692"/>
      <c r="C95" s="718" t="s">
        <v>754</v>
      </c>
      <c r="D95" s="718" t="s">
        <v>395</v>
      </c>
      <c r="E95" s="720"/>
      <c r="F95" s="721"/>
      <c r="G95" s="694" t="s">
        <v>37</v>
      </c>
      <c r="H95" s="694">
        <v>1</v>
      </c>
      <c r="I95" s="695">
        <v>475000</v>
      </c>
      <c r="J95" s="507">
        <f t="shared" si="3"/>
        <v>475000</v>
      </c>
      <c r="K95" s="696">
        <v>0.35</v>
      </c>
      <c r="L95" s="332">
        <f t="shared" si="1"/>
        <v>308750</v>
      </c>
      <c r="M95" s="695"/>
      <c r="N95" s="695"/>
      <c r="O95" s="695"/>
      <c r="P95" s="695"/>
      <c r="Q95" s="695"/>
      <c r="R95" s="697"/>
      <c r="S95" s="698"/>
    </row>
    <row r="96" spans="1:19" s="197" customFormat="1" ht="16.8" x14ac:dyDescent="0.15">
      <c r="A96" s="691"/>
      <c r="B96" s="692"/>
      <c r="C96" s="718" t="s">
        <v>754</v>
      </c>
      <c r="D96" s="718" t="s">
        <v>395</v>
      </c>
      <c r="E96" s="720"/>
      <c r="F96" s="721"/>
      <c r="G96" s="694" t="s">
        <v>41</v>
      </c>
      <c r="H96" s="694">
        <v>1</v>
      </c>
      <c r="I96" s="695">
        <v>550000</v>
      </c>
      <c r="J96" s="507">
        <f t="shared" si="3"/>
        <v>550000</v>
      </c>
      <c r="K96" s="696">
        <v>1</v>
      </c>
      <c r="L96" s="332">
        <f t="shared" si="1"/>
        <v>0</v>
      </c>
      <c r="M96" s="695"/>
      <c r="N96" s="695"/>
      <c r="O96" s="695"/>
      <c r="P96" s="695"/>
      <c r="Q96" s="695"/>
      <c r="R96" s="697"/>
      <c r="S96" s="726" t="s">
        <v>398</v>
      </c>
    </row>
    <row r="97" spans="1:19" s="197" customFormat="1" ht="16.8" x14ac:dyDescent="0.15">
      <c r="A97" s="699"/>
      <c r="B97" s="582"/>
      <c r="C97" s="718" t="s">
        <v>754</v>
      </c>
      <c r="D97" s="718" t="s">
        <v>395</v>
      </c>
      <c r="E97" s="701"/>
      <c r="F97" s="722"/>
      <c r="G97" s="702" t="s">
        <v>42</v>
      </c>
      <c r="H97" s="702">
        <v>1</v>
      </c>
      <c r="I97" s="445">
        <v>455000</v>
      </c>
      <c r="J97" s="513">
        <f t="shared" si="3"/>
        <v>455000</v>
      </c>
      <c r="K97" s="703">
        <v>0.35</v>
      </c>
      <c r="L97" s="445">
        <f t="shared" si="1"/>
        <v>295750</v>
      </c>
      <c r="M97" s="445"/>
      <c r="N97" s="445"/>
      <c r="O97" s="445"/>
      <c r="P97" s="445"/>
      <c r="Q97" s="445"/>
      <c r="R97" s="704"/>
      <c r="S97" s="705"/>
    </row>
    <row r="98" spans="1:19" s="197" customFormat="1" ht="16.8" x14ac:dyDescent="0.15">
      <c r="A98" s="707">
        <v>36</v>
      </c>
      <c r="B98" s="708" t="s">
        <v>260</v>
      </c>
      <c r="C98" s="710" t="s">
        <v>754</v>
      </c>
      <c r="D98" s="710" t="s">
        <v>397</v>
      </c>
      <c r="E98" s="710" t="s">
        <v>146</v>
      </c>
      <c r="F98" s="711"/>
      <c r="G98" s="712" t="s">
        <v>46</v>
      </c>
      <c r="H98" s="712">
        <v>7</v>
      </c>
      <c r="I98" s="713">
        <v>450000</v>
      </c>
      <c r="J98" s="512">
        <f t="shared" si="3"/>
        <v>3150000</v>
      </c>
      <c r="K98" s="714">
        <v>1</v>
      </c>
      <c r="L98" s="444">
        <f t="shared" si="1"/>
        <v>0</v>
      </c>
      <c r="M98" s="713"/>
      <c r="N98" s="713"/>
      <c r="O98" s="713"/>
      <c r="P98" s="713"/>
      <c r="Q98" s="713"/>
      <c r="R98" s="715"/>
      <c r="S98" s="727" t="s">
        <v>398</v>
      </c>
    </row>
    <row r="99" spans="1:19" s="197" customFormat="1" ht="8.4" x14ac:dyDescent="0.15">
      <c r="A99" s="699"/>
      <c r="B99" s="582"/>
      <c r="C99" s="701" t="s">
        <v>754</v>
      </c>
      <c r="D99" s="701" t="s">
        <v>397</v>
      </c>
      <c r="E99" s="701" t="s">
        <v>146</v>
      </c>
      <c r="F99" s="701"/>
      <c r="G99" s="702" t="s">
        <v>44</v>
      </c>
      <c r="H99" s="702">
        <v>1</v>
      </c>
      <c r="I99" s="445">
        <v>455000</v>
      </c>
      <c r="J99" s="513">
        <f t="shared" si="3"/>
        <v>455000</v>
      </c>
      <c r="K99" s="703">
        <v>1</v>
      </c>
      <c r="L99" s="445">
        <f t="shared" si="1"/>
        <v>0</v>
      </c>
      <c r="M99" s="445"/>
      <c r="N99" s="445"/>
      <c r="O99" s="445"/>
      <c r="P99" s="445"/>
      <c r="Q99" s="445"/>
      <c r="R99" s="704"/>
      <c r="S99" s="705"/>
    </row>
    <row r="100" spans="1:19" s="197" customFormat="1" ht="16.8" x14ac:dyDescent="0.15">
      <c r="A100" s="684">
        <v>37</v>
      </c>
      <c r="B100" s="584" t="s">
        <v>260</v>
      </c>
      <c r="C100" s="672" t="s">
        <v>12</v>
      </c>
      <c r="D100" s="685" t="s">
        <v>620</v>
      </c>
      <c r="E100" s="685" t="s">
        <v>392</v>
      </c>
      <c r="F100" s="685"/>
      <c r="G100" s="686" t="s">
        <v>34</v>
      </c>
      <c r="H100" s="686">
        <v>1</v>
      </c>
      <c r="I100" s="687">
        <v>265000</v>
      </c>
      <c r="J100" s="512">
        <f t="shared" si="3"/>
        <v>265000</v>
      </c>
      <c r="K100" s="688">
        <v>0.5</v>
      </c>
      <c r="L100" s="443">
        <f t="shared" si="1"/>
        <v>132500</v>
      </c>
      <c r="M100" s="687"/>
      <c r="N100" s="687"/>
      <c r="O100" s="687"/>
      <c r="P100" s="687"/>
      <c r="Q100" s="687">
        <v>131</v>
      </c>
      <c r="R100" s="689">
        <f>SUM(L100:L109)</f>
        <v>2210000</v>
      </c>
      <c r="S100" s="690"/>
    </row>
    <row r="101" spans="1:19" s="197" customFormat="1" ht="16.8" x14ac:dyDescent="0.15">
      <c r="A101" s="691"/>
      <c r="B101" s="692" t="s">
        <v>260</v>
      </c>
      <c r="C101" s="1173" t="s">
        <v>12</v>
      </c>
      <c r="D101" s="693" t="s">
        <v>620</v>
      </c>
      <c r="E101" s="693" t="s">
        <v>1080</v>
      </c>
      <c r="F101" s="693"/>
      <c r="G101" s="694" t="s">
        <v>35</v>
      </c>
      <c r="H101" s="694">
        <v>1</v>
      </c>
      <c r="I101" s="695">
        <v>465000</v>
      </c>
      <c r="J101" s="507">
        <f t="shared" si="3"/>
        <v>465000</v>
      </c>
      <c r="K101" s="696">
        <v>0.5</v>
      </c>
      <c r="L101" s="332">
        <f t="shared" si="1"/>
        <v>232500</v>
      </c>
      <c r="M101" s="695"/>
      <c r="N101" s="695"/>
      <c r="O101" s="695"/>
      <c r="P101" s="695"/>
      <c r="Q101" s="695"/>
      <c r="R101" s="697"/>
      <c r="S101" s="698"/>
    </row>
    <row r="102" spans="1:19" s="197" customFormat="1" ht="16.8" x14ac:dyDescent="0.15">
      <c r="A102" s="691"/>
      <c r="B102" s="584" t="s">
        <v>260</v>
      </c>
      <c r="C102" s="672" t="s">
        <v>12</v>
      </c>
      <c r="D102" s="685" t="s">
        <v>620</v>
      </c>
      <c r="E102" s="685"/>
      <c r="F102" s="693"/>
      <c r="G102" s="694" t="s">
        <v>36</v>
      </c>
      <c r="H102" s="694">
        <v>1</v>
      </c>
      <c r="I102" s="695">
        <v>275000</v>
      </c>
      <c r="J102" s="507">
        <f t="shared" si="3"/>
        <v>275000</v>
      </c>
      <c r="K102" s="696">
        <v>0.5</v>
      </c>
      <c r="L102" s="332">
        <f t="shared" si="1"/>
        <v>137500</v>
      </c>
      <c r="M102" s="695"/>
      <c r="N102" s="695"/>
      <c r="O102" s="695"/>
      <c r="P102" s="695"/>
      <c r="Q102" s="695"/>
      <c r="R102" s="697"/>
      <c r="S102" s="698"/>
    </row>
    <row r="103" spans="1:19" s="197" customFormat="1" ht="16.8" x14ac:dyDescent="0.15">
      <c r="A103" s="691"/>
      <c r="B103" s="584" t="s">
        <v>260</v>
      </c>
      <c r="C103" s="672" t="s">
        <v>12</v>
      </c>
      <c r="D103" s="685" t="s">
        <v>620</v>
      </c>
      <c r="E103" s="685"/>
      <c r="F103" s="693"/>
      <c r="G103" s="694" t="s">
        <v>39</v>
      </c>
      <c r="H103" s="694">
        <v>1</v>
      </c>
      <c r="I103" s="695">
        <v>285000</v>
      </c>
      <c r="J103" s="507">
        <f t="shared" si="3"/>
        <v>285000</v>
      </c>
      <c r="K103" s="696">
        <v>0.5</v>
      </c>
      <c r="L103" s="332">
        <f t="shared" si="1"/>
        <v>142500</v>
      </c>
      <c r="M103" s="695"/>
      <c r="N103" s="695"/>
      <c r="O103" s="695"/>
      <c r="P103" s="695"/>
      <c r="Q103" s="695"/>
      <c r="R103" s="697"/>
      <c r="S103" s="698"/>
    </row>
    <row r="104" spans="1:19" s="197" customFormat="1" ht="16.8" x14ac:dyDescent="0.15">
      <c r="A104" s="691"/>
      <c r="B104" s="584" t="s">
        <v>260</v>
      </c>
      <c r="C104" s="672" t="s">
        <v>12</v>
      </c>
      <c r="D104" s="685" t="s">
        <v>620</v>
      </c>
      <c r="E104" s="685"/>
      <c r="F104" s="693"/>
      <c r="G104" s="694" t="s">
        <v>40</v>
      </c>
      <c r="H104" s="694">
        <v>1</v>
      </c>
      <c r="I104" s="695">
        <v>485000</v>
      </c>
      <c r="J104" s="507">
        <f t="shared" si="3"/>
        <v>485000</v>
      </c>
      <c r="K104" s="696">
        <v>0.5</v>
      </c>
      <c r="L104" s="332">
        <f t="shared" si="1"/>
        <v>242500</v>
      </c>
      <c r="M104" s="695"/>
      <c r="N104" s="695"/>
      <c r="O104" s="695"/>
      <c r="P104" s="695"/>
      <c r="Q104" s="695"/>
      <c r="R104" s="697"/>
      <c r="S104" s="698"/>
    </row>
    <row r="105" spans="1:19" s="197" customFormat="1" ht="16.8" x14ac:dyDescent="0.15">
      <c r="A105" s="691"/>
      <c r="B105" s="584" t="s">
        <v>260</v>
      </c>
      <c r="C105" s="672" t="s">
        <v>12</v>
      </c>
      <c r="D105" s="685" t="s">
        <v>620</v>
      </c>
      <c r="E105" s="685"/>
      <c r="F105" s="693"/>
      <c r="G105" s="694" t="s">
        <v>38</v>
      </c>
      <c r="H105" s="694">
        <v>1</v>
      </c>
      <c r="I105" s="695">
        <v>285000</v>
      </c>
      <c r="J105" s="507">
        <f t="shared" si="3"/>
        <v>285000</v>
      </c>
      <c r="K105" s="696">
        <v>0.5</v>
      </c>
      <c r="L105" s="332">
        <f t="shared" si="1"/>
        <v>142500</v>
      </c>
      <c r="M105" s="695"/>
      <c r="N105" s="695"/>
      <c r="O105" s="695"/>
      <c r="P105" s="695"/>
      <c r="Q105" s="695"/>
      <c r="R105" s="697"/>
      <c r="S105" s="698"/>
    </row>
    <row r="106" spans="1:19" s="197" customFormat="1" ht="16.8" x14ac:dyDescent="0.15">
      <c r="A106" s="691"/>
      <c r="B106" s="584" t="s">
        <v>260</v>
      </c>
      <c r="C106" s="672" t="s">
        <v>12</v>
      </c>
      <c r="D106" s="685" t="s">
        <v>620</v>
      </c>
      <c r="E106" s="685"/>
      <c r="F106" s="693"/>
      <c r="G106" s="694" t="s">
        <v>41</v>
      </c>
      <c r="H106" s="694">
        <v>1</v>
      </c>
      <c r="I106" s="695">
        <v>550000</v>
      </c>
      <c r="J106" s="507">
        <f t="shared" ref="J106" si="4">H106*I106</f>
        <v>550000</v>
      </c>
      <c r="K106" s="696">
        <v>0.5</v>
      </c>
      <c r="L106" s="332">
        <f t="shared" ref="L106" si="5">H106*I106*(1-K106)</f>
        <v>275000</v>
      </c>
      <c r="M106" s="695"/>
      <c r="N106" s="695"/>
      <c r="O106" s="695"/>
      <c r="P106" s="695"/>
      <c r="Q106" s="695"/>
      <c r="R106" s="697"/>
      <c r="S106" s="698"/>
    </row>
    <row r="107" spans="1:19" s="197" customFormat="1" ht="16.8" x14ac:dyDescent="0.15">
      <c r="A107" s="691"/>
      <c r="B107" s="584" t="s">
        <v>260</v>
      </c>
      <c r="C107" s="672" t="s">
        <v>12</v>
      </c>
      <c r="D107" s="685" t="s">
        <v>620</v>
      </c>
      <c r="E107" s="685"/>
      <c r="F107" s="693"/>
      <c r="G107" s="694" t="s">
        <v>46</v>
      </c>
      <c r="H107" s="694">
        <v>2</v>
      </c>
      <c r="I107" s="695">
        <v>450000</v>
      </c>
      <c r="J107" s="507">
        <f t="shared" si="3"/>
        <v>900000</v>
      </c>
      <c r="K107" s="696">
        <v>0.5</v>
      </c>
      <c r="L107" s="332">
        <f t="shared" si="1"/>
        <v>450000</v>
      </c>
      <c r="M107" s="695"/>
      <c r="N107" s="695"/>
      <c r="O107" s="695"/>
      <c r="P107" s="695"/>
      <c r="Q107" s="695"/>
      <c r="R107" s="697"/>
      <c r="S107" s="698"/>
    </row>
    <row r="108" spans="1:19" s="197" customFormat="1" ht="16.8" x14ac:dyDescent="0.15">
      <c r="A108" s="691"/>
      <c r="B108" s="580" t="s">
        <v>260</v>
      </c>
      <c r="C108" s="890" t="s">
        <v>12</v>
      </c>
      <c r="D108" s="718" t="s">
        <v>620</v>
      </c>
      <c r="E108" s="718"/>
      <c r="F108" s="693"/>
      <c r="G108" s="694" t="s">
        <v>44</v>
      </c>
      <c r="H108" s="694">
        <v>1</v>
      </c>
      <c r="I108" s="695">
        <v>455000</v>
      </c>
      <c r="J108" s="507">
        <f t="shared" si="3"/>
        <v>455000</v>
      </c>
      <c r="K108" s="696">
        <v>0.5</v>
      </c>
      <c r="L108" s="332">
        <f t="shared" si="1"/>
        <v>227500</v>
      </c>
      <c r="M108" s="695"/>
      <c r="N108" s="695"/>
      <c r="O108" s="695"/>
      <c r="P108" s="695"/>
      <c r="Q108" s="695"/>
      <c r="R108" s="697"/>
      <c r="S108" s="698"/>
    </row>
    <row r="109" spans="1:19" s="197" customFormat="1" ht="16.8" x14ac:dyDescent="0.15">
      <c r="A109" s="699"/>
      <c r="B109" s="744" t="s">
        <v>260</v>
      </c>
      <c r="C109" s="673" t="s">
        <v>12</v>
      </c>
      <c r="D109" s="700" t="s">
        <v>620</v>
      </c>
      <c r="E109" s="700"/>
      <c r="F109" s="701"/>
      <c r="G109" s="702" t="s">
        <v>42</v>
      </c>
      <c r="H109" s="702">
        <v>1</v>
      </c>
      <c r="I109" s="445">
        <v>455000</v>
      </c>
      <c r="J109" s="513">
        <f t="shared" si="3"/>
        <v>455000</v>
      </c>
      <c r="K109" s="703">
        <v>0.5</v>
      </c>
      <c r="L109" s="445">
        <f t="shared" si="1"/>
        <v>227500</v>
      </c>
      <c r="M109" s="445"/>
      <c r="N109" s="445"/>
      <c r="O109" s="445"/>
      <c r="P109" s="445"/>
      <c r="Q109" s="445"/>
      <c r="R109" s="704"/>
      <c r="S109" s="705"/>
    </row>
    <row r="110" spans="1:19" s="197" customFormat="1" ht="16.8" x14ac:dyDescent="0.15">
      <c r="A110" s="684">
        <v>38</v>
      </c>
      <c r="B110" s="584" t="s">
        <v>387</v>
      </c>
      <c r="C110" s="718" t="s">
        <v>754</v>
      </c>
      <c r="D110" s="718" t="s">
        <v>621</v>
      </c>
      <c r="E110" s="718" t="s">
        <v>406</v>
      </c>
      <c r="F110" s="725" t="s">
        <v>407</v>
      </c>
      <c r="G110" s="686" t="s">
        <v>35</v>
      </c>
      <c r="H110" s="686">
        <v>48</v>
      </c>
      <c r="I110" s="687">
        <v>465000</v>
      </c>
      <c r="J110" s="512">
        <f t="shared" si="3"/>
        <v>22320000</v>
      </c>
      <c r="K110" s="688">
        <v>0.5</v>
      </c>
      <c r="L110" s="443">
        <f t="shared" si="1"/>
        <v>11160000</v>
      </c>
      <c r="M110" s="687"/>
      <c r="N110" s="687"/>
      <c r="O110" s="687"/>
      <c r="P110" s="687"/>
      <c r="Q110" s="687">
        <v>131</v>
      </c>
      <c r="R110" s="689">
        <f>SUM(L110:L118)</f>
        <v>70560000</v>
      </c>
      <c r="S110" s="690"/>
    </row>
    <row r="111" spans="1:19" s="197" customFormat="1" ht="16.8" x14ac:dyDescent="0.15">
      <c r="A111" s="691"/>
      <c r="B111" s="584" t="s">
        <v>387</v>
      </c>
      <c r="C111" s="718" t="s">
        <v>754</v>
      </c>
      <c r="D111" s="718" t="s">
        <v>621</v>
      </c>
      <c r="E111" s="720"/>
      <c r="F111" s="721"/>
      <c r="G111" s="694" t="s">
        <v>36</v>
      </c>
      <c r="H111" s="694">
        <v>24</v>
      </c>
      <c r="I111" s="695">
        <v>275000</v>
      </c>
      <c r="J111" s="507">
        <f t="shared" si="3"/>
        <v>6600000</v>
      </c>
      <c r="K111" s="696">
        <v>0.5</v>
      </c>
      <c r="L111" s="332">
        <f t="shared" si="1"/>
        <v>3300000</v>
      </c>
      <c r="M111" s="695"/>
      <c r="N111" s="695"/>
      <c r="O111" s="695"/>
      <c r="P111" s="695"/>
      <c r="Q111" s="695"/>
      <c r="R111" s="697"/>
      <c r="S111" s="698"/>
    </row>
    <row r="112" spans="1:19" s="197" customFormat="1" ht="16.8" x14ac:dyDescent="0.15">
      <c r="A112" s="691"/>
      <c r="B112" s="584" t="s">
        <v>387</v>
      </c>
      <c r="C112" s="718" t="s">
        <v>754</v>
      </c>
      <c r="D112" s="718" t="s">
        <v>621</v>
      </c>
      <c r="E112" s="720"/>
      <c r="F112" s="721"/>
      <c r="G112" s="694" t="s">
        <v>37</v>
      </c>
      <c r="H112" s="694">
        <v>24</v>
      </c>
      <c r="I112" s="695">
        <v>475000</v>
      </c>
      <c r="J112" s="507">
        <f t="shared" si="3"/>
        <v>11400000</v>
      </c>
      <c r="K112" s="696">
        <v>0.5</v>
      </c>
      <c r="L112" s="332">
        <f t="shared" si="1"/>
        <v>5700000</v>
      </c>
      <c r="M112" s="695"/>
      <c r="N112" s="695"/>
      <c r="O112" s="695"/>
      <c r="P112" s="695"/>
      <c r="Q112" s="695"/>
      <c r="R112" s="697"/>
      <c r="S112" s="698"/>
    </row>
    <row r="113" spans="1:19" s="197" customFormat="1" ht="16.8" x14ac:dyDescent="0.15">
      <c r="A113" s="691"/>
      <c r="B113" s="584" t="s">
        <v>387</v>
      </c>
      <c r="C113" s="718" t="s">
        <v>754</v>
      </c>
      <c r="D113" s="718" t="s">
        <v>621</v>
      </c>
      <c r="E113" s="720"/>
      <c r="F113" s="721"/>
      <c r="G113" s="694" t="s">
        <v>39</v>
      </c>
      <c r="H113" s="694">
        <v>24</v>
      </c>
      <c r="I113" s="695">
        <v>285000</v>
      </c>
      <c r="J113" s="507">
        <f t="shared" si="3"/>
        <v>6840000</v>
      </c>
      <c r="K113" s="696">
        <v>0.5</v>
      </c>
      <c r="L113" s="332">
        <f t="shared" si="1"/>
        <v>3420000</v>
      </c>
      <c r="M113" s="695"/>
      <c r="N113" s="695"/>
      <c r="O113" s="695"/>
      <c r="P113" s="695"/>
      <c r="Q113" s="695"/>
      <c r="R113" s="697"/>
      <c r="S113" s="698"/>
    </row>
    <row r="114" spans="1:19" s="197" customFormat="1" ht="16.8" x14ac:dyDescent="0.15">
      <c r="A114" s="691"/>
      <c r="B114" s="584" t="s">
        <v>387</v>
      </c>
      <c r="C114" s="718" t="s">
        <v>754</v>
      </c>
      <c r="D114" s="718" t="s">
        <v>621</v>
      </c>
      <c r="E114" s="720"/>
      <c r="F114" s="721"/>
      <c r="G114" s="694" t="s">
        <v>40</v>
      </c>
      <c r="H114" s="694">
        <v>24</v>
      </c>
      <c r="I114" s="695">
        <v>485000</v>
      </c>
      <c r="J114" s="507">
        <f t="shared" si="3"/>
        <v>11640000</v>
      </c>
      <c r="K114" s="696">
        <v>0.5</v>
      </c>
      <c r="L114" s="332">
        <f t="shared" si="1"/>
        <v>5820000</v>
      </c>
      <c r="M114" s="695"/>
      <c r="N114" s="695"/>
      <c r="O114" s="695"/>
      <c r="P114" s="695"/>
      <c r="Q114" s="695"/>
      <c r="R114" s="697"/>
      <c r="S114" s="698"/>
    </row>
    <row r="115" spans="1:19" s="197" customFormat="1" ht="16.8" x14ac:dyDescent="0.15">
      <c r="A115" s="691"/>
      <c r="B115" s="584" t="s">
        <v>387</v>
      </c>
      <c r="C115" s="718" t="s">
        <v>754</v>
      </c>
      <c r="D115" s="718" t="s">
        <v>621</v>
      </c>
      <c r="E115" s="720"/>
      <c r="F115" s="721"/>
      <c r="G115" s="694" t="s">
        <v>41</v>
      </c>
      <c r="H115" s="694">
        <v>48</v>
      </c>
      <c r="I115" s="695">
        <v>550000</v>
      </c>
      <c r="J115" s="507">
        <f t="shared" si="3"/>
        <v>26400000</v>
      </c>
      <c r="K115" s="696">
        <v>0.5</v>
      </c>
      <c r="L115" s="332">
        <f t="shared" si="1"/>
        <v>13200000</v>
      </c>
      <c r="M115" s="695"/>
      <c r="N115" s="695"/>
      <c r="O115" s="695"/>
      <c r="P115" s="695"/>
      <c r="Q115" s="695"/>
      <c r="R115" s="697"/>
      <c r="S115" s="698"/>
    </row>
    <row r="116" spans="1:19" s="197" customFormat="1" ht="25.2" x14ac:dyDescent="0.15">
      <c r="A116" s="691"/>
      <c r="B116" s="584" t="s">
        <v>387</v>
      </c>
      <c r="C116" s="718" t="s">
        <v>754</v>
      </c>
      <c r="D116" s="718" t="s">
        <v>621</v>
      </c>
      <c r="E116" s="720"/>
      <c r="F116" s="721"/>
      <c r="G116" s="694" t="s">
        <v>46</v>
      </c>
      <c r="H116" s="694">
        <v>100</v>
      </c>
      <c r="I116" s="695">
        <v>450000</v>
      </c>
      <c r="J116" s="507">
        <f t="shared" si="3"/>
        <v>45000000</v>
      </c>
      <c r="K116" s="696">
        <v>0.5</v>
      </c>
      <c r="L116" s="332">
        <f t="shared" si="1"/>
        <v>22500000</v>
      </c>
      <c r="M116" s="695"/>
      <c r="N116" s="695"/>
      <c r="O116" s="695"/>
      <c r="P116" s="695"/>
      <c r="Q116" s="695"/>
      <c r="R116" s="697"/>
      <c r="S116" s="926" t="s">
        <v>1353</v>
      </c>
    </row>
    <row r="117" spans="1:19" s="197" customFormat="1" ht="16.8" x14ac:dyDescent="0.15">
      <c r="A117" s="691"/>
      <c r="B117" s="584" t="s">
        <v>387</v>
      </c>
      <c r="C117" s="718" t="s">
        <v>754</v>
      </c>
      <c r="D117" s="718" t="s">
        <v>621</v>
      </c>
      <c r="E117" s="720"/>
      <c r="F117" s="721"/>
      <c r="G117" s="694" t="s">
        <v>44</v>
      </c>
      <c r="H117" s="694">
        <v>12</v>
      </c>
      <c r="I117" s="695">
        <v>455000</v>
      </c>
      <c r="J117" s="507">
        <f t="shared" si="3"/>
        <v>5460000</v>
      </c>
      <c r="K117" s="696">
        <v>0.5</v>
      </c>
      <c r="L117" s="332">
        <f t="shared" si="1"/>
        <v>2730000</v>
      </c>
      <c r="M117" s="695"/>
      <c r="N117" s="695"/>
      <c r="O117" s="695"/>
      <c r="P117" s="695"/>
      <c r="Q117" s="695"/>
      <c r="R117" s="697"/>
      <c r="S117" s="2237" t="s">
        <v>1909</v>
      </c>
    </row>
    <row r="118" spans="1:19" s="197" customFormat="1" ht="16.8" x14ac:dyDescent="0.15">
      <c r="A118" s="691"/>
      <c r="B118" s="584" t="s">
        <v>387</v>
      </c>
      <c r="C118" s="718" t="s">
        <v>754</v>
      </c>
      <c r="D118" s="718" t="s">
        <v>621</v>
      </c>
      <c r="E118" s="720"/>
      <c r="F118" s="721"/>
      <c r="G118" s="694" t="s">
        <v>42</v>
      </c>
      <c r="H118" s="694">
        <v>12</v>
      </c>
      <c r="I118" s="695">
        <v>455000</v>
      </c>
      <c r="J118" s="507">
        <f t="shared" si="3"/>
        <v>5460000</v>
      </c>
      <c r="K118" s="696">
        <v>0.5</v>
      </c>
      <c r="L118" s="332">
        <f t="shared" si="1"/>
        <v>2730000</v>
      </c>
      <c r="M118" s="695"/>
      <c r="N118" s="695"/>
      <c r="O118" s="695"/>
      <c r="P118" s="695"/>
      <c r="Q118" s="695"/>
      <c r="R118" s="697"/>
      <c r="S118" s="2238"/>
    </row>
    <row r="119" spans="1:19" s="1364" customFormat="1" ht="18.75" customHeight="1" x14ac:dyDescent="0.3">
      <c r="A119" s="2206" t="s">
        <v>2</v>
      </c>
      <c r="B119" s="2207"/>
      <c r="C119" s="2207"/>
      <c r="D119" s="2207"/>
      <c r="E119" s="2207"/>
      <c r="F119" s="2207"/>
      <c r="G119" s="2207"/>
      <c r="H119" s="1384">
        <f>SUM(H10:H118)</f>
        <v>714</v>
      </c>
      <c r="I119" s="1361"/>
      <c r="J119" s="1360">
        <f>SUM(J10:J118)</f>
        <v>298865000</v>
      </c>
      <c r="K119" s="1361"/>
      <c r="L119" s="1360">
        <f>SUM(L10:L118)</f>
        <v>169742450</v>
      </c>
      <c r="M119" s="1360"/>
      <c r="N119" s="1360">
        <f>SUM(N10:N118)</f>
        <v>25316750</v>
      </c>
      <c r="O119" s="1360"/>
      <c r="P119" s="1360">
        <f>SUM(P10:P118)</f>
        <v>56911900</v>
      </c>
      <c r="Q119" s="1360"/>
      <c r="R119" s="1360">
        <f>SUM(R10:R118)</f>
        <v>87508050</v>
      </c>
      <c r="S119" s="1385"/>
    </row>
    <row r="120" spans="1:19" s="1364" customFormat="1" ht="13.5" customHeight="1" x14ac:dyDescent="0.3">
      <c r="A120" s="2212" t="s">
        <v>194</v>
      </c>
      <c r="B120" s="2213"/>
      <c r="C120" s="2213"/>
      <c r="D120" s="2213"/>
      <c r="E120" s="2213"/>
      <c r="F120" s="2213"/>
      <c r="G120" s="2213"/>
      <c r="H120" s="1386">
        <f>H119</f>
        <v>714</v>
      </c>
      <c r="I120" s="1387"/>
      <c r="J120" s="1387"/>
      <c r="K120" s="1387"/>
      <c r="L120" s="1388">
        <f>L119</f>
        <v>169742450</v>
      </c>
      <c r="M120" s="1388"/>
      <c r="N120" s="1388"/>
      <c r="O120" s="1388"/>
      <c r="P120" s="1388"/>
      <c r="Q120" s="1388"/>
      <c r="R120" s="1388"/>
      <c r="S120" s="1389"/>
    </row>
    <row r="121" spans="1:19" s="1364" customFormat="1" ht="13.5" customHeight="1" x14ac:dyDescent="0.3">
      <c r="A121" s="2212" t="s">
        <v>195</v>
      </c>
      <c r="B121" s="2213"/>
      <c r="C121" s="2213"/>
      <c r="D121" s="2213"/>
      <c r="E121" s="2213"/>
      <c r="F121" s="2213"/>
      <c r="G121" s="2213"/>
      <c r="H121" s="1386"/>
      <c r="I121" s="1387"/>
      <c r="J121" s="1387"/>
      <c r="K121" s="1387"/>
      <c r="L121" s="1388">
        <f>N119</f>
        <v>25316750</v>
      </c>
      <c r="M121" s="1388"/>
      <c r="N121" s="1388"/>
      <c r="O121" s="1388"/>
      <c r="P121" s="1388"/>
      <c r="Q121" s="1388"/>
      <c r="R121" s="1388"/>
      <c r="S121" s="1389"/>
    </row>
    <row r="122" spans="1:19" s="1364" customFormat="1" ht="13.5" customHeight="1" x14ac:dyDescent="0.3">
      <c r="A122" s="2212" t="s">
        <v>1854</v>
      </c>
      <c r="B122" s="2213"/>
      <c r="C122" s="2213"/>
      <c r="D122" s="2213"/>
      <c r="E122" s="2213"/>
      <c r="F122" s="2213"/>
      <c r="G122" s="2213"/>
      <c r="H122" s="1386"/>
      <c r="I122" s="1387"/>
      <c r="J122" s="1387"/>
      <c r="K122" s="1387"/>
      <c r="L122" s="1388">
        <f>P119</f>
        <v>56911900</v>
      </c>
      <c r="M122" s="1388"/>
      <c r="N122" s="1388"/>
      <c r="O122" s="1388"/>
      <c r="P122" s="1388"/>
      <c r="Q122" s="1388"/>
      <c r="R122" s="1388"/>
      <c r="S122" s="1389"/>
    </row>
    <row r="123" spans="1:19" s="1364" customFormat="1" ht="13.5" customHeight="1" x14ac:dyDescent="0.3">
      <c r="A123" s="2212" t="s">
        <v>196</v>
      </c>
      <c r="B123" s="2213"/>
      <c r="C123" s="2213"/>
      <c r="D123" s="2213"/>
      <c r="E123" s="2213"/>
      <c r="F123" s="2213"/>
      <c r="G123" s="2213"/>
      <c r="H123" s="1386"/>
      <c r="I123" s="1387"/>
      <c r="J123" s="1387"/>
      <c r="K123" s="1387"/>
      <c r="L123" s="1388">
        <f>R119</f>
        <v>87508050</v>
      </c>
      <c r="M123" s="1388"/>
      <c r="N123" s="1388"/>
      <c r="O123" s="1388"/>
      <c r="P123" s="1388"/>
      <c r="Q123" s="1388"/>
      <c r="R123" s="1388"/>
      <c r="S123" s="1389"/>
    </row>
    <row r="124" spans="1:19" s="1364" customFormat="1" ht="13.5" customHeight="1" x14ac:dyDescent="0.3">
      <c r="A124" s="2212" t="s">
        <v>197</v>
      </c>
      <c r="B124" s="2213"/>
      <c r="C124" s="2213"/>
      <c r="D124" s="2213"/>
      <c r="E124" s="2213"/>
      <c r="F124" s="2213"/>
      <c r="G124" s="2213"/>
      <c r="H124" s="1386"/>
      <c r="I124" s="1387"/>
      <c r="J124" s="1387"/>
      <c r="K124" s="1387"/>
      <c r="L124" s="1388">
        <v>74822050</v>
      </c>
      <c r="M124" s="1388"/>
      <c r="N124" s="1388"/>
      <c r="O124" s="1388"/>
      <c r="P124" s="1388"/>
      <c r="Q124" s="1388"/>
      <c r="R124" s="1388"/>
      <c r="S124" s="1389"/>
    </row>
    <row r="125" spans="1:19" s="1364" customFormat="1" ht="13.5" customHeight="1" x14ac:dyDescent="0.3">
      <c r="A125" s="2212" t="s">
        <v>198</v>
      </c>
      <c r="B125" s="2213"/>
      <c r="C125" s="2213"/>
      <c r="D125" s="2213"/>
      <c r="E125" s="2213"/>
      <c r="F125" s="2213"/>
      <c r="G125" s="2213"/>
      <c r="H125" s="1386"/>
      <c r="I125" s="1387"/>
      <c r="J125" s="1387"/>
      <c r="K125" s="1387"/>
      <c r="L125" s="1388">
        <v>2266800</v>
      </c>
      <c r="M125" s="1388"/>
      <c r="N125" s="1388"/>
      <c r="O125" s="1388"/>
      <c r="P125" s="1388"/>
      <c r="Q125" s="1388"/>
      <c r="R125" s="1388"/>
      <c r="S125" s="1389"/>
    </row>
    <row r="126" spans="1:19" s="1364" customFormat="1" ht="13.5" customHeight="1" x14ac:dyDescent="0.3">
      <c r="A126" s="2212" t="s">
        <v>199</v>
      </c>
      <c r="B126" s="2213"/>
      <c r="C126" s="2213"/>
      <c r="D126" s="2213"/>
      <c r="E126" s="2213"/>
      <c r="F126" s="2213"/>
      <c r="G126" s="2213"/>
      <c r="H126" s="1386"/>
      <c r="I126" s="1387"/>
      <c r="J126" s="1387"/>
      <c r="K126" s="1387"/>
      <c r="L126" s="1388">
        <v>1624350</v>
      </c>
      <c r="M126" s="1388"/>
      <c r="N126" s="1388"/>
      <c r="O126" s="1388"/>
      <c r="P126" s="1388"/>
      <c r="Q126" s="1388"/>
      <c r="R126" s="1388"/>
      <c r="S126" s="1389"/>
    </row>
    <row r="127" spans="1:19" s="1364" customFormat="1" ht="13.5" customHeight="1" x14ac:dyDescent="0.3">
      <c r="A127" s="2212" t="s">
        <v>201</v>
      </c>
      <c r="B127" s="2213"/>
      <c r="C127" s="2213"/>
      <c r="D127" s="2213"/>
      <c r="E127" s="2213"/>
      <c r="F127" s="2213"/>
      <c r="G127" s="2213"/>
      <c r="H127" s="1386"/>
      <c r="I127" s="1387"/>
      <c r="J127" s="1387"/>
      <c r="K127" s="1387"/>
      <c r="L127" s="1388">
        <v>870750</v>
      </c>
      <c r="M127" s="1388"/>
      <c r="N127" s="1388"/>
      <c r="O127" s="1388"/>
      <c r="P127" s="1388"/>
      <c r="Q127" s="1388"/>
      <c r="R127" s="1388"/>
      <c r="S127" s="1389"/>
    </row>
    <row r="128" spans="1:19" s="1371" customFormat="1" ht="13.5" customHeight="1" x14ac:dyDescent="0.25">
      <c r="A128" s="2214" t="s">
        <v>200</v>
      </c>
      <c r="B128" s="2215"/>
      <c r="C128" s="2215"/>
      <c r="D128" s="2215"/>
      <c r="E128" s="2215"/>
      <c r="F128" s="2215"/>
      <c r="G128" s="2215"/>
      <c r="H128" s="1390"/>
      <c r="I128" s="1368"/>
      <c r="J128" s="1368"/>
      <c r="K128" s="1368"/>
      <c r="L128" s="1369">
        <v>1725750</v>
      </c>
      <c r="M128" s="1368"/>
      <c r="N128" s="1368"/>
      <c r="O128" s="1368"/>
      <c r="P128" s="1368"/>
      <c r="Q128" s="1368"/>
      <c r="R128" s="1368"/>
      <c r="S128" s="1391"/>
    </row>
    <row r="129" spans="1:19" s="449" customFormat="1" ht="13.5" customHeight="1" x14ac:dyDescent="0.25">
      <c r="A129" s="2216" t="s">
        <v>399</v>
      </c>
      <c r="B129" s="2217"/>
      <c r="C129" s="2217"/>
      <c r="D129" s="2217"/>
      <c r="E129" s="2217"/>
      <c r="F129" s="2217"/>
      <c r="G129" s="2217"/>
      <c r="H129" s="1380"/>
      <c r="I129" s="1378"/>
      <c r="J129" s="1378"/>
      <c r="K129" s="1378"/>
      <c r="L129" s="1379">
        <v>82972750</v>
      </c>
      <c r="M129" s="1378"/>
      <c r="N129" s="1378"/>
      <c r="O129" s="1378"/>
      <c r="P129" s="1378"/>
      <c r="Q129" s="1378"/>
      <c r="R129" s="1378"/>
      <c r="S129" s="1381"/>
    </row>
    <row r="130" spans="1:19" s="197" customFormat="1" ht="13.5" customHeight="1" x14ac:dyDescent="0.15">
      <c r="A130" s="731"/>
      <c r="B130" s="731"/>
      <c r="C130" s="731"/>
      <c r="D130" s="731"/>
      <c r="E130" s="731"/>
      <c r="F130" s="731"/>
      <c r="G130" s="731"/>
      <c r="H130" s="1094"/>
      <c r="I130" s="521"/>
      <c r="J130" s="521"/>
      <c r="K130" s="521"/>
      <c r="L130" s="732"/>
      <c r="M130" s="521"/>
      <c r="N130" s="521"/>
      <c r="O130" s="521"/>
      <c r="P130" s="521"/>
      <c r="Q130" s="521"/>
      <c r="R130" s="521"/>
      <c r="S130" s="733"/>
    </row>
    <row r="131" spans="1:19" ht="13.5" customHeight="1" x14ac:dyDescent="0.25">
      <c r="C131" s="2211" t="s">
        <v>84</v>
      </c>
      <c r="D131" s="2211"/>
      <c r="E131" s="2211"/>
      <c r="F131" s="734"/>
      <c r="G131" s="520"/>
      <c r="I131" s="520"/>
      <c r="J131" s="520"/>
      <c r="K131" s="734" t="s">
        <v>85</v>
      </c>
      <c r="L131" s="520"/>
      <c r="M131" s="520"/>
      <c r="N131" s="520"/>
      <c r="O131" s="520"/>
      <c r="P131" s="520"/>
      <c r="R131" s="520" t="s">
        <v>19</v>
      </c>
      <c r="S131" s="735"/>
    </row>
    <row r="132" spans="1:19" ht="13.5" customHeight="1" x14ac:dyDescent="0.25"/>
    <row r="133" spans="1:19" ht="27.9" customHeight="1" x14ac:dyDescent="0.25"/>
    <row r="139" spans="1:19" x14ac:dyDescent="0.25">
      <c r="D139" s="511"/>
      <c r="E139" s="511"/>
      <c r="F139" s="511"/>
    </row>
    <row r="140" spans="1:19" x14ac:dyDescent="0.25">
      <c r="D140" s="511"/>
      <c r="E140" s="511"/>
      <c r="F140" s="511"/>
    </row>
    <row r="141" spans="1:19" x14ac:dyDescent="0.25">
      <c r="D141" s="511"/>
      <c r="E141" s="511"/>
      <c r="F141" s="511"/>
      <c r="K141" s="511"/>
    </row>
    <row r="142" spans="1:19" x14ac:dyDescent="0.25">
      <c r="D142" s="511"/>
      <c r="E142" s="511"/>
      <c r="F142" s="511"/>
      <c r="K142" s="511"/>
    </row>
    <row r="143" spans="1:19" x14ac:dyDescent="0.25">
      <c r="D143" s="511"/>
      <c r="E143" s="511"/>
      <c r="F143" s="511"/>
      <c r="K143" s="511"/>
    </row>
    <row r="144" spans="1:19" x14ac:dyDescent="0.25">
      <c r="D144" s="511"/>
      <c r="E144" s="511"/>
      <c r="F144" s="511"/>
      <c r="K144" s="511"/>
    </row>
    <row r="145" spans="4:11" x14ac:dyDescent="0.25">
      <c r="D145" s="511"/>
      <c r="E145" s="511"/>
      <c r="F145" s="511"/>
      <c r="K145" s="511"/>
    </row>
    <row r="146" spans="4:11" x14ac:dyDescent="0.25">
      <c r="D146" s="511"/>
      <c r="E146" s="511"/>
      <c r="F146" s="511"/>
      <c r="K146" s="511"/>
    </row>
    <row r="147" spans="4:11" x14ac:dyDescent="0.25">
      <c r="D147" s="511"/>
      <c r="E147" s="511"/>
      <c r="F147" s="511"/>
      <c r="K147" s="511"/>
    </row>
    <row r="148" spans="4:11" x14ac:dyDescent="0.25">
      <c r="D148" s="511"/>
      <c r="E148" s="511"/>
      <c r="F148" s="511"/>
      <c r="K148" s="511"/>
    </row>
    <row r="149" spans="4:11" x14ac:dyDescent="0.25">
      <c r="D149" s="511"/>
      <c r="E149" s="511"/>
      <c r="F149" s="511"/>
      <c r="K149" s="511"/>
    </row>
    <row r="150" spans="4:11" x14ac:dyDescent="0.25">
      <c r="D150" s="511"/>
      <c r="E150" s="511"/>
      <c r="F150" s="511"/>
      <c r="K150" s="511"/>
    </row>
    <row r="151" spans="4:11" x14ac:dyDescent="0.25">
      <c r="D151" s="511"/>
      <c r="E151" s="511"/>
      <c r="F151" s="511"/>
      <c r="K151" s="511"/>
    </row>
    <row r="152" spans="4:11" x14ac:dyDescent="0.25">
      <c r="D152" s="511"/>
      <c r="E152" s="511"/>
      <c r="F152" s="511"/>
      <c r="K152" s="511"/>
    </row>
    <row r="153" spans="4:11" x14ac:dyDescent="0.25">
      <c r="D153" s="511"/>
      <c r="E153" s="511"/>
      <c r="F153" s="511"/>
      <c r="K153" s="511"/>
    </row>
    <row r="154" spans="4:11" x14ac:dyDescent="0.25">
      <c r="D154" s="511"/>
      <c r="E154" s="511"/>
      <c r="F154" s="511"/>
      <c r="K154" s="511"/>
    </row>
    <row r="155" spans="4:11" x14ac:dyDescent="0.25">
      <c r="D155" s="511"/>
      <c r="E155" s="511"/>
      <c r="F155" s="511"/>
      <c r="K155" s="511"/>
    </row>
    <row r="156" spans="4:11" x14ac:dyDescent="0.25">
      <c r="D156" s="511"/>
      <c r="E156" s="511"/>
      <c r="F156" s="511"/>
      <c r="K156" s="511"/>
    </row>
    <row r="157" spans="4:11" x14ac:dyDescent="0.25">
      <c r="D157" s="511"/>
      <c r="E157" s="511"/>
      <c r="F157" s="511"/>
      <c r="K157" s="511"/>
    </row>
    <row r="158" spans="4:11" x14ac:dyDescent="0.25">
      <c r="D158" s="511"/>
      <c r="E158" s="511"/>
      <c r="F158" s="511"/>
      <c r="K158" s="511"/>
    </row>
    <row r="159" spans="4:11" x14ac:dyDescent="0.25">
      <c r="D159" s="511"/>
      <c r="E159" s="511"/>
      <c r="F159" s="511"/>
      <c r="K159" s="511"/>
    </row>
    <row r="160" spans="4:11" x14ac:dyDescent="0.25">
      <c r="D160" s="511"/>
      <c r="E160" s="511"/>
      <c r="F160" s="511"/>
      <c r="K160" s="511"/>
    </row>
    <row r="161" spans="4:11" x14ac:dyDescent="0.25">
      <c r="D161" s="511"/>
      <c r="E161" s="511"/>
      <c r="F161" s="511"/>
      <c r="K161" s="511"/>
    </row>
    <row r="162" spans="4:11" x14ac:dyDescent="0.25">
      <c r="D162" s="511"/>
      <c r="E162" s="511"/>
      <c r="F162" s="511"/>
      <c r="K162" s="511"/>
    </row>
    <row r="163" spans="4:11" x14ac:dyDescent="0.25">
      <c r="D163" s="511"/>
      <c r="E163" s="511"/>
      <c r="F163" s="511"/>
      <c r="K163" s="511"/>
    </row>
    <row r="164" spans="4:11" x14ac:dyDescent="0.25">
      <c r="D164" s="511"/>
      <c r="E164" s="511"/>
      <c r="F164" s="511"/>
      <c r="K164" s="511"/>
    </row>
    <row r="165" spans="4:11" x14ac:dyDescent="0.25">
      <c r="D165" s="511"/>
      <c r="E165" s="511"/>
      <c r="F165" s="511"/>
      <c r="K165" s="511"/>
    </row>
    <row r="166" spans="4:11" x14ac:dyDescent="0.25">
      <c r="D166" s="511"/>
      <c r="E166" s="511"/>
      <c r="F166" s="511"/>
      <c r="K166" s="511"/>
    </row>
    <row r="167" spans="4:11" x14ac:dyDescent="0.25">
      <c r="D167" s="511"/>
      <c r="E167" s="511"/>
      <c r="F167" s="511"/>
      <c r="K167" s="511"/>
    </row>
    <row r="168" spans="4:11" x14ac:dyDescent="0.25">
      <c r="D168" s="511"/>
      <c r="E168" s="511"/>
      <c r="F168" s="511"/>
      <c r="K168" s="511"/>
    </row>
    <row r="169" spans="4:11" x14ac:dyDescent="0.25">
      <c r="D169" s="511"/>
      <c r="E169" s="511"/>
      <c r="F169" s="511"/>
      <c r="K169" s="511"/>
    </row>
    <row r="170" spans="4:11" x14ac:dyDescent="0.25">
      <c r="D170" s="511"/>
      <c r="E170" s="511"/>
      <c r="F170" s="511"/>
      <c r="K170" s="511"/>
    </row>
    <row r="171" spans="4:11" x14ac:dyDescent="0.25">
      <c r="D171" s="511"/>
      <c r="E171" s="511"/>
      <c r="F171" s="511"/>
      <c r="K171" s="511"/>
    </row>
    <row r="172" spans="4:11" x14ac:dyDescent="0.25">
      <c r="D172" s="511"/>
      <c r="E172" s="511"/>
      <c r="F172" s="511"/>
      <c r="K172" s="511"/>
    </row>
    <row r="173" spans="4:11" x14ac:dyDescent="0.25">
      <c r="D173" s="511"/>
      <c r="E173" s="511"/>
      <c r="F173" s="511"/>
      <c r="K173" s="511"/>
    </row>
    <row r="174" spans="4:11" x14ac:dyDescent="0.25">
      <c r="D174" s="511"/>
      <c r="E174" s="511"/>
      <c r="F174" s="511"/>
      <c r="K174" s="511"/>
    </row>
    <row r="175" spans="4:11" x14ac:dyDescent="0.25">
      <c r="D175" s="511"/>
      <c r="E175" s="511"/>
      <c r="F175" s="511"/>
      <c r="K175" s="511"/>
    </row>
  </sheetData>
  <autoFilter ref="A1:S129"/>
  <mergeCells count="25">
    <mergeCell ref="S8:S9"/>
    <mergeCell ref="A119:G119"/>
    <mergeCell ref="A6:S6"/>
    <mergeCell ref="A7:S7"/>
    <mergeCell ref="A8:A9"/>
    <mergeCell ref="B8:B9"/>
    <mergeCell ref="C8:C9"/>
    <mergeCell ref="D8:F8"/>
    <mergeCell ref="M8:R8"/>
    <mergeCell ref="G8:K8"/>
    <mergeCell ref="L8:L9"/>
    <mergeCell ref="S86:S88"/>
    <mergeCell ref="S40:S41"/>
    <mergeCell ref="S117:S118"/>
    <mergeCell ref="A120:G120"/>
    <mergeCell ref="A121:G121"/>
    <mergeCell ref="A122:G122"/>
    <mergeCell ref="A123:G123"/>
    <mergeCell ref="A124:G124"/>
    <mergeCell ref="C131:E131"/>
    <mergeCell ref="A125:G125"/>
    <mergeCell ref="A126:G126"/>
    <mergeCell ref="A127:G127"/>
    <mergeCell ref="A128:G128"/>
    <mergeCell ref="A129:G129"/>
  </mergeCells>
  <pageMargins left="0.19685039370078741" right="0" top="0" bottom="0" header="0.31496062992125984" footer="0.31496062992125984"/>
  <pageSetup paperSize="9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"/>
  <sheetViews>
    <sheetView topLeftCell="A106" zoomScaleNormal="100" workbookViewId="0">
      <selection activeCell="N2" sqref="N2"/>
    </sheetView>
  </sheetViews>
  <sheetFormatPr defaultColWidth="9.109375" defaultRowHeight="13.8" x14ac:dyDescent="0.25"/>
  <cols>
    <col min="1" max="1" width="3.109375" style="511" customWidth="1"/>
    <col min="2" max="2" width="4.109375" style="606" customWidth="1"/>
    <col min="3" max="3" width="7" style="750" customWidth="1"/>
    <col min="4" max="4" width="7.88671875" style="658" customWidth="1"/>
    <col min="5" max="5" width="9.5546875" style="658" customWidth="1"/>
    <col min="6" max="6" width="7.44140625" style="658" customWidth="1"/>
    <col min="7" max="7" width="5.5546875" style="511" customWidth="1"/>
    <col min="8" max="8" width="6.88671875" style="511" customWidth="1"/>
    <col min="9" max="9" width="7.88671875" style="511" customWidth="1"/>
    <col min="10" max="10" width="11.109375" style="511" customWidth="1"/>
    <col min="11" max="11" width="4.44140625" style="652" customWidth="1"/>
    <col min="12" max="12" width="11.5546875" style="511" customWidth="1"/>
    <col min="13" max="13" width="5.5546875" style="511" customWidth="1"/>
    <col min="14" max="14" width="11.44140625" style="511" customWidth="1"/>
    <col min="15" max="15" width="5.5546875" style="511" customWidth="1"/>
    <col min="16" max="16" width="10.33203125" style="511" customWidth="1"/>
    <col min="17" max="17" width="5" style="511" customWidth="1"/>
    <col min="18" max="18" width="11.44140625" style="511" customWidth="1"/>
    <col min="19" max="19" width="8.88671875" style="511" customWidth="1"/>
    <col min="20" max="16384" width="9.109375" style="511"/>
  </cols>
  <sheetData>
    <row r="1" spans="1:19" ht="16.8" x14ac:dyDescent="0.3">
      <c r="A1" s="649" t="s">
        <v>3</v>
      </c>
      <c r="B1" s="736"/>
      <c r="C1" s="737"/>
      <c r="D1" s="651"/>
      <c r="E1" s="651"/>
      <c r="F1" s="651"/>
      <c r="I1" s="509"/>
      <c r="J1" s="509"/>
      <c r="K1" s="653"/>
      <c r="L1" s="509"/>
      <c r="M1" s="509"/>
      <c r="N1" s="509"/>
      <c r="O1" s="650"/>
      <c r="R1" s="509" t="s">
        <v>4</v>
      </c>
      <c r="S1" s="509"/>
    </row>
    <row r="2" spans="1:19" ht="15.6" x14ac:dyDescent="0.25">
      <c r="A2" s="654" t="s">
        <v>5</v>
      </c>
      <c r="B2" s="738"/>
      <c r="C2" s="739"/>
      <c r="D2" s="656"/>
      <c r="E2" s="656"/>
      <c r="F2" s="656"/>
      <c r="I2" s="510"/>
      <c r="J2" s="510"/>
      <c r="K2" s="657"/>
      <c r="L2" s="510"/>
      <c r="M2" s="510"/>
      <c r="N2" s="510"/>
      <c r="O2" s="655"/>
      <c r="R2" s="510" t="s">
        <v>6</v>
      </c>
      <c r="S2" s="510"/>
    </row>
    <row r="3" spans="1:19" ht="20.399999999999999" x14ac:dyDescent="0.35">
      <c r="A3" s="2220" t="s">
        <v>615</v>
      </c>
      <c r="B3" s="2220"/>
      <c r="C3" s="2220"/>
      <c r="D3" s="2220"/>
      <c r="E3" s="2220"/>
      <c r="F3" s="2220"/>
      <c r="G3" s="2220"/>
      <c r="H3" s="2220"/>
      <c r="I3" s="2220"/>
      <c r="J3" s="2220"/>
      <c r="K3" s="2221"/>
      <c r="L3" s="2220"/>
      <c r="M3" s="2220"/>
      <c r="N3" s="2220"/>
      <c r="O3" s="2220"/>
      <c r="P3" s="2220"/>
      <c r="Q3" s="2220"/>
      <c r="R3" s="2220"/>
      <c r="S3" s="2220"/>
    </row>
    <row r="4" spans="1:19" ht="15" customHeight="1" thickBot="1" x14ac:dyDescent="0.3">
      <c r="A4" s="2242" t="s">
        <v>481</v>
      </c>
      <c r="B4" s="2242"/>
      <c r="C4" s="2242"/>
      <c r="D4" s="2242"/>
      <c r="E4" s="2242"/>
      <c r="F4" s="2242"/>
      <c r="G4" s="2242"/>
      <c r="H4" s="2242"/>
      <c r="I4" s="2242"/>
      <c r="J4" s="2242"/>
      <c r="K4" s="2243"/>
      <c r="L4" s="2242"/>
      <c r="M4" s="2242"/>
      <c r="N4" s="2242"/>
      <c r="O4" s="2242"/>
      <c r="P4" s="2242"/>
      <c r="Q4" s="2242"/>
      <c r="R4" s="2242"/>
      <c r="S4" s="2242"/>
    </row>
    <row r="5" spans="1:19" s="197" customFormat="1" ht="39" customHeight="1" thickTop="1" x14ac:dyDescent="0.15">
      <c r="A5" s="2224" t="s">
        <v>0</v>
      </c>
      <c r="B5" s="2244" t="s">
        <v>103</v>
      </c>
      <c r="C5" s="2246" t="s">
        <v>613</v>
      </c>
      <c r="D5" s="2226" t="s">
        <v>105</v>
      </c>
      <c r="E5" s="2226"/>
      <c r="F5" s="2226"/>
      <c r="G5" s="2248" t="s">
        <v>130</v>
      </c>
      <c r="H5" s="2248"/>
      <c r="I5" s="2248"/>
      <c r="J5" s="2248"/>
      <c r="K5" s="2249"/>
      <c r="L5" s="2126" t="s">
        <v>966</v>
      </c>
      <c r="M5" s="2248" t="s">
        <v>182</v>
      </c>
      <c r="N5" s="2248"/>
      <c r="O5" s="2248"/>
      <c r="P5" s="2248"/>
      <c r="Q5" s="2248"/>
      <c r="R5" s="2248"/>
      <c r="S5" s="2218" t="s">
        <v>1</v>
      </c>
    </row>
    <row r="6" spans="1:19" s="197" customFormat="1" ht="31.5" customHeight="1" x14ac:dyDescent="0.15">
      <c r="A6" s="2225"/>
      <c r="B6" s="2245"/>
      <c r="C6" s="2247"/>
      <c r="D6" s="662" t="s">
        <v>23</v>
      </c>
      <c r="E6" s="506" t="s">
        <v>25</v>
      </c>
      <c r="F6" s="506" t="s">
        <v>27</v>
      </c>
      <c r="G6" s="506" t="s">
        <v>29</v>
      </c>
      <c r="H6" s="506" t="s">
        <v>87</v>
      </c>
      <c r="I6" s="506" t="s">
        <v>49</v>
      </c>
      <c r="J6" s="806" t="s">
        <v>209</v>
      </c>
      <c r="K6" s="663" t="s">
        <v>22</v>
      </c>
      <c r="L6" s="2121"/>
      <c r="M6" s="506" t="s">
        <v>131</v>
      </c>
      <c r="N6" s="506" t="s">
        <v>149</v>
      </c>
      <c r="O6" s="506" t="s">
        <v>132</v>
      </c>
      <c r="P6" s="506" t="s">
        <v>149</v>
      </c>
      <c r="Q6" s="506" t="s">
        <v>133</v>
      </c>
      <c r="R6" s="506" t="s">
        <v>149</v>
      </c>
      <c r="S6" s="2219"/>
    </row>
    <row r="7" spans="1:19" s="197" customFormat="1" ht="8.4" x14ac:dyDescent="0.15">
      <c r="A7" s="557">
        <v>1</v>
      </c>
      <c r="B7" s="583" t="s">
        <v>434</v>
      </c>
      <c r="C7" s="676" t="s">
        <v>12</v>
      </c>
      <c r="D7" s="559" t="s">
        <v>127</v>
      </c>
      <c r="E7" s="559"/>
      <c r="F7" s="558"/>
      <c r="G7" s="561" t="s">
        <v>44</v>
      </c>
      <c r="H7" s="680">
        <v>1</v>
      </c>
      <c r="I7" s="517">
        <v>455000</v>
      </c>
      <c r="J7" s="517">
        <f>H7*I7</f>
        <v>455000</v>
      </c>
      <c r="K7" s="562">
        <v>1</v>
      </c>
      <c r="L7" s="517">
        <f t="shared" ref="L7:L35" si="0">H7*I7*(1-K7)</f>
        <v>0</v>
      </c>
      <c r="M7" s="517"/>
      <c r="N7" s="517"/>
      <c r="O7" s="517"/>
      <c r="P7" s="517"/>
      <c r="Q7" s="517"/>
      <c r="R7" s="517"/>
      <c r="S7" s="564" t="s">
        <v>484</v>
      </c>
    </row>
    <row r="8" spans="1:19" s="197" customFormat="1" ht="8.4" x14ac:dyDescent="0.15">
      <c r="A8" s="527">
        <v>2</v>
      </c>
      <c r="B8" s="580" t="s">
        <v>419</v>
      </c>
      <c r="C8" s="740" t="s">
        <v>12</v>
      </c>
      <c r="D8" s="529" t="s">
        <v>127</v>
      </c>
      <c r="E8" s="529"/>
      <c r="F8" s="528"/>
      <c r="G8" s="530" t="s">
        <v>38</v>
      </c>
      <c r="H8" s="921">
        <v>1</v>
      </c>
      <c r="I8" s="512">
        <v>285000</v>
      </c>
      <c r="J8" s="532">
        <f t="shared" ref="J8:J70" si="1">H8*I8</f>
        <v>285000</v>
      </c>
      <c r="K8" s="531">
        <v>1</v>
      </c>
      <c r="L8" s="512">
        <f t="shared" si="0"/>
        <v>0</v>
      </c>
      <c r="M8" s="512"/>
      <c r="N8" s="512"/>
      <c r="O8" s="512"/>
      <c r="P8" s="512"/>
      <c r="Q8" s="512"/>
      <c r="R8" s="512"/>
      <c r="S8" s="534" t="s">
        <v>483</v>
      </c>
    </row>
    <row r="9" spans="1:19" s="197" customFormat="1" ht="8.4" x14ac:dyDescent="0.15">
      <c r="A9" s="544"/>
      <c r="B9" s="580" t="s">
        <v>419</v>
      </c>
      <c r="C9" s="740" t="s">
        <v>12</v>
      </c>
      <c r="D9" s="529" t="s">
        <v>127</v>
      </c>
      <c r="E9" s="546"/>
      <c r="F9" s="545"/>
      <c r="G9" s="547" t="s">
        <v>46</v>
      </c>
      <c r="H9" s="702">
        <v>3</v>
      </c>
      <c r="I9" s="513">
        <v>450000</v>
      </c>
      <c r="J9" s="513">
        <f t="shared" si="1"/>
        <v>1350000</v>
      </c>
      <c r="K9" s="548">
        <v>1</v>
      </c>
      <c r="L9" s="513">
        <f t="shared" si="0"/>
        <v>0</v>
      </c>
      <c r="M9" s="513"/>
      <c r="N9" s="513"/>
      <c r="O9" s="513"/>
      <c r="P9" s="513"/>
      <c r="Q9" s="513"/>
      <c r="R9" s="513"/>
      <c r="S9" s="551" t="s">
        <v>484</v>
      </c>
    </row>
    <row r="10" spans="1:19" s="197" customFormat="1" ht="8.4" x14ac:dyDescent="0.15">
      <c r="A10" s="557">
        <v>3</v>
      </c>
      <c r="B10" s="583" t="s">
        <v>419</v>
      </c>
      <c r="C10" s="676" t="s">
        <v>17</v>
      </c>
      <c r="D10" s="559" t="s">
        <v>127</v>
      </c>
      <c r="E10" s="559"/>
      <c r="F10" s="558"/>
      <c r="G10" s="561" t="s">
        <v>40</v>
      </c>
      <c r="H10" s="680">
        <v>1</v>
      </c>
      <c r="I10" s="517">
        <v>485000</v>
      </c>
      <c r="J10" s="517">
        <f t="shared" si="1"/>
        <v>485000</v>
      </c>
      <c r="K10" s="562">
        <v>0.41</v>
      </c>
      <c r="L10" s="517">
        <f t="shared" si="0"/>
        <v>286150.00000000006</v>
      </c>
      <c r="M10" s="517"/>
      <c r="N10" s="517"/>
      <c r="O10" s="517">
        <v>112</v>
      </c>
      <c r="P10" s="517">
        <f>L10</f>
        <v>286150.00000000006</v>
      </c>
      <c r="Q10" s="517"/>
      <c r="R10" s="517"/>
      <c r="S10" s="564" t="s">
        <v>731</v>
      </c>
    </row>
    <row r="11" spans="1:19" s="197" customFormat="1" ht="8.4" x14ac:dyDescent="0.15">
      <c r="A11" s="557">
        <v>4</v>
      </c>
      <c r="B11" s="583" t="s">
        <v>419</v>
      </c>
      <c r="C11" s="676" t="s">
        <v>12</v>
      </c>
      <c r="D11" s="559" t="s">
        <v>908</v>
      </c>
      <c r="E11" s="559" t="s">
        <v>486</v>
      </c>
      <c r="F11" s="560" t="s">
        <v>487</v>
      </c>
      <c r="G11" s="561" t="s">
        <v>41</v>
      </c>
      <c r="H11" s="680">
        <v>1</v>
      </c>
      <c r="I11" s="517">
        <v>550000</v>
      </c>
      <c r="J11" s="517">
        <f t="shared" si="1"/>
        <v>550000</v>
      </c>
      <c r="K11" s="562">
        <v>0.41</v>
      </c>
      <c r="L11" s="517">
        <f t="shared" si="0"/>
        <v>324500.00000000006</v>
      </c>
      <c r="M11" s="517"/>
      <c r="N11" s="517"/>
      <c r="O11" s="517">
        <v>112</v>
      </c>
      <c r="P11" s="517">
        <v>325000</v>
      </c>
      <c r="Q11" s="517"/>
      <c r="R11" s="517"/>
      <c r="S11" s="564"/>
    </row>
    <row r="12" spans="1:19" s="197" customFormat="1" ht="58.8" x14ac:dyDescent="0.15">
      <c r="A12" s="557">
        <v>5</v>
      </c>
      <c r="B12" s="583" t="s">
        <v>432</v>
      </c>
      <c r="C12" s="676" t="s">
        <v>756</v>
      </c>
      <c r="D12" s="559" t="s">
        <v>127</v>
      </c>
      <c r="E12" s="559"/>
      <c r="F12" s="560"/>
      <c r="G12" s="561" t="s">
        <v>38</v>
      </c>
      <c r="H12" s="680">
        <v>6</v>
      </c>
      <c r="I12" s="517">
        <v>285000</v>
      </c>
      <c r="J12" s="517">
        <f t="shared" si="1"/>
        <v>1710000</v>
      </c>
      <c r="K12" s="562">
        <v>0.41</v>
      </c>
      <c r="L12" s="517">
        <f t="shared" si="0"/>
        <v>1008900.0000000001</v>
      </c>
      <c r="M12" s="517">
        <v>111</v>
      </c>
      <c r="N12" s="517">
        <f>L12</f>
        <v>1008900.0000000001</v>
      </c>
      <c r="O12" s="517"/>
      <c r="P12" s="517"/>
      <c r="Q12" s="517"/>
      <c r="R12" s="517"/>
      <c r="S12" s="573" t="s">
        <v>1473</v>
      </c>
    </row>
    <row r="13" spans="1:19" s="197" customFormat="1" ht="25.2" x14ac:dyDescent="0.15">
      <c r="A13" s="527">
        <v>6</v>
      </c>
      <c r="B13" s="580" t="s">
        <v>434</v>
      </c>
      <c r="C13" s="529" t="s">
        <v>77</v>
      </c>
      <c r="D13" s="529" t="s">
        <v>714</v>
      </c>
      <c r="E13" s="529" t="s">
        <v>581</v>
      </c>
      <c r="F13" s="552"/>
      <c r="G13" s="530" t="s">
        <v>35</v>
      </c>
      <c r="H13" s="1051">
        <v>0</v>
      </c>
      <c r="I13" s="512">
        <v>465000</v>
      </c>
      <c r="J13" s="532">
        <f t="shared" si="1"/>
        <v>0</v>
      </c>
      <c r="K13" s="531">
        <v>0.5</v>
      </c>
      <c r="L13" s="512">
        <f t="shared" si="0"/>
        <v>0</v>
      </c>
      <c r="M13" s="512"/>
      <c r="N13" s="512"/>
      <c r="O13" s="512"/>
      <c r="P13" s="512"/>
      <c r="Q13" s="512">
        <v>131</v>
      </c>
      <c r="R13" s="512">
        <f>SUM(L13+L14+L15+L16+L17)</f>
        <v>2797500</v>
      </c>
      <c r="S13" s="741" t="s">
        <v>1111</v>
      </c>
    </row>
    <row r="14" spans="1:19" s="197" customFormat="1" ht="25.2" x14ac:dyDescent="0.15">
      <c r="A14" s="535"/>
      <c r="B14" s="580" t="s">
        <v>434</v>
      </c>
      <c r="C14" s="529" t="s">
        <v>77</v>
      </c>
      <c r="D14" s="529" t="s">
        <v>714</v>
      </c>
      <c r="E14" s="529"/>
      <c r="F14" s="540"/>
      <c r="G14" s="526" t="s">
        <v>39</v>
      </c>
      <c r="H14" s="1052">
        <v>1</v>
      </c>
      <c r="I14" s="507">
        <v>285000</v>
      </c>
      <c r="J14" s="507">
        <f t="shared" si="1"/>
        <v>285000</v>
      </c>
      <c r="K14" s="537">
        <v>0.5</v>
      </c>
      <c r="L14" s="512">
        <f t="shared" si="0"/>
        <v>142500</v>
      </c>
      <c r="M14" s="507"/>
      <c r="N14" s="507"/>
      <c r="O14" s="507"/>
      <c r="P14" s="507"/>
      <c r="Q14" s="507"/>
      <c r="R14" s="507"/>
      <c r="S14" s="539" t="s">
        <v>1110</v>
      </c>
    </row>
    <row r="15" spans="1:19" s="197" customFormat="1" ht="25.2" x14ac:dyDescent="0.15">
      <c r="A15" s="728"/>
      <c r="B15" s="580" t="s">
        <v>434</v>
      </c>
      <c r="C15" s="529" t="s">
        <v>77</v>
      </c>
      <c r="D15" s="529" t="s">
        <v>714</v>
      </c>
      <c r="E15" s="529"/>
      <c r="F15" s="742"/>
      <c r="G15" s="648" t="s">
        <v>40</v>
      </c>
      <c r="H15" s="1053">
        <v>0</v>
      </c>
      <c r="I15" s="508">
        <v>485000</v>
      </c>
      <c r="J15" s="507">
        <f t="shared" si="1"/>
        <v>0</v>
      </c>
      <c r="K15" s="729">
        <v>0.5</v>
      </c>
      <c r="L15" s="519">
        <f t="shared" si="0"/>
        <v>0</v>
      </c>
      <c r="M15" s="508"/>
      <c r="N15" s="508"/>
      <c r="O15" s="508"/>
      <c r="P15" s="508"/>
      <c r="Q15" s="508"/>
      <c r="R15" s="508"/>
      <c r="S15" s="730" t="s">
        <v>1114</v>
      </c>
    </row>
    <row r="16" spans="1:19" s="197" customFormat="1" ht="25.2" x14ac:dyDescent="0.15">
      <c r="A16" s="535"/>
      <c r="B16" s="580" t="s">
        <v>434</v>
      </c>
      <c r="C16" s="529" t="s">
        <v>77</v>
      </c>
      <c r="D16" s="529" t="s">
        <v>714</v>
      </c>
      <c r="E16" s="529"/>
      <c r="F16" s="540"/>
      <c r="G16" s="526" t="s">
        <v>41</v>
      </c>
      <c r="H16" s="1052">
        <v>8</v>
      </c>
      <c r="I16" s="507">
        <v>550000</v>
      </c>
      <c r="J16" s="507">
        <f t="shared" si="1"/>
        <v>4400000</v>
      </c>
      <c r="K16" s="537">
        <v>0.5</v>
      </c>
      <c r="L16" s="507">
        <f t="shared" si="0"/>
        <v>2200000</v>
      </c>
      <c r="M16" s="507"/>
      <c r="N16" s="507"/>
      <c r="O16" s="507"/>
      <c r="P16" s="507"/>
      <c r="Q16" s="507"/>
      <c r="R16" s="507"/>
      <c r="S16" s="539" t="s">
        <v>1112</v>
      </c>
    </row>
    <row r="17" spans="1:19" s="197" customFormat="1" ht="25.2" x14ac:dyDescent="0.15">
      <c r="A17" s="728"/>
      <c r="B17" s="580" t="s">
        <v>434</v>
      </c>
      <c r="C17" s="529" t="s">
        <v>77</v>
      </c>
      <c r="D17" s="529" t="s">
        <v>714</v>
      </c>
      <c r="E17" s="630"/>
      <c r="F17" s="742"/>
      <c r="G17" s="648" t="s">
        <v>42</v>
      </c>
      <c r="H17" s="1053">
        <v>2</v>
      </c>
      <c r="I17" s="508">
        <v>455000</v>
      </c>
      <c r="J17" s="549">
        <f t="shared" si="1"/>
        <v>910000</v>
      </c>
      <c r="K17" s="729">
        <v>0.5</v>
      </c>
      <c r="L17" s="519">
        <f t="shared" si="0"/>
        <v>455000</v>
      </c>
      <c r="M17" s="508"/>
      <c r="N17" s="508"/>
      <c r="O17" s="508"/>
      <c r="P17" s="508"/>
      <c r="Q17" s="508"/>
      <c r="R17" s="508"/>
      <c r="S17" s="730" t="s">
        <v>1113</v>
      </c>
    </row>
    <row r="18" spans="1:19" s="197" customFormat="1" ht="8.4" x14ac:dyDescent="0.15">
      <c r="A18" s="565">
        <v>7</v>
      </c>
      <c r="B18" s="708" t="s">
        <v>541</v>
      </c>
      <c r="C18" s="949" t="s">
        <v>61</v>
      </c>
      <c r="D18" s="574" t="s">
        <v>127</v>
      </c>
      <c r="E18" s="566"/>
      <c r="F18" s="567"/>
      <c r="G18" s="568" t="s">
        <v>36</v>
      </c>
      <c r="H18" s="887">
        <v>1</v>
      </c>
      <c r="I18" s="518">
        <v>275000</v>
      </c>
      <c r="J18" s="532">
        <f t="shared" si="1"/>
        <v>275000</v>
      </c>
      <c r="K18" s="569">
        <v>0.41</v>
      </c>
      <c r="L18" s="518">
        <f t="shared" si="0"/>
        <v>162250.00000000003</v>
      </c>
      <c r="M18" s="518">
        <v>111</v>
      </c>
      <c r="N18" s="518">
        <v>427750</v>
      </c>
      <c r="O18" s="518"/>
      <c r="P18" s="518"/>
      <c r="Q18" s="518"/>
      <c r="R18" s="518"/>
      <c r="S18" s="570"/>
    </row>
    <row r="19" spans="1:19" s="197" customFormat="1" ht="8.4" x14ac:dyDescent="0.15">
      <c r="A19" s="638"/>
      <c r="B19" s="582" t="s">
        <v>541</v>
      </c>
      <c r="C19" s="918" t="s">
        <v>61</v>
      </c>
      <c r="D19" s="546" t="s">
        <v>127</v>
      </c>
      <c r="E19" s="554"/>
      <c r="F19" s="639"/>
      <c r="G19" s="640" t="s">
        <v>46</v>
      </c>
      <c r="H19" s="881">
        <v>1</v>
      </c>
      <c r="I19" s="549">
        <v>450000</v>
      </c>
      <c r="J19" s="513">
        <f t="shared" si="1"/>
        <v>450000</v>
      </c>
      <c r="K19" s="643">
        <v>0.41</v>
      </c>
      <c r="L19" s="549">
        <f t="shared" si="0"/>
        <v>265500.00000000006</v>
      </c>
      <c r="M19" s="549"/>
      <c r="N19" s="549"/>
      <c r="O19" s="549"/>
      <c r="P19" s="549"/>
      <c r="Q19" s="549"/>
      <c r="R19" s="549"/>
      <c r="S19" s="642"/>
    </row>
    <row r="20" spans="1:19" s="197" customFormat="1" ht="33.6" x14ac:dyDescent="0.15">
      <c r="A20" s="527">
        <v>8</v>
      </c>
      <c r="B20" s="580" t="s">
        <v>541</v>
      </c>
      <c r="C20" s="740" t="s">
        <v>12</v>
      </c>
      <c r="D20" s="529" t="s">
        <v>582</v>
      </c>
      <c r="E20" s="542"/>
      <c r="F20" s="540"/>
      <c r="G20" s="526" t="s">
        <v>39</v>
      </c>
      <c r="H20" s="878">
        <v>1</v>
      </c>
      <c r="I20" s="507">
        <v>285000</v>
      </c>
      <c r="J20" s="532">
        <f t="shared" si="1"/>
        <v>285000</v>
      </c>
      <c r="K20" s="531">
        <v>1</v>
      </c>
      <c r="L20" s="512">
        <f t="shared" si="0"/>
        <v>0</v>
      </c>
      <c r="M20" s="507"/>
      <c r="N20" s="507"/>
      <c r="O20" s="507"/>
      <c r="P20" s="507"/>
      <c r="Q20" s="507"/>
      <c r="R20" s="507"/>
      <c r="S20" s="541" t="s">
        <v>927</v>
      </c>
    </row>
    <row r="21" spans="1:19" s="197" customFormat="1" ht="16.8" x14ac:dyDescent="0.15">
      <c r="A21" s="535"/>
      <c r="B21" s="580" t="s">
        <v>541</v>
      </c>
      <c r="C21" s="740" t="s">
        <v>12</v>
      </c>
      <c r="D21" s="529" t="s">
        <v>582</v>
      </c>
      <c r="E21" s="542"/>
      <c r="F21" s="540"/>
      <c r="G21" s="526" t="s">
        <v>41</v>
      </c>
      <c r="H21" s="878">
        <v>1</v>
      </c>
      <c r="I21" s="507">
        <v>550000</v>
      </c>
      <c r="J21" s="507">
        <f t="shared" si="1"/>
        <v>550000</v>
      </c>
      <c r="K21" s="531">
        <v>1</v>
      </c>
      <c r="L21" s="512">
        <f t="shared" si="0"/>
        <v>0</v>
      </c>
      <c r="M21" s="507"/>
      <c r="N21" s="507"/>
      <c r="O21" s="507"/>
      <c r="P21" s="507"/>
      <c r="Q21" s="507"/>
      <c r="R21" s="507"/>
      <c r="S21" s="539"/>
    </row>
    <row r="22" spans="1:19" s="197" customFormat="1" ht="16.8" x14ac:dyDescent="0.15">
      <c r="A22" s="535"/>
      <c r="B22" s="580" t="s">
        <v>541</v>
      </c>
      <c r="C22" s="740" t="s">
        <v>12</v>
      </c>
      <c r="D22" s="529" t="s">
        <v>582</v>
      </c>
      <c r="E22" s="542"/>
      <c r="F22" s="540"/>
      <c r="G22" s="526" t="s">
        <v>46</v>
      </c>
      <c r="H22" s="878">
        <v>2</v>
      </c>
      <c r="I22" s="507">
        <v>450000</v>
      </c>
      <c r="J22" s="507">
        <f t="shared" si="1"/>
        <v>900000</v>
      </c>
      <c r="K22" s="531">
        <v>1</v>
      </c>
      <c r="L22" s="512">
        <f t="shared" si="0"/>
        <v>0</v>
      </c>
      <c r="M22" s="507"/>
      <c r="N22" s="507"/>
      <c r="O22" s="507"/>
      <c r="P22" s="507"/>
      <c r="Q22" s="507"/>
      <c r="R22" s="507"/>
      <c r="S22" s="539"/>
    </row>
    <row r="23" spans="1:19" s="197" customFormat="1" ht="16.8" x14ac:dyDescent="0.15">
      <c r="A23" s="535"/>
      <c r="B23" s="580" t="s">
        <v>541</v>
      </c>
      <c r="C23" s="740" t="s">
        <v>12</v>
      </c>
      <c r="D23" s="529" t="s">
        <v>582</v>
      </c>
      <c r="E23" s="542"/>
      <c r="F23" s="540"/>
      <c r="G23" s="526" t="s">
        <v>44</v>
      </c>
      <c r="H23" s="878">
        <v>1</v>
      </c>
      <c r="I23" s="507">
        <v>455000</v>
      </c>
      <c r="J23" s="507">
        <f t="shared" si="1"/>
        <v>455000</v>
      </c>
      <c r="K23" s="531">
        <v>1</v>
      </c>
      <c r="L23" s="507">
        <f t="shared" si="0"/>
        <v>0</v>
      </c>
      <c r="M23" s="507"/>
      <c r="N23" s="507"/>
      <c r="O23" s="507"/>
      <c r="P23" s="507"/>
      <c r="Q23" s="507"/>
      <c r="R23" s="507"/>
      <c r="S23" s="539"/>
    </row>
    <row r="24" spans="1:19" s="197" customFormat="1" ht="16.8" x14ac:dyDescent="0.15">
      <c r="A24" s="544"/>
      <c r="B24" s="582" t="s">
        <v>541</v>
      </c>
      <c r="C24" s="740" t="s">
        <v>12</v>
      </c>
      <c r="D24" s="529" t="s">
        <v>582</v>
      </c>
      <c r="E24" s="546"/>
      <c r="F24" s="555"/>
      <c r="G24" s="547" t="s">
        <v>42</v>
      </c>
      <c r="H24" s="702">
        <v>1</v>
      </c>
      <c r="I24" s="513">
        <v>455000</v>
      </c>
      <c r="J24" s="549">
        <f t="shared" si="1"/>
        <v>455000</v>
      </c>
      <c r="K24" s="531">
        <v>1</v>
      </c>
      <c r="L24" s="549">
        <f t="shared" si="0"/>
        <v>0</v>
      </c>
      <c r="M24" s="513"/>
      <c r="N24" s="513"/>
      <c r="O24" s="513"/>
      <c r="P24" s="513"/>
      <c r="Q24" s="513"/>
      <c r="R24" s="513"/>
      <c r="S24" s="551"/>
    </row>
    <row r="25" spans="1:19" s="197" customFormat="1" ht="25.2" x14ac:dyDescent="0.15">
      <c r="A25" s="565">
        <v>9</v>
      </c>
      <c r="B25" s="708" t="s">
        <v>495</v>
      </c>
      <c r="C25" s="950" t="s">
        <v>61</v>
      </c>
      <c r="D25" s="574" t="s">
        <v>583</v>
      </c>
      <c r="E25" s="566"/>
      <c r="F25" s="567"/>
      <c r="G25" s="568" t="s">
        <v>34</v>
      </c>
      <c r="H25" s="887">
        <v>1</v>
      </c>
      <c r="I25" s="518">
        <v>265000</v>
      </c>
      <c r="J25" s="532">
        <f t="shared" si="1"/>
        <v>265000</v>
      </c>
      <c r="K25" s="569">
        <v>0.41</v>
      </c>
      <c r="L25" s="518">
        <f t="shared" si="0"/>
        <v>156350.00000000003</v>
      </c>
      <c r="M25" s="518">
        <v>111</v>
      </c>
      <c r="N25" s="518">
        <v>430000</v>
      </c>
      <c r="O25" s="518"/>
      <c r="P25" s="518"/>
      <c r="Q25" s="518"/>
      <c r="R25" s="518"/>
      <c r="S25" s="570"/>
    </row>
    <row r="26" spans="1:19" s="197" customFormat="1" ht="25.2" x14ac:dyDescent="0.15">
      <c r="A26" s="544"/>
      <c r="B26" s="582" t="s">
        <v>495</v>
      </c>
      <c r="C26" s="951" t="s">
        <v>61</v>
      </c>
      <c r="D26" s="546" t="s">
        <v>583</v>
      </c>
      <c r="E26" s="546"/>
      <c r="F26" s="555"/>
      <c r="G26" s="547" t="s">
        <v>37</v>
      </c>
      <c r="H26" s="702">
        <v>1</v>
      </c>
      <c r="I26" s="513">
        <v>475000</v>
      </c>
      <c r="J26" s="513">
        <f t="shared" si="1"/>
        <v>475000</v>
      </c>
      <c r="K26" s="548">
        <v>0.41</v>
      </c>
      <c r="L26" s="549">
        <f t="shared" si="0"/>
        <v>280250.00000000006</v>
      </c>
      <c r="M26" s="513"/>
      <c r="N26" s="513"/>
      <c r="O26" s="513"/>
      <c r="P26" s="513"/>
      <c r="Q26" s="513"/>
      <c r="R26" s="513"/>
      <c r="S26" s="551"/>
    </row>
    <row r="27" spans="1:19" s="197" customFormat="1" ht="25.2" x14ac:dyDescent="0.15">
      <c r="A27" s="527">
        <v>10</v>
      </c>
      <c r="B27" s="580" t="s">
        <v>494</v>
      </c>
      <c r="C27" s="529" t="s">
        <v>77</v>
      </c>
      <c r="D27" s="529" t="s">
        <v>974</v>
      </c>
      <c r="E27" s="529" t="s">
        <v>406</v>
      </c>
      <c r="F27" s="552"/>
      <c r="G27" s="530" t="s">
        <v>35</v>
      </c>
      <c r="H27" s="921">
        <v>12</v>
      </c>
      <c r="I27" s="512">
        <v>465000</v>
      </c>
      <c r="J27" s="532">
        <f t="shared" si="1"/>
        <v>5580000</v>
      </c>
      <c r="K27" s="531">
        <v>0.5</v>
      </c>
      <c r="L27" s="512">
        <f t="shared" si="0"/>
        <v>2790000</v>
      </c>
      <c r="M27" s="512"/>
      <c r="N27" s="512"/>
      <c r="O27" s="512"/>
      <c r="P27" s="512"/>
      <c r="Q27" s="512">
        <v>131</v>
      </c>
      <c r="R27" s="512">
        <f>SUM(L27+L28+L29)</f>
        <v>15735000</v>
      </c>
      <c r="S27" s="637"/>
    </row>
    <row r="28" spans="1:19" s="197" customFormat="1" ht="25.2" x14ac:dyDescent="0.15">
      <c r="A28" s="535"/>
      <c r="B28" s="580" t="s">
        <v>494</v>
      </c>
      <c r="C28" s="529" t="s">
        <v>77</v>
      </c>
      <c r="D28" s="529" t="s">
        <v>974</v>
      </c>
      <c r="E28" s="542"/>
      <c r="F28" s="540"/>
      <c r="G28" s="526" t="s">
        <v>37</v>
      </c>
      <c r="H28" s="878">
        <v>30</v>
      </c>
      <c r="I28" s="507">
        <v>475000</v>
      </c>
      <c r="J28" s="507">
        <f t="shared" si="1"/>
        <v>14250000</v>
      </c>
      <c r="K28" s="537">
        <v>0.5</v>
      </c>
      <c r="L28" s="512">
        <f t="shared" si="0"/>
        <v>7125000</v>
      </c>
      <c r="M28" s="507"/>
      <c r="N28" s="507"/>
      <c r="O28" s="507"/>
      <c r="P28" s="507"/>
      <c r="Q28" s="507"/>
      <c r="R28" s="507"/>
      <c r="S28" s="539"/>
    </row>
    <row r="29" spans="1:19" s="197" customFormat="1" ht="25.2" x14ac:dyDescent="0.15">
      <c r="A29" s="544"/>
      <c r="B29" s="582" t="s">
        <v>494</v>
      </c>
      <c r="C29" s="529" t="s">
        <v>77</v>
      </c>
      <c r="D29" s="529" t="s">
        <v>974</v>
      </c>
      <c r="E29" s="546"/>
      <c r="F29" s="555"/>
      <c r="G29" s="547" t="s">
        <v>40</v>
      </c>
      <c r="H29" s="702">
        <v>24</v>
      </c>
      <c r="I29" s="513">
        <v>485000</v>
      </c>
      <c r="J29" s="549">
        <f t="shared" si="1"/>
        <v>11640000</v>
      </c>
      <c r="K29" s="548">
        <v>0.5</v>
      </c>
      <c r="L29" s="513">
        <f t="shared" si="0"/>
        <v>5820000</v>
      </c>
      <c r="M29" s="513"/>
      <c r="N29" s="513"/>
      <c r="O29" s="513"/>
      <c r="P29" s="513"/>
      <c r="Q29" s="513"/>
      <c r="R29" s="513"/>
      <c r="S29" s="551"/>
    </row>
    <row r="30" spans="1:19" s="197" customFormat="1" ht="18" customHeight="1" x14ac:dyDescent="0.15">
      <c r="A30" s="527">
        <v>12</v>
      </c>
      <c r="B30" s="580" t="s">
        <v>500</v>
      </c>
      <c r="C30" s="949" t="s">
        <v>12</v>
      </c>
      <c r="D30" s="574" t="s">
        <v>840</v>
      </c>
      <c r="E30" s="529" t="s">
        <v>584</v>
      </c>
      <c r="F30" s="552"/>
      <c r="G30" s="530" t="s">
        <v>33</v>
      </c>
      <c r="H30" s="921">
        <v>24</v>
      </c>
      <c r="I30" s="512">
        <v>455000</v>
      </c>
      <c r="J30" s="532">
        <f t="shared" si="1"/>
        <v>10920000</v>
      </c>
      <c r="K30" s="531">
        <v>0.41</v>
      </c>
      <c r="L30" s="512">
        <f t="shared" si="0"/>
        <v>6442800.0000000009</v>
      </c>
      <c r="M30" s="512"/>
      <c r="N30" s="512"/>
      <c r="O30" s="512">
        <v>112</v>
      </c>
      <c r="P30" s="512">
        <f>SUM(L30+L31+L32+L33)</f>
        <v>16531800.000000002</v>
      </c>
      <c r="Q30" s="512"/>
      <c r="R30" s="512"/>
      <c r="S30" s="2239" t="s">
        <v>585</v>
      </c>
    </row>
    <row r="31" spans="1:19" s="197" customFormat="1" ht="14.25" customHeight="1" x14ac:dyDescent="0.15">
      <c r="A31" s="535"/>
      <c r="B31" s="580" t="s">
        <v>500</v>
      </c>
      <c r="C31" s="952" t="s">
        <v>12</v>
      </c>
      <c r="D31" s="542" t="s">
        <v>840</v>
      </c>
      <c r="E31" s="529"/>
      <c r="F31" s="540"/>
      <c r="G31" s="526" t="s">
        <v>40</v>
      </c>
      <c r="H31" s="878">
        <v>12</v>
      </c>
      <c r="I31" s="507">
        <v>485000</v>
      </c>
      <c r="J31" s="507">
        <f t="shared" si="1"/>
        <v>5820000</v>
      </c>
      <c r="K31" s="537">
        <v>0.41</v>
      </c>
      <c r="L31" s="512">
        <f t="shared" si="0"/>
        <v>3433800.0000000005</v>
      </c>
      <c r="M31" s="507"/>
      <c r="N31" s="507"/>
      <c r="O31" s="507">
        <v>112</v>
      </c>
      <c r="P31" s="507"/>
      <c r="Q31" s="507"/>
      <c r="R31" s="507"/>
      <c r="S31" s="2240"/>
    </row>
    <row r="32" spans="1:19" s="197" customFormat="1" ht="14.25" customHeight="1" x14ac:dyDescent="0.15">
      <c r="A32" s="535"/>
      <c r="B32" s="580" t="s">
        <v>500</v>
      </c>
      <c r="C32" s="952" t="s">
        <v>12</v>
      </c>
      <c r="D32" s="542" t="s">
        <v>840</v>
      </c>
      <c r="E32" s="529"/>
      <c r="F32" s="540"/>
      <c r="G32" s="526" t="s">
        <v>60</v>
      </c>
      <c r="H32" s="878">
        <v>12</v>
      </c>
      <c r="I32" s="507">
        <v>485000</v>
      </c>
      <c r="J32" s="507">
        <f t="shared" si="1"/>
        <v>5820000</v>
      </c>
      <c r="K32" s="537">
        <v>0.41</v>
      </c>
      <c r="L32" s="512">
        <f t="shared" si="0"/>
        <v>3433800.0000000005</v>
      </c>
      <c r="M32" s="507"/>
      <c r="N32" s="507"/>
      <c r="O32" s="507">
        <v>112</v>
      </c>
      <c r="P32" s="507"/>
      <c r="Q32" s="507"/>
      <c r="R32" s="507"/>
      <c r="S32" s="2240"/>
    </row>
    <row r="33" spans="1:19" s="197" customFormat="1" ht="14.25" customHeight="1" x14ac:dyDescent="0.15">
      <c r="A33" s="544"/>
      <c r="B33" s="580" t="s">
        <v>500</v>
      </c>
      <c r="C33" s="740" t="s">
        <v>12</v>
      </c>
      <c r="D33" s="529" t="s">
        <v>840</v>
      </c>
      <c r="E33" s="529"/>
      <c r="F33" s="555"/>
      <c r="G33" s="547" t="s">
        <v>42</v>
      </c>
      <c r="H33" s="702">
        <v>12</v>
      </c>
      <c r="I33" s="513">
        <v>455000</v>
      </c>
      <c r="J33" s="549">
        <f t="shared" si="1"/>
        <v>5460000</v>
      </c>
      <c r="K33" s="548">
        <v>0.41</v>
      </c>
      <c r="L33" s="513">
        <f t="shared" si="0"/>
        <v>3221400.0000000005</v>
      </c>
      <c r="M33" s="513"/>
      <c r="N33" s="513"/>
      <c r="O33" s="513">
        <v>112</v>
      </c>
      <c r="P33" s="513"/>
      <c r="Q33" s="513"/>
      <c r="R33" s="513"/>
      <c r="S33" s="2241"/>
    </row>
    <row r="34" spans="1:19" s="197" customFormat="1" ht="8.4" x14ac:dyDescent="0.15">
      <c r="A34" s="565"/>
      <c r="B34" s="708" t="s">
        <v>570</v>
      </c>
      <c r="C34" s="743" t="s">
        <v>61</v>
      </c>
      <c r="D34" s="566" t="s">
        <v>127</v>
      </c>
      <c r="E34" s="566"/>
      <c r="F34" s="567"/>
      <c r="G34" s="568" t="s">
        <v>37</v>
      </c>
      <c r="H34" s="887">
        <v>1</v>
      </c>
      <c r="I34" s="518">
        <v>475000</v>
      </c>
      <c r="J34" s="532">
        <f t="shared" si="1"/>
        <v>475000</v>
      </c>
      <c r="K34" s="569">
        <v>0.41</v>
      </c>
      <c r="L34" s="518">
        <f t="shared" si="0"/>
        <v>280250.00000000006</v>
      </c>
      <c r="M34" s="518">
        <v>111</v>
      </c>
      <c r="N34" s="518">
        <v>566400</v>
      </c>
      <c r="O34" s="518"/>
      <c r="P34" s="518"/>
      <c r="Q34" s="518"/>
      <c r="R34" s="518"/>
      <c r="S34" s="570"/>
    </row>
    <row r="35" spans="1:19" s="197" customFormat="1" ht="8.4" x14ac:dyDescent="0.15">
      <c r="A35" s="544"/>
      <c r="B35" s="582"/>
      <c r="C35" s="743" t="s">
        <v>61</v>
      </c>
      <c r="D35" s="566" t="s">
        <v>127</v>
      </c>
      <c r="E35" s="529"/>
      <c r="F35" s="555"/>
      <c r="G35" s="547" t="s">
        <v>40</v>
      </c>
      <c r="H35" s="702">
        <v>1</v>
      </c>
      <c r="I35" s="513">
        <v>485000</v>
      </c>
      <c r="J35" s="513">
        <f t="shared" si="1"/>
        <v>485000</v>
      </c>
      <c r="K35" s="548">
        <v>0.41</v>
      </c>
      <c r="L35" s="549">
        <f t="shared" si="0"/>
        <v>286150.00000000006</v>
      </c>
      <c r="M35" s="513"/>
      <c r="N35" s="513"/>
      <c r="O35" s="513"/>
      <c r="P35" s="513"/>
      <c r="Q35" s="513"/>
      <c r="R35" s="513"/>
      <c r="S35" s="551"/>
    </row>
    <row r="36" spans="1:19" s="197" customFormat="1" ht="16.8" x14ac:dyDescent="0.15">
      <c r="A36" s="565">
        <v>14</v>
      </c>
      <c r="B36" s="708" t="s">
        <v>565</v>
      </c>
      <c r="C36" s="949" t="s">
        <v>12</v>
      </c>
      <c r="D36" s="574" t="s">
        <v>589</v>
      </c>
      <c r="E36" s="566"/>
      <c r="F36" s="567"/>
      <c r="G36" s="568" t="s">
        <v>37</v>
      </c>
      <c r="H36" s="887">
        <v>1</v>
      </c>
      <c r="I36" s="518">
        <v>475000</v>
      </c>
      <c r="J36" s="532">
        <f t="shared" si="1"/>
        <v>475000</v>
      </c>
      <c r="K36" s="569">
        <v>1</v>
      </c>
      <c r="L36" s="518">
        <f t="shared" ref="L36:L66" si="2">H36*I36*(1-K36)</f>
        <v>0</v>
      </c>
      <c r="M36" s="518"/>
      <c r="N36" s="518"/>
      <c r="O36" s="518"/>
      <c r="P36" s="518"/>
      <c r="Q36" s="518"/>
      <c r="R36" s="518"/>
      <c r="S36" s="570"/>
    </row>
    <row r="37" spans="1:19" s="197" customFormat="1" ht="16.8" x14ac:dyDescent="0.15">
      <c r="A37" s="544"/>
      <c r="B37" s="582" t="s">
        <v>565</v>
      </c>
      <c r="C37" s="918" t="s">
        <v>12</v>
      </c>
      <c r="D37" s="546" t="s">
        <v>589</v>
      </c>
      <c r="E37" s="546"/>
      <c r="F37" s="555"/>
      <c r="G37" s="547" t="s">
        <v>44</v>
      </c>
      <c r="H37" s="702">
        <v>1</v>
      </c>
      <c r="I37" s="513">
        <v>455000</v>
      </c>
      <c r="J37" s="513">
        <f t="shared" si="1"/>
        <v>455000</v>
      </c>
      <c r="K37" s="548">
        <v>1</v>
      </c>
      <c r="L37" s="549">
        <f t="shared" si="2"/>
        <v>0</v>
      </c>
      <c r="M37" s="513"/>
      <c r="N37" s="513"/>
      <c r="O37" s="513"/>
      <c r="P37" s="513"/>
      <c r="Q37" s="513"/>
      <c r="R37" s="513"/>
      <c r="S37" s="551"/>
    </row>
    <row r="38" spans="1:19" s="197" customFormat="1" ht="8.4" x14ac:dyDescent="0.15">
      <c r="A38" s="527">
        <v>15</v>
      </c>
      <c r="B38" s="580" t="s">
        <v>576</v>
      </c>
      <c r="C38" s="740" t="s">
        <v>12</v>
      </c>
      <c r="D38" s="529" t="s">
        <v>590</v>
      </c>
      <c r="E38" s="529"/>
      <c r="F38" s="552" t="s">
        <v>591</v>
      </c>
      <c r="G38" s="530" t="s">
        <v>40</v>
      </c>
      <c r="H38" s="921">
        <v>2</v>
      </c>
      <c r="I38" s="512">
        <v>485000</v>
      </c>
      <c r="J38" s="532">
        <f t="shared" si="1"/>
        <v>970000</v>
      </c>
      <c r="K38" s="531">
        <v>0.41</v>
      </c>
      <c r="L38" s="512">
        <f t="shared" si="2"/>
        <v>572300.00000000012</v>
      </c>
      <c r="M38" s="512"/>
      <c r="N38" s="512"/>
      <c r="O38" s="512">
        <v>112</v>
      </c>
      <c r="P38" s="512">
        <f>L38+L39</f>
        <v>1109200.0000000002</v>
      </c>
      <c r="Q38" s="512"/>
      <c r="R38" s="512"/>
      <c r="S38" s="534"/>
    </row>
    <row r="39" spans="1:19" s="197" customFormat="1" ht="8.4" x14ac:dyDescent="0.15">
      <c r="A39" s="544"/>
      <c r="B39" s="582" t="s">
        <v>576</v>
      </c>
      <c r="C39" s="918" t="s">
        <v>12</v>
      </c>
      <c r="D39" s="546" t="s">
        <v>590</v>
      </c>
      <c r="E39" s="546"/>
      <c r="F39" s="555" t="s">
        <v>591</v>
      </c>
      <c r="G39" s="547" t="s">
        <v>42</v>
      </c>
      <c r="H39" s="702">
        <v>2</v>
      </c>
      <c r="I39" s="513">
        <v>455000</v>
      </c>
      <c r="J39" s="513">
        <f t="shared" si="1"/>
        <v>910000</v>
      </c>
      <c r="K39" s="548">
        <v>0.41</v>
      </c>
      <c r="L39" s="513">
        <f t="shared" si="2"/>
        <v>536900.00000000012</v>
      </c>
      <c r="M39" s="513"/>
      <c r="N39" s="513"/>
      <c r="O39" s="513"/>
      <c r="P39" s="513"/>
      <c r="Q39" s="513"/>
      <c r="R39" s="513"/>
      <c r="S39" s="551"/>
    </row>
    <row r="40" spans="1:19" s="197" customFormat="1" ht="42" x14ac:dyDescent="0.15">
      <c r="A40" s="527">
        <v>16</v>
      </c>
      <c r="B40" s="580" t="s">
        <v>565</v>
      </c>
      <c r="C40" s="740" t="s">
        <v>12</v>
      </c>
      <c r="D40" s="529" t="s">
        <v>595</v>
      </c>
      <c r="E40" s="529" t="s">
        <v>592</v>
      </c>
      <c r="F40" s="552"/>
      <c r="G40" s="530" t="s">
        <v>33</v>
      </c>
      <c r="H40" s="921">
        <v>5</v>
      </c>
      <c r="I40" s="512">
        <v>455000</v>
      </c>
      <c r="J40" s="532">
        <f t="shared" si="1"/>
        <v>2275000</v>
      </c>
      <c r="K40" s="531">
        <v>0.41</v>
      </c>
      <c r="L40" s="512">
        <f t="shared" si="2"/>
        <v>1342250.0000000002</v>
      </c>
      <c r="M40" s="512"/>
      <c r="N40" s="512"/>
      <c r="O40" s="512">
        <v>112</v>
      </c>
      <c r="P40" s="512">
        <f>L40+L41+L42</f>
        <v>1767050.0000000002</v>
      </c>
      <c r="Q40" s="512"/>
      <c r="R40" s="512"/>
      <c r="S40" s="534"/>
    </row>
    <row r="41" spans="1:19" s="197" customFormat="1" ht="25.2" x14ac:dyDescent="0.15">
      <c r="A41" s="535"/>
      <c r="B41" s="580" t="s">
        <v>565</v>
      </c>
      <c r="C41" s="740" t="s">
        <v>12</v>
      </c>
      <c r="D41" s="529" t="s">
        <v>595</v>
      </c>
      <c r="E41" s="542"/>
      <c r="F41" s="540"/>
      <c r="G41" s="526" t="s">
        <v>34</v>
      </c>
      <c r="H41" s="878">
        <v>1</v>
      </c>
      <c r="I41" s="507">
        <v>265000</v>
      </c>
      <c r="J41" s="507">
        <f t="shared" si="1"/>
        <v>265000</v>
      </c>
      <c r="K41" s="537">
        <v>0.41</v>
      </c>
      <c r="L41" s="512">
        <f t="shared" si="2"/>
        <v>156350.00000000003</v>
      </c>
      <c r="M41" s="507"/>
      <c r="N41" s="507"/>
      <c r="O41" s="507"/>
      <c r="P41" s="507"/>
      <c r="Q41" s="507"/>
      <c r="R41" s="507"/>
      <c r="S41" s="539"/>
    </row>
    <row r="42" spans="1:19" s="197" customFormat="1" ht="42" x14ac:dyDescent="0.15">
      <c r="A42" s="544"/>
      <c r="B42" s="582" t="s">
        <v>565</v>
      </c>
      <c r="C42" s="918" t="s">
        <v>12</v>
      </c>
      <c r="D42" s="546" t="s">
        <v>595</v>
      </c>
      <c r="E42" s="546"/>
      <c r="F42" s="555"/>
      <c r="G42" s="547" t="s">
        <v>44</v>
      </c>
      <c r="H42" s="1054">
        <v>1</v>
      </c>
      <c r="I42" s="513">
        <v>455000</v>
      </c>
      <c r="J42" s="549">
        <f t="shared" si="1"/>
        <v>455000</v>
      </c>
      <c r="K42" s="548">
        <v>0.41</v>
      </c>
      <c r="L42" s="513">
        <f t="shared" si="2"/>
        <v>268450.00000000006</v>
      </c>
      <c r="M42" s="513"/>
      <c r="N42" s="513"/>
      <c r="O42" s="513"/>
      <c r="P42" s="513"/>
      <c r="Q42" s="513"/>
      <c r="R42" s="513"/>
      <c r="S42" s="556" t="s">
        <v>1157</v>
      </c>
    </row>
    <row r="43" spans="1:19" s="197" customFormat="1" ht="25.2" x14ac:dyDescent="0.15">
      <c r="A43" s="557">
        <v>17</v>
      </c>
      <c r="B43" s="583" t="s">
        <v>576</v>
      </c>
      <c r="C43" s="676" t="s">
        <v>61</v>
      </c>
      <c r="D43" s="559" t="s">
        <v>593</v>
      </c>
      <c r="E43" s="559"/>
      <c r="F43" s="560"/>
      <c r="G43" s="561" t="s">
        <v>31</v>
      </c>
      <c r="H43" s="680">
        <v>1</v>
      </c>
      <c r="I43" s="517">
        <v>255000</v>
      </c>
      <c r="J43" s="517">
        <f t="shared" si="1"/>
        <v>255000</v>
      </c>
      <c r="K43" s="562">
        <v>0.41</v>
      </c>
      <c r="L43" s="517">
        <f t="shared" si="2"/>
        <v>150450.00000000003</v>
      </c>
      <c r="M43" s="517">
        <v>111</v>
      </c>
      <c r="N43" s="517">
        <v>142000</v>
      </c>
      <c r="O43" s="517"/>
      <c r="P43" s="517"/>
      <c r="Q43" s="517"/>
      <c r="R43" s="517"/>
      <c r="S43" s="573"/>
    </row>
    <row r="44" spans="1:19" s="197" customFormat="1" ht="25.2" x14ac:dyDescent="0.15">
      <c r="A44" s="527">
        <v>18</v>
      </c>
      <c r="B44" s="580" t="s">
        <v>579</v>
      </c>
      <c r="C44" s="740" t="s">
        <v>12</v>
      </c>
      <c r="D44" s="529" t="s">
        <v>840</v>
      </c>
      <c r="E44" s="529" t="s">
        <v>594</v>
      </c>
      <c r="F44" s="552"/>
      <c r="G44" s="530" t="s">
        <v>31</v>
      </c>
      <c r="H44" s="921">
        <v>24</v>
      </c>
      <c r="I44" s="512">
        <v>255000</v>
      </c>
      <c r="J44" s="532">
        <f t="shared" si="1"/>
        <v>6120000</v>
      </c>
      <c r="K44" s="531">
        <v>0.41</v>
      </c>
      <c r="L44" s="512">
        <f t="shared" si="2"/>
        <v>3610800.0000000005</v>
      </c>
      <c r="M44" s="512"/>
      <c r="N44" s="512"/>
      <c r="O44" s="512"/>
      <c r="P44" s="512"/>
      <c r="Q44" s="512">
        <v>131</v>
      </c>
      <c r="R44" s="512">
        <f>L44+L45+L46</f>
        <v>10266000.000000002</v>
      </c>
      <c r="S44" s="534"/>
    </row>
    <row r="45" spans="1:19" s="197" customFormat="1" ht="8.4" x14ac:dyDescent="0.15">
      <c r="A45" s="535"/>
      <c r="B45" s="580" t="s">
        <v>579</v>
      </c>
      <c r="C45" s="740" t="s">
        <v>12</v>
      </c>
      <c r="D45" s="529" t="s">
        <v>840</v>
      </c>
      <c r="E45" s="542"/>
      <c r="F45" s="540"/>
      <c r="G45" s="526" t="s">
        <v>33</v>
      </c>
      <c r="H45" s="878">
        <v>12</v>
      </c>
      <c r="I45" s="507">
        <v>455000</v>
      </c>
      <c r="J45" s="507">
        <f t="shared" si="1"/>
        <v>5460000</v>
      </c>
      <c r="K45" s="537">
        <v>0.41</v>
      </c>
      <c r="L45" s="512">
        <f t="shared" si="2"/>
        <v>3221400.0000000005</v>
      </c>
      <c r="M45" s="507"/>
      <c r="N45" s="507"/>
      <c r="O45" s="507"/>
      <c r="P45" s="507"/>
      <c r="Q45" s="507"/>
      <c r="R45" s="507"/>
      <c r="S45" s="539"/>
    </row>
    <row r="46" spans="1:19" s="197" customFormat="1" ht="8.4" x14ac:dyDescent="0.15">
      <c r="A46" s="544"/>
      <c r="B46" s="580" t="s">
        <v>579</v>
      </c>
      <c r="C46" s="918" t="s">
        <v>12</v>
      </c>
      <c r="D46" s="546" t="s">
        <v>840</v>
      </c>
      <c r="E46" s="546"/>
      <c r="F46" s="555"/>
      <c r="G46" s="547" t="s">
        <v>60</v>
      </c>
      <c r="H46" s="702">
        <v>12</v>
      </c>
      <c r="I46" s="513">
        <v>485000</v>
      </c>
      <c r="J46" s="549">
        <f t="shared" si="1"/>
        <v>5820000</v>
      </c>
      <c r="K46" s="548">
        <v>0.41</v>
      </c>
      <c r="L46" s="513">
        <f t="shared" si="2"/>
        <v>3433800.0000000005</v>
      </c>
      <c r="M46" s="513"/>
      <c r="N46" s="513"/>
      <c r="O46" s="513"/>
      <c r="P46" s="513"/>
      <c r="Q46" s="513"/>
      <c r="R46" s="513"/>
      <c r="S46" s="551"/>
    </row>
    <row r="47" spans="1:19" s="197" customFormat="1" ht="8.4" x14ac:dyDescent="0.15">
      <c r="A47" s="527">
        <v>19</v>
      </c>
      <c r="B47" s="585" t="s">
        <v>633</v>
      </c>
      <c r="C47" s="740" t="s">
        <v>77</v>
      </c>
      <c r="D47" s="529" t="s">
        <v>671</v>
      </c>
      <c r="E47" s="529"/>
      <c r="F47" s="552"/>
      <c r="G47" s="530" t="s">
        <v>41</v>
      </c>
      <c r="H47" s="921">
        <v>1</v>
      </c>
      <c r="I47" s="512">
        <v>550000</v>
      </c>
      <c r="J47" s="532">
        <f t="shared" si="1"/>
        <v>550000</v>
      </c>
      <c r="K47" s="531">
        <v>0.4</v>
      </c>
      <c r="L47" s="512">
        <f t="shared" si="2"/>
        <v>330000</v>
      </c>
      <c r="M47" s="512">
        <v>111</v>
      </c>
      <c r="N47" s="512">
        <f>L47+L48</f>
        <v>603000</v>
      </c>
      <c r="O47" s="512"/>
      <c r="P47" s="512"/>
      <c r="Q47" s="512"/>
      <c r="R47" s="512"/>
      <c r="S47" s="534"/>
    </row>
    <row r="48" spans="1:19" s="197" customFormat="1" ht="8.4" x14ac:dyDescent="0.15">
      <c r="A48" s="544"/>
      <c r="B48" s="580" t="s">
        <v>633</v>
      </c>
      <c r="C48" s="740" t="s">
        <v>77</v>
      </c>
      <c r="D48" s="529" t="s">
        <v>671</v>
      </c>
      <c r="E48" s="546"/>
      <c r="F48" s="555"/>
      <c r="G48" s="547" t="s">
        <v>42</v>
      </c>
      <c r="H48" s="702">
        <v>1</v>
      </c>
      <c r="I48" s="513">
        <v>455000</v>
      </c>
      <c r="J48" s="513">
        <f t="shared" si="1"/>
        <v>455000</v>
      </c>
      <c r="K48" s="548">
        <v>0.4</v>
      </c>
      <c r="L48" s="513">
        <f t="shared" si="2"/>
        <v>273000</v>
      </c>
      <c r="M48" s="513"/>
      <c r="N48" s="513"/>
      <c r="O48" s="513"/>
      <c r="P48" s="513"/>
      <c r="Q48" s="513"/>
      <c r="R48" s="513"/>
      <c r="S48" s="551"/>
    </row>
    <row r="49" spans="1:19" s="197" customFormat="1" ht="16.8" x14ac:dyDescent="0.15">
      <c r="A49" s="557">
        <v>20</v>
      </c>
      <c r="B49" s="583" t="s">
        <v>633</v>
      </c>
      <c r="C49" s="676" t="s">
        <v>12</v>
      </c>
      <c r="D49" s="559" t="s">
        <v>930</v>
      </c>
      <c r="E49" s="559" t="s">
        <v>653</v>
      </c>
      <c r="F49" s="560" t="s">
        <v>654</v>
      </c>
      <c r="G49" s="561" t="s">
        <v>31</v>
      </c>
      <c r="H49" s="680">
        <v>5</v>
      </c>
      <c r="I49" s="517">
        <v>255000</v>
      </c>
      <c r="J49" s="517">
        <f t="shared" si="1"/>
        <v>1275000</v>
      </c>
      <c r="K49" s="562">
        <v>0.5</v>
      </c>
      <c r="L49" s="517">
        <f t="shared" si="2"/>
        <v>637500</v>
      </c>
      <c r="M49" s="517"/>
      <c r="N49" s="517"/>
      <c r="O49" s="517"/>
      <c r="P49" s="517"/>
      <c r="Q49" s="517">
        <v>131</v>
      </c>
      <c r="R49" s="517">
        <f>L49</f>
        <v>637500</v>
      </c>
      <c r="S49" s="564"/>
    </row>
    <row r="50" spans="1:19" s="197" customFormat="1" ht="8.4" x14ac:dyDescent="0.15">
      <c r="A50" s="557">
        <v>21</v>
      </c>
      <c r="B50" s="583" t="s">
        <v>655</v>
      </c>
      <c r="C50" s="676" t="s">
        <v>12</v>
      </c>
      <c r="D50" s="559" t="s">
        <v>656</v>
      </c>
      <c r="E50" s="559" t="s">
        <v>657</v>
      </c>
      <c r="F50" s="560"/>
      <c r="G50" s="561" t="s">
        <v>40</v>
      </c>
      <c r="H50" s="680">
        <v>12</v>
      </c>
      <c r="I50" s="517">
        <v>485000</v>
      </c>
      <c r="J50" s="517">
        <f t="shared" si="1"/>
        <v>5820000</v>
      </c>
      <c r="K50" s="562">
        <v>0.3</v>
      </c>
      <c r="L50" s="517">
        <f t="shared" si="2"/>
        <v>4073999.9999999995</v>
      </c>
      <c r="M50" s="517"/>
      <c r="N50" s="517"/>
      <c r="O50" s="517">
        <v>112</v>
      </c>
      <c r="P50" s="517">
        <f>L50</f>
        <v>4073999.9999999995</v>
      </c>
      <c r="Q50" s="517"/>
      <c r="R50" s="517"/>
      <c r="S50" s="564"/>
    </row>
    <row r="51" spans="1:19" s="197" customFormat="1" ht="50.4" x14ac:dyDescent="0.15">
      <c r="A51" s="527">
        <v>22</v>
      </c>
      <c r="B51" s="580" t="s">
        <v>658</v>
      </c>
      <c r="C51" s="529" t="s">
        <v>77</v>
      </c>
      <c r="D51" s="529" t="s">
        <v>659</v>
      </c>
      <c r="E51" s="529"/>
      <c r="F51" s="552"/>
      <c r="G51" s="530" t="s">
        <v>31</v>
      </c>
      <c r="H51" s="921">
        <v>5</v>
      </c>
      <c r="I51" s="512">
        <v>255000</v>
      </c>
      <c r="J51" s="532">
        <f t="shared" si="1"/>
        <v>1275000</v>
      </c>
      <c r="K51" s="531">
        <v>0.3</v>
      </c>
      <c r="L51" s="512">
        <f t="shared" si="2"/>
        <v>892500</v>
      </c>
      <c r="M51" s="512"/>
      <c r="N51" s="512"/>
      <c r="O51" s="512"/>
      <c r="P51" s="512"/>
      <c r="Q51" s="512">
        <v>131</v>
      </c>
      <c r="R51" s="512">
        <f>SUM(L51:L59)</f>
        <v>26638500</v>
      </c>
      <c r="S51" s="716" t="s">
        <v>1262</v>
      </c>
    </row>
    <row r="52" spans="1:19" s="197" customFormat="1" ht="25.2" x14ac:dyDescent="0.15">
      <c r="A52" s="535"/>
      <c r="B52" s="580" t="s">
        <v>658</v>
      </c>
      <c r="C52" s="529" t="s">
        <v>77</v>
      </c>
      <c r="D52" s="529" t="s">
        <v>659</v>
      </c>
      <c r="E52" s="542"/>
      <c r="F52" s="540"/>
      <c r="G52" s="526" t="s">
        <v>33</v>
      </c>
      <c r="H52" s="878">
        <v>6</v>
      </c>
      <c r="I52" s="507">
        <v>455000</v>
      </c>
      <c r="J52" s="507">
        <f t="shared" si="1"/>
        <v>2730000</v>
      </c>
      <c r="K52" s="537">
        <v>0.3</v>
      </c>
      <c r="L52" s="512">
        <f t="shared" si="2"/>
        <v>1910999.9999999998</v>
      </c>
      <c r="M52" s="507"/>
      <c r="N52" s="507"/>
      <c r="O52" s="507"/>
      <c r="P52" s="507"/>
      <c r="Q52" s="507"/>
      <c r="R52" s="507"/>
      <c r="S52" s="2250" t="s">
        <v>2329</v>
      </c>
    </row>
    <row r="53" spans="1:19" s="197" customFormat="1" ht="25.2" x14ac:dyDescent="0.15">
      <c r="A53" s="535"/>
      <c r="B53" s="580" t="s">
        <v>658</v>
      </c>
      <c r="C53" s="529" t="s">
        <v>77</v>
      </c>
      <c r="D53" s="529" t="s">
        <v>659</v>
      </c>
      <c r="E53" s="542"/>
      <c r="F53" s="540"/>
      <c r="G53" s="526" t="s">
        <v>34</v>
      </c>
      <c r="H53" s="878">
        <v>15</v>
      </c>
      <c r="I53" s="507">
        <v>265000</v>
      </c>
      <c r="J53" s="507">
        <f t="shared" si="1"/>
        <v>3975000</v>
      </c>
      <c r="K53" s="537">
        <v>0.3</v>
      </c>
      <c r="L53" s="512">
        <f t="shared" si="2"/>
        <v>2782500</v>
      </c>
      <c r="M53" s="507"/>
      <c r="N53" s="507"/>
      <c r="O53" s="507"/>
      <c r="P53" s="507"/>
      <c r="Q53" s="507"/>
      <c r="R53" s="507"/>
      <c r="S53" s="2251"/>
    </row>
    <row r="54" spans="1:19" s="197" customFormat="1" ht="25.2" x14ac:dyDescent="0.15">
      <c r="A54" s="535"/>
      <c r="B54" s="580" t="s">
        <v>658</v>
      </c>
      <c r="C54" s="529" t="s">
        <v>77</v>
      </c>
      <c r="D54" s="529" t="s">
        <v>659</v>
      </c>
      <c r="E54" s="542"/>
      <c r="F54" s="540"/>
      <c r="G54" s="526" t="s">
        <v>35</v>
      </c>
      <c r="H54" s="878">
        <v>10</v>
      </c>
      <c r="I54" s="507">
        <v>465000</v>
      </c>
      <c r="J54" s="507">
        <f t="shared" si="1"/>
        <v>4650000</v>
      </c>
      <c r="K54" s="537">
        <v>0.3</v>
      </c>
      <c r="L54" s="512">
        <f t="shared" si="2"/>
        <v>3255000</v>
      </c>
      <c r="M54" s="507"/>
      <c r="N54" s="507"/>
      <c r="O54" s="507"/>
      <c r="P54" s="507"/>
      <c r="Q54" s="507"/>
      <c r="R54" s="507"/>
      <c r="S54" s="2251"/>
    </row>
    <row r="55" spans="1:19" s="197" customFormat="1" ht="25.2" x14ac:dyDescent="0.15">
      <c r="A55" s="535"/>
      <c r="B55" s="580" t="s">
        <v>658</v>
      </c>
      <c r="C55" s="529" t="s">
        <v>77</v>
      </c>
      <c r="D55" s="529" t="s">
        <v>659</v>
      </c>
      <c r="E55" s="542"/>
      <c r="F55" s="540"/>
      <c r="G55" s="526" t="s">
        <v>37</v>
      </c>
      <c r="H55" s="878">
        <v>10</v>
      </c>
      <c r="I55" s="507">
        <v>475000</v>
      </c>
      <c r="J55" s="507">
        <f t="shared" si="1"/>
        <v>4750000</v>
      </c>
      <c r="K55" s="537">
        <v>0.3</v>
      </c>
      <c r="L55" s="512">
        <f t="shared" si="2"/>
        <v>3325000</v>
      </c>
      <c r="M55" s="507"/>
      <c r="N55" s="507"/>
      <c r="O55" s="507"/>
      <c r="P55" s="507"/>
      <c r="Q55" s="507"/>
      <c r="R55" s="507"/>
      <c r="S55" s="2251"/>
    </row>
    <row r="56" spans="1:19" s="197" customFormat="1" ht="25.2" x14ac:dyDescent="0.15">
      <c r="A56" s="535"/>
      <c r="B56" s="580" t="s">
        <v>658</v>
      </c>
      <c r="C56" s="529" t="s">
        <v>77</v>
      </c>
      <c r="D56" s="529" t="s">
        <v>659</v>
      </c>
      <c r="E56" s="542"/>
      <c r="F56" s="540"/>
      <c r="G56" s="526" t="s">
        <v>40</v>
      </c>
      <c r="H56" s="878">
        <v>12</v>
      </c>
      <c r="I56" s="507">
        <v>485000</v>
      </c>
      <c r="J56" s="507">
        <f t="shared" si="1"/>
        <v>5820000</v>
      </c>
      <c r="K56" s="537">
        <v>0.3</v>
      </c>
      <c r="L56" s="512">
        <f t="shared" si="2"/>
        <v>4073999.9999999995</v>
      </c>
      <c r="M56" s="507"/>
      <c r="N56" s="507"/>
      <c r="O56" s="507"/>
      <c r="P56" s="507"/>
      <c r="Q56" s="507"/>
      <c r="R56" s="507"/>
      <c r="S56" s="2251"/>
    </row>
    <row r="57" spans="1:19" s="197" customFormat="1" ht="25.2" x14ac:dyDescent="0.15">
      <c r="A57" s="535"/>
      <c r="B57" s="580" t="s">
        <v>658</v>
      </c>
      <c r="C57" s="529" t="s">
        <v>77</v>
      </c>
      <c r="D57" s="529" t="s">
        <v>659</v>
      </c>
      <c r="E57" s="542"/>
      <c r="F57" s="540"/>
      <c r="G57" s="526" t="s">
        <v>41</v>
      </c>
      <c r="H57" s="878">
        <v>18</v>
      </c>
      <c r="I57" s="507">
        <v>550000</v>
      </c>
      <c r="J57" s="507">
        <f t="shared" si="1"/>
        <v>9900000</v>
      </c>
      <c r="K57" s="537">
        <v>0.3</v>
      </c>
      <c r="L57" s="512">
        <f t="shared" si="2"/>
        <v>6930000</v>
      </c>
      <c r="M57" s="507"/>
      <c r="N57" s="507"/>
      <c r="O57" s="507"/>
      <c r="P57" s="507"/>
      <c r="Q57" s="507"/>
      <c r="R57" s="507"/>
      <c r="S57" s="2251"/>
    </row>
    <row r="58" spans="1:19" s="197" customFormat="1" ht="25.2" x14ac:dyDescent="0.15">
      <c r="A58" s="535"/>
      <c r="B58" s="580" t="s">
        <v>658</v>
      </c>
      <c r="C58" s="529" t="s">
        <v>77</v>
      </c>
      <c r="D58" s="529" t="s">
        <v>659</v>
      </c>
      <c r="E58" s="542"/>
      <c r="F58" s="540"/>
      <c r="G58" s="526" t="s">
        <v>46</v>
      </c>
      <c r="H58" s="878">
        <v>10</v>
      </c>
      <c r="I58" s="507">
        <v>450000</v>
      </c>
      <c r="J58" s="507">
        <f t="shared" si="1"/>
        <v>4500000</v>
      </c>
      <c r="K58" s="537">
        <v>0.3</v>
      </c>
      <c r="L58" s="512">
        <f t="shared" si="2"/>
        <v>3150000</v>
      </c>
      <c r="M58" s="507"/>
      <c r="N58" s="507"/>
      <c r="O58" s="507"/>
      <c r="P58" s="507"/>
      <c r="Q58" s="507"/>
      <c r="R58" s="507"/>
      <c r="S58" s="2252"/>
    </row>
    <row r="59" spans="1:19" s="197" customFormat="1" ht="50.4" x14ac:dyDescent="0.15">
      <c r="A59" s="544"/>
      <c r="B59" s="582" t="s">
        <v>658</v>
      </c>
      <c r="C59" s="546" t="s">
        <v>77</v>
      </c>
      <c r="D59" s="546" t="s">
        <v>659</v>
      </c>
      <c r="E59" s="546"/>
      <c r="F59" s="555"/>
      <c r="G59" s="547" t="s">
        <v>44</v>
      </c>
      <c r="H59" s="702">
        <v>1</v>
      </c>
      <c r="I59" s="513">
        <v>455000</v>
      </c>
      <c r="J59" s="549">
        <f t="shared" si="1"/>
        <v>455000</v>
      </c>
      <c r="K59" s="548">
        <v>0.3</v>
      </c>
      <c r="L59" s="513">
        <f t="shared" si="2"/>
        <v>318500</v>
      </c>
      <c r="M59" s="513"/>
      <c r="N59" s="513"/>
      <c r="O59" s="513"/>
      <c r="P59" s="513"/>
      <c r="Q59" s="513"/>
      <c r="R59" s="513"/>
      <c r="S59" s="556" t="s">
        <v>1206</v>
      </c>
    </row>
    <row r="60" spans="1:19" s="197" customFormat="1" ht="8.4" x14ac:dyDescent="0.15">
      <c r="A60" s="527">
        <v>23</v>
      </c>
      <c r="B60" s="580" t="s">
        <v>634</v>
      </c>
      <c r="C60" s="740" t="s">
        <v>12</v>
      </c>
      <c r="D60" s="529" t="s">
        <v>485</v>
      </c>
      <c r="E60" s="529"/>
      <c r="F60" s="552"/>
      <c r="G60" s="530" t="s">
        <v>33</v>
      </c>
      <c r="H60" s="921">
        <v>1</v>
      </c>
      <c r="I60" s="512">
        <v>455000</v>
      </c>
      <c r="J60" s="532">
        <f t="shared" si="1"/>
        <v>455000</v>
      </c>
      <c r="K60" s="531">
        <v>0.2</v>
      </c>
      <c r="L60" s="512">
        <f t="shared" si="2"/>
        <v>364000</v>
      </c>
      <c r="M60" s="512"/>
      <c r="N60" s="512"/>
      <c r="O60" s="512"/>
      <c r="P60" s="512"/>
      <c r="Q60" s="512">
        <v>131</v>
      </c>
      <c r="R60" s="512">
        <f>L60+L61</f>
        <v>804000</v>
      </c>
      <c r="S60" s="534"/>
    </row>
    <row r="61" spans="1:19" s="197" customFormat="1" ht="8.4" x14ac:dyDescent="0.15">
      <c r="A61" s="544"/>
      <c r="B61" s="580" t="s">
        <v>634</v>
      </c>
      <c r="C61" s="740" t="s">
        <v>12</v>
      </c>
      <c r="D61" s="529" t="s">
        <v>485</v>
      </c>
      <c r="E61" s="546"/>
      <c r="F61" s="555"/>
      <c r="G61" s="547" t="s">
        <v>41</v>
      </c>
      <c r="H61" s="702">
        <v>1</v>
      </c>
      <c r="I61" s="513">
        <v>550000</v>
      </c>
      <c r="J61" s="513">
        <f t="shared" si="1"/>
        <v>550000</v>
      </c>
      <c r="K61" s="548">
        <v>0.2</v>
      </c>
      <c r="L61" s="513">
        <f t="shared" si="2"/>
        <v>440000</v>
      </c>
      <c r="M61" s="513"/>
      <c r="N61" s="513"/>
      <c r="O61" s="513"/>
      <c r="P61" s="513"/>
      <c r="Q61" s="513"/>
      <c r="R61" s="513"/>
      <c r="S61" s="551"/>
    </row>
    <row r="62" spans="1:19" s="197" customFormat="1" ht="16.8" x14ac:dyDescent="0.15">
      <c r="A62" s="557">
        <v>24</v>
      </c>
      <c r="B62" s="583" t="s">
        <v>634</v>
      </c>
      <c r="C62" s="676" t="s">
        <v>12</v>
      </c>
      <c r="D62" s="559" t="s">
        <v>660</v>
      </c>
      <c r="E62" s="559" t="s">
        <v>661</v>
      </c>
      <c r="F62" s="560"/>
      <c r="G62" s="561" t="s">
        <v>60</v>
      </c>
      <c r="H62" s="680">
        <v>1</v>
      </c>
      <c r="I62" s="517">
        <v>485000</v>
      </c>
      <c r="J62" s="517">
        <f t="shared" si="1"/>
        <v>485000</v>
      </c>
      <c r="K62" s="562"/>
      <c r="L62" s="517">
        <f t="shared" si="2"/>
        <v>485000</v>
      </c>
      <c r="M62" s="517">
        <v>111</v>
      </c>
      <c r="N62" s="517">
        <f>L62</f>
        <v>485000</v>
      </c>
      <c r="O62" s="517"/>
      <c r="P62" s="517"/>
      <c r="Q62" s="517"/>
      <c r="R62" s="517"/>
      <c r="S62" s="564"/>
    </row>
    <row r="63" spans="1:19" s="197" customFormat="1" ht="8.4" x14ac:dyDescent="0.15">
      <c r="A63" s="557">
        <v>25</v>
      </c>
      <c r="B63" s="583" t="s">
        <v>634</v>
      </c>
      <c r="C63" s="676" t="s">
        <v>12</v>
      </c>
      <c r="D63" s="559" t="s">
        <v>662</v>
      </c>
      <c r="E63" s="559"/>
      <c r="F63" s="560" t="s">
        <v>663</v>
      </c>
      <c r="G63" s="561" t="s">
        <v>41</v>
      </c>
      <c r="H63" s="680">
        <v>2</v>
      </c>
      <c r="I63" s="517">
        <v>550000</v>
      </c>
      <c r="J63" s="517">
        <f t="shared" si="1"/>
        <v>1100000</v>
      </c>
      <c r="K63" s="562">
        <v>0.41</v>
      </c>
      <c r="L63" s="517">
        <f t="shared" si="2"/>
        <v>649000.00000000012</v>
      </c>
      <c r="M63" s="517"/>
      <c r="N63" s="517"/>
      <c r="O63" s="517"/>
      <c r="P63" s="517"/>
      <c r="Q63" s="517">
        <v>131</v>
      </c>
      <c r="R63" s="517">
        <f>L63</f>
        <v>649000.00000000012</v>
      </c>
      <c r="S63" s="564"/>
    </row>
    <row r="64" spans="1:19" s="197" customFormat="1" ht="25.2" x14ac:dyDescent="0.15">
      <c r="A64" s="527">
        <v>26</v>
      </c>
      <c r="B64" s="580" t="s">
        <v>651</v>
      </c>
      <c r="C64" s="529" t="s">
        <v>77</v>
      </c>
      <c r="D64" s="529" t="s">
        <v>664</v>
      </c>
      <c r="E64" s="529" t="s">
        <v>665</v>
      </c>
      <c r="F64" s="552"/>
      <c r="G64" s="530" t="s">
        <v>31</v>
      </c>
      <c r="H64" s="921">
        <v>24</v>
      </c>
      <c r="I64" s="512">
        <v>255000</v>
      </c>
      <c r="J64" s="532">
        <f t="shared" si="1"/>
        <v>6120000</v>
      </c>
      <c r="K64" s="531">
        <v>0.5</v>
      </c>
      <c r="L64" s="512">
        <f t="shared" si="2"/>
        <v>3060000</v>
      </c>
      <c r="M64" s="512"/>
      <c r="N64" s="512"/>
      <c r="O64" s="512"/>
      <c r="P64" s="512"/>
      <c r="Q64" s="512">
        <v>131</v>
      </c>
      <c r="R64" s="512">
        <f>SUM(L64:L73)</f>
        <v>92610000</v>
      </c>
      <c r="S64" s="534"/>
    </row>
    <row r="65" spans="1:19" s="197" customFormat="1" ht="25.2" x14ac:dyDescent="0.15">
      <c r="A65" s="535"/>
      <c r="B65" s="580" t="s">
        <v>651</v>
      </c>
      <c r="C65" s="529" t="s">
        <v>77</v>
      </c>
      <c r="D65" s="529" t="s">
        <v>664</v>
      </c>
      <c r="E65" s="529"/>
      <c r="F65" s="540"/>
      <c r="G65" s="526" t="s">
        <v>33</v>
      </c>
      <c r="H65" s="878">
        <v>12</v>
      </c>
      <c r="I65" s="507">
        <v>455000</v>
      </c>
      <c r="J65" s="507">
        <f t="shared" si="1"/>
        <v>5460000</v>
      </c>
      <c r="K65" s="537">
        <v>0.5</v>
      </c>
      <c r="L65" s="512">
        <f t="shared" si="2"/>
        <v>2730000</v>
      </c>
      <c r="M65" s="507"/>
      <c r="N65" s="507"/>
      <c r="O65" s="507"/>
      <c r="P65" s="507"/>
      <c r="Q65" s="507"/>
      <c r="R65" s="507"/>
      <c r="S65" s="539"/>
    </row>
    <row r="66" spans="1:19" s="197" customFormat="1" ht="25.2" x14ac:dyDescent="0.15">
      <c r="A66" s="535"/>
      <c r="B66" s="580" t="s">
        <v>651</v>
      </c>
      <c r="C66" s="529" t="s">
        <v>77</v>
      </c>
      <c r="D66" s="529" t="s">
        <v>664</v>
      </c>
      <c r="E66" s="529"/>
      <c r="F66" s="540"/>
      <c r="G66" s="526" t="s">
        <v>34</v>
      </c>
      <c r="H66" s="878">
        <v>48</v>
      </c>
      <c r="I66" s="507">
        <v>265000</v>
      </c>
      <c r="J66" s="507">
        <f t="shared" si="1"/>
        <v>12720000</v>
      </c>
      <c r="K66" s="537">
        <v>0.5</v>
      </c>
      <c r="L66" s="512">
        <f t="shared" si="2"/>
        <v>6360000</v>
      </c>
      <c r="M66" s="507"/>
      <c r="N66" s="507"/>
      <c r="O66" s="507"/>
      <c r="P66" s="507"/>
      <c r="Q66" s="507"/>
      <c r="R66" s="507"/>
      <c r="S66" s="539"/>
    </row>
    <row r="67" spans="1:19" s="197" customFormat="1" ht="25.2" x14ac:dyDescent="0.15">
      <c r="A67" s="535"/>
      <c r="B67" s="580" t="s">
        <v>651</v>
      </c>
      <c r="C67" s="529" t="s">
        <v>77</v>
      </c>
      <c r="D67" s="529" t="s">
        <v>664</v>
      </c>
      <c r="E67" s="529"/>
      <c r="F67" s="540"/>
      <c r="G67" s="526" t="s">
        <v>35</v>
      </c>
      <c r="H67" s="878">
        <v>36</v>
      </c>
      <c r="I67" s="507">
        <v>465000</v>
      </c>
      <c r="J67" s="507">
        <f t="shared" si="1"/>
        <v>16740000</v>
      </c>
      <c r="K67" s="537">
        <v>0.5</v>
      </c>
      <c r="L67" s="512">
        <f t="shared" ref="L67:L99" si="3">H67*I67*(1-K67)</f>
        <v>8370000</v>
      </c>
      <c r="M67" s="507"/>
      <c r="N67" s="507"/>
      <c r="O67" s="507"/>
      <c r="P67" s="507"/>
      <c r="Q67" s="507"/>
      <c r="R67" s="507"/>
      <c r="S67" s="539"/>
    </row>
    <row r="68" spans="1:19" s="197" customFormat="1" ht="25.2" x14ac:dyDescent="0.15">
      <c r="A68" s="535"/>
      <c r="B68" s="580" t="s">
        <v>651</v>
      </c>
      <c r="C68" s="529" t="s">
        <v>77</v>
      </c>
      <c r="D68" s="529" t="s">
        <v>664</v>
      </c>
      <c r="E68" s="529"/>
      <c r="F68" s="540"/>
      <c r="G68" s="526" t="s">
        <v>37</v>
      </c>
      <c r="H68" s="878">
        <v>36</v>
      </c>
      <c r="I68" s="507">
        <v>475000</v>
      </c>
      <c r="J68" s="507">
        <f t="shared" si="1"/>
        <v>17100000</v>
      </c>
      <c r="K68" s="537">
        <v>0.5</v>
      </c>
      <c r="L68" s="512">
        <f t="shared" si="3"/>
        <v>8550000</v>
      </c>
      <c r="M68" s="507"/>
      <c r="N68" s="507"/>
      <c r="O68" s="507"/>
      <c r="P68" s="507"/>
      <c r="Q68" s="507"/>
      <c r="R68" s="507"/>
      <c r="S68" s="539"/>
    </row>
    <row r="69" spans="1:19" s="197" customFormat="1" ht="25.2" x14ac:dyDescent="0.15">
      <c r="A69" s="535"/>
      <c r="B69" s="580" t="s">
        <v>651</v>
      </c>
      <c r="C69" s="529" t="s">
        <v>77</v>
      </c>
      <c r="D69" s="529" t="s">
        <v>664</v>
      </c>
      <c r="E69" s="529"/>
      <c r="F69" s="540"/>
      <c r="G69" s="526" t="s">
        <v>40</v>
      </c>
      <c r="H69" s="878">
        <v>36</v>
      </c>
      <c r="I69" s="507">
        <v>485000</v>
      </c>
      <c r="J69" s="507">
        <f t="shared" si="1"/>
        <v>17460000</v>
      </c>
      <c r="K69" s="537">
        <v>0.5</v>
      </c>
      <c r="L69" s="512">
        <f t="shared" si="3"/>
        <v>8730000</v>
      </c>
      <c r="M69" s="507"/>
      <c r="N69" s="507"/>
      <c r="O69" s="507"/>
      <c r="P69" s="507"/>
      <c r="Q69" s="507"/>
      <c r="R69" s="507"/>
      <c r="S69" s="539"/>
    </row>
    <row r="70" spans="1:19" s="197" customFormat="1" ht="25.2" x14ac:dyDescent="0.15">
      <c r="A70" s="535"/>
      <c r="B70" s="580" t="s">
        <v>651</v>
      </c>
      <c r="C70" s="529" t="s">
        <v>77</v>
      </c>
      <c r="D70" s="529" t="s">
        <v>664</v>
      </c>
      <c r="E70" s="529"/>
      <c r="F70" s="540"/>
      <c r="G70" s="526" t="s">
        <v>41</v>
      </c>
      <c r="H70" s="878">
        <v>48</v>
      </c>
      <c r="I70" s="507">
        <v>550000</v>
      </c>
      <c r="J70" s="507">
        <f t="shared" si="1"/>
        <v>26400000</v>
      </c>
      <c r="K70" s="537">
        <v>0.5</v>
      </c>
      <c r="L70" s="512">
        <f t="shared" si="3"/>
        <v>13200000</v>
      </c>
      <c r="M70" s="507"/>
      <c r="N70" s="507"/>
      <c r="O70" s="507"/>
      <c r="P70" s="507"/>
      <c r="Q70" s="507"/>
      <c r="R70" s="507"/>
      <c r="S70" s="539"/>
    </row>
    <row r="71" spans="1:19" s="197" customFormat="1" ht="25.2" x14ac:dyDescent="0.15">
      <c r="A71" s="535"/>
      <c r="B71" s="580" t="s">
        <v>651</v>
      </c>
      <c r="C71" s="529" t="s">
        <v>77</v>
      </c>
      <c r="D71" s="529" t="s">
        <v>664</v>
      </c>
      <c r="E71" s="529"/>
      <c r="F71" s="540"/>
      <c r="G71" s="526" t="s">
        <v>46</v>
      </c>
      <c r="H71" s="878">
        <v>100</v>
      </c>
      <c r="I71" s="507">
        <v>450000</v>
      </c>
      <c r="J71" s="507">
        <f t="shared" ref="J71:J115" si="4">H71*I71</f>
        <v>45000000</v>
      </c>
      <c r="K71" s="537">
        <v>0.5</v>
      </c>
      <c r="L71" s="512">
        <f t="shared" si="3"/>
        <v>22500000</v>
      </c>
      <c r="M71" s="507"/>
      <c r="N71" s="507"/>
      <c r="O71" s="507"/>
      <c r="P71" s="507"/>
      <c r="Q71" s="507"/>
      <c r="R71" s="507"/>
      <c r="S71" s="539"/>
    </row>
    <row r="72" spans="1:19" s="197" customFormat="1" ht="25.2" x14ac:dyDescent="0.15">
      <c r="A72" s="535"/>
      <c r="B72" s="453" t="s">
        <v>651</v>
      </c>
      <c r="C72" s="542" t="s">
        <v>77</v>
      </c>
      <c r="D72" s="542" t="s">
        <v>664</v>
      </c>
      <c r="E72" s="529"/>
      <c r="F72" s="540"/>
      <c r="G72" s="526" t="s">
        <v>44</v>
      </c>
      <c r="H72" s="878">
        <v>60</v>
      </c>
      <c r="I72" s="507">
        <v>455000</v>
      </c>
      <c r="J72" s="507">
        <f t="shared" si="4"/>
        <v>27300000</v>
      </c>
      <c r="K72" s="537">
        <v>0.5</v>
      </c>
      <c r="L72" s="512">
        <f t="shared" si="3"/>
        <v>13650000</v>
      </c>
      <c r="M72" s="507"/>
      <c r="N72" s="507"/>
      <c r="O72" s="507"/>
      <c r="P72" s="507"/>
      <c r="Q72" s="507"/>
      <c r="R72" s="507"/>
      <c r="S72" s="539"/>
    </row>
    <row r="73" spans="1:19" s="197" customFormat="1" ht="25.2" x14ac:dyDescent="0.15">
      <c r="A73" s="544"/>
      <c r="B73" s="744" t="s">
        <v>651</v>
      </c>
      <c r="C73" s="554" t="s">
        <v>77</v>
      </c>
      <c r="D73" s="554" t="s">
        <v>664</v>
      </c>
      <c r="E73" s="546"/>
      <c r="F73" s="555"/>
      <c r="G73" s="547" t="s">
        <v>42</v>
      </c>
      <c r="H73" s="702">
        <v>24</v>
      </c>
      <c r="I73" s="513">
        <v>455000</v>
      </c>
      <c r="J73" s="549">
        <f t="shared" si="4"/>
        <v>10920000</v>
      </c>
      <c r="K73" s="548">
        <v>0.5</v>
      </c>
      <c r="L73" s="513">
        <f t="shared" si="3"/>
        <v>5460000</v>
      </c>
      <c r="M73" s="513"/>
      <c r="N73" s="513"/>
      <c r="O73" s="513"/>
      <c r="P73" s="513"/>
      <c r="Q73" s="513"/>
      <c r="R73" s="513"/>
      <c r="S73" s="551"/>
    </row>
    <row r="74" spans="1:19" s="197" customFormat="1" ht="33.6" x14ac:dyDescent="0.15">
      <c r="A74" s="557">
        <v>27</v>
      </c>
      <c r="B74" s="583" t="s">
        <v>651</v>
      </c>
      <c r="C74" s="676" t="s">
        <v>186</v>
      </c>
      <c r="D74" s="559" t="s">
        <v>127</v>
      </c>
      <c r="E74" s="559"/>
      <c r="F74" s="560"/>
      <c r="G74" s="561" t="s">
        <v>44</v>
      </c>
      <c r="H74" s="680">
        <v>1</v>
      </c>
      <c r="I74" s="517">
        <v>455000</v>
      </c>
      <c r="J74" s="517">
        <f t="shared" si="4"/>
        <v>455000</v>
      </c>
      <c r="K74" s="562">
        <v>0.41</v>
      </c>
      <c r="L74" s="517">
        <f t="shared" si="3"/>
        <v>268450.00000000006</v>
      </c>
      <c r="M74" s="517">
        <v>111</v>
      </c>
      <c r="N74" s="517">
        <f>L74</f>
        <v>268450.00000000006</v>
      </c>
      <c r="O74" s="517"/>
      <c r="P74" s="517"/>
      <c r="Q74" s="517"/>
      <c r="R74" s="517"/>
      <c r="S74" s="573" t="s">
        <v>979</v>
      </c>
    </row>
    <row r="75" spans="1:19" s="197" customFormat="1" ht="8.4" x14ac:dyDescent="0.15">
      <c r="A75" s="557"/>
      <c r="B75" s="583" t="s">
        <v>651</v>
      </c>
      <c r="C75" s="676" t="s">
        <v>186</v>
      </c>
      <c r="D75" s="559" t="s">
        <v>127</v>
      </c>
      <c r="E75" s="559"/>
      <c r="F75" s="560"/>
      <c r="G75" s="561" t="s">
        <v>40</v>
      </c>
      <c r="H75" s="680">
        <v>1</v>
      </c>
      <c r="I75" s="517">
        <v>485000</v>
      </c>
      <c r="J75" s="517">
        <f t="shared" si="4"/>
        <v>485000</v>
      </c>
      <c r="K75" s="562">
        <v>0.41</v>
      </c>
      <c r="L75" s="446">
        <f t="shared" si="3"/>
        <v>286150.00000000006</v>
      </c>
      <c r="M75" s="446">
        <v>111</v>
      </c>
      <c r="N75" s="446">
        <f>L75</f>
        <v>286150.00000000006</v>
      </c>
      <c r="O75" s="517"/>
      <c r="P75" s="517"/>
      <c r="Q75" s="517"/>
      <c r="R75" s="517"/>
      <c r="S75" s="564" t="s">
        <v>731</v>
      </c>
    </row>
    <row r="76" spans="1:19" s="197" customFormat="1" ht="8.4" x14ac:dyDescent="0.15">
      <c r="A76" s="557">
        <v>28</v>
      </c>
      <c r="B76" s="583" t="s">
        <v>576</v>
      </c>
      <c r="C76" s="676" t="s">
        <v>12</v>
      </c>
      <c r="D76" s="559"/>
      <c r="E76" s="559"/>
      <c r="F76" s="560"/>
      <c r="G76" s="561" t="s">
        <v>33</v>
      </c>
      <c r="H76" s="680">
        <v>1</v>
      </c>
      <c r="I76" s="517">
        <v>455000</v>
      </c>
      <c r="J76" s="517">
        <f t="shared" si="4"/>
        <v>455000</v>
      </c>
      <c r="K76" s="562">
        <v>1</v>
      </c>
      <c r="L76" s="517">
        <f t="shared" si="3"/>
        <v>0</v>
      </c>
      <c r="M76" s="517"/>
      <c r="N76" s="517"/>
      <c r="O76" s="517"/>
      <c r="P76" s="517"/>
      <c r="Q76" s="517"/>
      <c r="R76" s="517"/>
      <c r="S76" s="564" t="s">
        <v>484</v>
      </c>
    </row>
    <row r="77" spans="1:19" s="197" customFormat="1" ht="8.4" x14ac:dyDescent="0.15">
      <c r="A77" s="557">
        <v>29</v>
      </c>
      <c r="B77" s="583" t="s">
        <v>579</v>
      </c>
      <c r="C77" s="676" t="s">
        <v>756</v>
      </c>
      <c r="D77" s="559" t="s">
        <v>666</v>
      </c>
      <c r="E77" s="559"/>
      <c r="F77" s="560"/>
      <c r="G77" s="561" t="s">
        <v>39</v>
      </c>
      <c r="H77" s="680">
        <v>2</v>
      </c>
      <c r="I77" s="517">
        <v>285000</v>
      </c>
      <c r="J77" s="517">
        <f t="shared" si="4"/>
        <v>570000</v>
      </c>
      <c r="K77" s="562">
        <v>1</v>
      </c>
      <c r="L77" s="517">
        <f t="shared" si="3"/>
        <v>0</v>
      </c>
      <c r="M77" s="517"/>
      <c r="N77" s="517"/>
      <c r="O77" s="517"/>
      <c r="P77" s="517"/>
      <c r="Q77" s="517"/>
      <c r="R77" s="517"/>
      <c r="S77" s="564"/>
    </row>
    <row r="78" spans="1:19" s="197" customFormat="1" ht="16.8" x14ac:dyDescent="0.15">
      <c r="A78" s="527">
        <v>30</v>
      </c>
      <c r="B78" s="580" t="s">
        <v>623</v>
      </c>
      <c r="C78" s="740" t="s">
        <v>12</v>
      </c>
      <c r="D78" s="529" t="s">
        <v>667</v>
      </c>
      <c r="E78" s="529"/>
      <c r="F78" s="552"/>
      <c r="G78" s="530" t="s">
        <v>40</v>
      </c>
      <c r="H78" s="921">
        <v>1</v>
      </c>
      <c r="I78" s="512">
        <v>485000</v>
      </c>
      <c r="J78" s="532">
        <f t="shared" si="4"/>
        <v>485000</v>
      </c>
      <c r="K78" s="531">
        <v>0.41</v>
      </c>
      <c r="L78" s="512">
        <f t="shared" si="3"/>
        <v>286150.00000000006</v>
      </c>
      <c r="M78" s="512"/>
      <c r="N78" s="512"/>
      <c r="O78" s="512"/>
      <c r="P78" s="512"/>
      <c r="Q78" s="512">
        <v>131</v>
      </c>
      <c r="R78" s="512">
        <f>L78+L79</f>
        <v>554600.00000000012</v>
      </c>
      <c r="S78" s="534"/>
    </row>
    <row r="79" spans="1:19" s="197" customFormat="1" ht="16.8" x14ac:dyDescent="0.15">
      <c r="A79" s="544"/>
      <c r="B79" s="582" t="s">
        <v>623</v>
      </c>
      <c r="C79" s="918" t="s">
        <v>12</v>
      </c>
      <c r="D79" s="546" t="s">
        <v>667</v>
      </c>
      <c r="E79" s="546"/>
      <c r="F79" s="555"/>
      <c r="G79" s="547" t="s">
        <v>42</v>
      </c>
      <c r="H79" s="702">
        <v>1</v>
      </c>
      <c r="I79" s="513">
        <v>455000</v>
      </c>
      <c r="J79" s="513">
        <f t="shared" si="4"/>
        <v>455000</v>
      </c>
      <c r="K79" s="548">
        <v>0.41</v>
      </c>
      <c r="L79" s="513">
        <f t="shared" si="3"/>
        <v>268450.00000000006</v>
      </c>
      <c r="M79" s="513"/>
      <c r="N79" s="513"/>
      <c r="O79" s="513"/>
      <c r="P79" s="513"/>
      <c r="Q79" s="513"/>
      <c r="R79" s="513"/>
      <c r="S79" s="551"/>
    </row>
    <row r="80" spans="1:19" s="197" customFormat="1" ht="33.6" x14ac:dyDescent="0.15">
      <c r="A80" s="527">
        <v>31</v>
      </c>
      <c r="B80" s="580" t="s">
        <v>623</v>
      </c>
      <c r="C80" s="740" t="s">
        <v>12</v>
      </c>
      <c r="D80" s="529" t="s">
        <v>668</v>
      </c>
      <c r="E80" s="529" t="s">
        <v>669</v>
      </c>
      <c r="F80" s="552"/>
      <c r="G80" s="530" t="s">
        <v>33</v>
      </c>
      <c r="H80" s="921">
        <v>3</v>
      </c>
      <c r="I80" s="512">
        <v>455000</v>
      </c>
      <c r="J80" s="532">
        <f t="shared" si="4"/>
        <v>1365000</v>
      </c>
      <c r="K80" s="531">
        <v>1</v>
      </c>
      <c r="L80" s="512">
        <f t="shared" si="3"/>
        <v>0</v>
      </c>
      <c r="M80" s="512"/>
      <c r="N80" s="512"/>
      <c r="O80" s="512"/>
      <c r="P80" s="512"/>
      <c r="Q80" s="512"/>
      <c r="R80" s="512"/>
      <c r="S80" s="534"/>
    </row>
    <row r="81" spans="1:19" s="197" customFormat="1" ht="25.2" x14ac:dyDescent="0.15">
      <c r="A81" s="535"/>
      <c r="B81" s="580" t="s">
        <v>623</v>
      </c>
      <c r="C81" s="740" t="s">
        <v>12</v>
      </c>
      <c r="D81" s="529" t="s">
        <v>668</v>
      </c>
      <c r="E81" s="542"/>
      <c r="F81" s="540"/>
      <c r="G81" s="526" t="s">
        <v>35</v>
      </c>
      <c r="H81" s="878">
        <v>5</v>
      </c>
      <c r="I81" s="507">
        <v>465000</v>
      </c>
      <c r="J81" s="507">
        <f t="shared" si="4"/>
        <v>2325000</v>
      </c>
      <c r="K81" s="537">
        <v>1</v>
      </c>
      <c r="L81" s="512">
        <f t="shared" si="3"/>
        <v>0</v>
      </c>
      <c r="M81" s="507"/>
      <c r="N81" s="507"/>
      <c r="O81" s="507"/>
      <c r="P81" s="507"/>
      <c r="Q81" s="507"/>
      <c r="R81" s="507"/>
      <c r="S81" s="539"/>
    </row>
    <row r="82" spans="1:19" s="197" customFormat="1" ht="25.2" x14ac:dyDescent="0.15">
      <c r="A82" s="535"/>
      <c r="B82" s="580" t="s">
        <v>623</v>
      </c>
      <c r="C82" s="740" t="s">
        <v>12</v>
      </c>
      <c r="D82" s="529" t="s">
        <v>668</v>
      </c>
      <c r="E82" s="542"/>
      <c r="F82" s="540"/>
      <c r="G82" s="526" t="s">
        <v>37</v>
      </c>
      <c r="H82" s="878">
        <v>5</v>
      </c>
      <c r="I82" s="507">
        <v>475000</v>
      </c>
      <c r="J82" s="507">
        <f t="shared" si="4"/>
        <v>2375000</v>
      </c>
      <c r="K82" s="537">
        <v>1</v>
      </c>
      <c r="L82" s="512">
        <f t="shared" si="3"/>
        <v>0</v>
      </c>
      <c r="M82" s="507"/>
      <c r="N82" s="507"/>
      <c r="O82" s="507"/>
      <c r="P82" s="507"/>
      <c r="Q82" s="507"/>
      <c r="R82" s="507"/>
      <c r="S82" s="539"/>
    </row>
    <row r="83" spans="1:19" s="197" customFormat="1" ht="25.2" x14ac:dyDescent="0.15">
      <c r="A83" s="535"/>
      <c r="B83" s="580" t="s">
        <v>623</v>
      </c>
      <c r="C83" s="740" t="s">
        <v>12</v>
      </c>
      <c r="D83" s="529" t="s">
        <v>668</v>
      </c>
      <c r="E83" s="542"/>
      <c r="F83" s="540"/>
      <c r="G83" s="526" t="s">
        <v>40</v>
      </c>
      <c r="H83" s="878">
        <v>3</v>
      </c>
      <c r="I83" s="507">
        <v>485000</v>
      </c>
      <c r="J83" s="507">
        <f t="shared" si="4"/>
        <v>1455000</v>
      </c>
      <c r="K83" s="537">
        <v>1</v>
      </c>
      <c r="L83" s="512">
        <f t="shared" si="3"/>
        <v>0</v>
      </c>
      <c r="M83" s="507"/>
      <c r="N83" s="507"/>
      <c r="O83" s="507"/>
      <c r="P83" s="507"/>
      <c r="Q83" s="507"/>
      <c r="R83" s="507"/>
      <c r="S83" s="539"/>
    </row>
    <row r="84" spans="1:19" s="197" customFormat="1" ht="25.2" x14ac:dyDescent="0.15">
      <c r="A84" s="535"/>
      <c r="B84" s="580" t="s">
        <v>623</v>
      </c>
      <c r="C84" s="740" t="s">
        <v>12</v>
      </c>
      <c r="D84" s="529" t="s">
        <v>668</v>
      </c>
      <c r="E84" s="542"/>
      <c r="F84" s="540"/>
      <c r="G84" s="526" t="s">
        <v>41</v>
      </c>
      <c r="H84" s="878">
        <v>3</v>
      </c>
      <c r="I84" s="507">
        <v>550000</v>
      </c>
      <c r="J84" s="507">
        <f t="shared" si="4"/>
        <v>1650000</v>
      </c>
      <c r="K84" s="537">
        <v>1</v>
      </c>
      <c r="L84" s="512">
        <f t="shared" si="3"/>
        <v>0</v>
      </c>
      <c r="M84" s="507"/>
      <c r="N84" s="507"/>
      <c r="O84" s="507"/>
      <c r="P84" s="507"/>
      <c r="Q84" s="507"/>
      <c r="R84" s="507"/>
      <c r="S84" s="539"/>
    </row>
    <row r="85" spans="1:19" s="197" customFormat="1" ht="25.2" x14ac:dyDescent="0.15">
      <c r="A85" s="544"/>
      <c r="B85" s="580" t="s">
        <v>623</v>
      </c>
      <c r="C85" s="740" t="s">
        <v>12</v>
      </c>
      <c r="D85" s="529" t="s">
        <v>668</v>
      </c>
      <c r="E85" s="546"/>
      <c r="F85" s="555"/>
      <c r="G85" s="547" t="s">
        <v>46</v>
      </c>
      <c r="H85" s="702">
        <v>3</v>
      </c>
      <c r="I85" s="513">
        <v>450000</v>
      </c>
      <c r="J85" s="549">
        <f t="shared" si="4"/>
        <v>1350000</v>
      </c>
      <c r="K85" s="548">
        <v>1</v>
      </c>
      <c r="L85" s="513">
        <f t="shared" si="3"/>
        <v>0</v>
      </c>
      <c r="M85" s="513"/>
      <c r="N85" s="513"/>
      <c r="O85" s="513"/>
      <c r="P85" s="513"/>
      <c r="Q85" s="513"/>
      <c r="R85" s="513"/>
      <c r="S85" s="551"/>
    </row>
    <row r="86" spans="1:19" s="197" customFormat="1" ht="25.2" x14ac:dyDescent="0.15">
      <c r="A86" s="557">
        <v>32</v>
      </c>
      <c r="B86" s="583" t="s">
        <v>715</v>
      </c>
      <c r="C86" s="676" t="s">
        <v>12</v>
      </c>
      <c r="D86" s="559" t="s">
        <v>716</v>
      </c>
      <c r="E86" s="559" t="s">
        <v>717</v>
      </c>
      <c r="F86" s="560"/>
      <c r="G86" s="561" t="s">
        <v>44</v>
      </c>
      <c r="H86" s="680">
        <v>60</v>
      </c>
      <c r="I86" s="517">
        <v>455000</v>
      </c>
      <c r="J86" s="517">
        <f t="shared" si="4"/>
        <v>27300000</v>
      </c>
      <c r="K86" s="562">
        <v>0.62</v>
      </c>
      <c r="L86" s="517">
        <f t="shared" si="3"/>
        <v>10374000</v>
      </c>
      <c r="M86" s="517"/>
      <c r="N86" s="517"/>
      <c r="O86" s="517"/>
      <c r="P86" s="517"/>
      <c r="Q86" s="517">
        <v>131</v>
      </c>
      <c r="R86" s="517">
        <f>L86</f>
        <v>10374000</v>
      </c>
      <c r="S86" s="564"/>
    </row>
    <row r="87" spans="1:19" s="197" customFormat="1" ht="8.4" x14ac:dyDescent="0.15">
      <c r="A87" s="557">
        <v>33</v>
      </c>
      <c r="B87" s="583" t="s">
        <v>700</v>
      </c>
      <c r="C87" s="676" t="s">
        <v>186</v>
      </c>
      <c r="D87" s="559" t="s">
        <v>127</v>
      </c>
      <c r="E87" s="559"/>
      <c r="F87" s="560"/>
      <c r="G87" s="561" t="s">
        <v>44</v>
      </c>
      <c r="H87" s="680">
        <v>1</v>
      </c>
      <c r="I87" s="517">
        <v>455000</v>
      </c>
      <c r="J87" s="517">
        <f t="shared" si="4"/>
        <v>455000</v>
      </c>
      <c r="K87" s="562">
        <v>0.41</v>
      </c>
      <c r="L87" s="517">
        <f t="shared" si="3"/>
        <v>268450.00000000006</v>
      </c>
      <c r="M87" s="517">
        <v>111</v>
      </c>
      <c r="N87" s="517">
        <f>L87</f>
        <v>268450.00000000006</v>
      </c>
      <c r="O87" s="517"/>
      <c r="P87" s="517"/>
      <c r="Q87" s="517"/>
      <c r="R87" s="517"/>
      <c r="S87" s="564" t="s">
        <v>731</v>
      </c>
    </row>
    <row r="88" spans="1:19" s="197" customFormat="1" ht="8.4" x14ac:dyDescent="0.15">
      <c r="A88" s="557">
        <v>34</v>
      </c>
      <c r="B88" s="583" t="s">
        <v>718</v>
      </c>
      <c r="C88" s="676" t="s">
        <v>12</v>
      </c>
      <c r="D88" s="559" t="s">
        <v>975</v>
      </c>
      <c r="E88" s="559" t="s">
        <v>146</v>
      </c>
      <c r="F88" s="560"/>
      <c r="G88" s="561" t="s">
        <v>31</v>
      </c>
      <c r="H88" s="680">
        <v>24</v>
      </c>
      <c r="I88" s="517">
        <v>255000</v>
      </c>
      <c r="J88" s="517">
        <f t="shared" si="4"/>
        <v>6120000</v>
      </c>
      <c r="K88" s="562">
        <v>0.5</v>
      </c>
      <c r="L88" s="517">
        <f t="shared" si="3"/>
        <v>3060000</v>
      </c>
      <c r="M88" s="517"/>
      <c r="N88" s="517"/>
      <c r="O88" s="517"/>
      <c r="P88" s="517"/>
      <c r="Q88" s="517">
        <v>131</v>
      </c>
      <c r="R88" s="517">
        <f>L88</f>
        <v>3060000</v>
      </c>
      <c r="S88" s="564"/>
    </row>
    <row r="89" spans="1:19" s="197" customFormat="1" ht="25.2" x14ac:dyDescent="0.15">
      <c r="A89" s="527">
        <v>35</v>
      </c>
      <c r="B89" s="580" t="s">
        <v>718</v>
      </c>
      <c r="C89" s="529" t="s">
        <v>77</v>
      </c>
      <c r="D89" s="529" t="s">
        <v>664</v>
      </c>
      <c r="E89" s="529" t="s">
        <v>719</v>
      </c>
      <c r="F89" s="552"/>
      <c r="G89" s="530" t="s">
        <v>33</v>
      </c>
      <c r="H89" s="921">
        <v>12</v>
      </c>
      <c r="I89" s="512">
        <v>455000</v>
      </c>
      <c r="J89" s="532">
        <f t="shared" si="4"/>
        <v>5460000</v>
      </c>
      <c r="K89" s="531">
        <v>0.5</v>
      </c>
      <c r="L89" s="512">
        <f t="shared" si="3"/>
        <v>2730000</v>
      </c>
      <c r="M89" s="512"/>
      <c r="N89" s="512"/>
      <c r="O89" s="512"/>
      <c r="P89" s="512"/>
      <c r="Q89" s="512">
        <v>131</v>
      </c>
      <c r="R89" s="512">
        <f>SUM(L89:L95)</f>
        <v>37500000</v>
      </c>
      <c r="S89" s="534"/>
    </row>
    <row r="90" spans="1:19" s="197" customFormat="1" ht="25.2" x14ac:dyDescent="0.15">
      <c r="A90" s="535"/>
      <c r="B90" s="580" t="s">
        <v>718</v>
      </c>
      <c r="C90" s="529" t="s">
        <v>77</v>
      </c>
      <c r="D90" s="529" t="s">
        <v>664</v>
      </c>
      <c r="E90" s="529"/>
      <c r="F90" s="540"/>
      <c r="G90" s="526" t="s">
        <v>35</v>
      </c>
      <c r="H90" s="878">
        <v>24</v>
      </c>
      <c r="I90" s="507">
        <v>465000</v>
      </c>
      <c r="J90" s="507">
        <f t="shared" si="4"/>
        <v>11160000</v>
      </c>
      <c r="K90" s="537">
        <v>0.5</v>
      </c>
      <c r="L90" s="512">
        <f t="shared" si="3"/>
        <v>5580000</v>
      </c>
      <c r="M90" s="507"/>
      <c r="N90" s="507"/>
      <c r="O90" s="507"/>
      <c r="P90" s="507"/>
      <c r="Q90" s="507"/>
      <c r="R90" s="507"/>
      <c r="S90" s="539"/>
    </row>
    <row r="91" spans="1:19" s="197" customFormat="1" ht="25.2" x14ac:dyDescent="0.15">
      <c r="A91" s="535"/>
      <c r="B91" s="580" t="s">
        <v>718</v>
      </c>
      <c r="C91" s="529" t="s">
        <v>77</v>
      </c>
      <c r="D91" s="529" t="s">
        <v>664</v>
      </c>
      <c r="E91" s="529"/>
      <c r="F91" s="540"/>
      <c r="G91" s="526" t="s">
        <v>37</v>
      </c>
      <c r="H91" s="878">
        <v>24</v>
      </c>
      <c r="I91" s="507">
        <v>475000</v>
      </c>
      <c r="J91" s="507">
        <f t="shared" si="4"/>
        <v>11400000</v>
      </c>
      <c r="K91" s="537">
        <v>0.5</v>
      </c>
      <c r="L91" s="512">
        <f t="shared" si="3"/>
        <v>5700000</v>
      </c>
      <c r="M91" s="507"/>
      <c r="N91" s="507"/>
      <c r="O91" s="507"/>
      <c r="P91" s="507"/>
      <c r="Q91" s="507"/>
      <c r="R91" s="507"/>
      <c r="S91" s="539"/>
    </row>
    <row r="92" spans="1:19" s="197" customFormat="1" ht="25.2" x14ac:dyDescent="0.15">
      <c r="A92" s="535"/>
      <c r="B92" s="580" t="s">
        <v>718</v>
      </c>
      <c r="C92" s="529" t="s">
        <v>77</v>
      </c>
      <c r="D92" s="529" t="s">
        <v>664</v>
      </c>
      <c r="E92" s="529"/>
      <c r="F92" s="540"/>
      <c r="G92" s="526" t="s">
        <v>60</v>
      </c>
      <c r="H92" s="878">
        <v>12</v>
      </c>
      <c r="I92" s="507">
        <v>485000</v>
      </c>
      <c r="J92" s="507">
        <f t="shared" si="4"/>
        <v>5820000</v>
      </c>
      <c r="K92" s="537">
        <v>0.5</v>
      </c>
      <c r="L92" s="512">
        <f t="shared" si="3"/>
        <v>2910000</v>
      </c>
      <c r="M92" s="507"/>
      <c r="N92" s="507"/>
      <c r="O92" s="507"/>
      <c r="P92" s="507"/>
      <c r="Q92" s="507"/>
      <c r="R92" s="507"/>
      <c r="S92" s="539"/>
    </row>
    <row r="93" spans="1:19" s="197" customFormat="1" ht="25.2" x14ac:dyDescent="0.15">
      <c r="A93" s="535"/>
      <c r="B93" s="580" t="s">
        <v>718</v>
      </c>
      <c r="C93" s="529" t="s">
        <v>77</v>
      </c>
      <c r="D93" s="529" t="s">
        <v>664</v>
      </c>
      <c r="E93" s="529"/>
      <c r="F93" s="540"/>
      <c r="G93" s="526" t="s">
        <v>41</v>
      </c>
      <c r="H93" s="878">
        <v>24</v>
      </c>
      <c r="I93" s="507">
        <v>550000</v>
      </c>
      <c r="J93" s="507">
        <f t="shared" si="4"/>
        <v>13200000</v>
      </c>
      <c r="K93" s="537">
        <v>0.5</v>
      </c>
      <c r="L93" s="512">
        <f t="shared" si="3"/>
        <v>6600000</v>
      </c>
      <c r="M93" s="507"/>
      <c r="N93" s="507"/>
      <c r="O93" s="507"/>
      <c r="P93" s="507"/>
      <c r="Q93" s="507"/>
      <c r="R93" s="507"/>
      <c r="S93" s="539"/>
    </row>
    <row r="94" spans="1:19" s="197" customFormat="1" ht="25.2" x14ac:dyDescent="0.15">
      <c r="A94" s="535"/>
      <c r="B94" s="580" t="s">
        <v>718</v>
      </c>
      <c r="C94" s="529" t="s">
        <v>77</v>
      </c>
      <c r="D94" s="529" t="s">
        <v>664</v>
      </c>
      <c r="E94" s="529"/>
      <c r="F94" s="540"/>
      <c r="G94" s="526" t="s">
        <v>46</v>
      </c>
      <c r="H94" s="878">
        <v>50</v>
      </c>
      <c r="I94" s="507">
        <v>450000</v>
      </c>
      <c r="J94" s="507">
        <f t="shared" si="4"/>
        <v>22500000</v>
      </c>
      <c r="K94" s="537">
        <v>0.5</v>
      </c>
      <c r="L94" s="512">
        <f t="shared" si="3"/>
        <v>11250000</v>
      </c>
      <c r="M94" s="507"/>
      <c r="N94" s="507"/>
      <c r="O94" s="507"/>
      <c r="P94" s="507"/>
      <c r="Q94" s="507"/>
      <c r="R94" s="507"/>
      <c r="S94" s="539"/>
    </row>
    <row r="95" spans="1:19" s="197" customFormat="1" ht="25.2" x14ac:dyDescent="0.15">
      <c r="A95" s="544"/>
      <c r="B95" s="582" t="s">
        <v>718</v>
      </c>
      <c r="C95" s="546" t="s">
        <v>77</v>
      </c>
      <c r="D95" s="546" t="s">
        <v>664</v>
      </c>
      <c r="E95" s="546"/>
      <c r="F95" s="555"/>
      <c r="G95" s="547" t="s">
        <v>42</v>
      </c>
      <c r="H95" s="702">
        <v>12</v>
      </c>
      <c r="I95" s="513">
        <v>455000</v>
      </c>
      <c r="J95" s="549">
        <f t="shared" si="4"/>
        <v>5460000</v>
      </c>
      <c r="K95" s="548">
        <v>0.5</v>
      </c>
      <c r="L95" s="513">
        <f t="shared" si="3"/>
        <v>2730000</v>
      </c>
      <c r="M95" s="513"/>
      <c r="N95" s="513"/>
      <c r="O95" s="513"/>
      <c r="P95" s="513"/>
      <c r="Q95" s="513"/>
      <c r="R95" s="513"/>
      <c r="S95" s="551"/>
    </row>
    <row r="96" spans="1:19" s="197" customFormat="1" ht="16.8" x14ac:dyDescent="0.15">
      <c r="A96" s="527">
        <v>36</v>
      </c>
      <c r="B96" s="580" t="s">
        <v>700</v>
      </c>
      <c r="C96" s="740" t="s">
        <v>61</v>
      </c>
      <c r="D96" s="529" t="s">
        <v>722</v>
      </c>
      <c r="E96" s="529"/>
      <c r="F96" s="552"/>
      <c r="G96" s="530" t="s">
        <v>34</v>
      </c>
      <c r="H96" s="921">
        <v>5</v>
      </c>
      <c r="I96" s="512">
        <v>265000</v>
      </c>
      <c r="J96" s="532">
        <f t="shared" si="4"/>
        <v>1325000</v>
      </c>
      <c r="K96" s="531">
        <v>0.41</v>
      </c>
      <c r="L96" s="512">
        <f t="shared" si="3"/>
        <v>781750.00000000012</v>
      </c>
      <c r="M96" s="512">
        <v>111</v>
      </c>
      <c r="N96" s="512">
        <v>8584500</v>
      </c>
      <c r="O96" s="512"/>
      <c r="P96" s="512"/>
      <c r="Q96" s="512"/>
      <c r="R96" s="512"/>
      <c r="S96" s="534"/>
    </row>
    <row r="97" spans="1:19" s="197" customFormat="1" ht="16.8" x14ac:dyDescent="0.15">
      <c r="A97" s="535"/>
      <c r="B97" s="580" t="s">
        <v>700</v>
      </c>
      <c r="C97" s="740" t="s">
        <v>61</v>
      </c>
      <c r="D97" s="529" t="s">
        <v>722</v>
      </c>
      <c r="E97" s="542"/>
      <c r="F97" s="540"/>
      <c r="G97" s="526" t="s">
        <v>35</v>
      </c>
      <c r="H97" s="878">
        <v>7</v>
      </c>
      <c r="I97" s="507">
        <v>465000</v>
      </c>
      <c r="J97" s="507">
        <f t="shared" si="4"/>
        <v>3255000</v>
      </c>
      <c r="K97" s="537">
        <v>0.41</v>
      </c>
      <c r="L97" s="512">
        <f t="shared" si="3"/>
        <v>1920450.0000000002</v>
      </c>
      <c r="M97" s="507"/>
      <c r="N97" s="507"/>
      <c r="O97" s="507"/>
      <c r="P97" s="507"/>
      <c r="Q97" s="507"/>
      <c r="R97" s="507"/>
      <c r="S97" s="539"/>
    </row>
    <row r="98" spans="1:19" s="197" customFormat="1" ht="16.8" x14ac:dyDescent="0.15">
      <c r="A98" s="535"/>
      <c r="B98" s="580" t="s">
        <v>700</v>
      </c>
      <c r="C98" s="740" t="s">
        <v>61</v>
      </c>
      <c r="D98" s="529" t="s">
        <v>722</v>
      </c>
      <c r="E98" s="542"/>
      <c r="F98" s="540"/>
      <c r="G98" s="526" t="s">
        <v>39</v>
      </c>
      <c r="H98" s="878">
        <v>4</v>
      </c>
      <c r="I98" s="507">
        <v>285000</v>
      </c>
      <c r="J98" s="507">
        <f t="shared" si="4"/>
        <v>1140000</v>
      </c>
      <c r="K98" s="537">
        <v>0.41</v>
      </c>
      <c r="L98" s="512">
        <f t="shared" si="3"/>
        <v>672600.00000000012</v>
      </c>
      <c r="M98" s="507"/>
      <c r="N98" s="507"/>
      <c r="O98" s="507"/>
      <c r="P98" s="507"/>
      <c r="Q98" s="507"/>
      <c r="R98" s="507"/>
      <c r="S98" s="539"/>
    </row>
    <row r="99" spans="1:19" s="197" customFormat="1" ht="16.8" x14ac:dyDescent="0.15">
      <c r="A99" s="535"/>
      <c r="B99" s="580" t="s">
        <v>700</v>
      </c>
      <c r="C99" s="740" t="s">
        <v>61</v>
      </c>
      <c r="D99" s="529" t="s">
        <v>722</v>
      </c>
      <c r="E99" s="542"/>
      <c r="F99" s="540"/>
      <c r="G99" s="526" t="s">
        <v>40</v>
      </c>
      <c r="H99" s="878">
        <v>7</v>
      </c>
      <c r="I99" s="507">
        <v>485000</v>
      </c>
      <c r="J99" s="507">
        <f t="shared" si="4"/>
        <v>3395000</v>
      </c>
      <c r="K99" s="537">
        <v>0.41</v>
      </c>
      <c r="L99" s="512">
        <f t="shared" si="3"/>
        <v>2003050.0000000002</v>
      </c>
      <c r="M99" s="507"/>
      <c r="N99" s="507"/>
      <c r="O99" s="507"/>
      <c r="P99" s="507"/>
      <c r="Q99" s="507"/>
      <c r="R99" s="507"/>
      <c r="S99" s="539"/>
    </row>
    <row r="100" spans="1:19" s="197" customFormat="1" ht="16.8" x14ac:dyDescent="0.15">
      <c r="A100" s="535"/>
      <c r="B100" s="580" t="s">
        <v>700</v>
      </c>
      <c r="C100" s="740" t="s">
        <v>61</v>
      </c>
      <c r="D100" s="529" t="s">
        <v>722</v>
      </c>
      <c r="E100" s="542"/>
      <c r="F100" s="540"/>
      <c r="G100" s="526" t="s">
        <v>46</v>
      </c>
      <c r="H100" s="878">
        <v>5</v>
      </c>
      <c r="I100" s="507">
        <v>450000</v>
      </c>
      <c r="J100" s="507">
        <f t="shared" si="4"/>
        <v>2250000</v>
      </c>
      <c r="K100" s="537">
        <v>0.41</v>
      </c>
      <c r="L100" s="512">
        <f t="shared" ref="L100:L107" si="5">H100*I100*(1-K100)</f>
        <v>1327500.0000000002</v>
      </c>
      <c r="M100" s="507"/>
      <c r="N100" s="507"/>
      <c r="O100" s="507"/>
      <c r="P100" s="507"/>
      <c r="Q100" s="507"/>
      <c r="R100" s="507"/>
      <c r="S100" s="539"/>
    </row>
    <row r="101" spans="1:19" s="197" customFormat="1" ht="16.8" x14ac:dyDescent="0.15">
      <c r="A101" s="544"/>
      <c r="B101" s="582" t="s">
        <v>700</v>
      </c>
      <c r="C101" s="918" t="s">
        <v>61</v>
      </c>
      <c r="D101" s="546" t="s">
        <v>722</v>
      </c>
      <c r="E101" s="546"/>
      <c r="F101" s="555"/>
      <c r="G101" s="547" t="s">
        <v>42</v>
      </c>
      <c r="H101" s="702">
        <v>7</v>
      </c>
      <c r="I101" s="513">
        <v>455000</v>
      </c>
      <c r="J101" s="549">
        <f t="shared" si="4"/>
        <v>3185000</v>
      </c>
      <c r="K101" s="548">
        <v>0.41</v>
      </c>
      <c r="L101" s="513">
        <f t="shared" si="5"/>
        <v>1879150.0000000002</v>
      </c>
      <c r="M101" s="513"/>
      <c r="N101" s="513"/>
      <c r="O101" s="513"/>
      <c r="P101" s="513"/>
      <c r="Q101" s="513"/>
      <c r="R101" s="513"/>
      <c r="S101" s="551"/>
    </row>
    <row r="102" spans="1:19" s="197" customFormat="1" ht="25.2" x14ac:dyDescent="0.15">
      <c r="A102" s="527">
        <v>37</v>
      </c>
      <c r="B102" s="580" t="s">
        <v>680</v>
      </c>
      <c r="C102" s="529" t="s">
        <v>77</v>
      </c>
      <c r="D102" s="529" t="s">
        <v>664</v>
      </c>
      <c r="E102" s="529" t="s">
        <v>719</v>
      </c>
      <c r="F102" s="552"/>
      <c r="G102" s="530" t="s">
        <v>35</v>
      </c>
      <c r="H102" s="921">
        <v>36</v>
      </c>
      <c r="I102" s="512">
        <v>465000</v>
      </c>
      <c r="J102" s="532">
        <f t="shared" si="4"/>
        <v>16740000</v>
      </c>
      <c r="K102" s="531">
        <v>0.5</v>
      </c>
      <c r="L102" s="512">
        <f t="shared" si="5"/>
        <v>8370000</v>
      </c>
      <c r="M102" s="512"/>
      <c r="N102" s="512"/>
      <c r="O102" s="512"/>
      <c r="P102" s="512"/>
      <c r="Q102" s="512">
        <v>131</v>
      </c>
      <c r="R102" s="512">
        <f>SUM(L102:L105)</f>
        <v>28320000</v>
      </c>
      <c r="S102" s="534"/>
    </row>
    <row r="103" spans="1:19" s="197" customFormat="1" ht="25.2" x14ac:dyDescent="0.15">
      <c r="A103" s="535"/>
      <c r="B103" s="580" t="s">
        <v>680</v>
      </c>
      <c r="C103" s="529" t="s">
        <v>77</v>
      </c>
      <c r="D103" s="529" t="s">
        <v>664</v>
      </c>
      <c r="E103" s="529"/>
      <c r="F103" s="540"/>
      <c r="G103" s="526" t="s">
        <v>37</v>
      </c>
      <c r="H103" s="878">
        <v>48</v>
      </c>
      <c r="I103" s="507">
        <v>475000</v>
      </c>
      <c r="J103" s="507">
        <f t="shared" si="4"/>
        <v>22800000</v>
      </c>
      <c r="K103" s="537">
        <v>0.5</v>
      </c>
      <c r="L103" s="512">
        <f t="shared" si="5"/>
        <v>11400000</v>
      </c>
      <c r="M103" s="507"/>
      <c r="N103" s="507"/>
      <c r="O103" s="507"/>
      <c r="P103" s="507"/>
      <c r="Q103" s="507"/>
      <c r="R103" s="507"/>
      <c r="S103" s="539"/>
    </row>
    <row r="104" spans="1:19" s="197" customFormat="1" ht="25.2" x14ac:dyDescent="0.15">
      <c r="A104" s="535"/>
      <c r="B104" s="580" t="s">
        <v>680</v>
      </c>
      <c r="C104" s="529" t="s">
        <v>77</v>
      </c>
      <c r="D104" s="529" t="s">
        <v>664</v>
      </c>
      <c r="E104" s="529"/>
      <c r="F104" s="540"/>
      <c r="G104" s="526" t="s">
        <v>40</v>
      </c>
      <c r="H104" s="878">
        <v>24</v>
      </c>
      <c r="I104" s="507">
        <v>485000</v>
      </c>
      <c r="J104" s="507">
        <f t="shared" si="4"/>
        <v>11640000</v>
      </c>
      <c r="K104" s="537">
        <v>0.5</v>
      </c>
      <c r="L104" s="512">
        <f t="shared" si="5"/>
        <v>5820000</v>
      </c>
      <c r="M104" s="507"/>
      <c r="N104" s="507"/>
      <c r="O104" s="507"/>
      <c r="P104" s="507"/>
      <c r="Q104" s="507"/>
      <c r="R104" s="507"/>
      <c r="S104" s="539"/>
    </row>
    <row r="105" spans="1:19" s="197" customFormat="1" ht="25.2" x14ac:dyDescent="0.15">
      <c r="A105" s="544"/>
      <c r="B105" s="580" t="s">
        <v>680</v>
      </c>
      <c r="C105" s="529" t="s">
        <v>77</v>
      </c>
      <c r="D105" s="529" t="s">
        <v>664</v>
      </c>
      <c r="E105" s="546"/>
      <c r="F105" s="555"/>
      <c r="G105" s="547" t="s">
        <v>44</v>
      </c>
      <c r="H105" s="702">
        <v>12</v>
      </c>
      <c r="I105" s="513">
        <v>455000</v>
      </c>
      <c r="J105" s="549">
        <f t="shared" si="4"/>
        <v>5460000</v>
      </c>
      <c r="K105" s="548">
        <v>0.5</v>
      </c>
      <c r="L105" s="513">
        <f t="shared" si="5"/>
        <v>2730000</v>
      </c>
      <c r="M105" s="513"/>
      <c r="N105" s="513"/>
      <c r="O105" s="513"/>
      <c r="P105" s="513"/>
      <c r="Q105" s="513"/>
      <c r="R105" s="513"/>
      <c r="S105" s="551"/>
    </row>
    <row r="106" spans="1:19" s="197" customFormat="1" ht="16.8" x14ac:dyDescent="0.15">
      <c r="A106" s="633">
        <v>38</v>
      </c>
      <c r="B106" s="708" t="s">
        <v>570</v>
      </c>
      <c r="C106" s="949" t="s">
        <v>12</v>
      </c>
      <c r="D106" s="574" t="s">
        <v>729</v>
      </c>
      <c r="E106" s="566" t="s">
        <v>406</v>
      </c>
      <c r="F106" s="854" t="s">
        <v>730</v>
      </c>
      <c r="G106" s="568" t="s">
        <v>33</v>
      </c>
      <c r="H106" s="887">
        <v>24</v>
      </c>
      <c r="I106" s="518">
        <v>455000</v>
      </c>
      <c r="J106" s="518">
        <f t="shared" si="4"/>
        <v>10920000</v>
      </c>
      <c r="K106" s="569">
        <v>0.5</v>
      </c>
      <c r="L106" s="518">
        <f t="shared" si="5"/>
        <v>5460000</v>
      </c>
      <c r="M106" s="518"/>
      <c r="N106" s="518"/>
      <c r="O106" s="518"/>
      <c r="P106" s="518"/>
      <c r="Q106" s="518">
        <v>131</v>
      </c>
      <c r="R106" s="518">
        <f>SUM(L106+L107)</f>
        <v>8370000</v>
      </c>
      <c r="S106" s="570"/>
    </row>
    <row r="107" spans="1:19" s="197" customFormat="1" ht="58.8" x14ac:dyDescent="0.15">
      <c r="A107" s="633"/>
      <c r="B107" s="582" t="s">
        <v>570</v>
      </c>
      <c r="C107" s="918" t="s">
        <v>12</v>
      </c>
      <c r="D107" s="546" t="s">
        <v>729</v>
      </c>
      <c r="E107" s="634"/>
      <c r="F107" s="746"/>
      <c r="G107" s="636" t="s">
        <v>60</v>
      </c>
      <c r="H107" s="686">
        <v>12</v>
      </c>
      <c r="I107" s="519">
        <v>485000</v>
      </c>
      <c r="J107" s="549">
        <f t="shared" si="4"/>
        <v>5820000</v>
      </c>
      <c r="K107" s="631">
        <v>0.5</v>
      </c>
      <c r="L107" s="519">
        <f t="shared" si="5"/>
        <v>2910000</v>
      </c>
      <c r="M107" s="519"/>
      <c r="N107" s="519"/>
      <c r="O107" s="519"/>
      <c r="P107" s="519"/>
      <c r="Q107" s="519"/>
      <c r="R107" s="519"/>
      <c r="S107" s="745" t="s">
        <v>1477</v>
      </c>
    </row>
    <row r="108" spans="1:19" s="197" customFormat="1" ht="16.8" x14ac:dyDescent="0.15">
      <c r="A108" s="557">
        <v>39</v>
      </c>
      <c r="B108" s="583" t="s">
        <v>495</v>
      </c>
      <c r="C108" s="676"/>
      <c r="D108" s="559" t="s">
        <v>926</v>
      </c>
      <c r="E108" s="559" t="s">
        <v>484</v>
      </c>
      <c r="F108" s="747"/>
      <c r="G108" s="561" t="s">
        <v>34</v>
      </c>
      <c r="H108" s="680">
        <v>1</v>
      </c>
      <c r="I108" s="517">
        <v>265000</v>
      </c>
      <c r="J108" s="517">
        <f t="shared" si="4"/>
        <v>265000</v>
      </c>
      <c r="K108" s="562">
        <v>1</v>
      </c>
      <c r="L108" s="517">
        <f t="shared" ref="L108:L115" si="6">H108*I108*(1-K108)</f>
        <v>0</v>
      </c>
      <c r="M108" s="517"/>
      <c r="N108" s="517"/>
      <c r="O108" s="517"/>
      <c r="P108" s="517"/>
      <c r="Q108" s="517"/>
      <c r="R108" s="517"/>
      <c r="S108" s="564"/>
    </row>
    <row r="109" spans="1:19" s="197" customFormat="1" ht="8.4" x14ac:dyDescent="0.15">
      <c r="A109" s="557">
        <v>40</v>
      </c>
      <c r="B109" s="583" t="s">
        <v>565</v>
      </c>
      <c r="C109" s="676" t="s">
        <v>12</v>
      </c>
      <c r="D109" s="559" t="s">
        <v>931</v>
      </c>
      <c r="E109" s="559"/>
      <c r="F109" s="747"/>
      <c r="G109" s="561" t="s">
        <v>41</v>
      </c>
      <c r="H109" s="680">
        <v>2</v>
      </c>
      <c r="I109" s="517">
        <v>550000</v>
      </c>
      <c r="J109" s="517">
        <f t="shared" si="4"/>
        <v>1100000</v>
      </c>
      <c r="K109" s="562">
        <v>0.41</v>
      </c>
      <c r="L109" s="517">
        <f t="shared" si="6"/>
        <v>649000.00000000012</v>
      </c>
      <c r="M109" s="517"/>
      <c r="N109" s="517"/>
      <c r="O109" s="517">
        <v>112</v>
      </c>
      <c r="P109" s="517">
        <f>L109</f>
        <v>649000.00000000012</v>
      </c>
      <c r="Q109" s="517"/>
      <c r="R109" s="517"/>
      <c r="S109" s="564"/>
    </row>
    <row r="110" spans="1:19" s="197" customFormat="1" ht="8.4" x14ac:dyDescent="0.15">
      <c r="A110" s="644">
        <v>41</v>
      </c>
      <c r="B110" s="708" t="s">
        <v>942</v>
      </c>
      <c r="C110" s="574" t="s">
        <v>943</v>
      </c>
      <c r="D110" s="574" t="s">
        <v>944</v>
      </c>
      <c r="E110" s="574"/>
      <c r="F110" s="775"/>
      <c r="G110" s="645" t="s">
        <v>40</v>
      </c>
      <c r="H110" s="712">
        <v>1</v>
      </c>
      <c r="I110" s="532">
        <v>485000</v>
      </c>
      <c r="J110" s="532">
        <f t="shared" si="4"/>
        <v>485000</v>
      </c>
      <c r="K110" s="646">
        <v>1</v>
      </c>
      <c r="L110" s="532">
        <f t="shared" si="6"/>
        <v>0</v>
      </c>
      <c r="M110" s="532"/>
      <c r="N110" s="532"/>
      <c r="O110" s="532"/>
      <c r="P110" s="532"/>
      <c r="Q110" s="532"/>
      <c r="R110" s="532"/>
      <c r="S110" s="647"/>
    </row>
    <row r="111" spans="1:19" s="197" customFormat="1" ht="8.4" x14ac:dyDescent="0.15">
      <c r="A111" s="535"/>
      <c r="B111" s="692" t="s">
        <v>942</v>
      </c>
      <c r="C111" s="542" t="s">
        <v>943</v>
      </c>
      <c r="D111" s="542" t="s">
        <v>945</v>
      </c>
      <c r="E111" s="542"/>
      <c r="F111" s="776"/>
      <c r="G111" s="526" t="s">
        <v>38</v>
      </c>
      <c r="H111" s="878">
        <v>2</v>
      </c>
      <c r="I111" s="507">
        <v>285000</v>
      </c>
      <c r="J111" s="507">
        <f t="shared" si="4"/>
        <v>570000</v>
      </c>
      <c r="K111" s="537">
        <v>1</v>
      </c>
      <c r="L111" s="507">
        <f t="shared" si="6"/>
        <v>0</v>
      </c>
      <c r="M111" s="507"/>
      <c r="N111" s="507"/>
      <c r="O111" s="507"/>
      <c r="P111" s="507"/>
      <c r="Q111" s="507"/>
      <c r="R111" s="507"/>
      <c r="S111" s="539"/>
    </row>
    <row r="112" spans="1:19" s="197" customFormat="1" ht="8.4" x14ac:dyDescent="0.15">
      <c r="A112" s="535"/>
      <c r="B112" s="453" t="s">
        <v>942</v>
      </c>
      <c r="C112" s="542" t="s">
        <v>943</v>
      </c>
      <c r="D112" s="542" t="s">
        <v>186</v>
      </c>
      <c r="E112" s="542"/>
      <c r="F112" s="776"/>
      <c r="G112" s="526" t="s">
        <v>36</v>
      </c>
      <c r="H112" s="878">
        <v>2</v>
      </c>
      <c r="I112" s="507">
        <v>275000</v>
      </c>
      <c r="J112" s="507">
        <f t="shared" si="4"/>
        <v>550000</v>
      </c>
      <c r="K112" s="537">
        <v>1</v>
      </c>
      <c r="L112" s="507">
        <f t="shared" si="6"/>
        <v>0</v>
      </c>
      <c r="M112" s="507"/>
      <c r="N112" s="507"/>
      <c r="O112" s="507"/>
      <c r="P112" s="507"/>
      <c r="Q112" s="507"/>
      <c r="R112" s="507"/>
      <c r="S112" s="539"/>
    </row>
    <row r="113" spans="1:20" s="197" customFormat="1" ht="8.4" x14ac:dyDescent="0.15">
      <c r="A113" s="535"/>
      <c r="B113" s="453" t="s">
        <v>942</v>
      </c>
      <c r="C113" s="542" t="s">
        <v>943</v>
      </c>
      <c r="D113" s="542" t="s">
        <v>946</v>
      </c>
      <c r="E113" s="542"/>
      <c r="F113" s="776"/>
      <c r="G113" s="526" t="s">
        <v>39</v>
      </c>
      <c r="H113" s="878">
        <v>1</v>
      </c>
      <c r="I113" s="507">
        <v>285000</v>
      </c>
      <c r="J113" s="507">
        <f t="shared" si="4"/>
        <v>285000</v>
      </c>
      <c r="K113" s="537">
        <v>1</v>
      </c>
      <c r="L113" s="507">
        <f t="shared" si="6"/>
        <v>0</v>
      </c>
      <c r="M113" s="507"/>
      <c r="N113" s="507"/>
      <c r="O113" s="507"/>
      <c r="P113" s="507"/>
      <c r="Q113" s="507"/>
      <c r="R113" s="507"/>
      <c r="S113" s="539"/>
    </row>
    <row r="114" spans="1:20" s="197" customFormat="1" ht="8.4" x14ac:dyDescent="0.15">
      <c r="A114" s="535"/>
      <c r="B114" s="580" t="s">
        <v>942</v>
      </c>
      <c r="C114" s="542" t="s">
        <v>943</v>
      </c>
      <c r="D114" s="542" t="s">
        <v>946</v>
      </c>
      <c r="E114" s="542"/>
      <c r="F114" s="776"/>
      <c r="G114" s="526" t="s">
        <v>36</v>
      </c>
      <c r="H114" s="878">
        <v>1</v>
      </c>
      <c r="I114" s="507">
        <v>275000</v>
      </c>
      <c r="J114" s="507">
        <f t="shared" si="4"/>
        <v>275000</v>
      </c>
      <c r="K114" s="537">
        <v>1</v>
      </c>
      <c r="L114" s="507">
        <f t="shared" si="6"/>
        <v>0</v>
      </c>
      <c r="M114" s="507"/>
      <c r="N114" s="507"/>
      <c r="O114" s="507"/>
      <c r="P114" s="507"/>
      <c r="Q114" s="507"/>
      <c r="R114" s="507"/>
      <c r="S114" s="539"/>
    </row>
    <row r="115" spans="1:20" s="197" customFormat="1" ht="8.4" x14ac:dyDescent="0.15">
      <c r="A115" s="633"/>
      <c r="B115" s="584" t="s">
        <v>942</v>
      </c>
      <c r="C115" s="634" t="s">
        <v>943</v>
      </c>
      <c r="D115" s="634" t="s">
        <v>187</v>
      </c>
      <c r="E115" s="634"/>
      <c r="F115" s="746"/>
      <c r="G115" s="636" t="s">
        <v>36</v>
      </c>
      <c r="H115" s="686">
        <v>2</v>
      </c>
      <c r="I115" s="549">
        <v>275000</v>
      </c>
      <c r="J115" s="549">
        <f t="shared" si="4"/>
        <v>550000</v>
      </c>
      <c r="K115" s="643">
        <v>1</v>
      </c>
      <c r="L115" s="549">
        <f t="shared" si="6"/>
        <v>0</v>
      </c>
      <c r="M115" s="519"/>
      <c r="N115" s="519"/>
      <c r="O115" s="519"/>
      <c r="P115" s="519"/>
      <c r="Q115" s="519"/>
      <c r="R115" s="519"/>
      <c r="S115" s="637"/>
    </row>
    <row r="116" spans="1:20" s="1364" customFormat="1" ht="11.4" x14ac:dyDescent="0.3">
      <c r="A116" s="2206" t="s">
        <v>2</v>
      </c>
      <c r="B116" s="2207"/>
      <c r="C116" s="2207"/>
      <c r="D116" s="2207"/>
      <c r="E116" s="2207"/>
      <c r="F116" s="2207"/>
      <c r="G116" s="2207"/>
      <c r="H116" s="1360">
        <f>SUM(H7:H115)</f>
        <v>1234</v>
      </c>
      <c r="I116" s="1361"/>
      <c r="J116" s="1360">
        <f>SUM(J7:J115)</f>
        <v>546725000</v>
      </c>
      <c r="K116" s="1361"/>
      <c r="L116" s="1360">
        <f>SUM(L7:L115)</f>
        <v>276143450</v>
      </c>
      <c r="M116" s="1360"/>
      <c r="N116" s="1360">
        <f>SUM(N7:N115)</f>
        <v>13070600</v>
      </c>
      <c r="O116" s="1360"/>
      <c r="P116" s="1360">
        <f>SUM(P7:P115)</f>
        <v>24742200</v>
      </c>
      <c r="Q116" s="1360"/>
      <c r="R116" s="1360">
        <f>SUM(R7:R115)</f>
        <v>238316100</v>
      </c>
      <c r="S116" s="1385"/>
      <c r="T116" s="1363"/>
    </row>
    <row r="117" spans="1:20" s="1364" customFormat="1" ht="11.4" x14ac:dyDescent="0.3">
      <c r="A117" s="2212" t="s">
        <v>488</v>
      </c>
      <c r="B117" s="2213"/>
      <c r="C117" s="2213"/>
      <c r="D117" s="2213"/>
      <c r="E117" s="2213"/>
      <c r="F117" s="2213"/>
      <c r="G117" s="2213"/>
      <c r="H117" s="1388">
        <f>H116</f>
        <v>1234</v>
      </c>
      <c r="I117" s="1387"/>
      <c r="J117" s="1387"/>
      <c r="K117" s="1387"/>
      <c r="L117" s="1388">
        <f>L116</f>
        <v>276143450</v>
      </c>
      <c r="M117" s="1388"/>
      <c r="N117" s="1388"/>
      <c r="O117" s="1388"/>
      <c r="P117" s="1388"/>
      <c r="Q117" s="1388"/>
      <c r="R117" s="1388"/>
      <c r="S117" s="1389"/>
      <c r="T117" s="1363"/>
    </row>
    <row r="118" spans="1:20" s="1364" customFormat="1" ht="11.4" x14ac:dyDescent="0.3">
      <c r="A118" s="2212" t="s">
        <v>489</v>
      </c>
      <c r="B118" s="2213"/>
      <c r="C118" s="2213"/>
      <c r="D118" s="2213"/>
      <c r="E118" s="2213"/>
      <c r="F118" s="2213"/>
      <c r="G118" s="2213"/>
      <c r="H118" s="1388"/>
      <c r="I118" s="1387"/>
      <c r="J118" s="1387"/>
      <c r="K118" s="1387"/>
      <c r="L118" s="1388">
        <f>N116</f>
        <v>13070600</v>
      </c>
      <c r="M118" s="1388"/>
      <c r="N118" s="1388"/>
      <c r="O118" s="1388"/>
      <c r="P118" s="1388"/>
      <c r="Q118" s="1388"/>
      <c r="R118" s="1388"/>
      <c r="S118" s="1389"/>
    </row>
    <row r="119" spans="1:20" s="1364" customFormat="1" ht="11.4" x14ac:dyDescent="0.3">
      <c r="A119" s="2212" t="s">
        <v>490</v>
      </c>
      <c r="B119" s="2213"/>
      <c r="C119" s="2213"/>
      <c r="D119" s="2213"/>
      <c r="E119" s="2213"/>
      <c r="F119" s="2213"/>
      <c r="G119" s="2213"/>
      <c r="H119" s="1388"/>
      <c r="I119" s="1387"/>
      <c r="J119" s="1387"/>
      <c r="K119" s="1387"/>
      <c r="L119" s="1388">
        <f>P116</f>
        <v>24742200</v>
      </c>
      <c r="M119" s="1388"/>
      <c r="N119" s="1388"/>
      <c r="O119" s="1388"/>
      <c r="P119" s="1388"/>
      <c r="Q119" s="1388"/>
      <c r="R119" s="1388"/>
      <c r="S119" s="1389"/>
    </row>
    <row r="120" spans="1:20" s="1364" customFormat="1" ht="11.4" x14ac:dyDescent="0.3">
      <c r="A120" s="2212" t="s">
        <v>491</v>
      </c>
      <c r="B120" s="2213"/>
      <c r="C120" s="2213"/>
      <c r="D120" s="2213"/>
      <c r="E120" s="2213"/>
      <c r="F120" s="2213"/>
      <c r="G120" s="2213"/>
      <c r="H120" s="1388"/>
      <c r="I120" s="1387"/>
      <c r="J120" s="1387"/>
      <c r="K120" s="1387"/>
      <c r="L120" s="1388">
        <f>R116</f>
        <v>238316100</v>
      </c>
      <c r="M120" s="1388"/>
      <c r="N120" s="1388"/>
      <c r="O120" s="1388"/>
      <c r="P120" s="1388"/>
      <c r="Q120" s="1388"/>
      <c r="R120" s="1388"/>
      <c r="S120" s="1389"/>
    </row>
    <row r="121" spans="1:20" s="1364" customFormat="1" ht="11.4" x14ac:dyDescent="0.3">
      <c r="A121" s="2208" t="s">
        <v>755</v>
      </c>
      <c r="B121" s="2209"/>
      <c r="C121" s="2209"/>
      <c r="D121" s="2209"/>
      <c r="E121" s="2209"/>
      <c r="F121" s="2209"/>
      <c r="G121" s="2210"/>
      <c r="H121" s="1388"/>
      <c r="I121" s="1387"/>
      <c r="J121" s="1387"/>
      <c r="K121" s="1387"/>
      <c r="L121" s="1388">
        <v>319000</v>
      </c>
      <c r="M121" s="1388"/>
      <c r="N121" s="1388"/>
      <c r="O121" s="1388"/>
      <c r="P121" s="1388"/>
      <c r="Q121" s="1388"/>
      <c r="R121" s="1388"/>
      <c r="S121" s="1389"/>
    </row>
    <row r="122" spans="1:20" s="1371" customFormat="1" ht="12" x14ac:dyDescent="0.25">
      <c r="A122" s="2214" t="s">
        <v>994</v>
      </c>
      <c r="B122" s="2215"/>
      <c r="C122" s="2215"/>
      <c r="D122" s="2215"/>
      <c r="E122" s="2215"/>
      <c r="F122" s="2215"/>
      <c r="G122" s="2215"/>
      <c r="H122" s="1368"/>
      <c r="I122" s="1368"/>
      <c r="J122" s="1368"/>
      <c r="K122" s="1368"/>
      <c r="L122" s="1369">
        <v>59655650</v>
      </c>
      <c r="M122" s="1368"/>
      <c r="N122" s="1368"/>
      <c r="O122" s="1368"/>
      <c r="P122" s="1368"/>
      <c r="Q122" s="1368"/>
      <c r="R122" s="1368"/>
      <c r="S122" s="1391"/>
    </row>
    <row r="123" spans="1:20" s="1371" customFormat="1" ht="12" x14ac:dyDescent="0.25">
      <c r="A123" s="2214" t="s">
        <v>735</v>
      </c>
      <c r="B123" s="2215"/>
      <c r="C123" s="2215"/>
      <c r="D123" s="2215"/>
      <c r="E123" s="2215"/>
      <c r="F123" s="2215"/>
      <c r="G123" s="2215"/>
      <c r="H123" s="1368"/>
      <c r="I123" s="1368"/>
      <c r="J123" s="1368"/>
      <c r="K123" s="1368"/>
      <c r="L123" s="1369">
        <v>211410500</v>
      </c>
      <c r="M123" s="1368"/>
      <c r="N123" s="1368"/>
      <c r="O123" s="1368"/>
      <c r="P123" s="1368"/>
      <c r="Q123" s="1368"/>
      <c r="R123" s="1368"/>
      <c r="S123" s="1391"/>
    </row>
    <row r="124" spans="1:20" s="1371" customFormat="1" ht="12" x14ac:dyDescent="0.25">
      <c r="A124" s="2214" t="s">
        <v>732</v>
      </c>
      <c r="B124" s="2215"/>
      <c r="C124" s="2215"/>
      <c r="D124" s="2215"/>
      <c r="E124" s="2215"/>
      <c r="F124" s="2215"/>
      <c r="G124" s="2215"/>
      <c r="H124" s="1368"/>
      <c r="I124" s="1368"/>
      <c r="J124" s="1368"/>
      <c r="K124" s="1368"/>
      <c r="L124" s="1369">
        <v>287000</v>
      </c>
      <c r="M124" s="1368"/>
      <c r="N124" s="1368"/>
      <c r="O124" s="1368"/>
      <c r="P124" s="1368"/>
      <c r="Q124" s="1368"/>
      <c r="R124" s="1368"/>
      <c r="S124" s="1391"/>
    </row>
    <row r="125" spans="1:20" s="1371" customFormat="1" ht="12" x14ac:dyDescent="0.25">
      <c r="A125" s="2214" t="s">
        <v>734</v>
      </c>
      <c r="B125" s="2215"/>
      <c r="C125" s="2215"/>
      <c r="D125" s="2215"/>
      <c r="E125" s="2215"/>
      <c r="F125" s="2215"/>
      <c r="G125" s="2215"/>
      <c r="H125" s="1368"/>
      <c r="I125" s="1368"/>
      <c r="J125" s="1368"/>
      <c r="K125" s="1368"/>
      <c r="L125" s="1369">
        <v>1008900</v>
      </c>
      <c r="M125" s="1368"/>
      <c r="N125" s="1368"/>
      <c r="O125" s="1368"/>
      <c r="P125" s="1368"/>
      <c r="Q125" s="1368"/>
      <c r="R125" s="1368"/>
      <c r="S125" s="1391"/>
    </row>
    <row r="126" spans="1:20" s="1371" customFormat="1" ht="12" x14ac:dyDescent="0.25">
      <c r="A126" s="2214" t="s">
        <v>736</v>
      </c>
      <c r="B126" s="2215"/>
      <c r="C126" s="2215"/>
      <c r="D126" s="2215"/>
      <c r="E126" s="2215"/>
      <c r="F126" s="2215"/>
      <c r="G126" s="2215"/>
      <c r="H126" s="1368"/>
      <c r="I126" s="1368"/>
      <c r="J126" s="1368"/>
      <c r="K126" s="1368"/>
      <c r="L126" s="1369">
        <v>10165700</v>
      </c>
      <c r="M126" s="1368"/>
      <c r="N126" s="1368"/>
      <c r="O126" s="1368"/>
      <c r="P126" s="1368"/>
      <c r="Q126" s="1368"/>
      <c r="R126" s="1368"/>
      <c r="S126" s="1391"/>
    </row>
    <row r="127" spans="1:20" s="1371" customFormat="1" ht="12" x14ac:dyDescent="0.25">
      <c r="A127" s="2214" t="s">
        <v>733</v>
      </c>
      <c r="B127" s="2215"/>
      <c r="C127" s="2215"/>
      <c r="D127" s="2215"/>
      <c r="E127" s="2215"/>
      <c r="F127" s="2215"/>
      <c r="G127" s="2215"/>
      <c r="H127" s="1368"/>
      <c r="I127" s="1368"/>
      <c r="J127" s="1368"/>
      <c r="K127" s="1368"/>
      <c r="L127" s="1369">
        <v>823050</v>
      </c>
      <c r="M127" s="1368"/>
      <c r="N127" s="1368"/>
      <c r="O127" s="1368"/>
      <c r="P127" s="1368"/>
      <c r="Q127" s="1368"/>
      <c r="R127" s="1368"/>
      <c r="S127" s="1391"/>
    </row>
    <row r="129" spans="1:19" x14ac:dyDescent="0.25">
      <c r="A129" s="2222"/>
      <c r="B129" s="2222"/>
      <c r="C129" s="2222"/>
      <c r="D129" s="2222"/>
      <c r="E129" s="2222"/>
      <c r="F129" s="2222"/>
      <c r="G129" s="2222"/>
      <c r="L129" s="748"/>
      <c r="P129" s="749"/>
    </row>
    <row r="130" spans="1:19" ht="13.5" customHeight="1" x14ac:dyDescent="0.25">
      <c r="C130" s="2211" t="s">
        <v>84</v>
      </c>
      <c r="D130" s="2211"/>
      <c r="E130" s="2211"/>
      <c r="F130" s="734"/>
      <c r="G130" s="520"/>
      <c r="I130" s="520"/>
      <c r="J130" s="520"/>
      <c r="K130" s="734" t="s">
        <v>85</v>
      </c>
      <c r="L130" s="520"/>
      <c r="M130" s="520"/>
      <c r="N130" s="520"/>
      <c r="O130" s="520"/>
      <c r="P130" s="520"/>
      <c r="R130" s="520" t="s">
        <v>19</v>
      </c>
      <c r="S130" s="735"/>
    </row>
    <row r="136" spans="1:19" x14ac:dyDescent="0.25">
      <c r="D136" s="511"/>
      <c r="E136" s="511"/>
      <c r="F136" s="511"/>
    </row>
    <row r="137" spans="1:19" x14ac:dyDescent="0.25">
      <c r="D137" s="511"/>
      <c r="E137" s="511"/>
      <c r="F137" s="511"/>
    </row>
    <row r="138" spans="1:19" x14ac:dyDescent="0.25">
      <c r="D138" s="511"/>
      <c r="E138" s="511"/>
      <c r="F138" s="511"/>
      <c r="K138" s="511"/>
    </row>
    <row r="139" spans="1:19" x14ac:dyDescent="0.25">
      <c r="D139" s="511"/>
      <c r="E139" s="511"/>
      <c r="F139" s="511"/>
      <c r="K139" s="511"/>
    </row>
    <row r="140" spans="1:19" x14ac:dyDescent="0.25">
      <c r="D140" s="511"/>
      <c r="E140" s="511"/>
      <c r="F140" s="511"/>
      <c r="K140" s="511"/>
    </row>
    <row r="141" spans="1:19" x14ac:dyDescent="0.25">
      <c r="B141" s="511"/>
      <c r="C141" s="511"/>
      <c r="D141" s="511"/>
      <c r="E141" s="511"/>
      <c r="F141" s="511"/>
      <c r="K141" s="511"/>
    </row>
    <row r="142" spans="1:19" x14ac:dyDescent="0.25">
      <c r="B142" s="511"/>
      <c r="C142" s="511"/>
      <c r="D142" s="511"/>
      <c r="E142" s="511"/>
      <c r="F142" s="511"/>
      <c r="K142" s="511"/>
    </row>
    <row r="143" spans="1:19" x14ac:dyDescent="0.25">
      <c r="B143" s="511"/>
      <c r="C143" s="511"/>
      <c r="D143" s="511"/>
      <c r="E143" s="511"/>
      <c r="F143" s="511"/>
      <c r="K143" s="511"/>
    </row>
    <row r="144" spans="1:19" x14ac:dyDescent="0.25">
      <c r="B144" s="511"/>
      <c r="C144" s="511"/>
      <c r="D144" s="511"/>
      <c r="E144" s="511"/>
      <c r="F144" s="511"/>
      <c r="K144" s="511"/>
    </row>
    <row r="145" spans="2:11" x14ac:dyDescent="0.25">
      <c r="B145" s="511"/>
      <c r="C145" s="511"/>
      <c r="D145" s="511"/>
      <c r="E145" s="511"/>
      <c r="F145" s="511"/>
      <c r="K145" s="511"/>
    </row>
    <row r="146" spans="2:11" x14ac:dyDescent="0.25">
      <c r="B146" s="511"/>
      <c r="C146" s="511"/>
      <c r="D146" s="511"/>
      <c r="E146" s="511"/>
      <c r="F146" s="511"/>
      <c r="K146" s="511"/>
    </row>
    <row r="147" spans="2:11" x14ac:dyDescent="0.25">
      <c r="B147" s="511"/>
      <c r="C147" s="511"/>
      <c r="D147" s="511"/>
      <c r="E147" s="511"/>
      <c r="F147" s="511"/>
      <c r="K147" s="511"/>
    </row>
    <row r="148" spans="2:11" x14ac:dyDescent="0.25">
      <c r="B148" s="511"/>
      <c r="C148" s="511"/>
      <c r="D148" s="511"/>
      <c r="E148" s="511"/>
      <c r="F148" s="511"/>
      <c r="K148" s="511"/>
    </row>
    <row r="149" spans="2:11" x14ac:dyDescent="0.25">
      <c r="B149" s="511"/>
      <c r="C149" s="511"/>
      <c r="D149" s="511"/>
      <c r="E149" s="511"/>
      <c r="F149" s="511"/>
      <c r="K149" s="511"/>
    </row>
    <row r="150" spans="2:11" x14ac:dyDescent="0.25">
      <c r="B150" s="511"/>
      <c r="C150" s="511"/>
      <c r="D150" s="511"/>
      <c r="E150" s="511"/>
      <c r="F150" s="511"/>
      <c r="K150" s="511"/>
    </row>
    <row r="151" spans="2:11" x14ac:dyDescent="0.25">
      <c r="B151" s="511"/>
      <c r="C151" s="511"/>
      <c r="D151" s="511"/>
      <c r="E151" s="511"/>
      <c r="F151" s="511"/>
      <c r="K151" s="511"/>
    </row>
    <row r="152" spans="2:11" x14ac:dyDescent="0.25">
      <c r="B152" s="511"/>
      <c r="C152" s="511"/>
      <c r="D152" s="511"/>
      <c r="E152" s="511"/>
      <c r="F152" s="511"/>
      <c r="K152" s="511"/>
    </row>
    <row r="153" spans="2:11" x14ac:dyDescent="0.25">
      <c r="B153" s="511"/>
      <c r="C153" s="511"/>
      <c r="D153" s="511"/>
      <c r="E153" s="511"/>
      <c r="F153" s="511"/>
      <c r="K153" s="511"/>
    </row>
    <row r="154" spans="2:11" x14ac:dyDescent="0.25">
      <c r="B154" s="511"/>
      <c r="C154" s="511"/>
      <c r="D154" s="511"/>
      <c r="E154" s="511"/>
      <c r="F154" s="511"/>
      <c r="K154" s="511"/>
    </row>
    <row r="155" spans="2:11" x14ac:dyDescent="0.25">
      <c r="B155" s="511"/>
      <c r="C155" s="511"/>
      <c r="D155" s="511"/>
      <c r="E155" s="511"/>
      <c r="F155" s="511"/>
      <c r="K155" s="511"/>
    </row>
    <row r="156" spans="2:11" x14ac:dyDescent="0.25">
      <c r="B156" s="511"/>
      <c r="C156" s="511"/>
      <c r="D156" s="511"/>
      <c r="E156" s="511"/>
      <c r="F156" s="511"/>
      <c r="K156" s="511"/>
    </row>
    <row r="157" spans="2:11" x14ac:dyDescent="0.25">
      <c r="B157" s="511"/>
      <c r="C157" s="511"/>
      <c r="D157" s="511"/>
      <c r="E157" s="511"/>
      <c r="F157" s="511"/>
      <c r="K157" s="511"/>
    </row>
    <row r="158" spans="2:11" x14ac:dyDescent="0.25">
      <c r="B158" s="511"/>
      <c r="C158" s="511"/>
      <c r="D158" s="511"/>
      <c r="E158" s="511"/>
      <c r="F158" s="511"/>
      <c r="K158" s="511"/>
    </row>
    <row r="159" spans="2:11" x14ac:dyDescent="0.25">
      <c r="B159" s="511"/>
      <c r="C159" s="511"/>
      <c r="D159" s="511"/>
      <c r="E159" s="511"/>
      <c r="F159" s="511"/>
      <c r="K159" s="511"/>
    </row>
    <row r="160" spans="2:11" x14ac:dyDescent="0.25">
      <c r="B160" s="511"/>
      <c r="C160" s="511"/>
      <c r="D160" s="511"/>
      <c r="E160" s="511"/>
      <c r="F160" s="511"/>
      <c r="K160" s="511"/>
    </row>
    <row r="161" spans="2:11" x14ac:dyDescent="0.25">
      <c r="B161" s="511"/>
      <c r="C161" s="511"/>
      <c r="D161" s="511"/>
      <c r="E161" s="511"/>
      <c r="F161" s="511"/>
      <c r="K161" s="511"/>
    </row>
    <row r="162" spans="2:11" x14ac:dyDescent="0.25">
      <c r="B162" s="511"/>
      <c r="C162" s="511"/>
      <c r="D162" s="511"/>
      <c r="E162" s="511"/>
      <c r="F162" s="511"/>
      <c r="K162" s="511"/>
    </row>
    <row r="163" spans="2:11" x14ac:dyDescent="0.25">
      <c r="B163" s="511"/>
      <c r="C163" s="511"/>
      <c r="D163" s="511"/>
      <c r="E163" s="511"/>
      <c r="F163" s="511"/>
      <c r="K163" s="511"/>
    </row>
    <row r="164" spans="2:11" x14ac:dyDescent="0.25">
      <c r="B164" s="511"/>
      <c r="C164" s="511"/>
      <c r="D164" s="511"/>
      <c r="E164" s="511"/>
      <c r="F164" s="511"/>
      <c r="K164" s="511"/>
    </row>
    <row r="165" spans="2:11" x14ac:dyDescent="0.25">
      <c r="B165" s="511"/>
      <c r="C165" s="511"/>
      <c r="D165" s="511"/>
      <c r="E165" s="511"/>
      <c r="F165" s="511"/>
      <c r="K165" s="511"/>
    </row>
    <row r="166" spans="2:11" x14ac:dyDescent="0.25">
      <c r="B166" s="511"/>
      <c r="C166" s="511"/>
      <c r="D166" s="511"/>
      <c r="E166" s="511"/>
      <c r="F166" s="511"/>
      <c r="K166" s="511"/>
    </row>
    <row r="167" spans="2:11" x14ac:dyDescent="0.25">
      <c r="B167" s="511"/>
      <c r="C167" s="511"/>
      <c r="D167" s="511"/>
      <c r="E167" s="511"/>
      <c r="F167" s="511"/>
      <c r="K167" s="511"/>
    </row>
    <row r="168" spans="2:11" x14ac:dyDescent="0.25">
      <c r="B168" s="511"/>
      <c r="C168" s="511"/>
      <c r="D168" s="511"/>
      <c r="E168" s="511"/>
      <c r="F168" s="511"/>
      <c r="K168" s="511"/>
    </row>
    <row r="169" spans="2:11" x14ac:dyDescent="0.25">
      <c r="B169" s="511"/>
      <c r="C169" s="511"/>
      <c r="D169" s="511"/>
      <c r="E169" s="511"/>
      <c r="F169" s="511"/>
      <c r="K169" s="511"/>
    </row>
    <row r="170" spans="2:11" x14ac:dyDescent="0.25">
      <c r="B170" s="511"/>
      <c r="C170" s="511"/>
      <c r="D170" s="511"/>
      <c r="E170" s="511"/>
      <c r="F170" s="511"/>
      <c r="K170" s="511"/>
    </row>
    <row r="171" spans="2:11" x14ac:dyDescent="0.25">
      <c r="B171" s="511"/>
      <c r="C171" s="511"/>
      <c r="D171" s="511"/>
      <c r="E171" s="511"/>
      <c r="F171" s="511"/>
      <c r="K171" s="511"/>
    </row>
    <row r="172" spans="2:11" x14ac:dyDescent="0.25">
      <c r="B172" s="511"/>
      <c r="C172" s="511"/>
      <c r="D172" s="511"/>
      <c r="E172" s="511"/>
      <c r="F172" s="511"/>
      <c r="K172" s="511"/>
    </row>
  </sheetData>
  <mergeCells count="26">
    <mergeCell ref="S52:S58"/>
    <mergeCell ref="A119:G119"/>
    <mergeCell ref="A122:G122"/>
    <mergeCell ref="A124:G124"/>
    <mergeCell ref="A121:G121"/>
    <mergeCell ref="A129:G129"/>
    <mergeCell ref="A125:G125"/>
    <mergeCell ref="A126:G126"/>
    <mergeCell ref="A127:G127"/>
    <mergeCell ref="A123:G123"/>
    <mergeCell ref="S30:S33"/>
    <mergeCell ref="C130:E130"/>
    <mergeCell ref="A120:G120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A116:G116"/>
    <mergeCell ref="A117:G117"/>
    <mergeCell ref="A118:G118"/>
  </mergeCells>
  <pageMargins left="0.31496062992125984" right="0" top="0" bottom="0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10</vt:i4>
      </vt:variant>
    </vt:vector>
  </HeadingPairs>
  <TitlesOfParts>
    <vt:vector size="69" baseType="lpstr">
      <vt:lpstr>DSCBNV</vt:lpstr>
      <vt:lpstr>Số TK</vt:lpstr>
      <vt:lpstr>NCC</vt:lpstr>
      <vt:lpstr>Mã SP</vt:lpstr>
      <vt:lpstr>Vốn L1-20.11</vt:lpstr>
      <vt:lpstr>DS ĐLý</vt:lpstr>
      <vt:lpstr>DTT7</vt:lpstr>
      <vt:lpstr>DTT8</vt:lpstr>
      <vt:lpstr>DTT9</vt:lpstr>
      <vt:lpstr>DTT10</vt:lpstr>
      <vt:lpstr>DTT11</vt:lpstr>
      <vt:lpstr>DTT12</vt:lpstr>
      <vt:lpstr>Tổng hợp DTBH</vt:lpstr>
      <vt:lpstr>Công nợ 31.1.2020</vt:lpstr>
      <vt:lpstr>Giá vốn</vt:lpstr>
      <vt:lpstr>Thu khác</vt:lpstr>
      <vt:lpstr>CP nhập hàng</vt:lpstr>
      <vt:lpstr>CP lương</vt:lpstr>
      <vt:lpstr>Chi phí khác </vt:lpstr>
      <vt:lpstr>Các khoản Thu chi T12</vt:lpstr>
      <vt:lpstr>TH Kết quả Kinh doanh 31.01.20</vt:lpstr>
      <vt:lpstr>Thu chi thực te từ T5-&gt; 31.0120</vt:lpstr>
      <vt:lpstr>Tổng thu chi T5-&gt; 29.11</vt:lpstr>
      <vt:lpstr>Tổng thu chi 20.8-&gt;29.11</vt:lpstr>
      <vt:lpstr>Hợp thức hóa CP</vt:lpstr>
      <vt:lpstr>TH nhập hàng</vt:lpstr>
      <vt:lpstr>Nhập</vt:lpstr>
      <vt:lpstr>Xuất</vt:lpstr>
      <vt:lpstr>Tồn</vt:lpstr>
      <vt:lpstr>Hàng trả lại</vt:lpstr>
      <vt:lpstr>Tiền hàng Lan T9,10</vt:lpstr>
      <vt:lpstr>Tiền hàng Tâm T9,10</vt:lpstr>
      <vt:lpstr>Tiền hàng Sơn T9,10</vt:lpstr>
      <vt:lpstr>Tiền hàng A Sơn, Tâm, Long T11</vt:lpstr>
      <vt:lpstr>Tiền hàng Sơn, Tâm T12</vt:lpstr>
      <vt:lpstr>CP n.viên ứng T10</vt:lpstr>
      <vt:lpstr>CP n.viên ứng T9</vt:lpstr>
      <vt:lpstr>Tiền hàng Long chưa TT</vt:lpstr>
      <vt:lpstr>Long đóng CP</vt:lpstr>
      <vt:lpstr>Long chi tạm ứng từ 20.8</vt:lpstr>
      <vt:lpstr>Tiền thực phẩm Tâm T11</vt:lpstr>
      <vt:lpstr>A Lâm Chi tạm ứng từ 20.8 </vt:lpstr>
      <vt:lpstr>Quà 2-9</vt:lpstr>
      <vt:lpstr>Công T8</vt:lpstr>
      <vt:lpstr>Lương T12</vt:lpstr>
      <vt:lpstr>Tất toán lương T9+T10</vt:lpstr>
      <vt:lpstr>Lương T11</vt:lpstr>
      <vt:lpstr>Lương T10</vt:lpstr>
      <vt:lpstr>Lương T9</vt:lpstr>
      <vt:lpstr>Lương t.lĩnh T8</vt:lpstr>
      <vt:lpstr>Lương VVNH T8</vt:lpstr>
      <vt:lpstr>Hùng ứng chi cty T8, T9</vt:lpstr>
      <vt:lpstr>Hùng đóng CP</vt:lpstr>
      <vt:lpstr>T.toán công nợ Nam</vt:lpstr>
      <vt:lpstr>T.toán công nợ Hà</vt:lpstr>
      <vt:lpstr>T.toán Công nợ a Son T8</vt:lpstr>
      <vt:lpstr>Chi phí trang bị cho ĐL</vt:lpstr>
      <vt:lpstr>Cấp phát VPP</vt:lpstr>
      <vt:lpstr>Tạm ứng lương</vt:lpstr>
      <vt:lpstr>'Tất toán lương T9+T10'!Print_Area</vt:lpstr>
      <vt:lpstr>'DTT10'!Print_Titles</vt:lpstr>
      <vt:lpstr>'DTT11'!Print_Titles</vt:lpstr>
      <vt:lpstr>'DTT7'!Print_Titles</vt:lpstr>
      <vt:lpstr>'DTT8'!Print_Titles</vt:lpstr>
      <vt:lpstr>'DTT9'!Print_Titles</vt:lpstr>
      <vt:lpstr>'Hàng trả lại'!Print_Titles</vt:lpstr>
      <vt:lpstr>Nhập!Print_Titles</vt:lpstr>
      <vt:lpstr>'Tổng thu chi 20.8-&gt;29.11'!Print_Titles</vt:lpstr>
      <vt:lpstr>'Tổng thu chi T5-&gt; 29.11'!Print_Titles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Hằng Thái</cp:lastModifiedBy>
  <cp:lastPrinted>2020-03-28T12:37:57Z</cp:lastPrinted>
  <dcterms:created xsi:type="dcterms:W3CDTF">2018-10-07T00:43:38Z</dcterms:created>
  <dcterms:modified xsi:type="dcterms:W3CDTF">2020-03-28T12:42:05Z</dcterms:modified>
</cp:coreProperties>
</file>