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3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tiền hàng triệu sơn" sheetId="11" r:id="rId8"/>
  </sheets>
  <definedNames>
    <definedName name="_xlnm._FilterDatabase" localSheetId="1" hidden="1">'DOANH THU'!$A$6:$P$116</definedName>
    <definedName name="_xlnm._FilterDatabase" localSheetId="0" hidden="1">'THU CHI'!$A$6:$H$93</definedName>
  </definedNames>
  <calcPr calcId="162913"/>
</workbook>
</file>

<file path=xl/calcChain.xml><?xml version="1.0" encoding="utf-8"?>
<calcChain xmlns="http://schemas.openxmlformats.org/spreadsheetml/2006/main">
  <c r="H18" i="5" l="1"/>
  <c r="I18" i="5"/>
  <c r="J18" i="5"/>
  <c r="G14" i="5"/>
  <c r="H14" i="5"/>
  <c r="I14" i="5"/>
  <c r="J14" i="5"/>
  <c r="H9" i="5"/>
  <c r="I9" i="5"/>
  <c r="J9" i="5"/>
  <c r="D9" i="3" l="1"/>
  <c r="D8" i="3"/>
  <c r="F101" i="1"/>
  <c r="G226" i="1"/>
  <c r="G93" i="1"/>
  <c r="E93" i="1"/>
  <c r="H209" i="1"/>
  <c r="H198" i="1"/>
  <c r="H184" i="1"/>
  <c r="G184" i="1"/>
  <c r="D22" i="3" s="1"/>
  <c r="F171" i="1"/>
  <c r="G171" i="1"/>
  <c r="H171" i="1"/>
  <c r="D18" i="3" s="1"/>
  <c r="E171" i="1"/>
  <c r="C18" i="3" s="1"/>
  <c r="H111" i="1"/>
  <c r="G111" i="1"/>
  <c r="D20" i="3" s="1"/>
  <c r="H15" i="5" l="1"/>
  <c r="H11" i="5" s="1"/>
  <c r="I18" i="11" l="1"/>
  <c r="I20" i="11" s="1"/>
  <c r="F39" i="1" l="1"/>
  <c r="F38" i="1"/>
  <c r="M61" i="9"/>
  <c r="M60" i="9"/>
  <c r="L61" i="9"/>
  <c r="L26" i="9"/>
  <c r="G111" i="9"/>
  <c r="M102" i="9"/>
  <c r="I108" i="9"/>
  <c r="I107" i="9"/>
  <c r="I106" i="9"/>
  <c r="I105" i="9"/>
  <c r="I104" i="9"/>
  <c r="I103" i="9"/>
  <c r="I102" i="9"/>
  <c r="H14" i="1" l="1"/>
  <c r="L109" i="9" l="1"/>
  <c r="M74" i="9"/>
  <c r="L74" i="9"/>
  <c r="I74" i="9"/>
  <c r="L76" i="9" l="1"/>
  <c r="L71" i="9"/>
  <c r="L66" i="9"/>
  <c r="M66" i="9" s="1"/>
  <c r="I66" i="9"/>
  <c r="L47" i="9"/>
  <c r="L39" i="9" l="1"/>
  <c r="L24" i="9" l="1"/>
  <c r="M24" i="9" s="1"/>
  <c r="I24" i="9"/>
  <c r="F44" i="1" l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O38" i="9" s="1"/>
  <c r="L22" i="9"/>
  <c r="M22" i="9" s="1"/>
  <c r="L23" i="9"/>
  <c r="M23" i="9" s="1"/>
  <c r="L25" i="9"/>
  <c r="M25" i="9" s="1"/>
  <c r="AI18" i="10" l="1"/>
  <c r="G22" i="8" l="1"/>
  <c r="H22" i="8"/>
  <c r="G198" i="1" l="1"/>
  <c r="H137" i="1"/>
  <c r="F16" i="5" l="1"/>
  <c r="G16" i="5" s="1"/>
  <c r="K16" i="5" l="1"/>
  <c r="D26" i="3" l="1"/>
  <c r="H215" i="1"/>
  <c r="D24" i="3" s="1"/>
  <c r="D25" i="3"/>
  <c r="D21" i="3"/>
  <c r="L27" i="1"/>
  <c r="L21" i="1"/>
  <c r="L23" i="1"/>
  <c r="L20" i="1"/>
  <c r="L22" i="1"/>
  <c r="H70" i="1"/>
  <c r="H84" i="1"/>
  <c r="H83" i="1"/>
  <c r="I109" i="9"/>
  <c r="N109" i="9" s="1"/>
  <c r="I20" i="8"/>
  <c r="K20" i="8" s="1"/>
  <c r="N20" i="8" s="1"/>
  <c r="I19" i="8"/>
  <c r="K19" i="8" s="1"/>
  <c r="N19" i="8" s="1"/>
  <c r="I18" i="8"/>
  <c r="K21" i="8"/>
  <c r="I17" i="8"/>
  <c r="K17" i="8" s="1"/>
  <c r="N17" i="8" s="1"/>
  <c r="I16" i="8"/>
  <c r="K16" i="8" s="1"/>
  <c r="N16" i="8" s="1"/>
  <c r="I15" i="8"/>
  <c r="K15" i="8" s="1"/>
  <c r="N15" i="8" s="1"/>
  <c r="I14" i="8"/>
  <c r="K14" i="8" s="1"/>
  <c r="N14" i="8" s="1"/>
  <c r="I13" i="8"/>
  <c r="I97" i="9"/>
  <c r="L97" i="9" s="1"/>
  <c r="M97" i="9" s="1"/>
  <c r="I98" i="9"/>
  <c r="L98" i="9" s="1"/>
  <c r="M98" i="9" s="1"/>
  <c r="I99" i="9"/>
  <c r="L99" i="9" s="1"/>
  <c r="O99" i="9" s="1"/>
  <c r="I100" i="9"/>
  <c r="L100" i="9" s="1"/>
  <c r="O100" i="9" s="1"/>
  <c r="I101" i="9"/>
  <c r="L101" i="9" s="1"/>
  <c r="O101" i="9" s="1"/>
  <c r="I110" i="9"/>
  <c r="L110" i="9" s="1"/>
  <c r="N110" i="9" s="1"/>
  <c r="L30" i="1" l="1"/>
  <c r="H53" i="1" s="1"/>
  <c r="K13" i="8"/>
  <c r="N13" i="8" s="1"/>
  <c r="D23" i="3"/>
  <c r="K18" i="8"/>
  <c r="N18" i="8" s="1"/>
  <c r="F66" i="1"/>
  <c r="G112" i="9"/>
  <c r="I92" i="9"/>
  <c r="L92" i="9" s="1"/>
  <c r="M92" i="9" s="1"/>
  <c r="I93" i="9"/>
  <c r="L93" i="9" s="1"/>
  <c r="M93" i="9" s="1"/>
  <c r="I94" i="9"/>
  <c r="L94" i="9" s="1"/>
  <c r="M94" i="9" s="1"/>
  <c r="I95" i="9"/>
  <c r="L95" i="9" s="1"/>
  <c r="M95" i="9" s="1"/>
  <c r="I96" i="9"/>
  <c r="L96" i="9" s="1"/>
  <c r="AI16" i="10"/>
  <c r="E12" i="5" s="1"/>
  <c r="F12" i="5" s="1"/>
  <c r="G12" i="5" s="1"/>
  <c r="D27" i="3" l="1"/>
  <c r="I28" i="4"/>
  <c r="L28" i="4" s="1"/>
  <c r="O28" i="4" s="1"/>
  <c r="F15" i="5" l="1"/>
  <c r="G15" i="5" s="1"/>
  <c r="G17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5" i="5" s="1"/>
  <c r="AI15" i="10"/>
  <c r="E13" i="5" s="1"/>
  <c r="F13" i="5" s="1"/>
  <c r="G13" i="5" s="1"/>
  <c r="AI14" i="10"/>
  <c r="E17" i="5" s="1"/>
  <c r="F17" i="5" s="1"/>
  <c r="F14" i="5" s="1"/>
  <c r="AI13" i="10"/>
  <c r="E11" i="5" s="1"/>
  <c r="F11" i="5" s="1"/>
  <c r="AI12" i="10"/>
  <c r="E10" i="5" l="1"/>
  <c r="F10" i="5" s="1"/>
  <c r="AI19" i="10"/>
  <c r="K17" i="5"/>
  <c r="K14" i="5" s="1"/>
  <c r="G11" i="5"/>
  <c r="O23" i="4"/>
  <c r="O32" i="4" s="1"/>
  <c r="I86" i="9"/>
  <c r="I76" i="9"/>
  <c r="N76" i="9" s="1"/>
  <c r="I43" i="9"/>
  <c r="L43" i="9" s="1"/>
  <c r="N43" i="9" s="1"/>
  <c r="I75" i="9"/>
  <c r="L75" i="9" s="1"/>
  <c r="N75" i="9" s="1"/>
  <c r="I73" i="9"/>
  <c r="L73" i="9" s="1"/>
  <c r="N73" i="9" s="1"/>
  <c r="I72" i="9"/>
  <c r="L72" i="9" s="1"/>
  <c r="N72" i="9" s="1"/>
  <c r="I71" i="9"/>
  <c r="N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5" i="9"/>
  <c r="L65" i="9" s="1"/>
  <c r="M65" i="9" s="1"/>
  <c r="I64" i="9"/>
  <c r="L64" i="9" s="1"/>
  <c r="M64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63" i="9"/>
  <c r="L63" i="9" s="1"/>
  <c r="M63" i="9" s="1"/>
  <c r="I62" i="9"/>
  <c r="L62" i="9" s="1"/>
  <c r="I61" i="9"/>
  <c r="I60" i="9"/>
  <c r="G10" i="5" l="1"/>
  <c r="F9" i="5"/>
  <c r="F18" i="5" s="1"/>
  <c r="L60" i="9"/>
  <c r="M62" i="9"/>
  <c r="H12" i="5"/>
  <c r="K12" i="5" s="1"/>
  <c r="K11" i="5"/>
  <c r="H63" i="1"/>
  <c r="H93" i="1" s="1"/>
  <c r="I69" i="4"/>
  <c r="I70" i="4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I83" i="9"/>
  <c r="L83" i="9" s="1"/>
  <c r="N83" i="9" s="1"/>
  <c r="I84" i="9"/>
  <c r="L84" i="9" s="1"/>
  <c r="N84" i="9" s="1"/>
  <c r="I85" i="9"/>
  <c r="L85" i="9" s="1"/>
  <c r="N85" i="9" s="1"/>
  <c r="L86" i="9"/>
  <c r="N86" i="9" s="1"/>
  <c r="I87" i="9"/>
  <c r="L87" i="9" s="1"/>
  <c r="N87" i="9" s="1"/>
  <c r="H13" i="5" s="1"/>
  <c r="K13" i="5" s="1"/>
  <c r="I88" i="9"/>
  <c r="L88" i="9" s="1"/>
  <c r="N88" i="9" s="1"/>
  <c r="I89" i="9"/>
  <c r="L89" i="9" s="1"/>
  <c r="M89" i="9" s="1"/>
  <c r="I90" i="9"/>
  <c r="L90" i="9" s="1"/>
  <c r="M90" i="9" s="1"/>
  <c r="I91" i="9"/>
  <c r="L91" i="9" s="1"/>
  <c r="M91" i="9" s="1"/>
  <c r="I41" i="9"/>
  <c r="I40" i="9"/>
  <c r="I52" i="9"/>
  <c r="L52" i="9" s="1"/>
  <c r="N52" i="9" s="1"/>
  <c r="I42" i="9"/>
  <c r="L42" i="9" s="1"/>
  <c r="N42" i="9" s="1"/>
  <c r="I53" i="9"/>
  <c r="L53" i="9" s="1"/>
  <c r="M53" i="9" s="1"/>
  <c r="I38" i="9"/>
  <c r="I37" i="9"/>
  <c r="I36" i="9"/>
  <c r="I35" i="9"/>
  <c r="I34" i="9"/>
  <c r="I33" i="9"/>
  <c r="I32" i="9"/>
  <c r="L32" i="9" s="1"/>
  <c r="N32" i="9" s="1"/>
  <c r="I31" i="9"/>
  <c r="L31" i="9" s="1"/>
  <c r="N31" i="9" s="1"/>
  <c r="I29" i="9"/>
  <c r="L29" i="9" s="1"/>
  <c r="N29" i="9" s="1"/>
  <c r="K10" i="5" l="1"/>
  <c r="K9" i="5" s="1"/>
  <c r="K18" i="5" s="1"/>
  <c r="G9" i="5"/>
  <c r="G18" i="5" s="1"/>
  <c r="K15" i="5"/>
  <c r="F64" i="1"/>
  <c r="F93" i="1" s="1"/>
  <c r="L40" i="9"/>
  <c r="O40" i="9" s="1"/>
  <c r="L41" i="9"/>
  <c r="O41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1" i="9" l="1"/>
  <c r="L51" i="9" s="1"/>
  <c r="N51" i="9" s="1"/>
  <c r="I50" i="9"/>
  <c r="L50" i="9" s="1"/>
  <c r="N50" i="9" s="1"/>
  <c r="I22" i="9" l="1"/>
  <c r="I12" i="9"/>
  <c r="L12" i="9" s="1"/>
  <c r="N12" i="9" s="1"/>
  <c r="I11" i="9"/>
  <c r="L11" i="9" s="1"/>
  <c r="N11" i="9" s="1"/>
  <c r="I25" i="9" l="1"/>
  <c r="I8" i="8"/>
  <c r="K8" i="8" s="1"/>
  <c r="L8" i="8" s="1"/>
  <c r="I9" i="8"/>
  <c r="K9" i="8" s="1"/>
  <c r="L9" i="8" s="1"/>
  <c r="I10" i="8"/>
  <c r="K10" i="8" s="1"/>
  <c r="L10" i="8" s="1"/>
  <c r="I11" i="8"/>
  <c r="K11" i="8" s="1"/>
  <c r="N11" i="8" s="1"/>
  <c r="I12" i="8"/>
  <c r="K12" i="8" s="1"/>
  <c r="N12" i="8" s="1"/>
  <c r="I7" i="8"/>
  <c r="I9" i="9"/>
  <c r="I10" i="9"/>
  <c r="L10" i="9" s="1"/>
  <c r="N10" i="9" s="1"/>
  <c r="I23" i="9"/>
  <c r="I26" i="9"/>
  <c r="N26" i="9" s="1"/>
  <c r="I27" i="9"/>
  <c r="L27" i="9" s="1"/>
  <c r="N27" i="9" s="1"/>
  <c r="I28" i="9"/>
  <c r="L28" i="9" s="1"/>
  <c r="N28" i="9" s="1"/>
  <c r="I30" i="9"/>
  <c r="L30" i="9" s="1"/>
  <c r="N30" i="9" s="1"/>
  <c r="I39" i="9"/>
  <c r="N39" i="9" s="1"/>
  <c r="I44" i="9"/>
  <c r="L44" i="9" s="1"/>
  <c r="I45" i="9"/>
  <c r="L45" i="9" s="1"/>
  <c r="I46" i="9"/>
  <c r="L46" i="9" s="1"/>
  <c r="I47" i="9"/>
  <c r="O47" i="9" s="1"/>
  <c r="I48" i="9"/>
  <c r="L48" i="9" s="1"/>
  <c r="O48" i="9" s="1"/>
  <c r="I49" i="9"/>
  <c r="L9" i="9" l="1"/>
  <c r="I111" i="9"/>
  <c r="I22" i="8"/>
  <c r="D12" i="3" s="1"/>
  <c r="K7" i="8"/>
  <c r="N7" i="8" s="1"/>
  <c r="L49" i="9"/>
  <c r="K22" i="8" l="1"/>
  <c r="D13" i="3" s="1"/>
  <c r="D14" i="3" s="1"/>
  <c r="N9" i="9"/>
  <c r="L114" i="9" s="1"/>
  <c r="D11" i="3" s="1"/>
  <c r="L111" i="9"/>
  <c r="L112" i="9" s="1"/>
  <c r="O49" i="9"/>
  <c r="L115" i="9" l="1"/>
  <c r="L116" i="9" s="1"/>
  <c r="L113" i="9"/>
  <c r="D10" i="3" s="1"/>
  <c r="C27" i="3"/>
  <c r="D28" i="3" l="1"/>
</calcChain>
</file>

<file path=xl/sharedStrings.xml><?xml version="1.0" encoding="utf-8"?>
<sst xmlns="http://schemas.openxmlformats.org/spreadsheetml/2006/main" count="1484" uniqueCount="427">
  <si>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</si>
  <si>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</si>
  <si>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</si>
  <si>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</si>
  <si>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</si>
  <si>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</si>
  <si>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</si>
  <si>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</si>
  <si>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</si>
  <si>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</si>
  <si>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</si>
  <si>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</si>
  <si>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</si>
  <si>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</si>
  <si>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</si>
  <si>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</si>
  <si>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</si>
  <si>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</si>
  <si>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</si>
  <si>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</si>
  <si>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</si>
  <si>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</si>
  <si>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</si>
  <si>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</si>
  <si>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</si>
  <si>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</si>
  <si>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</si>
  <si>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</si>
  <si>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</si>
  <si>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</si>
  <si>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</si>
  <si>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</si>
  <si>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</si>
  <si>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</si>
  <si>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</si>
  <si>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</si>
  <si>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</si>
  <si>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</si>
  <si>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</si>
  <si>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</si>
  <si>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</si>
  <si>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</si>
  <si>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</si>
  <si>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</si>
  <si>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</si>
  <si>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</si>
  <si>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</si>
  <si>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</si>
  <si>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</si>
  <si>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</si>
  <si>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</si>
  <si>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</si>
  <si>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</si>
  <si>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</si>
  <si>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</si>
  <si>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</si>
  <si>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</si>
  <si>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</si>
  <si>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</si>
  <si>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</si>
  <si>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</si>
  <si>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</si>
  <si>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</si>
  <si>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</si>
  <si>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</si>
  <si>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</si>
  <si>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</si>
  <si>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</si>
  <si>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</si>
  <si>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</si>
  <si>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</si>
  <si>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</si>
  <si>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</si>
  <si>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</si>
  <si>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</si>
  <si>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>Tiền mua hàng chưa thanh toán</t>
  </si>
  <si>
    <t>Lương thực lĩnh</t>
  </si>
  <si>
    <t>Ký nhận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</si>
  <si>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</si>
  <si>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</si>
  <si>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</si>
  <si>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</si>
  <si>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</si>
  <si>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</si>
  <si>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</si>
  <si>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</si>
  <si>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</si>
  <si>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</si>
  <si>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</si>
  <si>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</si>
  <si>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</si>
  <si>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</si>
  <si>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</si>
  <si>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</si>
  <si>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</si>
  <si>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</si>
  <si>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</si>
  <si>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</si>
  <si>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</si>
  <si>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</si>
  <si>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</si>
  <si>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</si>
  <si>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</si>
  <si>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</si>
  <si>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</si>
  <si>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</si>
  <si>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</si>
  <si>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</si>
  <si>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</si>
  <si>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</si>
  <si>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</si>
  <si>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</si>
  <si>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</si>
  <si>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</si>
  <si>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</si>
  <si>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</si>
  <si>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</si>
  <si>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</si>
  <si>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</si>
  <si>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</si>
  <si>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</si>
  <si>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</si>
  <si>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</si>
  <si>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</si>
  <si>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</si>
  <si>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</si>
  <si>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</si>
  <si>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</si>
  <si>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</si>
  <si>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</si>
  <si>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</si>
  <si>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</si>
  <si>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</si>
  <si>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</si>
  <si>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</si>
  <si>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</si>
  <si>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</si>
  <si>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</si>
  <si>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</si>
  <si>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</si>
  <si>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</si>
  <si>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</si>
  <si>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</si>
  <si>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</si>
  <si>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</si>
  <si>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</si>
  <si>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</si>
  <si>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</si>
  <si>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</si>
  <si>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</si>
  <si>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</si>
  <si>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</si>
  <si>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</si>
  <si>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</si>
  <si>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</si>
  <si>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</si>
  <si>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</si>
  <si>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</si>
  <si>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</si>
  <si>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</si>
  <si>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</si>
  <si>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</si>
  <si>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</si>
  <si>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</si>
  <si>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</si>
  <si>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</si>
  <si>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</si>
  <si>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</si>
  <si>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</si>
  <si>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</si>
  <si>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</si>
  <si>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</si>
  <si>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</si>
  <si>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</si>
  <si>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</si>
  <si>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</si>
  <si>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</si>
  <si>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</si>
  <si>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</si>
  <si>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</si>
  <si>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</si>
  <si>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</si>
  <si>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</si>
  <si>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</si>
  <si>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</si>
  <si>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</si>
  <si>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</si>
  <si>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</si>
  <si>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</si>
  <si>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</si>
  <si>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</si>
  <si>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</si>
  <si>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</si>
  <si>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</si>
  <si>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</si>
  <si>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</si>
  <si>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</si>
  <si>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</si>
  <si>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</si>
  <si>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</si>
  <si>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</si>
  <si>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</si>
  <si>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</si>
  <si>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</si>
  <si>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</si>
  <si>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</si>
  <si>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</si>
  <si>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</si>
  <si>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</si>
  <si>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</si>
  <si>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</si>
  <si>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</si>
  <si>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</si>
  <si>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</si>
  <si>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</si>
  <si>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</si>
  <si>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</si>
  <si>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</si>
  <si>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</si>
  <si>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</si>
  <si>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</si>
  <si>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</si>
  <si>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</si>
  <si>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</si>
  <si>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</si>
  <si>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</si>
  <si>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</si>
  <si>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</si>
  <si>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</si>
  <si>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em Hằng kế toán thanh toán tiền hàng</t>
  </si>
  <si>
    <t>Đi đường</t>
  </si>
  <si>
    <t>DĐổ xăng lên Vĩnh Yên khai trương</t>
  </si>
  <si>
    <t>Tiếp khách hôm khai trương Quỳnh trang</t>
  </si>
  <si>
    <t>Anh Tùng CTV thanh toán tiền hàng</t>
  </si>
  <si>
    <t xml:space="preserve">Tạm ứng lương </t>
  </si>
  <si>
    <t>Lương tháng 3+4 công ty còn nợ nhân viên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</si>
  <si>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</si>
  <si>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</si>
  <si>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</si>
  <si>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</si>
  <si>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</si>
  <si>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</si>
  <si>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</si>
  <si>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</si>
  <si>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</si>
  <si>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</si>
  <si>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</si>
  <si>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</si>
  <si>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</si>
  <si>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Đến ngày 21/05/2020</t>
  </si>
  <si>
    <t>Tiền lương tháng 3+4+5 (hết 21/5)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</si>
  <si>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</si>
  <si>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</si>
  <si>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</si>
  <si>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</si>
  <si>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</si>
  <si>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</si>
  <si>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</si>
  <si>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</si>
  <si>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</si>
  <si>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</si>
  <si>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</si>
  <si>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</si>
  <si>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</si>
  <si>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</si>
  <si>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</si>
  <si>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</si>
  <si>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</si>
  <si>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</si>
  <si>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</si>
  <si>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</si>
  <si>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</si>
  <si>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</si>
  <si>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</si>
  <si>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</si>
  <si>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</si>
  <si>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</si>
  <si>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</si>
  <si>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</si>
  <si>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</si>
  <si>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</si>
  <si>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</si>
  <si>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</si>
  <si>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</si>
  <si>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</si>
  <si>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</si>
  <si>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</si>
  <si>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</si>
  <si>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</si>
  <si>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</si>
  <si>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</si>
  <si>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</si>
  <si>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</si>
  <si>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</si>
  <si>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</si>
  <si>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</si>
  <si>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</si>
  <si>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</si>
  <si>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</si>
  <si>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</si>
  <si>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</si>
  <si>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</si>
  <si>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</si>
  <si>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A Lâm</t>
  </si>
  <si>
    <t>Biển bảng NPP Trương tuyết</t>
  </si>
  <si>
    <t>Kệ NPP trương tuyết</t>
  </si>
  <si>
    <t>Chi phí vận chuyển trương tuyết x 2</t>
  </si>
  <si>
    <t>Trương tuyết trả tiền hàng (trừ vào kệ, biển bảng, vc)</t>
  </si>
  <si>
    <t>Hỗ trợ</t>
  </si>
  <si>
    <t>Khách lẻ</t>
  </si>
  <si>
    <t>Nhập hàng 74 thùng</t>
  </si>
  <si>
    <t>Tình thu thanh toán tiền hàng</t>
  </si>
  <si>
    <t>Quỳnh trang</t>
  </si>
  <si>
    <t>Chị Thực Vĩnh Phúc (Anh Lâm)</t>
  </si>
  <si>
    <t>Chị Huệ ĐB</t>
  </si>
  <si>
    <t>Chị Hằng bệnh viện K3 (Anh Lâm)</t>
  </si>
  <si>
    <t>Triệu sơn  thanh toán tiền hàng mất</t>
  </si>
  <si>
    <t>Văn sơn thanh toán tiền hàng mất</t>
  </si>
  <si>
    <t>Chị Hà la khê thanh toán tiền hàng (AL)</t>
  </si>
  <si>
    <t>Chị Thanh thanh toán tiền hàng</t>
  </si>
  <si>
    <t>Khách lẻ anh lâm</t>
  </si>
  <si>
    <t>Chị phương yên châu thanh toán tiền hàng</t>
  </si>
  <si>
    <t>Hằng Kế toán thanh toán tiền hàng</t>
  </si>
  <si>
    <t>PT/PC</t>
  </si>
  <si>
    <t>Hằng thanh toán tiền hàng đại lý Quỳnh Trang</t>
  </si>
  <si>
    <t>tiền hàngQuỳnh Trang (đối trừ CP xăng vĩnh yên và tiếp khách KT)</t>
  </si>
  <si>
    <t>Tâm thanh toán tiền hàng đại lý Quỳnh Trang</t>
  </si>
  <si>
    <t>PT00051</t>
  </si>
  <si>
    <t>PT00052</t>
  </si>
  <si>
    <t>PT00053</t>
  </si>
  <si>
    <t>PT00054</t>
  </si>
  <si>
    <t>PT00055</t>
  </si>
  <si>
    <t>PT00056</t>
  </si>
  <si>
    <t>PT00057</t>
  </si>
  <si>
    <t>PT00058</t>
  </si>
  <si>
    <t>PT00059</t>
  </si>
  <si>
    <t>PT00060</t>
  </si>
  <si>
    <t>PT00061</t>
  </si>
  <si>
    <t>PT00062</t>
  </si>
  <si>
    <t>PT00063</t>
  </si>
  <si>
    <t>PT00064</t>
  </si>
  <si>
    <t>PT00065</t>
  </si>
  <si>
    <t>PT00066</t>
  </si>
  <si>
    <t>PT00067</t>
  </si>
  <si>
    <t>PT00068</t>
  </si>
  <si>
    <t>PT00069</t>
  </si>
  <si>
    <t>PT00070</t>
  </si>
  <si>
    <t>PT00071</t>
  </si>
  <si>
    <t>PT00072</t>
  </si>
  <si>
    <t>PT00073</t>
  </si>
  <si>
    <t>PT00074</t>
  </si>
  <si>
    <t>PT00075</t>
  </si>
  <si>
    <t>PT00076</t>
  </si>
  <si>
    <t>PT00077</t>
  </si>
  <si>
    <t>PT00078</t>
  </si>
  <si>
    <t>(6) trả 37 hộp soy chiết khấu 35%</t>
  </si>
  <si>
    <t>(7) Công ty nợ Anh Triệu Sơn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</si>
  <si>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(1)+(2)-(3)-(4)-(5)-(6)-(7)</t>
    </r>
  </si>
  <si>
    <t>Thu tiền hàng em mến HFC - hàng em mến trả</t>
  </si>
  <si>
    <t>PT00079</t>
  </si>
  <si>
    <t>PC00055</t>
  </si>
  <si>
    <t>PC00056</t>
  </si>
  <si>
    <t>PC00057</t>
  </si>
  <si>
    <t>PC00058</t>
  </si>
  <si>
    <t>PC00059</t>
  </si>
  <si>
    <t>PC00060</t>
  </si>
  <si>
    <t>PC00061</t>
  </si>
  <si>
    <t>PC00062</t>
  </si>
  <si>
    <t>PC00063</t>
  </si>
  <si>
    <t>PC00064</t>
  </si>
  <si>
    <t>PC00065</t>
  </si>
  <si>
    <t>PC00066</t>
  </si>
  <si>
    <t>PC00067</t>
  </si>
  <si>
    <t>PC00068</t>
  </si>
  <si>
    <t>PC00069</t>
  </si>
  <si>
    <t>PC00070</t>
  </si>
  <si>
    <t>PC00071</t>
  </si>
  <si>
    <t>PC00072</t>
  </si>
  <si>
    <t>PC00073</t>
  </si>
  <si>
    <t>PC00074</t>
  </si>
  <si>
    <t>PC00075</t>
  </si>
  <si>
    <t>PC00076</t>
  </si>
  <si>
    <t>PC00077</t>
  </si>
  <si>
    <t>PC00078</t>
  </si>
  <si>
    <t>PC00079</t>
  </si>
  <si>
    <t>PC00080</t>
  </si>
  <si>
    <t>PC00081</t>
  </si>
  <si>
    <t>PC00082</t>
  </si>
  <si>
    <t>Vay</t>
  </si>
  <si>
    <t>Sau chiết khấu</t>
  </si>
  <si>
    <t>Doanh số Hàng khách trả</t>
  </si>
  <si>
    <t>Đã tính vào công nợ và đã thanh toán</t>
  </si>
  <si>
    <t>Bổ sung phiếu thu tháng 8</t>
  </si>
  <si>
    <t xml:space="preserve"> Số:TS-NNM052020./PKT. MST: 0108806878</t>
  </si>
  <si>
    <t xml:space="preserve"> Số:BCC052020/PKT. MST: 0108806878</t>
  </si>
  <si>
    <t>Người lập biểu</t>
  </si>
  <si>
    <t xml:space="preserve">Giám đốc </t>
  </si>
  <si>
    <t>(Ký, ghi rõ họ tên)</t>
  </si>
  <si>
    <t xml:space="preserve"> Số:052020.BL/PKT. MST: 0108806878</t>
  </si>
  <si>
    <t>THÁNG 5/2020</t>
  </si>
  <si>
    <t>Tổng tiền lương thực tế tính theo ngày công (A)</t>
  </si>
  <si>
    <t>A=(LC*26)/NC</t>
  </si>
  <si>
    <t>B= A*30%</t>
  </si>
  <si>
    <t xml:space="preserve"> Số:T-NNM052020./PKD. MST: 0108806878</t>
  </si>
  <si>
    <t>em Hằng kế toán thanh toán tiền hàng 1145</t>
  </si>
  <si>
    <t>Chị Thực Vĩnh Phúc (Anh Lâm) 466</t>
  </si>
  <si>
    <t>Chị Huệ ĐB 468</t>
  </si>
  <si>
    <t>Chị Hằng bệnh viện K3 (Anh Lâm) 469</t>
  </si>
  <si>
    <t>Chị Huệ ĐB 470</t>
  </si>
  <si>
    <t>Tâm thanh toán tiền hàng đại lý Quỳnh Trang 784</t>
  </si>
  <si>
    <t>Hằng thanh toán tiền hàng đại lý Quỳnh Trang 784</t>
  </si>
  <si>
    <t>Dung Phi thanh toán tiền hàng 515</t>
  </si>
  <si>
    <t>Triệu sơn  thanh toán tiền hàng mất 517</t>
  </si>
  <si>
    <t>Văn sơn thanh toán tiền hàng mất 517</t>
  </si>
  <si>
    <t>Chị Hà la khê thanh toán tiền hàng (AL) 518</t>
  </si>
  <si>
    <t>Chị Thanh thanh toán tiền hàng 525</t>
  </si>
  <si>
    <t>Khách lẻ anh lâm 542</t>
  </si>
  <si>
    <t>Chị phương yên châu thanh toán tiền hàng 528</t>
  </si>
  <si>
    <t>Tâm Thanh toán tiền hàng 527</t>
  </si>
  <si>
    <t>Chị Huệ ĐB 530</t>
  </si>
  <si>
    <t>Anh Tùng CTV thanh toán tiền hàng 535</t>
  </si>
  <si>
    <t>Chị hảo linh đàm chuyển tiền hàng 536</t>
  </si>
  <si>
    <t>Hằng Kế toán thanh toán tiền hàng 537</t>
  </si>
  <si>
    <t>Chị Sáu thanh toán công nợ 1150+1149</t>
  </si>
  <si>
    <t>Chị Nguyệt thanh toán tiền hàng 541</t>
  </si>
  <si>
    <t>Thu tiền hàng em mến HFC - hàng em mến trả 549</t>
  </si>
  <si>
    <t>Tình thu thanh toán tiền hàng 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</si>
</sst>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i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7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3" fillId="3" borderId="1" xfId="0" applyNumberFormat="1" applyFont="1" applyFill="1" applyBorder="1" applyAlignment="1">
      <alignment horizontal="center" vertical="center"/>
    </xf>
    <xf numFmtId="165" fontId="33" fillId="3" borderId="1" xfId="3" applyNumberFormat="1" applyFont="1" applyFill="1" applyBorder="1" applyAlignment="1">
      <alignment horizontal="right" vertical="center"/>
    </xf>
    <xf numFmtId="165" fontId="33" fillId="3" borderId="1" xfId="0" applyNumberFormat="1" applyFont="1" applyFill="1" applyBorder="1" applyAlignment="1">
      <alignment horizontal="right" vertical="center"/>
    </xf>
    <xf numFmtId="0" fontId="33" fillId="3" borderId="1" xfId="0" applyFont="1" applyFill="1" applyBorder="1" applyAlignment="1">
      <alignment horizontal="right" vertical="center"/>
    </xf>
    <xf numFmtId="167" fontId="33" fillId="3" borderId="1" xfId="0" applyNumberFormat="1" applyFont="1" applyFill="1" applyBorder="1" applyAlignment="1">
      <alignment horizontal="right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1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 wrapText="1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39" fillId="4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39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39" fillId="3" borderId="6" xfId="0" applyFont="1" applyFill="1" applyBorder="1" applyAlignment="1">
      <alignment vertical="center"/>
    </xf>
    <xf numFmtId="0" fontId="39" fillId="4" borderId="6" xfId="0" applyFont="1" applyFill="1" applyBorder="1" applyAlignment="1">
      <alignment vertical="center"/>
    </xf>
    <xf numFmtId="169" fontId="39" fillId="0" borderId="8" xfId="0" applyNumberFormat="1" applyFont="1" applyBorder="1" applyAlignment="1">
      <alignment horizontal="center" vertical="center" wrapText="1" shrinkToFit="1"/>
    </xf>
    <xf numFmtId="169" fontId="39" fillId="0" borderId="1" xfId="3" applyNumberFormat="1" applyFont="1" applyFill="1" applyBorder="1" applyAlignment="1">
      <alignment vertical="center" shrinkToFit="1"/>
    </xf>
    <xf numFmtId="9" fontId="28" fillId="0" borderId="11" xfId="2" applyFont="1" applyBorder="1" applyAlignment="1">
      <alignment horizontal="center" vertical="center"/>
    </xf>
    <xf numFmtId="0" fontId="3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3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 wrapText="1"/>
    </xf>
    <xf numFmtId="167" fontId="9" fillId="0" borderId="0" xfId="0" applyNumberFormat="1" applyFont="1" applyAlignment="1">
      <alignment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46" fillId="3" borderId="0" xfId="0" applyFont="1" applyFill="1" applyAlignment="1">
      <alignment horizontal="center" vertical="center"/>
    </xf>
    <xf numFmtId="167" fontId="46" fillId="3" borderId="0" xfId="1" applyNumberFormat="1" applyFont="1" applyFill="1" applyAlignment="1">
      <alignment horizontal="right" vertical="center"/>
    </xf>
    <xf numFmtId="9" fontId="46" fillId="3" borderId="0" xfId="2" applyFont="1" applyFill="1" applyAlignment="1">
      <alignment horizontal="right" vertical="center"/>
    </xf>
    <xf numFmtId="167" fontId="33" fillId="3" borderId="0" xfId="1" applyNumberFormat="1" applyFont="1" applyFill="1" applyAlignment="1">
      <alignment horizontal="right" vertical="center"/>
    </xf>
    <xf numFmtId="167" fontId="47" fillId="3" borderId="0" xfId="1" applyNumberFormat="1" applyFont="1" applyFill="1" applyAlignment="1">
      <alignment horizontal="right" vertical="center"/>
    </xf>
    <xf numFmtId="9" fontId="33" fillId="3" borderId="10" xfId="2" applyFont="1" applyFill="1" applyBorder="1" applyAlignment="1">
      <alignment horizontal="right" vertical="center" wrapText="1"/>
    </xf>
    <xf numFmtId="0" fontId="47" fillId="3" borderId="0" xfId="0" applyFont="1" applyFill="1" applyAlignment="1">
      <alignment horizontal="left" vertical="center"/>
    </xf>
    <xf numFmtId="166" fontId="47" fillId="3" borderId="0" xfId="0" applyNumberFormat="1" applyFont="1" applyFill="1" applyAlignment="1">
      <alignment horizontal="left" vertical="center"/>
    </xf>
    <xf numFmtId="169" fontId="39" fillId="3" borderId="1" xfId="3" applyNumberFormat="1" applyFont="1" applyFill="1" applyBorder="1" applyAlignment="1">
      <alignment horizontal="center" vertical="center"/>
    </xf>
    <xf numFmtId="169" fontId="37" fillId="0" borderId="1" xfId="3" applyNumberFormat="1" applyFont="1" applyFill="1" applyBorder="1" applyAlignment="1">
      <alignment horizontal="center" vertical="center" shrinkToFit="1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2" fillId="3" borderId="6" xfId="0" applyFont="1" applyFill="1" applyBorder="1" applyAlignment="1">
      <alignment vertical="center"/>
    </xf>
    <xf numFmtId="0" fontId="43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14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/>
    <xf numFmtId="0" fontId="25" fillId="0" borderId="2" xfId="0" applyFont="1" applyFill="1" applyBorder="1" applyAlignment="1">
      <alignment horizontal="left" vertical="center"/>
    </xf>
    <xf numFmtId="167" fontId="0" fillId="0" borderId="0" xfId="0" applyNumberFormat="1"/>
    <xf numFmtId="167" fontId="3" fillId="0" borderId="12" xfId="1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0" fontId="19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167" fontId="17" fillId="0" borderId="13" xfId="1" applyNumberFormat="1" applyFont="1" applyBorder="1" applyAlignment="1">
      <alignment horizontal="right" vertical="center"/>
    </xf>
    <xf numFmtId="167" fontId="17" fillId="0" borderId="13" xfId="1" applyNumberFormat="1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left" vertical="center"/>
    </xf>
    <xf numFmtId="167" fontId="16" fillId="0" borderId="1" xfId="1" applyNumberFormat="1" applyFont="1" applyBorder="1" applyAlignment="1">
      <alignment horizontal="right" vertical="center"/>
    </xf>
    <xf numFmtId="167" fontId="16" fillId="0" borderId="1" xfId="1" applyNumberFormat="1" applyFont="1" applyBorder="1" applyAlignment="1">
      <alignment horizontal="left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0" fontId="33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46" fillId="3" borderId="10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4" fontId="23" fillId="0" borderId="1" xfId="0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4" fontId="23" fillId="0" borderId="1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167" fontId="33" fillId="3" borderId="13" xfId="1" applyNumberFormat="1" applyFont="1" applyFill="1" applyBorder="1" applyAlignment="1">
      <alignment horizontal="right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9" fontId="33" fillId="3" borderId="1" xfId="2" applyFont="1" applyFill="1" applyBorder="1" applyAlignment="1">
      <alignment horizontal="right" vertical="center" wrapText="1"/>
    </xf>
    <xf numFmtId="0" fontId="33" fillId="3" borderId="0" xfId="0" applyFont="1" applyFill="1" applyAlignment="1">
      <alignment horizontal="left" vertical="center"/>
    </xf>
    <xf numFmtId="0" fontId="33" fillId="3" borderId="0" xfId="0" applyFont="1" applyFill="1" applyAlignment="1">
      <alignment horizontal="center" vertical="center"/>
    </xf>
    <xf numFmtId="9" fontId="33" fillId="3" borderId="0" xfId="2" applyFont="1" applyFill="1" applyAlignment="1">
      <alignment horizontal="center" vertical="center"/>
    </xf>
    <xf numFmtId="166" fontId="33" fillId="3" borderId="10" xfId="0" applyNumberFormat="1" applyFont="1" applyFill="1" applyBorder="1" applyAlignment="1">
      <alignment horizontal="center" vertical="center" wrapText="1"/>
    </xf>
    <xf numFmtId="166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167" fontId="33" fillId="3" borderId="1" xfId="1" applyNumberFormat="1" applyFont="1" applyFill="1" applyBorder="1" applyAlignment="1">
      <alignment horizontal="right" vertical="center"/>
    </xf>
    <xf numFmtId="0" fontId="46" fillId="3" borderId="10" xfId="0" applyFont="1" applyFill="1" applyBorder="1" applyAlignment="1">
      <alignment horizontal="center" vertical="center"/>
    </xf>
    <xf numFmtId="0" fontId="46" fillId="3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67" fontId="40" fillId="0" borderId="0" xfId="0" applyNumberFormat="1" applyFont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1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166" fontId="31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 wrapText="1"/>
    </xf>
    <xf numFmtId="167" fontId="31" fillId="3" borderId="1" xfId="1" applyNumberFormat="1" applyFont="1" applyFill="1" applyBorder="1" applyAlignment="1">
      <alignment horizontal="right" vertical="center"/>
    </xf>
    <xf numFmtId="9" fontId="31" fillId="3" borderId="1" xfId="2" applyFont="1" applyFill="1" applyBorder="1" applyAlignment="1">
      <alignment horizontal="right" vertical="center" wrapText="1"/>
    </xf>
    <xf numFmtId="166" fontId="28" fillId="0" borderId="2" xfId="0" quotePrefix="1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167" fontId="31" fillId="3" borderId="17" xfId="1" applyNumberFormat="1" applyFont="1" applyFill="1" applyBorder="1" applyAlignment="1">
      <alignment horizontal="center" vertical="center" wrapText="1"/>
    </xf>
    <xf numFmtId="167" fontId="31" fillId="3" borderId="16" xfId="1" applyNumberFormat="1" applyFont="1" applyFill="1" applyBorder="1" applyAlignment="1">
      <alignment horizontal="center" vertical="center" wrapText="1"/>
    </xf>
    <xf numFmtId="167" fontId="31" fillId="3" borderId="14" xfId="1" applyNumberFormat="1" applyFont="1" applyFill="1" applyBorder="1" applyAlignment="1">
      <alignment horizontal="center" vertical="center" wrapText="1"/>
    </xf>
    <xf numFmtId="167" fontId="31" fillId="3" borderId="1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0" borderId="6" xfId="0" applyFont="1" applyBorder="1" applyAlignment="1">
      <alignment horizontal="center" vertical="center" shrinkToFit="1"/>
    </xf>
    <xf numFmtId="0" fontId="37" fillId="0" borderId="8" xfId="0" applyFont="1" applyBorder="1" applyAlignment="1">
      <alignment horizontal="center" vertical="center" shrinkToFit="1"/>
    </xf>
    <xf numFmtId="0" fontId="36" fillId="3" borderId="0" xfId="0" applyFont="1" applyFill="1" applyAlignment="1">
      <alignment horizontal="center" vertical="center"/>
    </xf>
    <xf numFmtId="0" fontId="37" fillId="3" borderId="10" xfId="0" applyFont="1" applyFill="1" applyBorder="1" applyAlignment="1">
      <alignment horizontal="center" vertical="center" wrapText="1"/>
    </xf>
    <xf numFmtId="0" fontId="37" fillId="3" borderId="13" xfId="0" applyFont="1" applyFill="1" applyBorder="1" applyAlignment="1">
      <alignment horizontal="center" vertical="center" wrapText="1"/>
    </xf>
    <xf numFmtId="0" fontId="37" fillId="3" borderId="11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166" fontId="46" fillId="3" borderId="4" xfId="0" applyNumberFormat="1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167" fontId="46" fillId="3" borderId="4" xfId="1" applyNumberFormat="1" applyFont="1" applyFill="1" applyBorder="1" applyAlignment="1">
      <alignment horizontal="right" vertical="center"/>
    </xf>
    <xf numFmtId="9" fontId="46" fillId="3" borderId="4" xfId="2" applyFont="1" applyFill="1" applyBorder="1" applyAlignment="1">
      <alignment horizontal="right" vertical="center"/>
    </xf>
    <xf numFmtId="0" fontId="46" fillId="3" borderId="2" xfId="0" applyFont="1" applyFill="1" applyBorder="1" applyAlignment="1">
      <alignment horizontal="center" vertical="center"/>
    </xf>
    <xf numFmtId="166" fontId="46" fillId="3" borderId="2" xfId="0" applyNumberFormat="1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167" fontId="46" fillId="3" borderId="2" xfId="1" applyNumberFormat="1" applyFont="1" applyFill="1" applyBorder="1" applyAlignment="1">
      <alignment horizontal="right" vertical="center"/>
    </xf>
    <xf numFmtId="9" fontId="46" fillId="3" borderId="2" xfId="2" applyFont="1" applyFill="1" applyBorder="1" applyAlignment="1">
      <alignment horizontal="right" vertical="center"/>
    </xf>
    <xf numFmtId="0" fontId="46" fillId="3" borderId="5" xfId="0" applyFont="1" applyFill="1" applyBorder="1" applyAlignment="1">
      <alignment horizontal="center" vertical="center"/>
    </xf>
    <xf numFmtId="166" fontId="46" fillId="3" borderId="5" xfId="0" applyNumberFormat="1" applyFont="1" applyFill="1" applyBorder="1" applyAlignment="1">
      <alignment horizontal="center" vertical="center"/>
    </xf>
    <xf numFmtId="0" fontId="46" fillId="3" borderId="5" xfId="0" applyFont="1" applyFill="1" applyBorder="1" applyAlignment="1">
      <alignment horizontal="center" vertical="center"/>
    </xf>
    <xf numFmtId="167" fontId="46" fillId="3" borderId="5" xfId="1" applyNumberFormat="1" applyFont="1" applyFill="1" applyBorder="1" applyAlignment="1">
      <alignment horizontal="right" vertical="center"/>
    </xf>
    <xf numFmtId="9" fontId="46" fillId="3" borderId="5" xfId="2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center" vertical="center"/>
    </xf>
    <xf numFmtId="166" fontId="46" fillId="3" borderId="1" xfId="0" applyNumberFormat="1" applyFont="1" applyFill="1" applyBorder="1" applyAlignment="1">
      <alignment horizontal="center" vertical="center"/>
    </xf>
    <xf numFmtId="167" fontId="46" fillId="3" borderId="1" xfId="1" applyNumberFormat="1" applyFont="1" applyFill="1" applyBorder="1" applyAlignment="1">
      <alignment horizontal="right" vertical="center"/>
    </xf>
    <xf numFmtId="9" fontId="46" fillId="3" borderId="1" xfId="2" applyFont="1" applyFill="1" applyBorder="1" applyAlignment="1">
      <alignment horizontal="right" vertical="center"/>
    </xf>
    <xf numFmtId="166" fontId="46" fillId="3" borderId="10" xfId="0" applyNumberFormat="1" applyFont="1" applyFill="1" applyBorder="1" applyAlignment="1">
      <alignment horizontal="center" vertical="center"/>
    </xf>
    <xf numFmtId="167" fontId="46" fillId="3" borderId="10" xfId="1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center" vertical="center" wrapText="1"/>
    </xf>
    <xf numFmtId="0" fontId="46" fillId="3" borderId="4" xfId="0" applyFont="1" applyFill="1" applyBorder="1" applyAlignment="1">
      <alignment horizontal="center" vertical="center" wrapText="1"/>
    </xf>
    <xf numFmtId="0" fontId="46" fillId="3" borderId="4" xfId="0" applyFont="1" applyFill="1" applyBorder="1" applyAlignment="1">
      <alignment horizontal="right" vertical="center"/>
    </xf>
    <xf numFmtId="0" fontId="46" fillId="3" borderId="4" xfId="0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right" vertical="center"/>
    </xf>
    <xf numFmtId="0" fontId="46" fillId="3" borderId="2" xfId="0" applyFont="1" applyFill="1" applyBorder="1" applyAlignment="1">
      <alignment horizontal="center" vertical="center" wrapText="1"/>
    </xf>
    <xf numFmtId="0" fontId="46" fillId="3" borderId="5" xfId="0" applyFont="1" applyFill="1" applyBorder="1" applyAlignment="1">
      <alignment horizontal="center" vertical="center" wrapText="1"/>
    </xf>
    <xf numFmtId="0" fontId="46" fillId="3" borderId="5" xfId="0" applyFont="1" applyFill="1" applyBorder="1" applyAlignment="1">
      <alignment horizontal="right" vertical="center"/>
    </xf>
    <xf numFmtId="0" fontId="46" fillId="3" borderId="5" xfId="0" applyFont="1" applyFill="1" applyBorder="1" applyAlignment="1">
      <alignment horizontal="center" vertical="center" wrapText="1"/>
    </xf>
    <xf numFmtId="167" fontId="46" fillId="3" borderId="4" xfId="1" applyNumberFormat="1" applyFont="1" applyFill="1" applyBorder="1" applyAlignment="1">
      <alignment horizontal="right" vertical="center" wrapText="1"/>
    </xf>
    <xf numFmtId="167" fontId="46" fillId="3" borderId="2" xfId="1" applyNumberFormat="1" applyFont="1" applyFill="1" applyBorder="1" applyAlignment="1">
      <alignment horizontal="right" vertical="center" wrapText="1"/>
    </xf>
    <xf numFmtId="167" fontId="46" fillId="3" borderId="5" xfId="1" applyNumberFormat="1" applyFont="1" applyFill="1" applyBorder="1" applyAlignment="1">
      <alignment horizontal="right" vertical="center" wrapText="1"/>
    </xf>
    <xf numFmtId="0" fontId="46" fillId="3" borderId="11" xfId="0" applyFont="1" applyFill="1" applyBorder="1" applyAlignment="1">
      <alignment horizontal="center" vertical="center"/>
    </xf>
    <xf numFmtId="166" fontId="46" fillId="3" borderId="11" xfId="0" applyNumberFormat="1" applyFont="1" applyFill="1" applyBorder="1" applyAlignment="1">
      <alignment horizontal="center" vertical="center"/>
    </xf>
    <xf numFmtId="0" fontId="46" fillId="3" borderId="11" xfId="0" applyFont="1" applyFill="1" applyBorder="1" applyAlignment="1">
      <alignment horizontal="center" vertical="center" wrapText="1"/>
    </xf>
    <xf numFmtId="167" fontId="46" fillId="3" borderId="11" xfId="1" applyNumberFormat="1" applyFont="1" applyFill="1" applyBorder="1" applyAlignment="1">
      <alignment horizontal="right" vertical="center" wrapText="1"/>
    </xf>
    <xf numFmtId="166" fontId="46" fillId="3" borderId="4" xfId="0" quotePrefix="1" applyNumberFormat="1" applyFont="1" applyFill="1" applyBorder="1" applyAlignment="1">
      <alignment horizontal="center" vertical="center"/>
    </xf>
    <xf numFmtId="166" fontId="46" fillId="3" borderId="1" xfId="0" quotePrefix="1" applyNumberFormat="1" applyFont="1" applyFill="1" applyBorder="1" applyAlignment="1">
      <alignment horizontal="center" vertical="center"/>
    </xf>
    <xf numFmtId="166" fontId="46" fillId="3" borderId="10" xfId="0" quotePrefix="1" applyNumberFormat="1" applyFont="1" applyFill="1" applyBorder="1" applyAlignment="1">
      <alignment horizontal="center" vertical="center"/>
    </xf>
    <xf numFmtId="166" fontId="46" fillId="3" borderId="5" xfId="0" quotePrefix="1" applyNumberFormat="1" applyFont="1" applyFill="1" applyBorder="1" applyAlignment="1">
      <alignment horizontal="center" vertical="center"/>
    </xf>
    <xf numFmtId="166" fontId="46" fillId="3" borderId="2" xfId="0" quotePrefix="1" applyNumberFormat="1" applyFont="1" applyFill="1" applyBorder="1" applyAlignment="1">
      <alignment horizontal="center" vertical="center"/>
    </xf>
    <xf numFmtId="167" fontId="46" fillId="3" borderId="4" xfId="1" applyNumberFormat="1" applyFont="1" applyFill="1" applyBorder="1" applyAlignment="1">
      <alignment horizontal="right" vertical="center"/>
    </xf>
    <xf numFmtId="167" fontId="46" fillId="3" borderId="2" xfId="1" applyNumberFormat="1" applyFont="1" applyFill="1" applyBorder="1" applyAlignment="1">
      <alignment horizontal="right" vertical="center"/>
    </xf>
    <xf numFmtId="167" fontId="46" fillId="3" borderId="5" xfId="1" applyNumberFormat="1" applyFont="1" applyFill="1" applyBorder="1" applyAlignment="1">
      <alignment horizontal="right" vertical="center"/>
    </xf>
    <xf numFmtId="166" fontId="46" fillId="3" borderId="11" xfId="0" quotePrefix="1" applyNumberFormat="1" applyFont="1" applyFill="1" applyBorder="1" applyAlignment="1">
      <alignment horizontal="center" vertical="center"/>
    </xf>
    <xf numFmtId="167" fontId="46" fillId="3" borderId="11" xfId="1" applyNumberFormat="1" applyFont="1" applyFill="1" applyBorder="1" applyAlignment="1">
      <alignment horizontal="right" vertical="center"/>
    </xf>
    <xf numFmtId="167" fontId="46" fillId="3" borderId="4" xfId="1" applyNumberFormat="1" applyFont="1" applyFill="1" applyBorder="1" applyAlignment="1">
      <alignment horizontal="center" vertical="center"/>
    </xf>
    <xf numFmtId="9" fontId="46" fillId="3" borderId="4" xfId="2" applyFont="1" applyFill="1" applyBorder="1" applyAlignment="1">
      <alignment horizontal="center" vertical="center"/>
    </xf>
    <xf numFmtId="167" fontId="46" fillId="3" borderId="2" xfId="1" applyNumberFormat="1" applyFont="1" applyFill="1" applyBorder="1" applyAlignment="1">
      <alignment horizontal="center" vertical="center"/>
    </xf>
    <xf numFmtId="9" fontId="46" fillId="3" borderId="2" xfId="2" applyFont="1" applyFill="1" applyBorder="1" applyAlignment="1">
      <alignment horizontal="center" vertical="center"/>
    </xf>
    <xf numFmtId="167" fontId="46" fillId="3" borderId="5" xfId="1" applyNumberFormat="1" applyFont="1" applyFill="1" applyBorder="1" applyAlignment="1">
      <alignment horizontal="center" vertical="center"/>
    </xf>
    <xf numFmtId="9" fontId="46" fillId="3" borderId="5" xfId="2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166" fontId="46" fillId="3" borderId="0" xfId="0" applyNumberFormat="1" applyFont="1" applyFill="1" applyAlignment="1">
      <alignment horizontal="center" vertical="center"/>
    </xf>
    <xf numFmtId="0" fontId="33" fillId="3" borderId="0" xfId="0" applyFont="1" applyFill="1" applyAlignment="1">
      <alignment horizontal="right" vertical="center"/>
    </xf>
    <xf numFmtId="0" fontId="46" fillId="3" borderId="0" xfId="0" applyFont="1" applyFill="1" applyAlignment="1">
      <alignment horizontal="right" vertical="center"/>
    </xf>
    <xf numFmtId="0" fontId="47" fillId="3" borderId="0" xfId="0" applyFont="1" applyFill="1" applyAlignment="1">
      <alignment horizontal="center" vertical="center"/>
    </xf>
    <xf numFmtId="0" fontId="47" fillId="3" borderId="0" xfId="0" applyFont="1" applyFill="1" applyAlignment="1">
      <alignment horizontal="right" vertical="center"/>
    </xf>
    <xf numFmtId="167" fontId="46" fillId="3" borderId="0" xfId="1" applyNumberFormat="1" applyFont="1" applyFill="1" applyAlignment="1">
      <alignment horizontal="center" vertical="center"/>
    </xf>
    <xf numFmtId="165" fontId="33" fillId="3" borderId="0" xfId="1" applyNumberFormat="1" applyFont="1" applyFill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24" fillId="3" borderId="0" xfId="0" applyFont="1" applyFill="1" applyAlignment="1">
      <alignment horizontal="left" vertical="center"/>
    </xf>
    <xf numFmtId="0" fontId="44" fillId="3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9" fontId="45" fillId="3" borderId="0" xfId="2" applyFont="1" applyFill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66" fontId="25" fillId="3" borderId="1" xfId="0" applyNumberFormat="1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165" fontId="25" fillId="3" borderId="1" xfId="1" applyNumberFormat="1" applyFont="1" applyFill="1" applyBorder="1" applyAlignment="1">
      <alignment vertical="center"/>
    </xf>
    <xf numFmtId="9" fontId="25" fillId="3" borderId="1" xfId="2" applyFont="1" applyFill="1" applyBorder="1" applyAlignment="1">
      <alignment vertical="center"/>
    </xf>
    <xf numFmtId="167" fontId="25" fillId="3" borderId="1" xfId="1" applyNumberFormat="1" applyFont="1" applyFill="1" applyBorder="1" applyAlignment="1">
      <alignment vertical="center"/>
    </xf>
    <xf numFmtId="167" fontId="25" fillId="3" borderId="1" xfId="0" applyNumberFormat="1" applyFont="1" applyFill="1" applyBorder="1" applyAlignment="1">
      <alignment vertical="center"/>
    </xf>
    <xf numFmtId="0" fontId="25" fillId="3" borderId="1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horizontal="center" vertical="center"/>
    </xf>
    <xf numFmtId="166" fontId="25" fillId="3" borderId="4" xfId="0" applyNumberFormat="1" applyFont="1" applyFill="1" applyBorder="1" applyAlignment="1">
      <alignment vertical="center"/>
    </xf>
    <xf numFmtId="166" fontId="25" fillId="3" borderId="10" xfId="0" applyNumberFormat="1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vertical="center"/>
    </xf>
    <xf numFmtId="0" fontId="25" fillId="3" borderId="4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vertical="center"/>
    </xf>
    <xf numFmtId="165" fontId="25" fillId="3" borderId="4" xfId="1" applyNumberFormat="1" applyFont="1" applyFill="1" applyBorder="1" applyAlignment="1">
      <alignment vertical="center"/>
    </xf>
    <xf numFmtId="9" fontId="25" fillId="3" borderId="4" xfId="2" applyFont="1" applyFill="1" applyBorder="1" applyAlignment="1">
      <alignment vertical="center"/>
    </xf>
    <xf numFmtId="167" fontId="25" fillId="3" borderId="4" xfId="1" applyNumberFormat="1" applyFont="1" applyFill="1" applyBorder="1" applyAlignment="1">
      <alignment vertical="center"/>
    </xf>
    <xf numFmtId="167" fontId="25" fillId="3" borderId="4" xfId="0" applyNumberFormat="1" applyFont="1" applyFill="1" applyBorder="1" applyAlignment="1">
      <alignment vertical="center"/>
    </xf>
    <xf numFmtId="0" fontId="25" fillId="3" borderId="10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vertical="center"/>
    </xf>
    <xf numFmtId="166" fontId="25" fillId="3" borderId="13" xfId="0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vertical="center"/>
    </xf>
    <xf numFmtId="0" fontId="25" fillId="3" borderId="2" xfId="0" applyFont="1" applyFill="1" applyBorder="1" applyAlignment="1">
      <alignment vertical="center" wrapText="1"/>
    </xf>
    <xf numFmtId="0" fontId="25" fillId="3" borderId="2" xfId="0" applyFont="1" applyFill="1" applyBorder="1" applyAlignment="1">
      <alignment vertical="center"/>
    </xf>
    <xf numFmtId="165" fontId="25" fillId="3" borderId="2" xfId="1" applyNumberFormat="1" applyFont="1" applyFill="1" applyBorder="1" applyAlignment="1">
      <alignment vertical="center"/>
    </xf>
    <xf numFmtId="9" fontId="25" fillId="3" borderId="2" xfId="2" applyFont="1" applyFill="1" applyBorder="1" applyAlignment="1">
      <alignment vertical="center"/>
    </xf>
    <xf numFmtId="167" fontId="25" fillId="3" borderId="2" xfId="1" applyNumberFormat="1" applyFont="1" applyFill="1" applyBorder="1" applyAlignment="1">
      <alignment vertical="center"/>
    </xf>
    <xf numFmtId="0" fontId="25" fillId="3" borderId="13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/>
    </xf>
    <xf numFmtId="166" fontId="25" fillId="3" borderId="5" xfId="0" applyNumberFormat="1" applyFont="1" applyFill="1" applyBorder="1" applyAlignment="1">
      <alignment vertical="center"/>
    </xf>
    <xf numFmtId="166" fontId="25" fillId="3" borderId="11" xfId="0" applyNumberFormat="1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vertical="center"/>
    </xf>
    <xf numFmtId="0" fontId="25" fillId="3" borderId="5" xfId="0" applyFont="1" applyFill="1" applyBorder="1" applyAlignment="1">
      <alignment vertical="center" wrapText="1"/>
    </xf>
    <xf numFmtId="0" fontId="25" fillId="3" borderId="5" xfId="0" applyFont="1" applyFill="1" applyBorder="1" applyAlignment="1">
      <alignment vertical="center"/>
    </xf>
    <xf numFmtId="165" fontId="25" fillId="3" borderId="5" xfId="1" applyNumberFormat="1" applyFont="1" applyFill="1" applyBorder="1" applyAlignment="1">
      <alignment vertical="center"/>
    </xf>
    <xf numFmtId="9" fontId="25" fillId="3" borderId="5" xfId="2" applyFont="1" applyFill="1" applyBorder="1" applyAlignment="1">
      <alignment vertical="center"/>
    </xf>
    <xf numFmtId="167" fontId="25" fillId="3" borderId="5" xfId="1" applyNumberFormat="1" applyFont="1" applyFill="1" applyBorder="1" applyAlignment="1">
      <alignment vertical="center"/>
    </xf>
    <xf numFmtId="0" fontId="25" fillId="3" borderId="11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/>
    </xf>
    <xf numFmtId="166" fontId="25" fillId="3" borderId="11" xfId="0" applyNumberFormat="1" applyFont="1" applyFill="1" applyBorder="1" applyAlignment="1">
      <alignment vertical="center"/>
    </xf>
    <xf numFmtId="0" fontId="25" fillId="3" borderId="11" xfId="0" applyFont="1" applyFill="1" applyBorder="1" applyAlignment="1">
      <alignment vertical="center" wrapText="1"/>
    </xf>
    <xf numFmtId="0" fontId="25" fillId="3" borderId="11" xfId="0" applyFont="1" applyFill="1" applyBorder="1" applyAlignment="1">
      <alignment vertical="center"/>
    </xf>
    <xf numFmtId="165" fontId="25" fillId="3" borderId="11" xfId="1" applyNumberFormat="1" applyFont="1" applyFill="1" applyBorder="1" applyAlignment="1">
      <alignment vertical="center"/>
    </xf>
    <xf numFmtId="9" fontId="25" fillId="3" borderId="11" xfId="2" applyFont="1" applyFill="1" applyBorder="1" applyAlignment="1">
      <alignment vertical="center"/>
    </xf>
    <xf numFmtId="167" fontId="25" fillId="3" borderId="11" xfId="1" applyNumberFormat="1" applyFont="1" applyFill="1" applyBorder="1" applyAlignment="1">
      <alignment vertical="center"/>
    </xf>
    <xf numFmtId="166" fontId="25" fillId="3" borderId="4" xfId="0" applyNumberFormat="1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horizontal="center" vertical="center"/>
    </xf>
    <xf numFmtId="166" fontId="25" fillId="3" borderId="5" xfId="0" applyNumberFormat="1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/>
    </xf>
    <xf numFmtId="165" fontId="19" fillId="3" borderId="1" xfId="0" applyNumberFormat="1" applyFont="1" applyFill="1" applyBorder="1" applyAlignment="1">
      <alignment vertical="center"/>
    </xf>
    <xf numFmtId="9" fontId="19" fillId="3" borderId="1" xfId="2" applyFont="1" applyFill="1" applyBorder="1" applyAlignment="1">
      <alignment vertical="center"/>
    </xf>
    <xf numFmtId="167" fontId="19" fillId="3" borderId="1" xfId="1" applyNumberFormat="1" applyFont="1" applyFill="1" applyBorder="1" applyAlignment="1">
      <alignment vertical="center"/>
    </xf>
    <xf numFmtId="0" fontId="19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5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vertical="center"/>
    </xf>
    <xf numFmtId="165" fontId="2" fillId="3" borderId="0" xfId="1" applyNumberFormat="1" applyFont="1" applyFill="1" applyAlignment="1">
      <alignment horizontal="center" vertical="center"/>
    </xf>
    <xf numFmtId="0" fontId="25" fillId="3" borderId="4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horizontal="left" vertical="center" wrapText="1"/>
    </xf>
    <xf numFmtId="167" fontId="25" fillId="3" borderId="2" xfId="0" applyNumberFormat="1" applyFont="1" applyFill="1" applyBorder="1" applyAlignment="1">
      <alignment vertical="center"/>
    </xf>
    <xf numFmtId="0" fontId="25" fillId="3" borderId="5" xfId="0" applyFont="1" applyFill="1" applyBorder="1" applyAlignment="1">
      <alignment horizontal="left" vertical="center" wrapText="1"/>
    </xf>
    <xf numFmtId="167" fontId="25" fillId="3" borderId="5" xfId="0" applyNumberFormat="1" applyFont="1" applyFill="1" applyBorder="1" applyAlignment="1">
      <alignment vertical="center"/>
    </xf>
    <xf numFmtId="0" fontId="25" fillId="3" borderId="10" xfId="0" applyFont="1" applyFill="1" applyBorder="1" applyAlignment="1">
      <alignment horizontal="center" vertical="center"/>
    </xf>
    <xf numFmtId="0" fontId="25" fillId="3" borderId="13" xfId="0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6" fontId="27" fillId="3" borderId="1" xfId="0" applyNumberFormat="1" applyFont="1" applyFill="1" applyBorder="1" applyAlignment="1">
      <alignment vertical="center" wrapText="1"/>
    </xf>
    <xf numFmtId="166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vertical="center" wrapText="1"/>
    </xf>
    <xf numFmtId="0" fontId="27" fillId="3" borderId="1" xfId="0" applyFont="1" applyFill="1" applyBorder="1" applyAlignment="1">
      <alignment vertical="center"/>
    </xf>
    <xf numFmtId="9" fontId="27" fillId="3" borderId="1" xfId="2" applyFont="1" applyFill="1" applyBorder="1" applyAlignment="1">
      <alignment vertical="center"/>
    </xf>
    <xf numFmtId="167" fontId="19" fillId="3" borderId="1" xfId="1" applyNumberFormat="1" applyFont="1" applyFill="1" applyBorder="1" applyAlignment="1">
      <alignment vertical="center" wrapText="1"/>
    </xf>
    <xf numFmtId="0" fontId="27" fillId="3" borderId="1" xfId="0" applyFont="1" applyFill="1" applyBorder="1" applyAlignment="1">
      <alignment vertical="center" wrapText="1"/>
    </xf>
    <xf numFmtId="165" fontId="27" fillId="3" borderId="1" xfId="1" applyNumberFormat="1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9" fontId="27" fillId="3" borderId="1" xfId="2" applyFont="1" applyFill="1" applyBorder="1" applyAlignment="1">
      <alignment vertical="center" wrapText="1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zoomScale="85" zoomScaleNormal="85" workbookViewId="0">
      <pane ySplit="7" topLeftCell="A170" activePane="bottomLeft" state="frozen"/>
      <selection pane="bottomLeft" activeCell="D22" sqref="D22"/>
    </sheetView>
  </sheetViews>
  <sheetFormatPr defaultColWidth="9.140625" defaultRowHeight="15" x14ac:dyDescent="0.25"/>
  <cols>
    <col min="1" max="2" width="11.42578125" style="147" customWidth="1"/>
    <col min="3" max="3" width="18.7109375" style="96" bestFit="1" customWidth="1"/>
    <col min="4" max="4" width="45.85546875" style="96" customWidth="1"/>
    <col min="5" max="5" width="13.140625" style="101" customWidth="1"/>
    <col min="6" max="6" width="14.42578125" style="101" customWidth="1"/>
    <col min="7" max="7" width="12.140625" style="101" customWidth="1"/>
    <col min="8" max="8" width="15.42578125" style="101" customWidth="1"/>
    <col min="9" max="9" width="14.140625" style="96" bestFit="1" customWidth="1"/>
    <col min="10" max="10" width="14" style="96" bestFit="1" customWidth="1"/>
    <col min="11" max="11" width="32.7109375" style="96" bestFit="1" customWidth="1"/>
    <col min="12" max="12" width="13.42578125" style="96" bestFit="1" customWidth="1"/>
    <col min="13" max="16384" width="9.140625" style="96"/>
  </cols>
  <sheetData>
    <row r="1" spans="1:13" x14ac:dyDescent="0.25">
      <c r="A1" s="142" t="s">
        <v>0</v>
      </c>
      <c r="B1" s="142"/>
      <c r="C1" s="97"/>
      <c r="D1" s="98"/>
      <c r="E1" s="99"/>
      <c r="F1" s="100" t="s">
        <v>1</v>
      </c>
      <c r="H1" s="100"/>
      <c r="I1" s="102"/>
      <c r="J1" s="102"/>
      <c r="K1" s="102"/>
      <c r="L1" s="102"/>
      <c r="M1" s="102"/>
    </row>
    <row r="2" spans="1:13" x14ac:dyDescent="0.25">
      <c r="A2" s="143" t="s">
        <v>2</v>
      </c>
      <c r="B2" s="143"/>
      <c r="C2" s="103"/>
      <c r="D2" s="104"/>
      <c r="E2" s="105"/>
      <c r="F2" s="106" t="s">
        <v>3</v>
      </c>
      <c r="H2" s="106"/>
      <c r="I2" s="107"/>
      <c r="J2" s="107"/>
      <c r="K2" s="107"/>
      <c r="L2" s="107"/>
      <c r="M2" s="107"/>
    </row>
    <row r="3" spans="1:13" x14ac:dyDescent="0.25">
      <c r="A3" s="143"/>
      <c r="B3" s="143"/>
      <c r="C3" s="103"/>
      <c r="D3" s="104"/>
      <c r="E3" s="105"/>
      <c r="F3" s="105"/>
      <c r="G3" s="108"/>
      <c r="H3" s="108"/>
      <c r="I3" s="109"/>
      <c r="J3" s="109"/>
      <c r="K3" s="109"/>
      <c r="L3" s="109"/>
      <c r="M3" s="109"/>
    </row>
    <row r="4" spans="1:13" x14ac:dyDescent="0.25">
      <c r="A4" s="349" t="s">
        <v>137</v>
      </c>
      <c r="B4" s="349"/>
      <c r="C4" s="349"/>
      <c r="D4" s="349"/>
      <c r="E4" s="349"/>
      <c r="F4" s="349"/>
      <c r="G4" s="349"/>
      <c r="H4" s="349"/>
      <c r="I4" s="109"/>
      <c r="J4" s="349" t="s">
        <v>295</v>
      </c>
      <c r="K4" s="349"/>
      <c r="L4" s="349"/>
      <c r="M4" s="109"/>
    </row>
    <row r="5" spans="1:13" s="107" customFormat="1" x14ac:dyDescent="0.25">
      <c r="A5" s="110"/>
      <c r="B5" s="110"/>
      <c r="C5" s="110"/>
      <c r="E5" s="106"/>
      <c r="F5" s="106"/>
      <c r="G5" s="106"/>
      <c r="H5" s="106"/>
    </row>
    <row r="6" spans="1:13" s="107" customFormat="1" x14ac:dyDescent="0.25">
      <c r="A6" s="339" t="s">
        <v>4</v>
      </c>
      <c r="B6" s="336" t="s">
        <v>323</v>
      </c>
      <c r="C6" s="339" t="s">
        <v>5</v>
      </c>
      <c r="D6" s="341" t="s">
        <v>6</v>
      </c>
      <c r="E6" s="343" t="s">
        <v>7</v>
      </c>
      <c r="F6" s="343"/>
      <c r="G6" s="343" t="s">
        <v>8</v>
      </c>
      <c r="H6" s="343"/>
      <c r="J6" s="339" t="s">
        <v>4</v>
      </c>
      <c r="K6" s="341" t="s">
        <v>6</v>
      </c>
      <c r="L6" s="350" t="s">
        <v>57</v>
      </c>
    </row>
    <row r="7" spans="1:13" s="107" customFormat="1" ht="14.45" customHeight="1" x14ac:dyDescent="0.25">
      <c r="A7" s="340"/>
      <c r="B7" s="344"/>
      <c r="C7" s="340"/>
      <c r="D7" s="342"/>
      <c r="E7" s="111" t="s">
        <v>96</v>
      </c>
      <c r="F7" s="111" t="s">
        <v>63</v>
      </c>
      <c r="G7" s="111" t="s">
        <v>96</v>
      </c>
      <c r="H7" s="111" t="s">
        <v>63</v>
      </c>
      <c r="J7" s="340"/>
      <c r="K7" s="342"/>
      <c r="L7" s="351"/>
    </row>
    <row r="8" spans="1:13" x14ac:dyDescent="0.25">
      <c r="A8" s="144">
        <v>43744</v>
      </c>
      <c r="B8" s="144" t="s">
        <v>360</v>
      </c>
      <c r="C8" s="93" t="s">
        <v>223</v>
      </c>
      <c r="D8" s="94" t="s">
        <v>270</v>
      </c>
      <c r="E8" s="95"/>
      <c r="F8" s="112"/>
      <c r="G8" s="95">
        <v>2750000</v>
      </c>
      <c r="H8" s="112"/>
      <c r="J8" s="144">
        <v>43962</v>
      </c>
      <c r="K8" s="94" t="s">
        <v>268</v>
      </c>
      <c r="L8" s="95">
        <v>268000</v>
      </c>
    </row>
    <row r="9" spans="1:13" x14ac:dyDescent="0.25">
      <c r="A9" s="144">
        <v>43792</v>
      </c>
      <c r="B9" s="144" t="s">
        <v>385</v>
      </c>
      <c r="C9" s="93" t="s">
        <v>230</v>
      </c>
      <c r="D9" s="94" t="s">
        <v>271</v>
      </c>
      <c r="E9" s="95"/>
      <c r="F9" s="112"/>
      <c r="G9" s="95"/>
      <c r="H9" s="112">
        <v>519750</v>
      </c>
      <c r="J9" s="144">
        <v>43961</v>
      </c>
      <c r="K9" s="94" t="s">
        <v>268</v>
      </c>
      <c r="L9" s="95">
        <v>400000</v>
      </c>
    </row>
    <row r="10" spans="1:13" x14ac:dyDescent="0.25">
      <c r="A10" s="144">
        <v>43951</v>
      </c>
      <c r="B10" s="144" t="s">
        <v>386</v>
      </c>
      <c r="C10" s="93" t="s">
        <v>214</v>
      </c>
      <c r="D10" s="94" t="s">
        <v>301</v>
      </c>
      <c r="E10" s="95"/>
      <c r="F10" s="112"/>
      <c r="G10" s="95"/>
      <c r="H10" s="112">
        <v>64000</v>
      </c>
      <c r="J10" s="144">
        <v>43963</v>
      </c>
      <c r="K10" s="94" t="s">
        <v>268</v>
      </c>
      <c r="L10" s="95">
        <v>526000</v>
      </c>
    </row>
    <row r="11" spans="1:13" x14ac:dyDescent="0.25">
      <c r="A11" s="144">
        <v>43952</v>
      </c>
      <c r="B11" s="144" t="s">
        <v>386</v>
      </c>
      <c r="C11" s="93" t="s">
        <v>214</v>
      </c>
      <c r="D11" s="94" t="s">
        <v>300</v>
      </c>
      <c r="E11" s="95"/>
      <c r="F11" s="112"/>
      <c r="G11" s="95"/>
      <c r="H11" s="112">
        <v>480000</v>
      </c>
      <c r="J11" s="144">
        <v>43966</v>
      </c>
      <c r="K11" s="94" t="s">
        <v>272</v>
      </c>
      <c r="L11" s="95">
        <v>1050000</v>
      </c>
    </row>
    <row r="12" spans="1:13" x14ac:dyDescent="0.25">
      <c r="A12" s="144">
        <v>43952</v>
      </c>
      <c r="B12" s="144" t="s">
        <v>385</v>
      </c>
      <c r="C12" s="93" t="s">
        <v>230</v>
      </c>
      <c r="D12" s="94" t="s">
        <v>271</v>
      </c>
      <c r="E12" s="95"/>
      <c r="F12" s="112"/>
      <c r="G12" s="95"/>
      <c r="H12" s="112">
        <v>410000</v>
      </c>
      <c r="J12" s="144">
        <v>43961</v>
      </c>
      <c r="K12" s="94" t="s">
        <v>271</v>
      </c>
      <c r="L12" s="95">
        <v>1006480</v>
      </c>
    </row>
    <row r="13" spans="1:13" x14ac:dyDescent="0.25">
      <c r="A13" s="144">
        <v>43953</v>
      </c>
      <c r="B13" s="144" t="s">
        <v>385</v>
      </c>
      <c r="C13" s="93" t="s">
        <v>230</v>
      </c>
      <c r="D13" s="94" t="s">
        <v>260</v>
      </c>
      <c r="E13" s="95"/>
      <c r="F13" s="112"/>
      <c r="G13" s="95"/>
      <c r="H13" s="112">
        <v>60000</v>
      </c>
      <c r="J13" s="144">
        <v>43962</v>
      </c>
      <c r="K13" s="94" t="s">
        <v>271</v>
      </c>
      <c r="L13" s="95">
        <v>1006400</v>
      </c>
    </row>
    <row r="14" spans="1:13" x14ac:dyDescent="0.25">
      <c r="A14" s="300">
        <v>43955</v>
      </c>
      <c r="B14" s="300" t="s">
        <v>387</v>
      </c>
      <c r="C14" s="301" t="s">
        <v>218</v>
      </c>
      <c r="D14" s="302" t="s">
        <v>310</v>
      </c>
      <c r="E14" s="95"/>
      <c r="F14" s="112"/>
      <c r="G14" s="95"/>
      <c r="H14" s="114">
        <f>74*1650000</f>
        <v>122100000</v>
      </c>
      <c r="J14" s="144">
        <v>43962</v>
      </c>
      <c r="K14" s="94" t="s">
        <v>271</v>
      </c>
      <c r="L14" s="95">
        <v>500000</v>
      </c>
    </row>
    <row r="15" spans="1:13" x14ac:dyDescent="0.25">
      <c r="A15" s="144">
        <v>43952</v>
      </c>
      <c r="B15" s="144" t="s">
        <v>361</v>
      </c>
      <c r="C15" s="93" t="s">
        <v>139</v>
      </c>
      <c r="D15" s="94" t="s">
        <v>140</v>
      </c>
      <c r="E15" s="95"/>
      <c r="F15" s="112"/>
      <c r="G15" s="95">
        <v>2000000</v>
      </c>
      <c r="H15" s="112"/>
      <c r="J15" s="144">
        <v>43963</v>
      </c>
      <c r="K15" s="94" t="s">
        <v>271</v>
      </c>
      <c r="L15" s="95">
        <v>500000</v>
      </c>
    </row>
    <row r="16" spans="1:13" x14ac:dyDescent="0.25">
      <c r="A16" s="144">
        <v>43952</v>
      </c>
      <c r="B16" s="144" t="s">
        <v>362</v>
      </c>
      <c r="C16" s="93" t="s">
        <v>139</v>
      </c>
      <c r="D16" s="94" t="s">
        <v>142</v>
      </c>
      <c r="E16" s="95"/>
      <c r="F16" s="112"/>
      <c r="G16" s="95">
        <v>2000000</v>
      </c>
      <c r="H16" s="112"/>
      <c r="J16" s="144"/>
      <c r="K16" s="94"/>
      <c r="L16" s="95"/>
    </row>
    <row r="17" spans="1:12" x14ac:dyDescent="0.25">
      <c r="A17" s="144">
        <v>43952</v>
      </c>
      <c r="B17" s="144" t="s">
        <v>363</v>
      </c>
      <c r="C17" s="93" t="s">
        <v>139</v>
      </c>
      <c r="D17" s="94" t="s">
        <v>141</v>
      </c>
      <c r="E17" s="95"/>
      <c r="F17" s="112"/>
      <c r="G17" s="95">
        <v>3000000</v>
      </c>
      <c r="H17" s="112"/>
      <c r="J17" s="144">
        <v>43966</v>
      </c>
      <c r="K17" s="94" t="s">
        <v>271</v>
      </c>
      <c r="L17" s="95">
        <v>1057500</v>
      </c>
    </row>
    <row r="18" spans="1:12" x14ac:dyDescent="0.25">
      <c r="A18" s="144">
        <v>43953</v>
      </c>
      <c r="B18" s="144" t="s">
        <v>385</v>
      </c>
      <c r="C18" s="93" t="s">
        <v>230</v>
      </c>
      <c r="D18" s="94" t="s">
        <v>260</v>
      </c>
      <c r="E18" s="95"/>
      <c r="F18" s="112"/>
      <c r="G18" s="95"/>
      <c r="H18" s="112">
        <v>105000</v>
      </c>
      <c r="J18" s="144">
        <v>43968</v>
      </c>
      <c r="K18" s="94" t="s">
        <v>271</v>
      </c>
      <c r="L18" s="95">
        <v>200000</v>
      </c>
    </row>
    <row r="19" spans="1:12" x14ac:dyDescent="0.25">
      <c r="A19" s="144">
        <v>43953</v>
      </c>
      <c r="B19" s="144" t="s">
        <v>327</v>
      </c>
      <c r="C19" s="93" t="s">
        <v>218</v>
      </c>
      <c r="D19" s="94" t="s">
        <v>404</v>
      </c>
      <c r="E19" s="95">
        <v>649000</v>
      </c>
      <c r="F19" s="112"/>
      <c r="G19" s="95"/>
      <c r="H19" s="112"/>
      <c r="J19" s="144">
        <v>43968</v>
      </c>
      <c r="K19" s="94" t="s">
        <v>271</v>
      </c>
      <c r="L19" s="95">
        <v>1022540</v>
      </c>
    </row>
    <row r="20" spans="1:12" x14ac:dyDescent="0.25">
      <c r="A20" s="144">
        <v>43954</v>
      </c>
      <c r="B20" s="144" t="s">
        <v>386</v>
      </c>
      <c r="C20" s="93" t="s">
        <v>214</v>
      </c>
      <c r="D20" s="94" t="s">
        <v>259</v>
      </c>
      <c r="E20" s="95"/>
      <c r="F20" s="112"/>
      <c r="G20" s="95"/>
      <c r="H20" s="112">
        <v>40000</v>
      </c>
      <c r="J20" s="144"/>
      <c r="K20" s="94" t="s">
        <v>274</v>
      </c>
      <c r="L20" s="95">
        <f>35000*4</f>
        <v>140000</v>
      </c>
    </row>
    <row r="21" spans="1:12" x14ac:dyDescent="0.25">
      <c r="A21" s="144">
        <v>43954</v>
      </c>
      <c r="B21" s="144" t="s">
        <v>386</v>
      </c>
      <c r="C21" s="93" t="s">
        <v>214</v>
      </c>
      <c r="D21" s="94" t="s">
        <v>259</v>
      </c>
      <c r="E21" s="95"/>
      <c r="F21" s="112"/>
      <c r="G21" s="95"/>
      <c r="H21" s="112">
        <v>30000</v>
      </c>
      <c r="J21" s="144"/>
      <c r="K21" s="94" t="s">
        <v>273</v>
      </c>
      <c r="L21" s="95">
        <f>15000*3+10000+35000</f>
        <v>90000</v>
      </c>
    </row>
    <row r="22" spans="1:12" x14ac:dyDescent="0.25">
      <c r="A22" s="144">
        <v>43954</v>
      </c>
      <c r="B22" s="144" t="s">
        <v>385</v>
      </c>
      <c r="C22" s="93" t="s">
        <v>230</v>
      </c>
      <c r="D22" s="94" t="s">
        <v>260</v>
      </c>
      <c r="E22" s="95"/>
      <c r="F22" s="112"/>
      <c r="G22" s="95"/>
      <c r="H22" s="112">
        <v>40000</v>
      </c>
      <c r="J22" s="144"/>
      <c r="K22" s="94" t="s">
        <v>260</v>
      </c>
      <c r="L22" s="95">
        <f>35000+15000*2+70000+100000</f>
        <v>235000</v>
      </c>
    </row>
    <row r="23" spans="1:12" x14ac:dyDescent="0.25">
      <c r="A23" s="144">
        <v>43955</v>
      </c>
      <c r="B23" s="144" t="s">
        <v>364</v>
      </c>
      <c r="C23" s="93" t="s">
        <v>216</v>
      </c>
      <c r="D23" s="94" t="s">
        <v>269</v>
      </c>
      <c r="E23" s="95"/>
      <c r="F23" s="112"/>
      <c r="G23" s="95">
        <v>5150000</v>
      </c>
      <c r="H23" s="112"/>
      <c r="J23" s="144"/>
      <c r="K23" s="94" t="s">
        <v>275</v>
      </c>
      <c r="L23" s="95">
        <f>30000+15000</f>
        <v>45000</v>
      </c>
    </row>
    <row r="24" spans="1:12" x14ac:dyDescent="0.25">
      <c r="A24" s="144">
        <v>43955</v>
      </c>
      <c r="B24" s="144" t="s">
        <v>328</v>
      </c>
      <c r="C24" s="93" t="s">
        <v>218</v>
      </c>
      <c r="D24" s="94" t="s">
        <v>405</v>
      </c>
      <c r="E24" s="95"/>
      <c r="F24" s="112">
        <v>1091500</v>
      </c>
      <c r="G24" s="95"/>
      <c r="H24" s="112"/>
      <c r="J24" s="144"/>
      <c r="K24" s="94"/>
      <c r="L24" s="95"/>
    </row>
    <row r="25" spans="1:12" x14ac:dyDescent="0.25">
      <c r="A25" s="144">
        <v>43956</v>
      </c>
      <c r="B25" s="144" t="s">
        <v>329</v>
      </c>
      <c r="C25" s="93" t="s">
        <v>218</v>
      </c>
      <c r="D25" s="94" t="s">
        <v>406</v>
      </c>
      <c r="E25" s="95">
        <v>13310400</v>
      </c>
      <c r="F25" s="112"/>
      <c r="G25" s="95"/>
      <c r="H25" s="112"/>
      <c r="J25" s="144"/>
      <c r="K25" s="94"/>
      <c r="L25" s="95"/>
    </row>
    <row r="26" spans="1:12" x14ac:dyDescent="0.25">
      <c r="A26" s="144">
        <v>43956</v>
      </c>
      <c r="B26" s="144" t="s">
        <v>330</v>
      </c>
      <c r="C26" s="93" t="s">
        <v>218</v>
      </c>
      <c r="D26" s="94" t="s">
        <v>407</v>
      </c>
      <c r="E26" s="95"/>
      <c r="F26" s="112">
        <v>324500</v>
      </c>
      <c r="G26" s="95"/>
      <c r="H26" s="112"/>
      <c r="J26" s="144"/>
      <c r="K26" s="94"/>
      <c r="L26" s="95"/>
    </row>
    <row r="27" spans="1:12" x14ac:dyDescent="0.25">
      <c r="A27" s="144">
        <v>43956</v>
      </c>
      <c r="B27" s="144" t="s">
        <v>365</v>
      </c>
      <c r="C27" s="93" t="s">
        <v>221</v>
      </c>
      <c r="D27" s="94" t="s">
        <v>267</v>
      </c>
      <c r="E27" s="95"/>
      <c r="F27" s="112"/>
      <c r="G27" s="95"/>
      <c r="H27" s="112">
        <v>200000</v>
      </c>
      <c r="J27" s="144"/>
      <c r="K27" s="94" t="s">
        <v>276</v>
      </c>
      <c r="L27" s="95">
        <f>90000+70000+60000+35000+35000+35000+15000+35000+35000+35000+35000+35000+30000+35000+35000+35000+35000</f>
        <v>685000</v>
      </c>
    </row>
    <row r="28" spans="1:12" x14ac:dyDescent="0.25">
      <c r="A28" s="144">
        <v>43957</v>
      </c>
      <c r="B28" s="144" t="s">
        <v>331</v>
      </c>
      <c r="C28" s="93" t="s">
        <v>218</v>
      </c>
      <c r="D28" s="94" t="s">
        <v>408</v>
      </c>
      <c r="E28" s="95">
        <v>3186000</v>
      </c>
      <c r="F28" s="112"/>
      <c r="G28" s="95"/>
      <c r="H28" s="112"/>
      <c r="J28" s="216"/>
      <c r="K28" s="217"/>
      <c r="L28" s="218"/>
    </row>
    <row r="29" spans="1:12" x14ac:dyDescent="0.25">
      <c r="A29" s="144">
        <v>43957</v>
      </c>
      <c r="B29" s="144" t="s">
        <v>366</v>
      </c>
      <c r="C29" s="93" t="s">
        <v>221</v>
      </c>
      <c r="D29" s="94" t="s">
        <v>267</v>
      </c>
      <c r="E29" s="95"/>
      <c r="F29" s="112"/>
      <c r="G29" s="95"/>
      <c r="H29" s="112">
        <v>50000</v>
      </c>
      <c r="J29" s="216"/>
      <c r="K29" s="217" t="s">
        <v>277</v>
      </c>
      <c r="L29" s="218">
        <v>35000</v>
      </c>
    </row>
    <row r="30" spans="1:12" x14ac:dyDescent="0.25">
      <c r="A30" s="144">
        <v>43958</v>
      </c>
      <c r="B30" s="144" t="s">
        <v>386</v>
      </c>
      <c r="C30" s="93" t="s">
        <v>214</v>
      </c>
      <c r="D30" s="94" t="s">
        <v>232</v>
      </c>
      <c r="E30" s="95"/>
      <c r="F30" s="112"/>
      <c r="G30" s="95"/>
      <c r="H30" s="112">
        <v>642000</v>
      </c>
      <c r="J30" s="352" t="s">
        <v>43</v>
      </c>
      <c r="K30" s="353"/>
      <c r="L30" s="117">
        <f>SUM(L8:L29)</f>
        <v>8766920</v>
      </c>
    </row>
    <row r="31" spans="1:12" x14ac:dyDescent="0.25">
      <c r="A31" s="144">
        <v>43959</v>
      </c>
      <c r="B31" s="144" t="s">
        <v>385</v>
      </c>
      <c r="C31" s="93" t="s">
        <v>230</v>
      </c>
      <c r="D31" s="94" t="s">
        <v>231</v>
      </c>
      <c r="E31" s="95"/>
      <c r="F31" s="112"/>
      <c r="G31" s="95"/>
      <c r="H31" s="112">
        <v>600000</v>
      </c>
    </row>
    <row r="32" spans="1:12" x14ac:dyDescent="0.25">
      <c r="A32" s="144">
        <v>43960</v>
      </c>
      <c r="B32" s="144" t="s">
        <v>332</v>
      </c>
      <c r="C32" s="93" t="s">
        <v>218</v>
      </c>
      <c r="D32" s="94" t="s">
        <v>325</v>
      </c>
      <c r="E32" s="95"/>
      <c r="F32" s="112">
        <v>1242000</v>
      </c>
      <c r="G32" s="95"/>
      <c r="H32" s="112"/>
    </row>
    <row r="33" spans="1:8" x14ac:dyDescent="0.25">
      <c r="A33" s="144">
        <v>43960</v>
      </c>
      <c r="B33" s="144" t="s">
        <v>333</v>
      </c>
      <c r="C33" s="93" t="s">
        <v>218</v>
      </c>
      <c r="D33" s="94" t="s">
        <v>409</v>
      </c>
      <c r="E33" s="95">
        <v>1630000</v>
      </c>
      <c r="F33" s="112"/>
      <c r="G33" s="95"/>
      <c r="H33" s="112"/>
    </row>
    <row r="34" spans="1:8" x14ac:dyDescent="0.25">
      <c r="A34" s="144">
        <v>43960</v>
      </c>
      <c r="B34" s="144" t="s">
        <v>334</v>
      </c>
      <c r="C34" s="93" t="s">
        <v>218</v>
      </c>
      <c r="D34" s="94" t="s">
        <v>410</v>
      </c>
      <c r="E34" s="95"/>
      <c r="F34" s="112">
        <v>1507000</v>
      </c>
      <c r="G34" s="95"/>
      <c r="H34" s="112"/>
    </row>
    <row r="35" spans="1:8" x14ac:dyDescent="0.25">
      <c r="A35" s="144">
        <v>43962</v>
      </c>
      <c r="B35" s="144" t="s">
        <v>386</v>
      </c>
      <c r="C35" s="93" t="s">
        <v>214</v>
      </c>
      <c r="D35" s="94" t="s">
        <v>215</v>
      </c>
      <c r="E35" s="95"/>
      <c r="F35" s="112"/>
      <c r="G35" s="95">
        <v>1700000</v>
      </c>
      <c r="H35" s="112"/>
    </row>
    <row r="36" spans="1:8" x14ac:dyDescent="0.25">
      <c r="A36" s="144">
        <v>43962</v>
      </c>
      <c r="B36" s="144" t="s">
        <v>367</v>
      </c>
      <c r="C36" s="93" t="s">
        <v>216</v>
      </c>
      <c r="D36" s="94" t="s">
        <v>217</v>
      </c>
      <c r="E36" s="95"/>
      <c r="F36" s="112"/>
      <c r="G36" s="95">
        <v>10000000</v>
      </c>
      <c r="H36" s="112"/>
    </row>
    <row r="37" spans="1:8" x14ac:dyDescent="0.25">
      <c r="A37" s="144">
        <v>43962</v>
      </c>
      <c r="B37" s="144" t="s">
        <v>335</v>
      </c>
      <c r="C37" s="93" t="s">
        <v>218</v>
      </c>
      <c r="D37" s="94" t="s">
        <v>411</v>
      </c>
      <c r="E37" s="95">
        <v>14352000</v>
      </c>
      <c r="F37" s="112"/>
      <c r="G37" s="95"/>
      <c r="H37" s="112"/>
    </row>
    <row r="38" spans="1:8" x14ac:dyDescent="0.25">
      <c r="A38" s="144">
        <v>43962</v>
      </c>
      <c r="B38" s="144" t="s">
        <v>336</v>
      </c>
      <c r="C38" s="93" t="s">
        <v>218</v>
      </c>
      <c r="D38" s="94" t="s">
        <v>412</v>
      </c>
      <c r="E38" s="95"/>
      <c r="F38" s="112">
        <f>3433800/2</f>
        <v>1716900</v>
      </c>
      <c r="G38" s="95"/>
      <c r="H38" s="112"/>
    </row>
    <row r="39" spans="1:8" x14ac:dyDescent="0.25">
      <c r="A39" s="144">
        <v>43962</v>
      </c>
      <c r="B39" s="144" t="s">
        <v>337</v>
      </c>
      <c r="C39" s="93" t="s">
        <v>218</v>
      </c>
      <c r="D39" s="94" t="s">
        <v>413</v>
      </c>
      <c r="E39" s="95"/>
      <c r="F39" s="112">
        <f>3433800/2</f>
        <v>1716900</v>
      </c>
      <c r="G39" s="95"/>
      <c r="H39" s="112"/>
    </row>
    <row r="40" spans="1:8" x14ac:dyDescent="0.25">
      <c r="A40" s="144">
        <v>43963</v>
      </c>
      <c r="B40" s="144" t="s">
        <v>338</v>
      </c>
      <c r="C40" s="93" t="s">
        <v>218</v>
      </c>
      <c r="D40" s="94" t="s">
        <v>414</v>
      </c>
      <c r="E40" s="95">
        <v>274350</v>
      </c>
      <c r="F40" s="112"/>
      <c r="G40" s="95"/>
      <c r="H40" s="112"/>
    </row>
    <row r="41" spans="1:8" x14ac:dyDescent="0.25">
      <c r="A41" s="144">
        <v>43965</v>
      </c>
      <c r="B41" s="144" t="s">
        <v>368</v>
      </c>
      <c r="C41" s="93" t="s">
        <v>216</v>
      </c>
      <c r="D41" s="94" t="s">
        <v>304</v>
      </c>
      <c r="E41" s="95"/>
      <c r="F41" s="112"/>
      <c r="G41" s="95"/>
      <c r="H41" s="112">
        <v>32800000</v>
      </c>
    </row>
    <row r="42" spans="1:8" x14ac:dyDescent="0.25">
      <c r="A42" s="144">
        <v>43965</v>
      </c>
      <c r="B42" s="144" t="s">
        <v>369</v>
      </c>
      <c r="C42" s="93" t="s">
        <v>216</v>
      </c>
      <c r="D42" s="94" t="s">
        <v>305</v>
      </c>
      <c r="E42" s="95"/>
      <c r="F42" s="112"/>
      <c r="G42" s="95"/>
      <c r="H42" s="112">
        <v>14500000</v>
      </c>
    </row>
    <row r="43" spans="1:8" x14ac:dyDescent="0.25">
      <c r="A43" s="144">
        <v>43965</v>
      </c>
      <c r="B43" s="144" t="s">
        <v>370</v>
      </c>
      <c r="C43" s="93" t="s">
        <v>221</v>
      </c>
      <c r="D43" s="94" t="s">
        <v>306</v>
      </c>
      <c r="E43" s="95"/>
      <c r="F43" s="112"/>
      <c r="G43" s="95"/>
      <c r="H43" s="112">
        <v>1520000</v>
      </c>
    </row>
    <row r="44" spans="1:8" x14ac:dyDescent="0.25">
      <c r="A44" s="144">
        <v>43965</v>
      </c>
      <c r="B44" s="144" t="s">
        <v>339</v>
      </c>
      <c r="C44" s="93" t="s">
        <v>218</v>
      </c>
      <c r="D44" s="94" t="s">
        <v>307</v>
      </c>
      <c r="E44" s="95"/>
      <c r="F44" s="112">
        <f>H43+H41+H42</f>
        <v>48820000</v>
      </c>
      <c r="G44" s="95"/>
      <c r="H44" s="112"/>
    </row>
    <row r="45" spans="1:8" x14ac:dyDescent="0.25">
      <c r="A45" s="144">
        <v>43965</v>
      </c>
      <c r="B45" s="144" t="s">
        <v>340</v>
      </c>
      <c r="C45" s="93" t="s">
        <v>218</v>
      </c>
      <c r="D45" s="94" t="s">
        <v>415</v>
      </c>
      <c r="E45" s="95"/>
      <c r="F45" s="112">
        <v>1079700</v>
      </c>
      <c r="G45" s="95"/>
      <c r="H45" s="112"/>
    </row>
    <row r="46" spans="1:8" x14ac:dyDescent="0.25">
      <c r="A46" s="144">
        <v>43967</v>
      </c>
      <c r="B46" s="144" t="s">
        <v>341</v>
      </c>
      <c r="C46" s="93" t="s">
        <v>218</v>
      </c>
      <c r="D46" s="94" t="s">
        <v>416</v>
      </c>
      <c r="E46" s="95"/>
      <c r="F46" s="112">
        <v>286150</v>
      </c>
      <c r="G46" s="95"/>
      <c r="H46" s="112"/>
    </row>
    <row r="47" spans="1:8" x14ac:dyDescent="0.25">
      <c r="A47" s="144">
        <v>43967</v>
      </c>
      <c r="B47" s="144" t="s">
        <v>342</v>
      </c>
      <c r="C47" s="93" t="s">
        <v>218</v>
      </c>
      <c r="D47" s="94" t="s">
        <v>417</v>
      </c>
      <c r="E47" s="95"/>
      <c r="F47" s="112">
        <v>3433800</v>
      </c>
      <c r="G47" s="95"/>
      <c r="H47" s="112"/>
    </row>
    <row r="48" spans="1:8" x14ac:dyDescent="0.25">
      <c r="A48" s="144">
        <v>43968</v>
      </c>
      <c r="B48" s="144" t="s">
        <v>343</v>
      </c>
      <c r="C48" s="93" t="s">
        <v>218</v>
      </c>
      <c r="D48" s="113" t="s">
        <v>418</v>
      </c>
      <c r="E48" s="95">
        <v>9000000</v>
      </c>
      <c r="F48" s="112"/>
      <c r="G48" s="95"/>
      <c r="H48" s="112"/>
    </row>
    <row r="49" spans="1:10" x14ac:dyDescent="0.25">
      <c r="A49" s="144">
        <v>43968</v>
      </c>
      <c r="B49" s="144" t="s">
        <v>371</v>
      </c>
      <c r="C49" s="93" t="s">
        <v>221</v>
      </c>
      <c r="D49" s="94" t="s">
        <v>222</v>
      </c>
      <c r="E49" s="95"/>
      <c r="F49" s="112"/>
      <c r="G49" s="95"/>
      <c r="H49" s="114">
        <v>150000</v>
      </c>
    </row>
    <row r="50" spans="1:10" x14ac:dyDescent="0.25">
      <c r="A50" s="144">
        <v>43968</v>
      </c>
      <c r="B50" s="144" t="s">
        <v>386</v>
      </c>
      <c r="C50" s="93" t="s">
        <v>214</v>
      </c>
      <c r="D50" s="94" t="s">
        <v>266</v>
      </c>
      <c r="E50" s="95"/>
      <c r="F50" s="112"/>
      <c r="G50" s="95"/>
      <c r="H50" s="114">
        <v>538000</v>
      </c>
    </row>
    <row r="51" spans="1:10" x14ac:dyDescent="0.25">
      <c r="A51" s="144">
        <v>43968</v>
      </c>
      <c r="B51" s="144" t="s">
        <v>344</v>
      </c>
      <c r="C51" s="93" t="s">
        <v>218</v>
      </c>
      <c r="D51" s="94" t="s">
        <v>419</v>
      </c>
      <c r="E51" s="95">
        <v>23116200</v>
      </c>
      <c r="F51" s="112"/>
      <c r="G51" s="95"/>
      <c r="H51" s="114"/>
    </row>
    <row r="52" spans="1:10" x14ac:dyDescent="0.25">
      <c r="A52" s="144">
        <v>43968</v>
      </c>
      <c r="B52" s="144" t="s">
        <v>372</v>
      </c>
      <c r="C52" s="93" t="s">
        <v>221</v>
      </c>
      <c r="D52" s="94" t="s">
        <v>267</v>
      </c>
      <c r="E52" s="95"/>
      <c r="F52" s="112"/>
      <c r="G52" s="95"/>
      <c r="H52" s="114">
        <v>350000</v>
      </c>
    </row>
    <row r="53" spans="1:10" x14ac:dyDescent="0.25">
      <c r="A53" s="144">
        <v>43968</v>
      </c>
      <c r="B53" s="144" t="s">
        <v>386</v>
      </c>
      <c r="C53" s="93" t="s">
        <v>214</v>
      </c>
      <c r="D53" s="115" t="s">
        <v>294</v>
      </c>
      <c r="E53" s="95"/>
      <c r="F53" s="112"/>
      <c r="G53" s="95"/>
      <c r="H53" s="114">
        <f>L30</f>
        <v>8766920</v>
      </c>
    </row>
    <row r="54" spans="1:10" x14ac:dyDescent="0.25">
      <c r="A54" s="144">
        <v>43969</v>
      </c>
      <c r="B54" s="144" t="s">
        <v>373</v>
      </c>
      <c r="C54" s="93" t="s">
        <v>223</v>
      </c>
      <c r="D54" s="94" t="s">
        <v>224</v>
      </c>
      <c r="E54" s="95"/>
      <c r="F54" s="112"/>
      <c r="G54" s="95">
        <v>3300000</v>
      </c>
      <c r="H54" s="114"/>
    </row>
    <row r="55" spans="1:10" x14ac:dyDescent="0.25">
      <c r="A55" s="144">
        <v>43969</v>
      </c>
      <c r="B55" s="144" t="s">
        <v>374</v>
      </c>
      <c r="C55" s="93" t="s">
        <v>223</v>
      </c>
      <c r="D55" s="113" t="s">
        <v>225</v>
      </c>
      <c r="E55" s="95"/>
      <c r="F55" s="112"/>
      <c r="G55" s="95">
        <v>4500000</v>
      </c>
      <c r="H55" s="114"/>
    </row>
    <row r="56" spans="1:10" x14ac:dyDescent="0.25">
      <c r="A56" s="144">
        <v>43969</v>
      </c>
      <c r="B56" s="144" t="s">
        <v>345</v>
      </c>
      <c r="C56" s="93" t="s">
        <v>218</v>
      </c>
      <c r="D56" s="113" t="s">
        <v>420</v>
      </c>
      <c r="E56" s="95">
        <v>1342250</v>
      </c>
      <c r="F56" s="112"/>
      <c r="G56" s="95"/>
      <c r="H56" s="114"/>
    </row>
    <row r="57" spans="1:10" x14ac:dyDescent="0.25">
      <c r="A57" s="144">
        <v>43970</v>
      </c>
      <c r="B57" s="144" t="s">
        <v>375</v>
      </c>
      <c r="C57" s="93" t="s">
        <v>139</v>
      </c>
      <c r="D57" s="94" t="s">
        <v>226</v>
      </c>
      <c r="E57" s="95"/>
      <c r="F57" s="112"/>
      <c r="G57" s="95">
        <v>1000000</v>
      </c>
      <c r="H57" s="114"/>
    </row>
    <row r="58" spans="1:10" x14ac:dyDescent="0.25">
      <c r="A58" s="144">
        <v>43970</v>
      </c>
      <c r="B58" s="144" t="s">
        <v>346</v>
      </c>
      <c r="C58" s="93" t="s">
        <v>218</v>
      </c>
      <c r="D58" s="94" t="s">
        <v>421</v>
      </c>
      <c r="E58" s="95">
        <v>3221400</v>
      </c>
      <c r="F58" s="112"/>
      <c r="G58" s="95"/>
      <c r="H58" s="114"/>
    </row>
    <row r="59" spans="1:10" x14ac:dyDescent="0.25">
      <c r="A59" s="144">
        <v>43970</v>
      </c>
      <c r="B59" s="144" t="s">
        <v>347</v>
      </c>
      <c r="C59" s="93" t="s">
        <v>218</v>
      </c>
      <c r="D59" s="94" t="s">
        <v>422</v>
      </c>
      <c r="E59" s="95"/>
      <c r="F59" s="112">
        <v>324500</v>
      </c>
      <c r="G59" s="95"/>
      <c r="H59" s="114"/>
    </row>
    <row r="60" spans="1:10" x14ac:dyDescent="0.25">
      <c r="A60" s="144">
        <v>43970</v>
      </c>
      <c r="B60" s="144" t="s">
        <v>348</v>
      </c>
      <c r="C60" s="93" t="s">
        <v>218</v>
      </c>
      <c r="D60" s="94" t="s">
        <v>423</v>
      </c>
      <c r="E60" s="95">
        <v>836000</v>
      </c>
      <c r="F60" s="112"/>
      <c r="G60" s="95"/>
      <c r="H60" s="114"/>
      <c r="J60" s="116"/>
    </row>
    <row r="61" spans="1:10" x14ac:dyDescent="0.25">
      <c r="A61" s="144">
        <v>43971</v>
      </c>
      <c r="B61" s="144" t="s">
        <v>349</v>
      </c>
      <c r="C61" s="93" t="s">
        <v>218</v>
      </c>
      <c r="D61" s="94" t="s">
        <v>424</v>
      </c>
      <c r="E61" s="95">
        <v>1585000</v>
      </c>
      <c r="F61" s="112"/>
      <c r="G61" s="95"/>
      <c r="H61" s="114"/>
    </row>
    <row r="62" spans="1:10" x14ac:dyDescent="0.25">
      <c r="A62" s="144">
        <v>43972</v>
      </c>
      <c r="B62" s="144" t="s">
        <v>376</v>
      </c>
      <c r="C62" s="93" t="s">
        <v>139</v>
      </c>
      <c r="D62" s="94" t="s">
        <v>226</v>
      </c>
      <c r="E62" s="95"/>
      <c r="F62" s="112"/>
      <c r="G62" s="95">
        <v>3000000</v>
      </c>
      <c r="H62" s="114"/>
    </row>
    <row r="63" spans="1:10" x14ac:dyDescent="0.25">
      <c r="A63" s="144">
        <v>43972</v>
      </c>
      <c r="B63" s="144" t="s">
        <v>377</v>
      </c>
      <c r="C63" s="93" t="s">
        <v>139</v>
      </c>
      <c r="D63" s="94" t="s">
        <v>244</v>
      </c>
      <c r="E63" s="95"/>
      <c r="F63" s="112"/>
      <c r="G63" s="95"/>
      <c r="H63" s="114">
        <f>'Bảng lương'!K17</f>
        <v>4407604.153846154</v>
      </c>
      <c r="J63" s="116"/>
    </row>
    <row r="64" spans="1:10" x14ac:dyDescent="0.25">
      <c r="A64" s="144">
        <v>43972</v>
      </c>
      <c r="B64" s="144" t="s">
        <v>350</v>
      </c>
      <c r="C64" s="93" t="s">
        <v>218</v>
      </c>
      <c r="D64" s="94" t="s">
        <v>246</v>
      </c>
      <c r="E64" s="95"/>
      <c r="F64" s="112">
        <f>H63</f>
        <v>4407604.153846154</v>
      </c>
      <c r="G64" s="95"/>
      <c r="H64" s="114"/>
      <c r="J64" s="116"/>
    </row>
    <row r="65" spans="1:8" x14ac:dyDescent="0.25">
      <c r="A65" s="144">
        <v>43972</v>
      </c>
      <c r="B65" s="144" t="s">
        <v>378</v>
      </c>
      <c r="C65" s="93" t="s">
        <v>245</v>
      </c>
      <c r="D65" s="94" t="s">
        <v>265</v>
      </c>
      <c r="E65" s="95"/>
      <c r="F65" s="112"/>
      <c r="G65" s="95"/>
      <c r="H65" s="114">
        <v>6113000</v>
      </c>
    </row>
    <row r="66" spans="1:8" x14ac:dyDescent="0.25">
      <c r="A66" s="144">
        <v>43972</v>
      </c>
      <c r="B66" s="144" t="s">
        <v>351</v>
      </c>
      <c r="C66" s="93" t="s">
        <v>218</v>
      </c>
      <c r="D66" s="94" t="s">
        <v>247</v>
      </c>
      <c r="E66" s="95"/>
      <c r="F66" s="112">
        <f>H65</f>
        <v>6113000</v>
      </c>
      <c r="G66" s="95"/>
      <c r="H66" s="114"/>
    </row>
    <row r="67" spans="1:8" x14ac:dyDescent="0.25">
      <c r="A67" s="144">
        <v>43972</v>
      </c>
      <c r="B67" s="144" t="s">
        <v>379</v>
      </c>
      <c r="C67" s="93" t="s">
        <v>223</v>
      </c>
      <c r="D67" s="94" t="s">
        <v>248</v>
      </c>
      <c r="E67" s="95"/>
      <c r="F67" s="112"/>
      <c r="G67" s="95">
        <v>10000000</v>
      </c>
      <c r="H67" s="114"/>
    </row>
    <row r="68" spans="1:8" x14ac:dyDescent="0.25">
      <c r="A68" s="144">
        <v>43973</v>
      </c>
      <c r="B68" s="144" t="s">
        <v>385</v>
      </c>
      <c r="C68" s="93" t="s">
        <v>230</v>
      </c>
      <c r="D68" s="94" t="s">
        <v>271</v>
      </c>
      <c r="E68" s="95"/>
      <c r="F68" s="112"/>
      <c r="G68" s="95"/>
      <c r="H68" s="114">
        <v>1057500</v>
      </c>
    </row>
    <row r="69" spans="1:8" x14ac:dyDescent="0.25">
      <c r="A69" s="144">
        <v>43973</v>
      </c>
      <c r="B69" s="144" t="s">
        <v>385</v>
      </c>
      <c r="C69" s="93" t="s">
        <v>230</v>
      </c>
      <c r="D69" s="94" t="s">
        <v>302</v>
      </c>
      <c r="E69" s="95"/>
      <c r="F69" s="112"/>
      <c r="G69" s="95"/>
      <c r="H69" s="114">
        <v>15000</v>
      </c>
    </row>
    <row r="70" spans="1:8" x14ac:dyDescent="0.25">
      <c r="A70" s="144">
        <v>43975</v>
      </c>
      <c r="B70" s="144" t="s">
        <v>385</v>
      </c>
      <c r="C70" s="93" t="s">
        <v>230</v>
      </c>
      <c r="D70" s="94" t="s">
        <v>263</v>
      </c>
      <c r="E70" s="95"/>
      <c r="F70" s="112"/>
      <c r="G70" s="95"/>
      <c r="H70" s="114">
        <f>100000*2</f>
        <v>200000</v>
      </c>
    </row>
    <row r="71" spans="1:8" x14ac:dyDescent="0.25">
      <c r="A71" s="144">
        <v>43975</v>
      </c>
      <c r="B71" s="144" t="s">
        <v>352</v>
      </c>
      <c r="C71" s="93" t="s">
        <v>218</v>
      </c>
      <c r="D71" s="94" t="s">
        <v>425</v>
      </c>
      <c r="E71" s="95"/>
      <c r="F71" s="112">
        <v>3398400</v>
      </c>
      <c r="G71" s="95"/>
      <c r="H71" s="114"/>
    </row>
    <row r="72" spans="1:8" x14ac:dyDescent="0.25">
      <c r="A72" s="144">
        <v>43976</v>
      </c>
      <c r="B72" s="144" t="s">
        <v>385</v>
      </c>
      <c r="C72" s="93" t="s">
        <v>230</v>
      </c>
      <c r="D72" s="94" t="s">
        <v>271</v>
      </c>
      <c r="E72" s="95"/>
      <c r="F72" s="112"/>
      <c r="G72" s="95"/>
      <c r="H72" s="114">
        <v>856100</v>
      </c>
    </row>
    <row r="73" spans="1:8" x14ac:dyDescent="0.25">
      <c r="A73" s="144">
        <v>43976</v>
      </c>
      <c r="B73" s="144" t="s">
        <v>353</v>
      </c>
      <c r="C73" s="93" t="s">
        <v>218</v>
      </c>
      <c r="D73" s="94" t="s">
        <v>426</v>
      </c>
      <c r="E73" s="95"/>
      <c r="F73" s="112">
        <v>20000000</v>
      </c>
      <c r="G73" s="95"/>
      <c r="H73" s="114"/>
    </row>
    <row r="74" spans="1:8" x14ac:dyDescent="0.25">
      <c r="A74" s="144">
        <v>43976</v>
      </c>
      <c r="B74" s="144" t="s">
        <v>354</v>
      </c>
      <c r="C74" s="93" t="s">
        <v>218</v>
      </c>
      <c r="D74" s="94" t="s">
        <v>314</v>
      </c>
      <c r="E74" s="95">
        <v>6407400</v>
      </c>
      <c r="F74" s="112"/>
      <c r="G74" s="95"/>
      <c r="H74" s="114"/>
    </row>
    <row r="75" spans="1:8" x14ac:dyDescent="0.25">
      <c r="A75" s="144">
        <v>43976</v>
      </c>
      <c r="B75" s="144" t="s">
        <v>380</v>
      </c>
      <c r="C75" s="93" t="s">
        <v>221</v>
      </c>
      <c r="D75" s="94" t="s">
        <v>267</v>
      </c>
      <c r="E75" s="95"/>
      <c r="F75" s="112"/>
      <c r="G75" s="95"/>
      <c r="H75" s="114">
        <v>100000</v>
      </c>
    </row>
    <row r="76" spans="1:8" x14ac:dyDescent="0.25">
      <c r="A76" s="144">
        <v>43976</v>
      </c>
      <c r="B76" s="144" t="s">
        <v>381</v>
      </c>
      <c r="C76" s="93" t="s">
        <v>139</v>
      </c>
      <c r="D76" s="94" t="s">
        <v>140</v>
      </c>
      <c r="E76" s="95"/>
      <c r="F76" s="112"/>
      <c r="G76" s="95"/>
      <c r="H76" s="114">
        <v>3000000</v>
      </c>
    </row>
    <row r="77" spans="1:8" x14ac:dyDescent="0.25">
      <c r="A77" s="144">
        <v>43977</v>
      </c>
      <c r="B77" s="144" t="s">
        <v>385</v>
      </c>
      <c r="C77" s="93" t="s">
        <v>230</v>
      </c>
      <c r="D77" s="94" t="s">
        <v>260</v>
      </c>
      <c r="E77" s="95"/>
      <c r="F77" s="112"/>
      <c r="G77" s="95"/>
      <c r="H77" s="114">
        <v>40000</v>
      </c>
    </row>
    <row r="78" spans="1:8" x14ac:dyDescent="0.25">
      <c r="A78" s="144">
        <v>43978</v>
      </c>
      <c r="B78" s="144" t="s">
        <v>385</v>
      </c>
      <c r="C78" s="93" t="s">
        <v>230</v>
      </c>
      <c r="D78" s="94" t="s">
        <v>260</v>
      </c>
      <c r="E78" s="95"/>
      <c r="F78" s="112"/>
      <c r="G78" s="95"/>
      <c r="H78" s="114">
        <v>40000</v>
      </c>
    </row>
    <row r="79" spans="1:8" x14ac:dyDescent="0.25">
      <c r="A79" s="144">
        <v>43980</v>
      </c>
      <c r="B79" s="144" t="s">
        <v>385</v>
      </c>
      <c r="C79" s="93" t="s">
        <v>230</v>
      </c>
      <c r="D79" s="94" t="s">
        <v>260</v>
      </c>
      <c r="E79" s="95"/>
      <c r="F79" s="112"/>
      <c r="G79" s="95"/>
      <c r="H79" s="114">
        <v>40000</v>
      </c>
    </row>
    <row r="80" spans="1:8" x14ac:dyDescent="0.25">
      <c r="A80" s="144">
        <v>43981</v>
      </c>
      <c r="B80" s="144" t="s">
        <v>385</v>
      </c>
      <c r="C80" s="93" t="s">
        <v>230</v>
      </c>
      <c r="D80" s="94" t="s">
        <v>260</v>
      </c>
      <c r="E80" s="95"/>
      <c r="F80" s="112"/>
      <c r="G80" s="95"/>
      <c r="H80" s="114">
        <v>105000</v>
      </c>
    </row>
    <row r="81" spans="1:10" x14ac:dyDescent="0.25">
      <c r="A81" s="144">
        <v>43981</v>
      </c>
      <c r="B81" s="144" t="s">
        <v>385</v>
      </c>
      <c r="C81" s="93" t="s">
        <v>230</v>
      </c>
      <c r="D81" s="94" t="s">
        <v>260</v>
      </c>
      <c r="E81" s="95"/>
      <c r="F81" s="112"/>
      <c r="G81" s="95"/>
      <c r="H81" s="114">
        <v>40000</v>
      </c>
    </row>
    <row r="82" spans="1:10" x14ac:dyDescent="0.25">
      <c r="A82" s="144">
        <v>43982</v>
      </c>
      <c r="B82" s="144" t="s">
        <v>382</v>
      </c>
      <c r="C82" s="93" t="s">
        <v>139</v>
      </c>
      <c r="D82" s="94" t="s">
        <v>140</v>
      </c>
      <c r="E82" s="95"/>
      <c r="F82" s="112"/>
      <c r="G82" s="95">
        <v>1000000</v>
      </c>
      <c r="H82" s="114"/>
    </row>
    <row r="83" spans="1:10" x14ac:dyDescent="0.25">
      <c r="A83" s="144">
        <v>43982</v>
      </c>
      <c r="B83" s="144" t="s">
        <v>385</v>
      </c>
      <c r="C83" s="93" t="s">
        <v>230</v>
      </c>
      <c r="D83" s="94" t="s">
        <v>261</v>
      </c>
      <c r="E83" s="95"/>
      <c r="F83" s="112"/>
      <c r="G83" s="95"/>
      <c r="H83" s="114">
        <f>15000*8</f>
        <v>120000</v>
      </c>
    </row>
    <row r="84" spans="1:10" x14ac:dyDescent="0.25">
      <c r="A84" s="144">
        <v>43982</v>
      </c>
      <c r="B84" s="144" t="s">
        <v>385</v>
      </c>
      <c r="C84" s="93" t="s">
        <v>230</v>
      </c>
      <c r="D84" s="94" t="s">
        <v>262</v>
      </c>
      <c r="E84" s="95"/>
      <c r="F84" s="112"/>
      <c r="G84" s="95"/>
      <c r="H84" s="114">
        <f>70000+130000+20000+40000+40000</f>
        <v>300000</v>
      </c>
    </row>
    <row r="85" spans="1:10" x14ac:dyDescent="0.25">
      <c r="A85" s="144">
        <v>43982</v>
      </c>
      <c r="B85" s="144" t="s">
        <v>385</v>
      </c>
      <c r="C85" s="93" t="s">
        <v>230</v>
      </c>
      <c r="D85" s="94" t="s">
        <v>264</v>
      </c>
      <c r="E85" s="95"/>
      <c r="F85" s="112"/>
      <c r="G85" s="95"/>
      <c r="H85" s="114">
        <v>10000</v>
      </c>
    </row>
    <row r="86" spans="1:10" x14ac:dyDescent="0.25">
      <c r="A86" s="144">
        <v>43982</v>
      </c>
      <c r="B86" s="144" t="s">
        <v>386</v>
      </c>
      <c r="C86" s="93" t="s">
        <v>214</v>
      </c>
      <c r="D86" s="94" t="s">
        <v>268</v>
      </c>
      <c r="E86" s="95"/>
      <c r="F86" s="112"/>
      <c r="G86" s="95"/>
      <c r="H86" s="114">
        <v>470000</v>
      </c>
    </row>
    <row r="87" spans="1:10" x14ac:dyDescent="0.25">
      <c r="A87" s="144">
        <v>43982</v>
      </c>
      <c r="B87" s="144" t="s">
        <v>383</v>
      </c>
      <c r="C87" s="93" t="s">
        <v>223</v>
      </c>
      <c r="D87" s="94" t="s">
        <v>296</v>
      </c>
      <c r="E87" s="95"/>
      <c r="F87" s="112"/>
      <c r="G87" s="95">
        <v>16000000</v>
      </c>
      <c r="H87" s="114"/>
    </row>
    <row r="88" spans="1:10" x14ac:dyDescent="0.25">
      <c r="A88" s="144">
        <v>43982</v>
      </c>
      <c r="B88" s="144" t="s">
        <v>359</v>
      </c>
      <c r="C88" s="93" t="s">
        <v>388</v>
      </c>
      <c r="D88" s="94" t="s">
        <v>297</v>
      </c>
      <c r="E88" s="95"/>
      <c r="F88" s="112">
        <v>50000000</v>
      </c>
      <c r="G88" s="95"/>
      <c r="H88" s="114"/>
    </row>
    <row r="89" spans="1:10" x14ac:dyDescent="0.25">
      <c r="A89" s="144">
        <v>43982</v>
      </c>
      <c r="B89" s="144" t="s">
        <v>384</v>
      </c>
      <c r="C89" s="93" t="s">
        <v>223</v>
      </c>
      <c r="D89" s="94" t="s">
        <v>298</v>
      </c>
      <c r="E89" s="95"/>
      <c r="F89" s="112"/>
      <c r="G89" s="95">
        <v>4500000</v>
      </c>
      <c r="H89" s="114"/>
    </row>
    <row r="90" spans="1:10" x14ac:dyDescent="0.25">
      <c r="A90" s="144">
        <v>43982</v>
      </c>
      <c r="B90" s="144" t="s">
        <v>385</v>
      </c>
      <c r="C90" s="93" t="s">
        <v>230</v>
      </c>
      <c r="D90" s="94" t="s">
        <v>260</v>
      </c>
      <c r="E90" s="95"/>
      <c r="F90" s="112"/>
      <c r="G90" s="95"/>
      <c r="H90" s="114">
        <v>105000</v>
      </c>
    </row>
    <row r="91" spans="1:10" x14ac:dyDescent="0.25">
      <c r="A91" s="144">
        <v>43982</v>
      </c>
      <c r="B91" s="144" t="s">
        <v>385</v>
      </c>
      <c r="C91" s="93" t="s">
        <v>230</v>
      </c>
      <c r="D91" s="94" t="s">
        <v>260</v>
      </c>
      <c r="E91" s="95"/>
      <c r="F91" s="112"/>
      <c r="G91" s="95"/>
      <c r="H91" s="114">
        <v>40000</v>
      </c>
    </row>
    <row r="92" spans="1:10" x14ac:dyDescent="0.25">
      <c r="A92" s="144">
        <v>43982</v>
      </c>
      <c r="B92" s="144" t="s">
        <v>385</v>
      </c>
      <c r="C92" s="93" t="s">
        <v>230</v>
      </c>
      <c r="D92" s="94" t="s">
        <v>260</v>
      </c>
      <c r="E92" s="95"/>
      <c r="F92" s="112"/>
      <c r="G92" s="95"/>
      <c r="H92" s="114">
        <v>40000</v>
      </c>
    </row>
    <row r="93" spans="1:10" s="118" customFormat="1" ht="14.25" x14ac:dyDescent="0.2">
      <c r="A93" s="346" t="s">
        <v>10</v>
      </c>
      <c r="B93" s="347"/>
      <c r="C93" s="347"/>
      <c r="D93" s="348"/>
      <c r="E93" s="117">
        <f>SUM(E8:E92)</f>
        <v>78910000</v>
      </c>
      <c r="F93" s="117">
        <f t="shared" ref="F93:H93" si="0">SUM(F8:F92)</f>
        <v>145461954.15384614</v>
      </c>
      <c r="G93" s="117">
        <f t="shared" si="0"/>
        <v>69900000</v>
      </c>
      <c r="H93" s="117">
        <f t="shared" si="0"/>
        <v>201064874.15384614</v>
      </c>
      <c r="I93" s="296"/>
      <c r="J93" s="119"/>
    </row>
    <row r="94" spans="1:10" s="118" customFormat="1" ht="14.25" x14ac:dyDescent="0.2">
      <c r="A94" s="145"/>
      <c r="B94" s="145"/>
      <c r="C94" s="120"/>
      <c r="D94" s="120"/>
      <c r="E94" s="121"/>
      <c r="F94" s="121"/>
      <c r="G94" s="121"/>
      <c r="H94" s="121"/>
      <c r="J94" s="119"/>
    </row>
    <row r="95" spans="1:10" s="118" customFormat="1" ht="18.75" x14ac:dyDescent="0.3">
      <c r="A95" s="345" t="s">
        <v>97</v>
      </c>
      <c r="B95" s="345"/>
      <c r="C95" s="345"/>
      <c r="D95" s="120"/>
      <c r="E95" s="121"/>
      <c r="F95" s="121"/>
      <c r="G95" s="121"/>
      <c r="H95" s="121"/>
      <c r="J95" s="119"/>
    </row>
    <row r="96" spans="1:10" s="118" customFormat="1" ht="14.25" x14ac:dyDescent="0.2">
      <c r="A96" s="145"/>
      <c r="B96" s="145"/>
      <c r="C96" s="120"/>
      <c r="D96" s="120"/>
      <c r="E96" s="121"/>
      <c r="F96" s="121"/>
      <c r="G96" s="121"/>
      <c r="H96" s="121"/>
      <c r="J96" s="119"/>
    </row>
    <row r="97" spans="1:10" s="118" customFormat="1" ht="14.25" x14ac:dyDescent="0.2">
      <c r="A97" s="145"/>
      <c r="B97" s="145"/>
      <c r="C97" s="334" t="s">
        <v>388</v>
      </c>
      <c r="D97" s="334"/>
      <c r="E97" s="121"/>
      <c r="F97" s="121"/>
      <c r="G97" s="121"/>
      <c r="H97" s="121"/>
      <c r="J97" s="119"/>
    </row>
    <row r="98" spans="1:10" s="118" customFormat="1" ht="14.25" x14ac:dyDescent="0.2">
      <c r="A98" s="335" t="s">
        <v>4</v>
      </c>
      <c r="B98" s="336" t="s">
        <v>323</v>
      </c>
      <c r="C98" s="335" t="s">
        <v>5</v>
      </c>
      <c r="D98" s="338" t="s">
        <v>6</v>
      </c>
      <c r="E98" s="330" t="s">
        <v>7</v>
      </c>
      <c r="F98" s="330"/>
      <c r="G98" s="330" t="s">
        <v>8</v>
      </c>
      <c r="H98" s="330"/>
      <c r="J98" s="119"/>
    </row>
    <row r="99" spans="1:10" s="118" customFormat="1" ht="14.25" x14ac:dyDescent="0.2">
      <c r="A99" s="335"/>
      <c r="B99" s="337"/>
      <c r="C99" s="335"/>
      <c r="D99" s="338"/>
      <c r="E99" s="295" t="s">
        <v>96</v>
      </c>
      <c r="F99" s="295" t="s">
        <v>63</v>
      </c>
      <c r="G99" s="295" t="s">
        <v>96</v>
      </c>
      <c r="H99" s="295" t="s">
        <v>63</v>
      </c>
      <c r="J99" s="119"/>
    </row>
    <row r="100" spans="1:10" x14ac:dyDescent="0.25">
      <c r="A100" s="144">
        <v>43982</v>
      </c>
      <c r="B100" s="144" t="s">
        <v>359</v>
      </c>
      <c r="C100" s="93" t="s">
        <v>388</v>
      </c>
      <c r="D100" s="94" t="s">
        <v>297</v>
      </c>
      <c r="E100" s="95"/>
      <c r="F100" s="112">
        <v>50000000</v>
      </c>
      <c r="G100" s="95"/>
      <c r="H100" s="114"/>
    </row>
    <row r="101" spans="1:10" s="118" customFormat="1" ht="14.25" x14ac:dyDescent="0.2">
      <c r="A101" s="331" t="s">
        <v>278</v>
      </c>
      <c r="B101" s="332"/>
      <c r="C101" s="332"/>
      <c r="D101" s="333"/>
      <c r="E101" s="117"/>
      <c r="F101" s="117">
        <f>SUM(F100)</f>
        <v>50000000</v>
      </c>
      <c r="G101" s="117"/>
      <c r="H101" s="117"/>
      <c r="J101" s="119"/>
    </row>
    <row r="102" spans="1:10" s="118" customFormat="1" ht="14.25" x14ac:dyDescent="0.2">
      <c r="A102" s="145"/>
      <c r="B102" s="145"/>
      <c r="C102" s="120"/>
      <c r="D102" s="120"/>
      <c r="E102" s="121"/>
      <c r="F102" s="121"/>
      <c r="G102" s="121"/>
      <c r="H102" s="121"/>
      <c r="J102" s="119"/>
    </row>
    <row r="103" spans="1:10" s="118" customFormat="1" ht="14.25" x14ac:dyDescent="0.2">
      <c r="A103" s="145"/>
      <c r="B103" s="145"/>
      <c r="C103" s="120"/>
      <c r="D103" s="120"/>
      <c r="E103" s="121"/>
      <c r="F103" s="121"/>
      <c r="G103" s="121"/>
      <c r="H103" s="121"/>
      <c r="J103" s="119"/>
    </row>
    <row r="104" spans="1:10" s="118" customFormat="1" ht="14.25" x14ac:dyDescent="0.2">
      <c r="A104" s="145"/>
      <c r="B104" s="145"/>
      <c r="C104" s="334" t="s">
        <v>279</v>
      </c>
      <c r="D104" s="334"/>
      <c r="E104" s="121"/>
      <c r="F104" s="121"/>
      <c r="G104" s="121"/>
      <c r="H104" s="121"/>
      <c r="J104" s="119"/>
    </row>
    <row r="105" spans="1:10" s="118" customFormat="1" ht="14.25" x14ac:dyDescent="0.2">
      <c r="A105" s="335" t="s">
        <v>4</v>
      </c>
      <c r="B105" s="336" t="s">
        <v>323</v>
      </c>
      <c r="C105" s="335" t="s">
        <v>5</v>
      </c>
      <c r="D105" s="338" t="s">
        <v>6</v>
      </c>
      <c r="E105" s="330" t="s">
        <v>7</v>
      </c>
      <c r="F105" s="330"/>
      <c r="G105" s="330" t="s">
        <v>8</v>
      </c>
      <c r="H105" s="330"/>
      <c r="J105" s="119"/>
    </row>
    <row r="106" spans="1:10" s="118" customFormat="1" ht="14.25" x14ac:dyDescent="0.2">
      <c r="A106" s="335"/>
      <c r="B106" s="337"/>
      <c r="C106" s="335"/>
      <c r="D106" s="338"/>
      <c r="E106" s="295" t="s">
        <v>96</v>
      </c>
      <c r="F106" s="295" t="s">
        <v>63</v>
      </c>
      <c r="G106" s="295" t="s">
        <v>96</v>
      </c>
      <c r="H106" s="295" t="s">
        <v>63</v>
      </c>
      <c r="J106" s="119"/>
    </row>
    <row r="107" spans="1:10" s="118" customFormat="1" x14ac:dyDescent="0.25">
      <c r="A107" s="144">
        <v>43955</v>
      </c>
      <c r="B107" s="144" t="s">
        <v>364</v>
      </c>
      <c r="C107" s="93" t="s">
        <v>216</v>
      </c>
      <c r="D107" s="94" t="s">
        <v>269</v>
      </c>
      <c r="E107" s="95"/>
      <c r="F107" s="112"/>
      <c r="G107" s="95">
        <v>5150000</v>
      </c>
      <c r="H107" s="112"/>
      <c r="J107" s="119"/>
    </row>
    <row r="108" spans="1:10" s="118" customFormat="1" x14ac:dyDescent="0.25">
      <c r="A108" s="144">
        <v>43962</v>
      </c>
      <c r="B108" s="144" t="s">
        <v>367</v>
      </c>
      <c r="C108" s="93" t="s">
        <v>216</v>
      </c>
      <c r="D108" s="94" t="s">
        <v>217</v>
      </c>
      <c r="E108" s="95"/>
      <c r="F108" s="112"/>
      <c r="G108" s="95">
        <v>10000000</v>
      </c>
      <c r="H108" s="112"/>
      <c r="J108" s="119"/>
    </row>
    <row r="109" spans="1:10" s="118" customFormat="1" x14ac:dyDescent="0.25">
      <c r="A109" s="144">
        <v>43965</v>
      </c>
      <c r="B109" s="144" t="s">
        <v>368</v>
      </c>
      <c r="C109" s="93" t="s">
        <v>216</v>
      </c>
      <c r="D109" s="94" t="s">
        <v>304</v>
      </c>
      <c r="E109" s="95"/>
      <c r="F109" s="112"/>
      <c r="G109" s="95"/>
      <c r="H109" s="112">
        <v>32800000</v>
      </c>
      <c r="J109" s="119"/>
    </row>
    <row r="110" spans="1:10" s="118" customFormat="1" x14ac:dyDescent="0.25">
      <c r="A110" s="144">
        <v>43965</v>
      </c>
      <c r="B110" s="144" t="s">
        <v>369</v>
      </c>
      <c r="C110" s="93" t="s">
        <v>216</v>
      </c>
      <c r="D110" s="94" t="s">
        <v>305</v>
      </c>
      <c r="E110" s="95"/>
      <c r="F110" s="112"/>
      <c r="G110" s="95"/>
      <c r="H110" s="112">
        <v>14500000</v>
      </c>
      <c r="J110" s="119"/>
    </row>
    <row r="111" spans="1:10" s="118" customFormat="1" ht="14.25" x14ac:dyDescent="0.2">
      <c r="A111" s="331" t="s">
        <v>278</v>
      </c>
      <c r="B111" s="332"/>
      <c r="C111" s="332"/>
      <c r="D111" s="333"/>
      <c r="E111" s="117"/>
      <c r="F111" s="117"/>
      <c r="G111" s="117">
        <f>SUBTOTAL(9,G107:G110)</f>
        <v>15150000</v>
      </c>
      <c r="H111" s="117">
        <f>SUBTOTAL(9,H107:H110)</f>
        <v>47300000</v>
      </c>
      <c r="J111" s="119"/>
    </row>
    <row r="112" spans="1:10" s="118" customFormat="1" ht="14.25" x14ac:dyDescent="0.2">
      <c r="A112" s="145"/>
      <c r="B112" s="145"/>
      <c r="C112" s="120"/>
      <c r="D112" s="120"/>
      <c r="E112" s="121"/>
      <c r="F112" s="121"/>
      <c r="G112" s="121"/>
      <c r="H112" s="121"/>
      <c r="J112" s="119"/>
    </row>
    <row r="113" spans="1:10" s="118" customFormat="1" ht="14.25" x14ac:dyDescent="0.2">
      <c r="A113" s="145"/>
      <c r="B113" s="145"/>
      <c r="C113" s="334" t="s">
        <v>285</v>
      </c>
      <c r="D113" s="334"/>
      <c r="E113" s="121"/>
      <c r="F113" s="121"/>
      <c r="G113" s="121"/>
      <c r="H113" s="121"/>
      <c r="J113" s="119"/>
    </row>
    <row r="114" spans="1:10" s="118" customFormat="1" ht="14.25" x14ac:dyDescent="0.2">
      <c r="A114" s="335" t="s">
        <v>4</v>
      </c>
      <c r="B114" s="336" t="s">
        <v>323</v>
      </c>
      <c r="C114" s="335" t="s">
        <v>5</v>
      </c>
      <c r="D114" s="338" t="s">
        <v>6</v>
      </c>
      <c r="E114" s="330" t="s">
        <v>7</v>
      </c>
      <c r="F114" s="330"/>
      <c r="G114" s="330" t="s">
        <v>8</v>
      </c>
      <c r="H114" s="330"/>
      <c r="J114" s="119"/>
    </row>
    <row r="115" spans="1:10" s="118" customFormat="1" ht="14.25" x14ac:dyDescent="0.2">
      <c r="A115" s="335"/>
      <c r="B115" s="337"/>
      <c r="C115" s="335"/>
      <c r="D115" s="338"/>
      <c r="E115" s="295" t="s">
        <v>96</v>
      </c>
      <c r="F115" s="295" t="s">
        <v>63</v>
      </c>
      <c r="G115" s="295" t="s">
        <v>96</v>
      </c>
      <c r="H115" s="295" t="s">
        <v>63</v>
      </c>
      <c r="J115" s="119"/>
    </row>
    <row r="116" spans="1:10" s="118" customFormat="1" x14ac:dyDescent="0.25">
      <c r="A116" s="290">
        <v>43792</v>
      </c>
      <c r="B116" s="144" t="s">
        <v>385</v>
      </c>
      <c r="C116" s="291" t="s">
        <v>230</v>
      </c>
      <c r="D116" s="292" t="s">
        <v>271</v>
      </c>
      <c r="E116" s="293"/>
      <c r="F116" s="294"/>
      <c r="G116" s="293"/>
      <c r="H116" s="294">
        <v>519750</v>
      </c>
      <c r="J116" s="119"/>
    </row>
    <row r="117" spans="1:10" s="118" customFormat="1" x14ac:dyDescent="0.25">
      <c r="A117" s="144">
        <v>43952</v>
      </c>
      <c r="B117" s="144" t="s">
        <v>385</v>
      </c>
      <c r="C117" s="93" t="s">
        <v>230</v>
      </c>
      <c r="D117" s="94" t="s">
        <v>271</v>
      </c>
      <c r="E117" s="95"/>
      <c r="F117" s="112"/>
      <c r="G117" s="95"/>
      <c r="H117" s="112">
        <v>410000</v>
      </c>
      <c r="J117" s="119"/>
    </row>
    <row r="118" spans="1:10" s="118" customFormat="1" x14ac:dyDescent="0.25">
      <c r="A118" s="144">
        <v>43953</v>
      </c>
      <c r="B118" s="144" t="s">
        <v>385</v>
      </c>
      <c r="C118" s="93" t="s">
        <v>230</v>
      </c>
      <c r="D118" s="94" t="s">
        <v>260</v>
      </c>
      <c r="E118" s="95"/>
      <c r="F118" s="112"/>
      <c r="G118" s="95"/>
      <c r="H118" s="112">
        <v>60000</v>
      </c>
      <c r="J118" s="119"/>
    </row>
    <row r="119" spans="1:10" s="118" customFormat="1" x14ac:dyDescent="0.25">
      <c r="A119" s="144">
        <v>43953</v>
      </c>
      <c r="B119" s="144" t="s">
        <v>385</v>
      </c>
      <c r="C119" s="93" t="s">
        <v>230</v>
      </c>
      <c r="D119" s="94" t="s">
        <v>260</v>
      </c>
      <c r="E119" s="95"/>
      <c r="F119" s="112"/>
      <c r="G119" s="95"/>
      <c r="H119" s="112">
        <v>105000</v>
      </c>
      <c r="J119" s="119"/>
    </row>
    <row r="120" spans="1:10" s="118" customFormat="1" x14ac:dyDescent="0.25">
      <c r="A120" s="144">
        <v>43954</v>
      </c>
      <c r="B120" s="144" t="s">
        <v>385</v>
      </c>
      <c r="C120" s="93" t="s">
        <v>230</v>
      </c>
      <c r="D120" s="94" t="s">
        <v>260</v>
      </c>
      <c r="E120" s="95"/>
      <c r="F120" s="112"/>
      <c r="G120" s="95"/>
      <c r="H120" s="112">
        <v>40000</v>
      </c>
      <c r="J120" s="119"/>
    </row>
    <row r="121" spans="1:10" s="118" customFormat="1" x14ac:dyDescent="0.25">
      <c r="A121" s="144">
        <v>43959</v>
      </c>
      <c r="B121" s="144" t="s">
        <v>385</v>
      </c>
      <c r="C121" s="93" t="s">
        <v>230</v>
      </c>
      <c r="D121" s="94" t="s">
        <v>231</v>
      </c>
      <c r="E121" s="95"/>
      <c r="F121" s="112"/>
      <c r="G121" s="95"/>
      <c r="H121" s="112">
        <v>600000</v>
      </c>
      <c r="J121" s="119"/>
    </row>
    <row r="122" spans="1:10" s="118" customFormat="1" x14ac:dyDescent="0.25">
      <c r="A122" s="144">
        <v>43973</v>
      </c>
      <c r="B122" s="144" t="s">
        <v>385</v>
      </c>
      <c r="C122" s="93" t="s">
        <v>230</v>
      </c>
      <c r="D122" s="94" t="s">
        <v>271</v>
      </c>
      <c r="E122" s="95"/>
      <c r="F122" s="112"/>
      <c r="G122" s="95"/>
      <c r="H122" s="114">
        <v>1057500</v>
      </c>
      <c r="J122" s="119"/>
    </row>
    <row r="123" spans="1:10" s="118" customFormat="1" x14ac:dyDescent="0.25">
      <c r="A123" s="144">
        <v>43973</v>
      </c>
      <c r="B123" s="144" t="s">
        <v>385</v>
      </c>
      <c r="C123" s="93" t="s">
        <v>230</v>
      </c>
      <c r="D123" s="94" t="s">
        <v>302</v>
      </c>
      <c r="E123" s="95"/>
      <c r="F123" s="112"/>
      <c r="G123" s="95"/>
      <c r="H123" s="114">
        <v>15000</v>
      </c>
      <c r="J123" s="119"/>
    </row>
    <row r="124" spans="1:10" s="118" customFormat="1" x14ac:dyDescent="0.25">
      <c r="A124" s="144">
        <v>43975</v>
      </c>
      <c r="B124" s="144" t="s">
        <v>385</v>
      </c>
      <c r="C124" s="93" t="s">
        <v>230</v>
      </c>
      <c r="D124" s="94" t="s">
        <v>263</v>
      </c>
      <c r="E124" s="95"/>
      <c r="F124" s="112"/>
      <c r="G124" s="95"/>
      <c r="H124" s="114">
        <v>200000</v>
      </c>
      <c r="J124" s="119"/>
    </row>
    <row r="125" spans="1:10" s="118" customFormat="1" x14ac:dyDescent="0.25">
      <c r="A125" s="144">
        <v>43976</v>
      </c>
      <c r="B125" s="144" t="s">
        <v>385</v>
      </c>
      <c r="C125" s="93" t="s">
        <v>230</v>
      </c>
      <c r="D125" s="94" t="s">
        <v>271</v>
      </c>
      <c r="E125" s="95"/>
      <c r="F125" s="112"/>
      <c r="G125" s="95"/>
      <c r="H125" s="114">
        <v>856100</v>
      </c>
      <c r="J125" s="119"/>
    </row>
    <row r="126" spans="1:10" s="118" customFormat="1" x14ac:dyDescent="0.25">
      <c r="A126" s="144">
        <v>43977</v>
      </c>
      <c r="B126" s="144" t="s">
        <v>385</v>
      </c>
      <c r="C126" s="93" t="s">
        <v>230</v>
      </c>
      <c r="D126" s="94" t="s">
        <v>260</v>
      </c>
      <c r="E126" s="95"/>
      <c r="F126" s="112"/>
      <c r="G126" s="95"/>
      <c r="H126" s="114">
        <v>40000</v>
      </c>
      <c r="J126" s="119"/>
    </row>
    <row r="127" spans="1:10" s="118" customFormat="1" x14ac:dyDescent="0.25">
      <c r="A127" s="144">
        <v>43978</v>
      </c>
      <c r="B127" s="144" t="s">
        <v>385</v>
      </c>
      <c r="C127" s="93" t="s">
        <v>230</v>
      </c>
      <c r="D127" s="94" t="s">
        <v>260</v>
      </c>
      <c r="E127" s="95"/>
      <c r="F127" s="112"/>
      <c r="G127" s="95"/>
      <c r="H127" s="114">
        <v>40000</v>
      </c>
      <c r="J127" s="119"/>
    </row>
    <row r="128" spans="1:10" s="118" customFormat="1" x14ac:dyDescent="0.25">
      <c r="A128" s="144">
        <v>43980</v>
      </c>
      <c r="B128" s="144" t="s">
        <v>385</v>
      </c>
      <c r="C128" s="93" t="s">
        <v>230</v>
      </c>
      <c r="D128" s="94" t="s">
        <v>260</v>
      </c>
      <c r="E128" s="95"/>
      <c r="F128" s="112"/>
      <c r="G128" s="95"/>
      <c r="H128" s="114">
        <v>40000</v>
      </c>
      <c r="J128" s="119"/>
    </row>
    <row r="129" spans="1:10" s="118" customFormat="1" x14ac:dyDescent="0.25">
      <c r="A129" s="144">
        <v>43981</v>
      </c>
      <c r="B129" s="144" t="s">
        <v>385</v>
      </c>
      <c r="C129" s="93" t="s">
        <v>230</v>
      </c>
      <c r="D129" s="94" t="s">
        <v>260</v>
      </c>
      <c r="E129" s="95"/>
      <c r="F129" s="112"/>
      <c r="G129" s="95"/>
      <c r="H129" s="114">
        <v>105000</v>
      </c>
      <c r="J129" s="119"/>
    </row>
    <row r="130" spans="1:10" s="118" customFormat="1" x14ac:dyDescent="0.25">
      <c r="A130" s="144">
        <v>43981</v>
      </c>
      <c r="B130" s="144" t="s">
        <v>385</v>
      </c>
      <c r="C130" s="93" t="s">
        <v>230</v>
      </c>
      <c r="D130" s="94" t="s">
        <v>260</v>
      </c>
      <c r="E130" s="95"/>
      <c r="F130" s="112"/>
      <c r="G130" s="95"/>
      <c r="H130" s="114">
        <v>40000</v>
      </c>
      <c r="J130" s="119"/>
    </row>
    <row r="131" spans="1:10" s="118" customFormat="1" x14ac:dyDescent="0.25">
      <c r="A131" s="144">
        <v>43982</v>
      </c>
      <c r="B131" s="144" t="s">
        <v>385</v>
      </c>
      <c r="C131" s="93" t="s">
        <v>230</v>
      </c>
      <c r="D131" s="94" t="s">
        <v>261</v>
      </c>
      <c r="E131" s="95"/>
      <c r="F131" s="112"/>
      <c r="G131" s="95"/>
      <c r="H131" s="114">
        <v>120000</v>
      </c>
      <c r="J131" s="119"/>
    </row>
    <row r="132" spans="1:10" s="118" customFormat="1" x14ac:dyDescent="0.25">
      <c r="A132" s="144">
        <v>43982</v>
      </c>
      <c r="B132" s="144" t="s">
        <v>385</v>
      </c>
      <c r="C132" s="93" t="s">
        <v>230</v>
      </c>
      <c r="D132" s="94" t="s">
        <v>262</v>
      </c>
      <c r="E132" s="95"/>
      <c r="F132" s="112"/>
      <c r="G132" s="95"/>
      <c r="H132" s="114">
        <v>300000</v>
      </c>
      <c r="J132" s="119"/>
    </row>
    <row r="133" spans="1:10" s="118" customFormat="1" x14ac:dyDescent="0.25">
      <c r="A133" s="144">
        <v>43982</v>
      </c>
      <c r="B133" s="144" t="s">
        <v>385</v>
      </c>
      <c r="C133" s="93" t="s">
        <v>230</v>
      </c>
      <c r="D133" s="94" t="s">
        <v>264</v>
      </c>
      <c r="E133" s="95"/>
      <c r="F133" s="112"/>
      <c r="G133" s="95"/>
      <c r="H133" s="114">
        <v>10000</v>
      </c>
      <c r="J133" s="119"/>
    </row>
    <row r="134" spans="1:10" s="118" customFormat="1" x14ac:dyDescent="0.25">
      <c r="A134" s="144">
        <v>43982</v>
      </c>
      <c r="B134" s="144" t="s">
        <v>385</v>
      </c>
      <c r="C134" s="93" t="s">
        <v>230</v>
      </c>
      <c r="D134" s="94" t="s">
        <v>260</v>
      </c>
      <c r="E134" s="95"/>
      <c r="F134" s="112"/>
      <c r="G134" s="95"/>
      <c r="H134" s="114">
        <v>105000</v>
      </c>
      <c r="J134" s="119"/>
    </row>
    <row r="135" spans="1:10" s="118" customFormat="1" x14ac:dyDescent="0.25">
      <c r="A135" s="144">
        <v>43982</v>
      </c>
      <c r="B135" s="144" t="s">
        <v>385</v>
      </c>
      <c r="C135" s="93" t="s">
        <v>230</v>
      </c>
      <c r="D135" s="94" t="s">
        <v>260</v>
      </c>
      <c r="E135" s="95"/>
      <c r="F135" s="112"/>
      <c r="G135" s="95"/>
      <c r="H135" s="114">
        <v>40000</v>
      </c>
      <c r="J135" s="119"/>
    </row>
    <row r="136" spans="1:10" s="118" customFormat="1" x14ac:dyDescent="0.25">
      <c r="A136" s="144">
        <v>43982</v>
      </c>
      <c r="B136" s="144" t="s">
        <v>385</v>
      </c>
      <c r="C136" s="93" t="s">
        <v>230</v>
      </c>
      <c r="D136" s="94" t="s">
        <v>260</v>
      </c>
      <c r="E136" s="95"/>
      <c r="F136" s="112"/>
      <c r="G136" s="95"/>
      <c r="H136" s="114">
        <v>40000</v>
      </c>
      <c r="J136" s="119"/>
    </row>
    <row r="137" spans="1:10" s="118" customFormat="1" ht="14.25" x14ac:dyDescent="0.2">
      <c r="A137" s="331" t="s">
        <v>278</v>
      </c>
      <c r="B137" s="332"/>
      <c r="C137" s="332"/>
      <c r="D137" s="333"/>
      <c r="E137" s="117"/>
      <c r="F137" s="117"/>
      <c r="G137" s="117"/>
      <c r="H137" s="117">
        <f>SUBTOTAL(9,H116:H136)</f>
        <v>4743350</v>
      </c>
      <c r="J137" s="119"/>
    </row>
    <row r="138" spans="1:10" s="118" customFormat="1" x14ac:dyDescent="0.25">
      <c r="A138" s="219"/>
      <c r="B138" s="219"/>
      <c r="C138" s="220"/>
      <c r="D138" s="221"/>
      <c r="E138" s="222"/>
      <c r="F138" s="223"/>
      <c r="G138" s="222"/>
      <c r="H138" s="224"/>
      <c r="J138" s="119"/>
    </row>
    <row r="139" spans="1:10" s="118" customFormat="1" ht="14.25" x14ac:dyDescent="0.2">
      <c r="A139" s="145"/>
      <c r="B139" s="145"/>
      <c r="C139" s="334" t="s">
        <v>284</v>
      </c>
      <c r="D139" s="334"/>
      <c r="E139" s="121"/>
      <c r="F139" s="121"/>
      <c r="G139" s="121"/>
      <c r="H139" s="121"/>
      <c r="J139" s="119"/>
    </row>
    <row r="140" spans="1:10" s="118" customFormat="1" ht="14.25" x14ac:dyDescent="0.2">
      <c r="A140" s="339" t="s">
        <v>4</v>
      </c>
      <c r="B140" s="336" t="s">
        <v>323</v>
      </c>
      <c r="C140" s="339" t="s">
        <v>5</v>
      </c>
      <c r="D140" s="341" t="s">
        <v>6</v>
      </c>
      <c r="E140" s="343" t="s">
        <v>7</v>
      </c>
      <c r="F140" s="343"/>
      <c r="G140" s="343" t="s">
        <v>8</v>
      </c>
      <c r="H140" s="343"/>
      <c r="J140" s="119"/>
    </row>
    <row r="141" spans="1:10" s="118" customFormat="1" ht="15" customHeight="1" x14ac:dyDescent="0.2">
      <c r="A141" s="340"/>
      <c r="B141" s="344"/>
      <c r="C141" s="340"/>
      <c r="D141" s="342"/>
      <c r="E141" s="111" t="s">
        <v>96</v>
      </c>
      <c r="F141" s="111" t="s">
        <v>63</v>
      </c>
      <c r="G141" s="111" t="s">
        <v>96</v>
      </c>
      <c r="H141" s="111" t="s">
        <v>63</v>
      </c>
      <c r="J141" s="119"/>
    </row>
    <row r="142" spans="1:10" s="118" customFormat="1" x14ac:dyDescent="0.25">
      <c r="A142" s="300">
        <v>43955</v>
      </c>
      <c r="B142" s="300" t="s">
        <v>387</v>
      </c>
      <c r="C142" s="301" t="s">
        <v>218</v>
      </c>
      <c r="D142" s="302" t="s">
        <v>310</v>
      </c>
      <c r="E142" s="95"/>
      <c r="F142" s="112"/>
      <c r="G142" s="95"/>
      <c r="H142" s="114">
        <v>122100000</v>
      </c>
      <c r="J142" s="119"/>
    </row>
    <row r="143" spans="1:10" s="118" customFormat="1" x14ac:dyDescent="0.25">
      <c r="A143" s="144">
        <v>43953</v>
      </c>
      <c r="B143" s="144" t="s">
        <v>327</v>
      </c>
      <c r="C143" s="93" t="s">
        <v>218</v>
      </c>
      <c r="D143" s="94" t="s">
        <v>229</v>
      </c>
      <c r="E143" s="95">
        <v>649000</v>
      </c>
      <c r="F143" s="112"/>
      <c r="G143" s="95"/>
      <c r="H143" s="112"/>
      <c r="J143" s="119"/>
    </row>
    <row r="144" spans="1:10" s="118" customFormat="1" x14ac:dyDescent="0.25">
      <c r="A144" s="144">
        <v>43955</v>
      </c>
      <c r="B144" s="144" t="s">
        <v>328</v>
      </c>
      <c r="C144" s="93" t="s">
        <v>218</v>
      </c>
      <c r="D144" s="94" t="s">
        <v>313</v>
      </c>
      <c r="E144" s="95"/>
      <c r="F144" s="112">
        <v>1091500</v>
      </c>
      <c r="G144" s="95"/>
      <c r="H144" s="112"/>
      <c r="J144" s="119"/>
    </row>
    <row r="145" spans="1:10" s="118" customFormat="1" x14ac:dyDescent="0.25">
      <c r="A145" s="144">
        <v>43956</v>
      </c>
      <c r="B145" s="144" t="s">
        <v>329</v>
      </c>
      <c r="C145" s="93" t="s">
        <v>218</v>
      </c>
      <c r="D145" s="94" t="s">
        <v>314</v>
      </c>
      <c r="E145" s="95">
        <v>13310400</v>
      </c>
      <c r="F145" s="112"/>
      <c r="G145" s="95"/>
      <c r="H145" s="112"/>
      <c r="J145" s="119"/>
    </row>
    <row r="146" spans="1:10" s="118" customFormat="1" x14ac:dyDescent="0.25">
      <c r="A146" s="144">
        <v>43956</v>
      </c>
      <c r="B146" s="144" t="s">
        <v>330</v>
      </c>
      <c r="C146" s="93" t="s">
        <v>218</v>
      </c>
      <c r="D146" s="94" t="s">
        <v>315</v>
      </c>
      <c r="E146" s="95"/>
      <c r="F146" s="112">
        <v>324500</v>
      </c>
      <c r="G146" s="95"/>
      <c r="H146" s="112"/>
      <c r="J146" s="119"/>
    </row>
    <row r="147" spans="1:10" s="118" customFormat="1" x14ac:dyDescent="0.25">
      <c r="A147" s="144">
        <v>43957</v>
      </c>
      <c r="B147" s="144" t="s">
        <v>331</v>
      </c>
      <c r="C147" s="93" t="s">
        <v>218</v>
      </c>
      <c r="D147" s="94" t="s">
        <v>314</v>
      </c>
      <c r="E147" s="95">
        <v>3186000</v>
      </c>
      <c r="F147" s="112"/>
      <c r="G147" s="95"/>
      <c r="H147" s="112"/>
      <c r="J147" s="119"/>
    </row>
    <row r="148" spans="1:10" s="118" customFormat="1" x14ac:dyDescent="0.25">
      <c r="A148" s="144">
        <v>43960</v>
      </c>
      <c r="B148" s="144" t="s">
        <v>332</v>
      </c>
      <c r="C148" s="93" t="s">
        <v>218</v>
      </c>
      <c r="D148" s="94" t="s">
        <v>325</v>
      </c>
      <c r="E148" s="95"/>
      <c r="F148" s="112">
        <v>1242000</v>
      </c>
      <c r="G148" s="95"/>
      <c r="H148" s="112"/>
      <c r="J148" s="119"/>
    </row>
    <row r="149" spans="1:10" s="118" customFormat="1" x14ac:dyDescent="0.25">
      <c r="A149" s="144">
        <v>43960</v>
      </c>
      <c r="B149" s="144" t="s">
        <v>333</v>
      </c>
      <c r="C149" s="93" t="s">
        <v>218</v>
      </c>
      <c r="D149" s="94" t="s">
        <v>326</v>
      </c>
      <c r="E149" s="95">
        <v>1630000</v>
      </c>
      <c r="F149" s="112"/>
      <c r="G149" s="95"/>
      <c r="H149" s="112"/>
      <c r="J149" s="119"/>
    </row>
    <row r="150" spans="1:10" s="118" customFormat="1" x14ac:dyDescent="0.25">
      <c r="A150" s="144">
        <v>43960</v>
      </c>
      <c r="B150" s="144" t="s">
        <v>334</v>
      </c>
      <c r="C150" s="93" t="s">
        <v>218</v>
      </c>
      <c r="D150" s="94" t="s">
        <v>324</v>
      </c>
      <c r="E150" s="95"/>
      <c r="F150" s="112">
        <v>1507000</v>
      </c>
      <c r="G150" s="95"/>
      <c r="H150" s="112"/>
      <c r="J150" s="119"/>
    </row>
    <row r="151" spans="1:10" s="118" customFormat="1" x14ac:dyDescent="0.25">
      <c r="A151" s="144">
        <v>43962</v>
      </c>
      <c r="B151" s="144" t="s">
        <v>335</v>
      </c>
      <c r="C151" s="93" t="s">
        <v>218</v>
      </c>
      <c r="D151" s="94" t="s">
        <v>220</v>
      </c>
      <c r="E151" s="95">
        <v>14352000</v>
      </c>
      <c r="F151" s="112"/>
      <c r="G151" s="95"/>
      <c r="H151" s="112"/>
      <c r="J151" s="119"/>
    </row>
    <row r="152" spans="1:10" s="118" customFormat="1" x14ac:dyDescent="0.25">
      <c r="A152" s="144">
        <v>43962</v>
      </c>
      <c r="B152" s="144" t="s">
        <v>336</v>
      </c>
      <c r="C152" s="93" t="s">
        <v>218</v>
      </c>
      <c r="D152" s="94" t="s">
        <v>316</v>
      </c>
      <c r="E152" s="95"/>
      <c r="F152" s="112">
        <v>1716900</v>
      </c>
      <c r="G152" s="95"/>
      <c r="H152" s="112"/>
      <c r="J152" s="119"/>
    </row>
    <row r="153" spans="1:10" s="118" customFormat="1" x14ac:dyDescent="0.25">
      <c r="A153" s="144">
        <v>43962</v>
      </c>
      <c r="B153" s="144" t="s">
        <v>337</v>
      </c>
      <c r="C153" s="93" t="s">
        <v>218</v>
      </c>
      <c r="D153" s="94" t="s">
        <v>317</v>
      </c>
      <c r="E153" s="95"/>
      <c r="F153" s="112">
        <v>1716900</v>
      </c>
      <c r="G153" s="95"/>
      <c r="H153" s="112"/>
      <c r="J153" s="119"/>
    </row>
    <row r="154" spans="1:10" s="118" customFormat="1" x14ac:dyDescent="0.25">
      <c r="A154" s="144">
        <v>43963</v>
      </c>
      <c r="B154" s="144" t="s">
        <v>338</v>
      </c>
      <c r="C154" s="93" t="s">
        <v>218</v>
      </c>
      <c r="D154" s="94" t="s">
        <v>318</v>
      </c>
      <c r="E154" s="95">
        <v>274350</v>
      </c>
      <c r="F154" s="112"/>
      <c r="G154" s="95"/>
      <c r="H154" s="112"/>
      <c r="J154" s="119"/>
    </row>
    <row r="155" spans="1:10" s="118" customFormat="1" x14ac:dyDescent="0.25">
      <c r="A155" s="144">
        <v>43965</v>
      </c>
      <c r="B155" s="144" t="s">
        <v>339</v>
      </c>
      <c r="C155" s="93" t="s">
        <v>218</v>
      </c>
      <c r="D155" s="94" t="s">
        <v>307</v>
      </c>
      <c r="E155" s="95"/>
      <c r="F155" s="112">
        <v>48820000</v>
      </c>
      <c r="G155" s="95"/>
      <c r="H155" s="112"/>
      <c r="J155" s="119"/>
    </row>
    <row r="156" spans="1:10" s="118" customFormat="1" x14ac:dyDescent="0.25">
      <c r="A156" s="144">
        <v>43965</v>
      </c>
      <c r="B156" s="144" t="s">
        <v>340</v>
      </c>
      <c r="C156" s="93" t="s">
        <v>218</v>
      </c>
      <c r="D156" s="94" t="s">
        <v>319</v>
      </c>
      <c r="E156" s="95"/>
      <c r="F156" s="112">
        <v>1079700</v>
      </c>
      <c r="G156" s="95"/>
      <c r="H156" s="112"/>
      <c r="J156" s="119"/>
    </row>
    <row r="157" spans="1:10" s="118" customFormat="1" x14ac:dyDescent="0.25">
      <c r="A157" s="144">
        <v>43967</v>
      </c>
      <c r="B157" s="144" t="s">
        <v>341</v>
      </c>
      <c r="C157" s="93" t="s">
        <v>218</v>
      </c>
      <c r="D157" s="94" t="s">
        <v>320</v>
      </c>
      <c r="E157" s="95"/>
      <c r="F157" s="112">
        <v>286150</v>
      </c>
      <c r="G157" s="95"/>
      <c r="H157" s="112"/>
      <c r="J157" s="119"/>
    </row>
    <row r="158" spans="1:10" s="118" customFormat="1" x14ac:dyDescent="0.25">
      <c r="A158" s="144">
        <v>43967</v>
      </c>
      <c r="B158" s="144" t="s">
        <v>342</v>
      </c>
      <c r="C158" s="93" t="s">
        <v>218</v>
      </c>
      <c r="D158" s="94" t="s">
        <v>321</v>
      </c>
      <c r="E158" s="95"/>
      <c r="F158" s="112">
        <v>3433800</v>
      </c>
      <c r="G158" s="95"/>
      <c r="H158" s="112"/>
      <c r="J158" s="119"/>
    </row>
    <row r="159" spans="1:10" s="118" customFormat="1" x14ac:dyDescent="0.25">
      <c r="A159" s="144">
        <v>43968</v>
      </c>
      <c r="B159" s="144" t="s">
        <v>343</v>
      </c>
      <c r="C159" s="93" t="s">
        <v>218</v>
      </c>
      <c r="D159" s="113" t="s">
        <v>219</v>
      </c>
      <c r="E159" s="95">
        <v>9000000</v>
      </c>
      <c r="F159" s="112"/>
      <c r="G159" s="95"/>
      <c r="H159" s="112"/>
      <c r="J159" s="119"/>
    </row>
    <row r="160" spans="1:10" s="118" customFormat="1" x14ac:dyDescent="0.25">
      <c r="A160" s="144">
        <v>43968</v>
      </c>
      <c r="B160" s="144" t="s">
        <v>344</v>
      </c>
      <c r="C160" s="93" t="s">
        <v>218</v>
      </c>
      <c r="D160" s="94" t="s">
        <v>314</v>
      </c>
      <c r="E160" s="95">
        <v>23116200</v>
      </c>
      <c r="F160" s="112"/>
      <c r="G160" s="95"/>
      <c r="H160" s="114"/>
      <c r="J160" s="119"/>
    </row>
    <row r="161" spans="1:10" s="118" customFormat="1" x14ac:dyDescent="0.25">
      <c r="A161" s="144">
        <v>43969</v>
      </c>
      <c r="B161" s="144" t="s">
        <v>345</v>
      </c>
      <c r="C161" s="93" t="s">
        <v>218</v>
      </c>
      <c r="D161" s="113" t="s">
        <v>233</v>
      </c>
      <c r="E161" s="95">
        <v>1342250</v>
      </c>
      <c r="F161" s="112"/>
      <c r="G161" s="95"/>
      <c r="H161" s="114"/>
      <c r="J161" s="119"/>
    </row>
    <row r="162" spans="1:10" s="118" customFormat="1" x14ac:dyDescent="0.25">
      <c r="A162" s="144">
        <v>43970</v>
      </c>
      <c r="B162" s="144" t="s">
        <v>346</v>
      </c>
      <c r="C162" s="93" t="s">
        <v>218</v>
      </c>
      <c r="D162" s="94" t="s">
        <v>227</v>
      </c>
      <c r="E162" s="95">
        <v>3221400</v>
      </c>
      <c r="F162" s="112"/>
      <c r="G162" s="95"/>
      <c r="H162" s="114"/>
      <c r="J162" s="119"/>
    </row>
    <row r="163" spans="1:10" s="118" customFormat="1" x14ac:dyDescent="0.25">
      <c r="A163" s="144">
        <v>43970</v>
      </c>
      <c r="B163" s="144" t="s">
        <v>347</v>
      </c>
      <c r="C163" s="93" t="s">
        <v>218</v>
      </c>
      <c r="D163" s="94" t="s">
        <v>322</v>
      </c>
      <c r="E163" s="95"/>
      <c r="F163" s="112">
        <v>324500</v>
      </c>
      <c r="G163" s="95"/>
      <c r="H163" s="114"/>
      <c r="J163" s="119"/>
    </row>
    <row r="164" spans="1:10" s="118" customFormat="1" x14ac:dyDescent="0.25">
      <c r="A164" s="144">
        <v>43970</v>
      </c>
      <c r="B164" s="144" t="s">
        <v>348</v>
      </c>
      <c r="C164" s="93" t="s">
        <v>218</v>
      </c>
      <c r="D164" s="94" t="s">
        <v>228</v>
      </c>
      <c r="E164" s="95">
        <v>836000</v>
      </c>
      <c r="F164" s="112"/>
      <c r="G164" s="95"/>
      <c r="H164" s="114"/>
      <c r="J164" s="119"/>
    </row>
    <row r="165" spans="1:10" s="118" customFormat="1" x14ac:dyDescent="0.25">
      <c r="A165" s="144">
        <v>43971</v>
      </c>
      <c r="B165" s="144" t="s">
        <v>349</v>
      </c>
      <c r="C165" s="93" t="s">
        <v>218</v>
      </c>
      <c r="D165" s="94" t="s">
        <v>243</v>
      </c>
      <c r="E165" s="95">
        <v>1585000</v>
      </c>
      <c r="F165" s="112"/>
      <c r="G165" s="95"/>
      <c r="H165" s="114"/>
      <c r="J165" s="119"/>
    </row>
    <row r="166" spans="1:10" s="118" customFormat="1" x14ac:dyDescent="0.25">
      <c r="A166" s="144">
        <v>43972</v>
      </c>
      <c r="B166" s="144" t="s">
        <v>350</v>
      </c>
      <c r="C166" s="93" t="s">
        <v>218</v>
      </c>
      <c r="D166" s="94" t="s">
        <v>246</v>
      </c>
      <c r="E166" s="95"/>
      <c r="F166" s="112">
        <v>4407604.153846154</v>
      </c>
      <c r="G166" s="95"/>
      <c r="H166" s="114"/>
      <c r="J166" s="119"/>
    </row>
    <row r="167" spans="1:10" s="118" customFormat="1" x14ac:dyDescent="0.25">
      <c r="A167" s="144">
        <v>43972</v>
      </c>
      <c r="B167" s="144" t="s">
        <v>351</v>
      </c>
      <c r="C167" s="93" t="s">
        <v>218</v>
      </c>
      <c r="D167" s="94" t="s">
        <v>247</v>
      </c>
      <c r="E167" s="95"/>
      <c r="F167" s="112">
        <v>6113000</v>
      </c>
      <c r="G167" s="95"/>
      <c r="H167" s="114"/>
      <c r="J167" s="119"/>
    </row>
    <row r="168" spans="1:10" s="118" customFormat="1" x14ac:dyDescent="0.25">
      <c r="A168" s="144">
        <v>43975</v>
      </c>
      <c r="B168" s="144" t="s">
        <v>352</v>
      </c>
      <c r="C168" s="93" t="s">
        <v>218</v>
      </c>
      <c r="D168" s="94" t="s">
        <v>358</v>
      </c>
      <c r="E168" s="95"/>
      <c r="F168" s="112">
        <v>3398400</v>
      </c>
      <c r="G168" s="95"/>
      <c r="H168" s="114"/>
      <c r="J168" s="119"/>
    </row>
    <row r="169" spans="1:10" s="118" customFormat="1" x14ac:dyDescent="0.25">
      <c r="A169" s="144">
        <v>43976</v>
      </c>
      <c r="B169" s="144" t="s">
        <v>353</v>
      </c>
      <c r="C169" s="93" t="s">
        <v>218</v>
      </c>
      <c r="D169" s="94" t="s">
        <v>311</v>
      </c>
      <c r="E169" s="95"/>
      <c r="F169" s="112">
        <v>20000000</v>
      </c>
      <c r="G169" s="95"/>
      <c r="H169" s="114"/>
      <c r="J169" s="119"/>
    </row>
    <row r="170" spans="1:10" s="118" customFormat="1" x14ac:dyDescent="0.25">
      <c r="A170" s="144">
        <v>43976</v>
      </c>
      <c r="B170" s="144" t="s">
        <v>354</v>
      </c>
      <c r="C170" s="93" t="s">
        <v>218</v>
      </c>
      <c r="D170" s="94" t="s">
        <v>314</v>
      </c>
      <c r="E170" s="95">
        <v>6407400</v>
      </c>
      <c r="F170" s="112"/>
      <c r="G170" s="95"/>
      <c r="H170" s="114"/>
      <c r="J170" s="119"/>
    </row>
    <row r="171" spans="1:10" s="118" customFormat="1" ht="14.25" x14ac:dyDescent="0.2">
      <c r="A171" s="331" t="s">
        <v>278</v>
      </c>
      <c r="B171" s="332"/>
      <c r="C171" s="332"/>
      <c r="D171" s="333"/>
      <c r="E171" s="117">
        <f>SUBTOTAL(9,E142:E170)</f>
        <v>78910000</v>
      </c>
      <c r="F171" s="117">
        <f t="shared" ref="F171:H171" si="1">SUBTOTAL(9,F142:F170)</f>
        <v>95461954.153846145</v>
      </c>
      <c r="G171" s="117">
        <f t="shared" si="1"/>
        <v>0</v>
      </c>
      <c r="H171" s="117">
        <f t="shared" si="1"/>
        <v>122100000</v>
      </c>
      <c r="J171" s="119"/>
    </row>
    <row r="172" spans="1:10" s="118" customFormat="1" x14ac:dyDescent="0.25">
      <c r="A172" s="219"/>
      <c r="B172" s="219"/>
      <c r="C172" s="220"/>
      <c r="D172" s="221"/>
      <c r="E172" s="222"/>
      <c r="F172" s="223"/>
      <c r="G172" s="222"/>
      <c r="H172" s="224"/>
      <c r="J172" s="119"/>
    </row>
    <row r="173" spans="1:10" s="118" customFormat="1" ht="14.25" x14ac:dyDescent="0.2">
      <c r="A173" s="145"/>
      <c r="B173" s="145"/>
      <c r="C173" s="334" t="s">
        <v>11</v>
      </c>
      <c r="D173" s="334"/>
      <c r="E173" s="121"/>
      <c r="F173" s="121"/>
      <c r="G173" s="121"/>
      <c r="H173" s="121"/>
      <c r="J173" s="119"/>
    </row>
    <row r="174" spans="1:10" s="118" customFormat="1" ht="14.25" x14ac:dyDescent="0.2">
      <c r="A174" s="339" t="s">
        <v>4</v>
      </c>
      <c r="B174" s="336" t="s">
        <v>323</v>
      </c>
      <c r="C174" s="339" t="s">
        <v>5</v>
      </c>
      <c r="D174" s="341" t="s">
        <v>6</v>
      </c>
      <c r="E174" s="343" t="s">
        <v>7</v>
      </c>
      <c r="F174" s="343"/>
      <c r="G174" s="343" t="s">
        <v>8</v>
      </c>
      <c r="H174" s="343"/>
      <c r="J174" s="119"/>
    </row>
    <row r="175" spans="1:10" s="118" customFormat="1" ht="15" customHeight="1" x14ac:dyDescent="0.2">
      <c r="A175" s="340"/>
      <c r="B175" s="344"/>
      <c r="C175" s="340"/>
      <c r="D175" s="342"/>
      <c r="E175" s="111" t="s">
        <v>96</v>
      </c>
      <c r="F175" s="111" t="s">
        <v>63</v>
      </c>
      <c r="G175" s="111" t="s">
        <v>96</v>
      </c>
      <c r="H175" s="111" t="s">
        <v>63</v>
      </c>
      <c r="J175" s="119"/>
    </row>
    <row r="176" spans="1:10" s="118" customFormat="1" x14ac:dyDescent="0.25">
      <c r="A176" s="144">
        <v>43952</v>
      </c>
      <c r="B176" s="144" t="s">
        <v>361</v>
      </c>
      <c r="C176" s="93" t="s">
        <v>139</v>
      </c>
      <c r="D176" s="94" t="s">
        <v>140</v>
      </c>
      <c r="E176" s="95"/>
      <c r="F176" s="112"/>
      <c r="G176" s="95">
        <v>2000000</v>
      </c>
      <c r="H176" s="112"/>
      <c r="J176" s="119"/>
    </row>
    <row r="177" spans="1:10" s="118" customFormat="1" x14ac:dyDescent="0.25">
      <c r="A177" s="144">
        <v>43952</v>
      </c>
      <c r="B177" s="144" t="s">
        <v>362</v>
      </c>
      <c r="C177" s="93" t="s">
        <v>139</v>
      </c>
      <c r="D177" s="94" t="s">
        <v>142</v>
      </c>
      <c r="E177" s="95"/>
      <c r="F177" s="112"/>
      <c r="G177" s="95">
        <v>2000000</v>
      </c>
      <c r="H177" s="112"/>
      <c r="J177" s="119"/>
    </row>
    <row r="178" spans="1:10" s="118" customFormat="1" x14ac:dyDescent="0.25">
      <c r="A178" s="144">
        <v>43952</v>
      </c>
      <c r="B178" s="144" t="s">
        <v>363</v>
      </c>
      <c r="C178" s="93" t="s">
        <v>139</v>
      </c>
      <c r="D178" s="94" t="s">
        <v>141</v>
      </c>
      <c r="E178" s="95"/>
      <c r="F178" s="112"/>
      <c r="G178" s="95">
        <v>3000000</v>
      </c>
      <c r="H178" s="112"/>
      <c r="J178" s="119"/>
    </row>
    <row r="179" spans="1:10" s="118" customFormat="1" x14ac:dyDescent="0.25">
      <c r="A179" s="144">
        <v>43970</v>
      </c>
      <c r="B179" s="144" t="s">
        <v>375</v>
      </c>
      <c r="C179" s="93" t="s">
        <v>139</v>
      </c>
      <c r="D179" s="94" t="s">
        <v>226</v>
      </c>
      <c r="E179" s="95"/>
      <c r="F179" s="112"/>
      <c r="G179" s="95">
        <v>1000000</v>
      </c>
      <c r="H179" s="114"/>
      <c r="J179" s="119"/>
    </row>
    <row r="180" spans="1:10" s="118" customFormat="1" x14ac:dyDescent="0.25">
      <c r="A180" s="144">
        <v>43972</v>
      </c>
      <c r="B180" s="144" t="s">
        <v>376</v>
      </c>
      <c r="C180" s="93" t="s">
        <v>139</v>
      </c>
      <c r="D180" s="94" t="s">
        <v>226</v>
      </c>
      <c r="E180" s="95"/>
      <c r="F180" s="112"/>
      <c r="G180" s="95">
        <v>3000000</v>
      </c>
      <c r="H180" s="114"/>
      <c r="J180" s="119"/>
    </row>
    <row r="181" spans="1:10" s="118" customFormat="1" x14ac:dyDescent="0.25">
      <c r="A181" s="144">
        <v>43972</v>
      </c>
      <c r="B181" s="144" t="s">
        <v>377</v>
      </c>
      <c r="C181" s="93" t="s">
        <v>139</v>
      </c>
      <c r="D181" s="94" t="s">
        <v>244</v>
      </c>
      <c r="E181" s="95"/>
      <c r="F181" s="112"/>
      <c r="G181" s="95"/>
      <c r="H181" s="114">
        <v>4407604.153846154</v>
      </c>
      <c r="J181" s="119"/>
    </row>
    <row r="182" spans="1:10" s="118" customFormat="1" x14ac:dyDescent="0.25">
      <c r="A182" s="144">
        <v>43976</v>
      </c>
      <c r="B182" s="144" t="s">
        <v>381</v>
      </c>
      <c r="C182" s="93" t="s">
        <v>139</v>
      </c>
      <c r="D182" s="94" t="s">
        <v>140</v>
      </c>
      <c r="E182" s="95"/>
      <c r="F182" s="112"/>
      <c r="G182" s="95"/>
      <c r="H182" s="114">
        <v>3000000</v>
      </c>
      <c r="J182" s="119"/>
    </row>
    <row r="183" spans="1:10" s="118" customFormat="1" x14ac:dyDescent="0.25">
      <c r="A183" s="144">
        <v>43982</v>
      </c>
      <c r="B183" s="144" t="s">
        <v>382</v>
      </c>
      <c r="C183" s="93" t="s">
        <v>139</v>
      </c>
      <c r="D183" s="94" t="s">
        <v>140</v>
      </c>
      <c r="E183" s="95"/>
      <c r="F183" s="112"/>
      <c r="G183" s="95">
        <v>1000000</v>
      </c>
      <c r="H183" s="114"/>
      <c r="J183" s="119"/>
    </row>
    <row r="184" spans="1:10" s="118" customFormat="1" ht="14.25" x14ac:dyDescent="0.2">
      <c r="A184" s="331" t="s">
        <v>278</v>
      </c>
      <c r="B184" s="332"/>
      <c r="C184" s="332"/>
      <c r="D184" s="333"/>
      <c r="E184" s="117"/>
      <c r="F184" s="117"/>
      <c r="G184" s="117">
        <f>SUBTOTAL(9,G176:G183)</f>
        <v>12000000</v>
      </c>
      <c r="H184" s="117">
        <f>SUBTOTAL(9,H176:H183)</f>
        <v>7407604.153846154</v>
      </c>
      <c r="J184" s="119"/>
    </row>
    <row r="185" spans="1:10" s="118" customFormat="1" x14ac:dyDescent="0.25">
      <c r="A185" s="219"/>
      <c r="B185" s="219"/>
      <c r="C185" s="220"/>
      <c r="D185" s="221"/>
      <c r="E185" s="222"/>
      <c r="F185" s="223"/>
      <c r="G185" s="222"/>
      <c r="H185" s="224"/>
      <c r="J185" s="119"/>
    </row>
    <row r="186" spans="1:10" s="118" customFormat="1" ht="14.25" x14ac:dyDescent="0.2">
      <c r="A186" s="145"/>
      <c r="B186" s="145"/>
      <c r="C186" s="334" t="s">
        <v>283</v>
      </c>
      <c r="D186" s="334"/>
      <c r="E186" s="121"/>
      <c r="F186" s="121"/>
      <c r="G186" s="121"/>
      <c r="H186" s="121"/>
      <c r="J186" s="119"/>
    </row>
    <row r="187" spans="1:10" s="118" customFormat="1" ht="14.25" x14ac:dyDescent="0.2">
      <c r="A187" s="335" t="s">
        <v>4</v>
      </c>
      <c r="B187" s="336" t="s">
        <v>323</v>
      </c>
      <c r="C187" s="335" t="s">
        <v>5</v>
      </c>
      <c r="D187" s="338" t="s">
        <v>6</v>
      </c>
      <c r="E187" s="330" t="s">
        <v>7</v>
      </c>
      <c r="F187" s="330"/>
      <c r="G187" s="330" t="s">
        <v>8</v>
      </c>
      <c r="H187" s="330"/>
      <c r="J187" s="119"/>
    </row>
    <row r="188" spans="1:10" s="118" customFormat="1" ht="14.25" x14ac:dyDescent="0.2">
      <c r="A188" s="335"/>
      <c r="B188" s="337"/>
      <c r="C188" s="335"/>
      <c r="D188" s="338"/>
      <c r="E188" s="295" t="s">
        <v>96</v>
      </c>
      <c r="F188" s="295" t="s">
        <v>63</v>
      </c>
      <c r="G188" s="295" t="s">
        <v>96</v>
      </c>
      <c r="H188" s="295" t="s">
        <v>63</v>
      </c>
      <c r="J188" s="119"/>
    </row>
    <row r="189" spans="1:10" s="118" customFormat="1" x14ac:dyDescent="0.25">
      <c r="A189" s="144">
        <v>43951</v>
      </c>
      <c r="B189" s="144" t="s">
        <v>386</v>
      </c>
      <c r="C189" s="93" t="s">
        <v>214</v>
      </c>
      <c r="D189" s="94" t="s">
        <v>301</v>
      </c>
      <c r="E189" s="95"/>
      <c r="F189" s="112"/>
      <c r="G189" s="95"/>
      <c r="H189" s="112">
        <v>64000</v>
      </c>
      <c r="J189" s="119"/>
    </row>
    <row r="190" spans="1:10" s="118" customFormat="1" x14ac:dyDescent="0.25">
      <c r="A190" s="144">
        <v>43952</v>
      </c>
      <c r="B190" s="144" t="s">
        <v>386</v>
      </c>
      <c r="C190" s="93" t="s">
        <v>214</v>
      </c>
      <c r="D190" s="94" t="s">
        <v>300</v>
      </c>
      <c r="E190" s="95"/>
      <c r="F190" s="112"/>
      <c r="G190" s="95"/>
      <c r="H190" s="112">
        <v>480000</v>
      </c>
      <c r="J190" s="119"/>
    </row>
    <row r="191" spans="1:10" s="118" customFormat="1" x14ac:dyDescent="0.25">
      <c r="A191" s="144">
        <v>43954</v>
      </c>
      <c r="B191" s="144" t="s">
        <v>386</v>
      </c>
      <c r="C191" s="93" t="s">
        <v>214</v>
      </c>
      <c r="D191" s="94" t="s">
        <v>259</v>
      </c>
      <c r="E191" s="95"/>
      <c r="F191" s="112"/>
      <c r="G191" s="95"/>
      <c r="H191" s="112">
        <v>40000</v>
      </c>
      <c r="J191" s="119"/>
    </row>
    <row r="192" spans="1:10" s="118" customFormat="1" x14ac:dyDescent="0.25">
      <c r="A192" s="144">
        <v>43954</v>
      </c>
      <c r="B192" s="144" t="s">
        <v>386</v>
      </c>
      <c r="C192" s="93" t="s">
        <v>214</v>
      </c>
      <c r="D192" s="94" t="s">
        <v>259</v>
      </c>
      <c r="E192" s="95"/>
      <c r="F192" s="112"/>
      <c r="G192" s="95"/>
      <c r="H192" s="112">
        <v>30000</v>
      </c>
      <c r="J192" s="119"/>
    </row>
    <row r="193" spans="1:10" s="118" customFormat="1" x14ac:dyDescent="0.25">
      <c r="A193" s="144">
        <v>43958</v>
      </c>
      <c r="B193" s="144" t="s">
        <v>386</v>
      </c>
      <c r="C193" s="93" t="s">
        <v>214</v>
      </c>
      <c r="D193" s="94" t="s">
        <v>232</v>
      </c>
      <c r="E193" s="95"/>
      <c r="F193" s="112"/>
      <c r="G193" s="95"/>
      <c r="H193" s="112">
        <v>642000</v>
      </c>
      <c r="J193" s="119"/>
    </row>
    <row r="194" spans="1:10" s="118" customFormat="1" x14ac:dyDescent="0.25">
      <c r="A194" s="144">
        <v>43962</v>
      </c>
      <c r="B194" s="144" t="s">
        <v>386</v>
      </c>
      <c r="C194" s="93" t="s">
        <v>214</v>
      </c>
      <c r="D194" s="94" t="s">
        <v>215</v>
      </c>
      <c r="E194" s="95"/>
      <c r="F194" s="112"/>
      <c r="G194" s="95">
        <v>1700000</v>
      </c>
      <c r="H194" s="112"/>
      <c r="J194" s="119"/>
    </row>
    <row r="195" spans="1:10" s="118" customFormat="1" x14ac:dyDescent="0.25">
      <c r="A195" s="144">
        <v>43968</v>
      </c>
      <c r="B195" s="144" t="s">
        <v>386</v>
      </c>
      <c r="C195" s="93" t="s">
        <v>214</v>
      </c>
      <c r="D195" s="94" t="s">
        <v>266</v>
      </c>
      <c r="E195" s="95"/>
      <c r="F195" s="112"/>
      <c r="G195" s="95"/>
      <c r="H195" s="114">
        <v>538000</v>
      </c>
      <c r="J195" s="119"/>
    </row>
    <row r="196" spans="1:10" s="118" customFormat="1" x14ac:dyDescent="0.25">
      <c r="A196" s="144">
        <v>43968</v>
      </c>
      <c r="B196" s="144" t="s">
        <v>386</v>
      </c>
      <c r="C196" s="93" t="s">
        <v>214</v>
      </c>
      <c r="D196" s="115" t="s">
        <v>294</v>
      </c>
      <c r="E196" s="95"/>
      <c r="F196" s="112"/>
      <c r="G196" s="95"/>
      <c r="H196" s="114">
        <v>8766920</v>
      </c>
      <c r="J196" s="119"/>
    </row>
    <row r="197" spans="1:10" s="118" customFormat="1" x14ac:dyDescent="0.25">
      <c r="A197" s="144">
        <v>43982</v>
      </c>
      <c r="B197" s="144" t="s">
        <v>386</v>
      </c>
      <c r="C197" s="93" t="s">
        <v>214</v>
      </c>
      <c r="D197" s="94" t="s">
        <v>268</v>
      </c>
      <c r="E197" s="95"/>
      <c r="F197" s="112"/>
      <c r="G197" s="95"/>
      <c r="H197" s="114">
        <v>470000</v>
      </c>
      <c r="J197" s="119"/>
    </row>
    <row r="198" spans="1:10" s="118" customFormat="1" ht="14.25" x14ac:dyDescent="0.2">
      <c r="A198" s="331" t="s">
        <v>278</v>
      </c>
      <c r="B198" s="332"/>
      <c r="C198" s="332"/>
      <c r="D198" s="333"/>
      <c r="E198" s="117"/>
      <c r="F198" s="117"/>
      <c r="G198" s="117">
        <f>SUBTOTAL(9,G189:G197)</f>
        <v>1700000</v>
      </c>
      <c r="H198" s="117">
        <f>SUBTOTAL(9,H189:H197)</f>
        <v>11030920</v>
      </c>
      <c r="J198" s="119"/>
    </row>
    <row r="199" spans="1:10" s="118" customFormat="1" x14ac:dyDescent="0.25">
      <c r="A199" s="219"/>
      <c r="B199" s="219"/>
      <c r="C199" s="220"/>
      <c r="D199" s="221"/>
      <c r="E199" s="222"/>
      <c r="F199" s="223"/>
      <c r="G199" s="222"/>
      <c r="H199" s="224"/>
      <c r="J199" s="119"/>
    </row>
    <row r="200" spans="1:10" s="118" customFormat="1" ht="14.25" x14ac:dyDescent="0.2">
      <c r="A200" s="145"/>
      <c r="B200" s="145"/>
      <c r="C200" s="334" t="s">
        <v>282</v>
      </c>
      <c r="D200" s="334"/>
      <c r="E200" s="121"/>
      <c r="F200" s="121"/>
      <c r="G200" s="121"/>
      <c r="H200" s="121"/>
      <c r="J200" s="119"/>
    </row>
    <row r="201" spans="1:10" s="118" customFormat="1" ht="14.25" x14ac:dyDescent="0.2">
      <c r="A201" s="339" t="s">
        <v>4</v>
      </c>
      <c r="B201" s="336" t="s">
        <v>323</v>
      </c>
      <c r="C201" s="339" t="s">
        <v>5</v>
      </c>
      <c r="D201" s="341" t="s">
        <v>6</v>
      </c>
      <c r="E201" s="343" t="s">
        <v>7</v>
      </c>
      <c r="F201" s="343"/>
      <c r="G201" s="343" t="s">
        <v>8</v>
      </c>
      <c r="H201" s="343"/>
      <c r="J201" s="119"/>
    </row>
    <row r="202" spans="1:10" s="118" customFormat="1" ht="15" customHeight="1" x14ac:dyDescent="0.2">
      <c r="A202" s="340"/>
      <c r="B202" s="344"/>
      <c r="C202" s="340"/>
      <c r="D202" s="342"/>
      <c r="E202" s="111" t="s">
        <v>96</v>
      </c>
      <c r="F202" s="111" t="s">
        <v>63</v>
      </c>
      <c r="G202" s="111" t="s">
        <v>96</v>
      </c>
      <c r="H202" s="111" t="s">
        <v>63</v>
      </c>
      <c r="J202" s="119"/>
    </row>
    <row r="203" spans="1:10" s="118" customFormat="1" x14ac:dyDescent="0.25">
      <c r="A203" s="144">
        <v>43956</v>
      </c>
      <c r="B203" s="144" t="s">
        <v>365</v>
      </c>
      <c r="C203" s="93" t="s">
        <v>221</v>
      </c>
      <c r="D203" s="94" t="s">
        <v>267</v>
      </c>
      <c r="E203" s="95"/>
      <c r="F203" s="112"/>
      <c r="G203" s="95"/>
      <c r="H203" s="112">
        <v>200000</v>
      </c>
      <c r="J203" s="119"/>
    </row>
    <row r="204" spans="1:10" s="118" customFormat="1" x14ac:dyDescent="0.25">
      <c r="A204" s="144">
        <v>43957</v>
      </c>
      <c r="B204" s="144" t="s">
        <v>366</v>
      </c>
      <c r="C204" s="93" t="s">
        <v>221</v>
      </c>
      <c r="D204" s="94" t="s">
        <v>267</v>
      </c>
      <c r="E204" s="95"/>
      <c r="F204" s="112"/>
      <c r="G204" s="95"/>
      <c r="H204" s="112">
        <v>50000</v>
      </c>
      <c r="J204" s="119"/>
    </row>
    <row r="205" spans="1:10" s="118" customFormat="1" x14ac:dyDescent="0.25">
      <c r="A205" s="144">
        <v>43965</v>
      </c>
      <c r="B205" s="144" t="s">
        <v>370</v>
      </c>
      <c r="C205" s="93" t="s">
        <v>221</v>
      </c>
      <c r="D205" s="94" t="s">
        <v>306</v>
      </c>
      <c r="E205" s="95"/>
      <c r="F205" s="112"/>
      <c r="G205" s="95"/>
      <c r="H205" s="112">
        <v>1520000</v>
      </c>
      <c r="J205" s="119"/>
    </row>
    <row r="206" spans="1:10" s="118" customFormat="1" x14ac:dyDescent="0.25">
      <c r="A206" s="144">
        <v>43968</v>
      </c>
      <c r="B206" s="144" t="s">
        <v>371</v>
      </c>
      <c r="C206" s="93" t="s">
        <v>221</v>
      </c>
      <c r="D206" s="94" t="s">
        <v>222</v>
      </c>
      <c r="E206" s="95"/>
      <c r="F206" s="112"/>
      <c r="G206" s="95"/>
      <c r="H206" s="114">
        <v>150000</v>
      </c>
      <c r="J206" s="119"/>
    </row>
    <row r="207" spans="1:10" s="118" customFormat="1" x14ac:dyDescent="0.25">
      <c r="A207" s="144">
        <v>43968</v>
      </c>
      <c r="B207" s="144" t="s">
        <v>372</v>
      </c>
      <c r="C207" s="93" t="s">
        <v>221</v>
      </c>
      <c r="D207" s="94" t="s">
        <v>267</v>
      </c>
      <c r="E207" s="95"/>
      <c r="F207" s="112"/>
      <c r="G207" s="95"/>
      <c r="H207" s="114">
        <v>350000</v>
      </c>
      <c r="J207" s="119"/>
    </row>
    <row r="208" spans="1:10" s="118" customFormat="1" x14ac:dyDescent="0.25">
      <c r="A208" s="144">
        <v>43976</v>
      </c>
      <c r="B208" s="144" t="s">
        <v>380</v>
      </c>
      <c r="C208" s="93" t="s">
        <v>221</v>
      </c>
      <c r="D208" s="94" t="s">
        <v>267</v>
      </c>
      <c r="E208" s="95"/>
      <c r="F208" s="112"/>
      <c r="G208" s="95"/>
      <c r="H208" s="114">
        <v>100000</v>
      </c>
      <c r="J208" s="119"/>
    </row>
    <row r="209" spans="1:10" s="118" customFormat="1" ht="14.25" x14ac:dyDescent="0.2">
      <c r="A209" s="331" t="s">
        <v>278</v>
      </c>
      <c r="B209" s="332"/>
      <c r="C209" s="332"/>
      <c r="D209" s="333"/>
      <c r="E209" s="117"/>
      <c r="F209" s="117"/>
      <c r="G209" s="117"/>
      <c r="H209" s="117">
        <f>SUBTOTAL(9,H203:H208)</f>
        <v>2370000</v>
      </c>
      <c r="J209" s="119"/>
    </row>
    <row r="210" spans="1:10" s="118" customFormat="1" x14ac:dyDescent="0.25">
      <c r="A210" s="219"/>
      <c r="B210" s="219"/>
      <c r="C210" s="220"/>
      <c r="D210" s="221"/>
      <c r="E210" s="222"/>
      <c r="F210" s="223"/>
      <c r="G210" s="222"/>
      <c r="H210" s="224"/>
      <c r="J210" s="119"/>
    </row>
    <row r="211" spans="1:10" s="118" customFormat="1" ht="14.25" x14ac:dyDescent="0.2">
      <c r="A211" s="145"/>
      <c r="B211" s="145"/>
      <c r="C211" s="334" t="s">
        <v>281</v>
      </c>
      <c r="D211" s="334"/>
      <c r="E211" s="121"/>
      <c r="F211" s="121"/>
      <c r="G211" s="121"/>
      <c r="H211" s="121"/>
      <c r="J211" s="119"/>
    </row>
    <row r="212" spans="1:10" s="118" customFormat="1" ht="14.25" x14ac:dyDescent="0.2">
      <c r="A212" s="339" t="s">
        <v>4</v>
      </c>
      <c r="B212" s="336" t="s">
        <v>323</v>
      </c>
      <c r="C212" s="339" t="s">
        <v>5</v>
      </c>
      <c r="D212" s="341" t="s">
        <v>6</v>
      </c>
      <c r="E212" s="343" t="s">
        <v>7</v>
      </c>
      <c r="F212" s="343"/>
      <c r="G212" s="343" t="s">
        <v>8</v>
      </c>
      <c r="H212" s="343"/>
      <c r="J212" s="119"/>
    </row>
    <row r="213" spans="1:10" s="118" customFormat="1" ht="14.25" x14ac:dyDescent="0.2">
      <c r="A213" s="340"/>
      <c r="B213" s="344"/>
      <c r="C213" s="340"/>
      <c r="D213" s="342"/>
      <c r="E213" s="111" t="s">
        <v>96</v>
      </c>
      <c r="F213" s="111" t="s">
        <v>63</v>
      </c>
      <c r="G213" s="111" t="s">
        <v>96</v>
      </c>
      <c r="H213" s="111" t="s">
        <v>63</v>
      </c>
      <c r="J213" s="119"/>
    </row>
    <row r="214" spans="1:10" s="118" customFormat="1" x14ac:dyDescent="0.25">
      <c r="A214" s="144">
        <v>43972</v>
      </c>
      <c r="B214" s="144" t="s">
        <v>378</v>
      </c>
      <c r="C214" s="93" t="s">
        <v>245</v>
      </c>
      <c r="D214" s="94" t="s">
        <v>265</v>
      </c>
      <c r="E214" s="95"/>
      <c r="F214" s="112"/>
      <c r="G214" s="95"/>
      <c r="H214" s="114">
        <v>6113000</v>
      </c>
      <c r="J214" s="119"/>
    </row>
    <row r="215" spans="1:10" s="118" customFormat="1" ht="14.25" x14ac:dyDescent="0.2">
      <c r="A215" s="331" t="s">
        <v>278</v>
      </c>
      <c r="B215" s="332"/>
      <c r="C215" s="332"/>
      <c r="D215" s="333"/>
      <c r="E215" s="117"/>
      <c r="F215" s="117"/>
      <c r="G215" s="117"/>
      <c r="H215" s="117">
        <f>SUBTOTAL(9,H214)</f>
        <v>6113000</v>
      </c>
      <c r="J215" s="119"/>
    </row>
    <row r="216" spans="1:10" s="118" customFormat="1" x14ac:dyDescent="0.25">
      <c r="A216" s="219"/>
      <c r="B216" s="219"/>
      <c r="C216" s="220"/>
      <c r="D216" s="221"/>
      <c r="E216" s="222"/>
      <c r="F216" s="223"/>
      <c r="G216" s="222"/>
      <c r="H216" s="224"/>
      <c r="J216" s="119"/>
    </row>
    <row r="217" spans="1:10" s="118" customFormat="1" ht="14.25" x14ac:dyDescent="0.2">
      <c r="A217" s="145"/>
      <c r="B217" s="145"/>
      <c r="C217" s="334" t="s">
        <v>280</v>
      </c>
      <c r="D217" s="334"/>
      <c r="E217" s="121"/>
      <c r="F217" s="121"/>
      <c r="G217" s="121"/>
      <c r="H217" s="121"/>
      <c r="J217" s="119"/>
    </row>
    <row r="218" spans="1:10" s="118" customFormat="1" ht="14.25" x14ac:dyDescent="0.2">
      <c r="A218" s="339" t="s">
        <v>4</v>
      </c>
      <c r="B218" s="336" t="s">
        <v>323</v>
      </c>
      <c r="C218" s="339" t="s">
        <v>5</v>
      </c>
      <c r="D218" s="341" t="s">
        <v>6</v>
      </c>
      <c r="E218" s="343" t="s">
        <v>7</v>
      </c>
      <c r="F218" s="343"/>
      <c r="G218" s="343" t="s">
        <v>8</v>
      </c>
      <c r="H218" s="343"/>
      <c r="J218" s="119"/>
    </row>
    <row r="219" spans="1:10" s="118" customFormat="1" ht="14.25" x14ac:dyDescent="0.2">
      <c r="A219" s="340"/>
      <c r="B219" s="344"/>
      <c r="C219" s="340"/>
      <c r="D219" s="342"/>
      <c r="E219" s="111" t="s">
        <v>96</v>
      </c>
      <c r="F219" s="111" t="s">
        <v>63</v>
      </c>
      <c r="G219" s="111" t="s">
        <v>96</v>
      </c>
      <c r="H219" s="111" t="s">
        <v>63</v>
      </c>
      <c r="J219" s="119"/>
    </row>
    <row r="220" spans="1:10" s="118" customFormat="1" x14ac:dyDescent="0.25">
      <c r="A220" s="144">
        <v>43744</v>
      </c>
      <c r="B220" s="144" t="s">
        <v>360</v>
      </c>
      <c r="C220" s="93" t="s">
        <v>223</v>
      </c>
      <c r="D220" s="94" t="s">
        <v>270</v>
      </c>
      <c r="E220" s="95"/>
      <c r="F220" s="112"/>
      <c r="G220" s="95">
        <v>2750000</v>
      </c>
      <c r="H220" s="112"/>
      <c r="J220" s="119"/>
    </row>
    <row r="221" spans="1:10" s="118" customFormat="1" x14ac:dyDescent="0.25">
      <c r="A221" s="144">
        <v>43969</v>
      </c>
      <c r="B221" s="144" t="s">
        <v>373</v>
      </c>
      <c r="C221" s="93" t="s">
        <v>223</v>
      </c>
      <c r="D221" s="94" t="s">
        <v>224</v>
      </c>
      <c r="E221" s="95"/>
      <c r="F221" s="112"/>
      <c r="G221" s="95">
        <v>3300000</v>
      </c>
      <c r="H221" s="114"/>
      <c r="J221" s="119"/>
    </row>
    <row r="222" spans="1:10" s="118" customFormat="1" x14ac:dyDescent="0.25">
      <c r="A222" s="144">
        <v>43969</v>
      </c>
      <c r="B222" s="144" t="s">
        <v>374</v>
      </c>
      <c r="C222" s="93" t="s">
        <v>223</v>
      </c>
      <c r="D222" s="113" t="s">
        <v>225</v>
      </c>
      <c r="E222" s="95"/>
      <c r="F222" s="112"/>
      <c r="G222" s="95">
        <v>4500000</v>
      </c>
      <c r="H222" s="114"/>
      <c r="J222" s="119"/>
    </row>
    <row r="223" spans="1:10" s="118" customFormat="1" x14ac:dyDescent="0.25">
      <c r="A223" s="144">
        <v>43972</v>
      </c>
      <c r="B223" s="144" t="s">
        <v>379</v>
      </c>
      <c r="C223" s="93" t="s">
        <v>223</v>
      </c>
      <c r="D223" s="94" t="s">
        <v>248</v>
      </c>
      <c r="E223" s="95"/>
      <c r="F223" s="112"/>
      <c r="G223" s="95">
        <v>10000000</v>
      </c>
      <c r="H223" s="114"/>
      <c r="J223" s="119"/>
    </row>
    <row r="224" spans="1:10" s="118" customFormat="1" x14ac:dyDescent="0.25">
      <c r="A224" s="144">
        <v>43982</v>
      </c>
      <c r="B224" s="144" t="s">
        <v>383</v>
      </c>
      <c r="C224" s="93" t="s">
        <v>223</v>
      </c>
      <c r="D224" s="94" t="s">
        <v>296</v>
      </c>
      <c r="E224" s="95"/>
      <c r="F224" s="112"/>
      <c r="G224" s="95">
        <v>16000000</v>
      </c>
      <c r="H224" s="114"/>
      <c r="J224" s="119"/>
    </row>
    <row r="225" spans="1:10" s="118" customFormat="1" x14ac:dyDescent="0.25">
      <c r="A225" s="144">
        <v>43982</v>
      </c>
      <c r="B225" s="144" t="s">
        <v>384</v>
      </c>
      <c r="C225" s="93" t="s">
        <v>223</v>
      </c>
      <c r="D225" s="94" t="s">
        <v>298</v>
      </c>
      <c r="E225" s="95"/>
      <c r="F225" s="112"/>
      <c r="G225" s="95">
        <v>4500000</v>
      </c>
      <c r="H225" s="114"/>
      <c r="J225" s="119"/>
    </row>
    <row r="226" spans="1:10" s="118" customFormat="1" ht="14.25" x14ac:dyDescent="0.2">
      <c r="A226" s="331" t="s">
        <v>278</v>
      </c>
      <c r="B226" s="332"/>
      <c r="C226" s="332"/>
      <c r="D226" s="333"/>
      <c r="E226" s="117"/>
      <c r="F226" s="117"/>
      <c r="G226" s="117">
        <f>SUBTOTAL(9,G220:G225)</f>
        <v>41050000</v>
      </c>
      <c r="H226" s="117"/>
      <c r="J226" s="119"/>
    </row>
    <row r="227" spans="1:10" s="118" customFormat="1" ht="14.25" x14ac:dyDescent="0.2">
      <c r="A227" s="145"/>
      <c r="B227" s="145"/>
      <c r="C227" s="120"/>
      <c r="D227" s="120"/>
      <c r="E227" s="121"/>
      <c r="F227" s="121"/>
      <c r="G227" s="121"/>
      <c r="H227" s="121"/>
      <c r="J227" s="119"/>
    </row>
    <row r="228" spans="1:10" s="59" customFormat="1" x14ac:dyDescent="0.25">
      <c r="A228" s="146"/>
      <c r="B228" s="146"/>
      <c r="C228" s="87" t="s">
        <v>189</v>
      </c>
      <c r="D228" s="61"/>
      <c r="F228" s="87" t="s">
        <v>14</v>
      </c>
      <c r="G228" s="61"/>
      <c r="H228" s="61"/>
      <c r="I228" s="61"/>
      <c r="J228" s="61"/>
    </row>
    <row r="229" spans="1:10" s="59" customFormat="1" x14ac:dyDescent="0.25">
      <c r="A229" s="146"/>
      <c r="B229" s="146"/>
      <c r="C229" s="3" t="s">
        <v>15</v>
      </c>
      <c r="D229" s="4"/>
      <c r="F229" s="3" t="s">
        <v>16</v>
      </c>
      <c r="G229" s="4"/>
      <c r="H229" s="4"/>
      <c r="I229" s="4"/>
      <c r="J229" s="4"/>
    </row>
    <row r="232" spans="1:10" x14ac:dyDescent="0.25">
      <c r="C232" s="87"/>
      <c r="D232" s="87"/>
      <c r="E232" s="128"/>
    </row>
  </sheetData>
  <autoFilter ref="A6:H93">
    <filterColumn colId="4" hiddenButton="1" showButton="0"/>
    <filterColumn colId="6" hiddenButton="1" showButton="0"/>
  </autoFilter>
  <mergeCells count="86">
    <mergeCell ref="J4:L4"/>
    <mergeCell ref="L6:L7"/>
    <mergeCell ref="J30:K30"/>
    <mergeCell ref="J6:J7"/>
    <mergeCell ref="K6:K7"/>
    <mergeCell ref="A105:A106"/>
    <mergeCell ref="C105:C106"/>
    <mergeCell ref="D105:D106"/>
    <mergeCell ref="E105:F105"/>
    <mergeCell ref="G105:H105"/>
    <mergeCell ref="B105:B106"/>
    <mergeCell ref="A95:C95"/>
    <mergeCell ref="A93:D93"/>
    <mergeCell ref="A4:H4"/>
    <mergeCell ref="A6:A7"/>
    <mergeCell ref="C6:C7"/>
    <mergeCell ref="D6:D7"/>
    <mergeCell ref="E6:F6"/>
    <mergeCell ref="G6:H6"/>
    <mergeCell ref="B6:B7"/>
    <mergeCell ref="A114:A115"/>
    <mergeCell ref="C114:C115"/>
    <mergeCell ref="D114:D115"/>
    <mergeCell ref="E114:F114"/>
    <mergeCell ref="G114:H114"/>
    <mergeCell ref="B114:B115"/>
    <mergeCell ref="A140:A141"/>
    <mergeCell ref="C140:C141"/>
    <mergeCell ref="D140:D141"/>
    <mergeCell ref="E140:F140"/>
    <mergeCell ref="G140:H140"/>
    <mergeCell ref="B140:B141"/>
    <mergeCell ref="A174:A175"/>
    <mergeCell ref="C174:C175"/>
    <mergeCell ref="D174:D175"/>
    <mergeCell ref="E174:F174"/>
    <mergeCell ref="G174:H174"/>
    <mergeCell ref="B174:B175"/>
    <mergeCell ref="A187:A188"/>
    <mergeCell ref="C187:C188"/>
    <mergeCell ref="D187:D188"/>
    <mergeCell ref="E187:F187"/>
    <mergeCell ref="G187:H187"/>
    <mergeCell ref="B187:B188"/>
    <mergeCell ref="A201:A202"/>
    <mergeCell ref="C201:C202"/>
    <mergeCell ref="D201:D202"/>
    <mergeCell ref="E201:F201"/>
    <mergeCell ref="G201:H201"/>
    <mergeCell ref="B201:B202"/>
    <mergeCell ref="A212:A213"/>
    <mergeCell ref="C212:C213"/>
    <mergeCell ref="D212:D213"/>
    <mergeCell ref="E212:F212"/>
    <mergeCell ref="G212:H212"/>
    <mergeCell ref="B212:B213"/>
    <mergeCell ref="A218:A219"/>
    <mergeCell ref="C218:C219"/>
    <mergeCell ref="D218:D219"/>
    <mergeCell ref="E218:F218"/>
    <mergeCell ref="G218:H218"/>
    <mergeCell ref="B218:B219"/>
    <mergeCell ref="A209:D209"/>
    <mergeCell ref="A215:D215"/>
    <mergeCell ref="A226:D226"/>
    <mergeCell ref="C104:D104"/>
    <mergeCell ref="C113:D113"/>
    <mergeCell ref="C139:D139"/>
    <mergeCell ref="C173:D173"/>
    <mergeCell ref="C186:D186"/>
    <mergeCell ref="C200:D200"/>
    <mergeCell ref="C211:D211"/>
    <mergeCell ref="C217:D217"/>
    <mergeCell ref="A111:D111"/>
    <mergeCell ref="A137:D137"/>
    <mergeCell ref="A171:D171"/>
    <mergeCell ref="A184:D184"/>
    <mergeCell ref="A198:D198"/>
    <mergeCell ref="E98:F98"/>
    <mergeCell ref="G98:H98"/>
    <mergeCell ref="A101:D101"/>
    <mergeCell ref="C97:D97"/>
    <mergeCell ref="A98:A99"/>
    <mergeCell ref="B98:B99"/>
    <mergeCell ref="C98:C99"/>
    <mergeCell ref="D98:D99"/>
  </mergeCells>
  <pageMargins left="0.28000000000000003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zoomScale="90" zoomScaleNormal="90" workbookViewId="0">
      <pane ySplit="8" topLeftCell="A9" activePane="bottomLeft" state="frozen"/>
      <selection pane="bottomLeft" activeCell="F7" sqref="F7:F8"/>
    </sheetView>
  </sheetViews>
  <sheetFormatPr defaultColWidth="9.140625" defaultRowHeight="12" x14ac:dyDescent="0.25"/>
  <cols>
    <col min="1" max="1" width="4.85546875" style="280" customWidth="1"/>
    <col min="2" max="2" width="9.7109375" style="553" bestFit="1" customWidth="1"/>
    <col min="3" max="3" width="7.140625" style="280" customWidth="1"/>
    <col min="4" max="4" width="8.28515625" style="280" customWidth="1"/>
    <col min="5" max="5" width="9.85546875" style="280" customWidth="1"/>
    <col min="6" max="6" width="9.140625" style="280"/>
    <col min="7" max="7" width="5.85546875" style="280" customWidth="1"/>
    <col min="8" max="8" width="10" style="281" bestFit="1" customWidth="1"/>
    <col min="9" max="9" width="12" style="281" customWidth="1"/>
    <col min="10" max="10" width="10" style="281" bestFit="1" customWidth="1"/>
    <col min="11" max="11" width="6.140625" style="282" customWidth="1"/>
    <col min="12" max="12" width="14.7109375" style="281" customWidth="1"/>
    <col min="13" max="13" width="10.42578125" style="281" customWidth="1"/>
    <col min="14" max="14" width="10.7109375" style="281" customWidth="1"/>
    <col min="15" max="15" width="12.42578125" style="281" bestFit="1" customWidth="1"/>
    <col min="16" max="16" width="8.140625" style="280" customWidth="1"/>
    <col min="17" max="16384" width="9.140625" style="280"/>
  </cols>
  <sheetData>
    <row r="1" spans="1:16" x14ac:dyDescent="0.25">
      <c r="A1" s="361" t="s">
        <v>0</v>
      </c>
      <c r="B1" s="361"/>
      <c r="C1" s="361"/>
      <c r="D1" s="361"/>
      <c r="E1" s="361"/>
      <c r="N1" s="283"/>
    </row>
    <row r="2" spans="1:16" x14ac:dyDescent="0.25">
      <c r="A2" s="286" t="s">
        <v>2</v>
      </c>
      <c r="B2" s="287"/>
      <c r="C2" s="286"/>
      <c r="D2" s="286"/>
      <c r="E2" s="286"/>
      <c r="N2" s="284"/>
    </row>
    <row r="3" spans="1:16" x14ac:dyDescent="0.25">
      <c r="A3" s="362" t="s">
        <v>46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</row>
    <row r="4" spans="1:16" x14ac:dyDescent="0.25">
      <c r="A4" s="362" t="s">
        <v>121</v>
      </c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</row>
    <row r="5" spans="1:16" x14ac:dyDescent="0.25">
      <c r="A5" s="362"/>
      <c r="B5" s="362"/>
      <c r="C5" s="362"/>
      <c r="D5" s="362"/>
      <c r="E5" s="362"/>
      <c r="F5" s="362"/>
      <c r="G5" s="362"/>
      <c r="H5" s="362"/>
      <c r="I5" s="362"/>
      <c r="J5" s="362"/>
      <c r="K5" s="363"/>
      <c r="L5" s="363"/>
    </row>
    <row r="6" spans="1:16" ht="42" customHeight="1" x14ac:dyDescent="0.25">
      <c r="A6" s="358" t="s">
        <v>91</v>
      </c>
      <c r="B6" s="364" t="s">
        <v>27</v>
      </c>
      <c r="C6" s="358" t="s">
        <v>28</v>
      </c>
      <c r="D6" s="366" t="s">
        <v>47</v>
      </c>
      <c r="E6" s="366"/>
      <c r="F6" s="354" t="s">
        <v>29</v>
      </c>
      <c r="G6" s="354"/>
      <c r="H6" s="354"/>
      <c r="I6" s="354"/>
      <c r="J6" s="354"/>
      <c r="K6" s="354"/>
      <c r="L6" s="354"/>
      <c r="M6" s="367"/>
      <c r="N6" s="367"/>
      <c r="O6" s="367"/>
      <c r="P6" s="368" t="s">
        <v>20</v>
      </c>
    </row>
    <row r="7" spans="1:16" ht="38.25" customHeight="1" x14ac:dyDescent="0.25">
      <c r="A7" s="359"/>
      <c r="B7" s="365"/>
      <c r="C7" s="359"/>
      <c r="D7" s="358" t="s">
        <v>48</v>
      </c>
      <c r="E7" s="358" t="s">
        <v>49</v>
      </c>
      <c r="F7" s="358" t="s">
        <v>31</v>
      </c>
      <c r="G7" s="358" t="s">
        <v>32</v>
      </c>
      <c r="H7" s="356" t="s">
        <v>33</v>
      </c>
      <c r="I7" s="356" t="s">
        <v>50</v>
      </c>
      <c r="J7" s="360" t="s">
        <v>35</v>
      </c>
      <c r="K7" s="360"/>
      <c r="L7" s="356" t="s">
        <v>51</v>
      </c>
      <c r="M7" s="356" t="s">
        <v>52</v>
      </c>
      <c r="N7" s="356" t="s">
        <v>53</v>
      </c>
      <c r="O7" s="356" t="s">
        <v>54</v>
      </c>
      <c r="P7" s="369"/>
    </row>
    <row r="8" spans="1:16" x14ac:dyDescent="0.25">
      <c r="A8" s="359"/>
      <c r="B8" s="365"/>
      <c r="C8" s="359"/>
      <c r="D8" s="359"/>
      <c r="E8" s="359"/>
      <c r="F8" s="359"/>
      <c r="G8" s="359"/>
      <c r="H8" s="357"/>
      <c r="I8" s="357"/>
      <c r="J8" s="326" t="s">
        <v>308</v>
      </c>
      <c r="K8" s="285" t="s">
        <v>55</v>
      </c>
      <c r="L8" s="357"/>
      <c r="M8" s="357"/>
      <c r="N8" s="357"/>
      <c r="O8" s="357"/>
      <c r="P8" s="369"/>
    </row>
    <row r="9" spans="1:16" x14ac:dyDescent="0.25">
      <c r="A9" s="496">
        <v>461</v>
      </c>
      <c r="B9" s="497">
        <v>43951</v>
      </c>
      <c r="C9" s="496" t="s">
        <v>103</v>
      </c>
      <c r="D9" s="496" t="s">
        <v>102</v>
      </c>
      <c r="E9" s="496" t="s">
        <v>104</v>
      </c>
      <c r="F9" s="498" t="s">
        <v>36</v>
      </c>
      <c r="G9" s="498">
        <v>4</v>
      </c>
      <c r="H9" s="499">
        <v>455000</v>
      </c>
      <c r="I9" s="499">
        <f t="shared" ref="I9:I49" si="0">H9*G9</f>
        <v>1820000</v>
      </c>
      <c r="J9" s="499"/>
      <c r="K9" s="500">
        <v>0.41</v>
      </c>
      <c r="L9" s="499">
        <f t="shared" ref="L9:L50" si="1">I9*(1-K9)</f>
        <v>1073800.0000000002</v>
      </c>
      <c r="M9" s="499"/>
      <c r="N9" s="499">
        <f>L9</f>
        <v>1073800.0000000002</v>
      </c>
      <c r="O9" s="499"/>
      <c r="P9" s="498" t="s">
        <v>164</v>
      </c>
    </row>
    <row r="10" spans="1:16" x14ac:dyDescent="0.25">
      <c r="A10" s="501"/>
      <c r="B10" s="502"/>
      <c r="C10" s="501"/>
      <c r="D10" s="501"/>
      <c r="E10" s="501"/>
      <c r="F10" s="503" t="s">
        <v>37</v>
      </c>
      <c r="G10" s="503">
        <v>2</v>
      </c>
      <c r="H10" s="504">
        <v>465000</v>
      </c>
      <c r="I10" s="504">
        <f t="shared" si="0"/>
        <v>930000</v>
      </c>
      <c r="J10" s="504"/>
      <c r="K10" s="505">
        <v>0.41</v>
      </c>
      <c r="L10" s="504">
        <f t="shared" si="1"/>
        <v>548700.00000000012</v>
      </c>
      <c r="M10" s="504"/>
      <c r="N10" s="504">
        <f t="shared" ref="N10:N12" si="2">L10</f>
        <v>548700.00000000012</v>
      </c>
      <c r="O10" s="504"/>
      <c r="P10" s="503" t="s">
        <v>164</v>
      </c>
    </row>
    <row r="11" spans="1:16" x14ac:dyDescent="0.25">
      <c r="A11" s="506"/>
      <c r="B11" s="507"/>
      <c r="C11" s="506"/>
      <c r="D11" s="506"/>
      <c r="E11" s="506"/>
      <c r="F11" s="508" t="s">
        <v>40</v>
      </c>
      <c r="G11" s="508">
        <v>1</v>
      </c>
      <c r="H11" s="509">
        <v>475000</v>
      </c>
      <c r="I11" s="509">
        <f t="shared" si="0"/>
        <v>475000</v>
      </c>
      <c r="J11" s="509"/>
      <c r="K11" s="510">
        <v>0.41</v>
      </c>
      <c r="L11" s="509">
        <f t="shared" si="1"/>
        <v>280250.00000000006</v>
      </c>
      <c r="M11" s="509"/>
      <c r="N11" s="509">
        <f t="shared" si="2"/>
        <v>280250.00000000006</v>
      </c>
      <c r="O11" s="509"/>
      <c r="P11" s="508" t="s">
        <v>164</v>
      </c>
    </row>
    <row r="12" spans="1:16" x14ac:dyDescent="0.25">
      <c r="A12" s="511">
        <v>462</v>
      </c>
      <c r="B12" s="512">
        <v>43951</v>
      </c>
      <c r="C12" s="511" t="s">
        <v>103</v>
      </c>
      <c r="D12" s="511" t="s">
        <v>103</v>
      </c>
      <c r="E12" s="511" t="s">
        <v>99</v>
      </c>
      <c r="F12" s="511" t="s">
        <v>40</v>
      </c>
      <c r="G12" s="511">
        <v>1</v>
      </c>
      <c r="H12" s="513">
        <v>475000</v>
      </c>
      <c r="I12" s="513">
        <f t="shared" si="0"/>
        <v>475000</v>
      </c>
      <c r="J12" s="513"/>
      <c r="K12" s="514">
        <v>0.41</v>
      </c>
      <c r="L12" s="513">
        <f t="shared" si="1"/>
        <v>280250.00000000006</v>
      </c>
      <c r="M12" s="513"/>
      <c r="N12" s="513">
        <f t="shared" si="2"/>
        <v>280250.00000000006</v>
      </c>
      <c r="O12" s="513"/>
      <c r="P12" s="511" t="s">
        <v>164</v>
      </c>
    </row>
    <row r="13" spans="1:16" x14ac:dyDescent="0.25">
      <c r="A13" s="329">
        <v>1145</v>
      </c>
      <c r="B13" s="515">
        <v>43953</v>
      </c>
      <c r="C13" s="329" t="s">
        <v>118</v>
      </c>
      <c r="D13" s="329" t="s">
        <v>118</v>
      </c>
      <c r="E13" s="329" t="s">
        <v>99</v>
      </c>
      <c r="F13" s="511" t="s">
        <v>38</v>
      </c>
      <c r="G13" s="511">
        <v>2</v>
      </c>
      <c r="H13" s="513">
        <v>550000</v>
      </c>
      <c r="I13" s="513">
        <f t="shared" si="0"/>
        <v>1100000</v>
      </c>
      <c r="J13" s="516"/>
      <c r="K13" s="514">
        <v>0.41</v>
      </c>
      <c r="L13" s="516">
        <f t="shared" si="1"/>
        <v>649000.00000000012</v>
      </c>
      <c r="M13" s="516"/>
      <c r="N13" s="513">
        <f>L13</f>
        <v>649000.00000000012</v>
      </c>
      <c r="O13" s="513"/>
      <c r="P13" s="517"/>
    </row>
    <row r="14" spans="1:16" x14ac:dyDescent="0.25">
      <c r="A14" s="496">
        <v>464</v>
      </c>
      <c r="B14" s="497">
        <v>43955</v>
      </c>
      <c r="C14" s="496"/>
      <c r="D14" s="518" t="s">
        <v>117</v>
      </c>
      <c r="E14" s="518" t="s">
        <v>116</v>
      </c>
      <c r="F14" s="498" t="s">
        <v>36</v>
      </c>
      <c r="G14" s="498">
        <v>109</v>
      </c>
      <c r="H14" s="519">
        <v>455000</v>
      </c>
      <c r="I14" s="499">
        <f t="shared" si="0"/>
        <v>49595000</v>
      </c>
      <c r="J14" s="499"/>
      <c r="K14" s="500">
        <v>0.5</v>
      </c>
      <c r="L14" s="499">
        <f t="shared" si="1"/>
        <v>24797500</v>
      </c>
      <c r="M14" s="499"/>
      <c r="N14" s="499"/>
      <c r="O14" s="499">
        <f t="shared" ref="O14:O21" si="3">L14</f>
        <v>24797500</v>
      </c>
      <c r="P14" s="520"/>
    </row>
    <row r="15" spans="1:16" x14ac:dyDescent="0.25">
      <c r="A15" s="501"/>
      <c r="B15" s="502"/>
      <c r="C15" s="501"/>
      <c r="D15" s="521"/>
      <c r="E15" s="521"/>
      <c r="F15" s="503" t="s">
        <v>37</v>
      </c>
      <c r="G15" s="503">
        <v>2</v>
      </c>
      <c r="H15" s="522">
        <v>465000</v>
      </c>
      <c r="I15" s="504">
        <f t="shared" si="0"/>
        <v>930000</v>
      </c>
      <c r="J15" s="504"/>
      <c r="K15" s="505">
        <v>0.5</v>
      </c>
      <c r="L15" s="504">
        <f t="shared" si="1"/>
        <v>465000</v>
      </c>
      <c r="M15" s="504"/>
      <c r="N15" s="504"/>
      <c r="O15" s="504">
        <f t="shared" si="3"/>
        <v>465000</v>
      </c>
      <c r="P15" s="523"/>
    </row>
    <row r="16" spans="1:16" x14ac:dyDescent="0.25">
      <c r="A16" s="501"/>
      <c r="B16" s="502"/>
      <c r="C16" s="501"/>
      <c r="D16" s="521"/>
      <c r="E16" s="521"/>
      <c r="F16" s="503" t="s">
        <v>40</v>
      </c>
      <c r="G16" s="503">
        <v>8</v>
      </c>
      <c r="H16" s="522">
        <v>475000</v>
      </c>
      <c r="I16" s="504">
        <f t="shared" si="0"/>
        <v>3800000</v>
      </c>
      <c r="J16" s="504"/>
      <c r="K16" s="505">
        <v>0.5</v>
      </c>
      <c r="L16" s="504">
        <f t="shared" si="1"/>
        <v>1900000</v>
      </c>
      <c r="M16" s="504"/>
      <c r="N16" s="504"/>
      <c r="O16" s="504">
        <f t="shared" si="3"/>
        <v>1900000</v>
      </c>
      <c r="P16" s="523"/>
    </row>
    <row r="17" spans="1:16" x14ac:dyDescent="0.25">
      <c r="A17" s="501"/>
      <c r="B17" s="502"/>
      <c r="C17" s="501"/>
      <c r="D17" s="521"/>
      <c r="E17" s="521"/>
      <c r="F17" s="503" t="s">
        <v>42</v>
      </c>
      <c r="G17" s="503">
        <v>7</v>
      </c>
      <c r="H17" s="522">
        <v>485000</v>
      </c>
      <c r="I17" s="504">
        <f t="shared" si="0"/>
        <v>3395000</v>
      </c>
      <c r="J17" s="504"/>
      <c r="K17" s="505">
        <v>0.5</v>
      </c>
      <c r="L17" s="504">
        <f t="shared" si="1"/>
        <v>1697500</v>
      </c>
      <c r="M17" s="504"/>
      <c r="N17" s="504"/>
      <c r="O17" s="504">
        <f t="shared" si="3"/>
        <v>1697500</v>
      </c>
      <c r="P17" s="523"/>
    </row>
    <row r="18" spans="1:16" x14ac:dyDescent="0.25">
      <c r="A18" s="501"/>
      <c r="B18" s="502"/>
      <c r="C18" s="501"/>
      <c r="D18" s="521"/>
      <c r="E18" s="521"/>
      <c r="F18" s="503" t="s">
        <v>41</v>
      </c>
      <c r="G18" s="503">
        <v>75</v>
      </c>
      <c r="H18" s="522">
        <v>485000</v>
      </c>
      <c r="I18" s="504">
        <f t="shared" si="0"/>
        <v>36375000</v>
      </c>
      <c r="J18" s="504"/>
      <c r="K18" s="505">
        <v>0.5</v>
      </c>
      <c r="L18" s="504">
        <f t="shared" si="1"/>
        <v>18187500</v>
      </c>
      <c r="M18" s="504"/>
      <c r="N18" s="504"/>
      <c r="O18" s="504">
        <f t="shared" si="3"/>
        <v>18187500</v>
      </c>
      <c r="P18" s="523"/>
    </row>
    <row r="19" spans="1:16" x14ac:dyDescent="0.25">
      <c r="A19" s="501"/>
      <c r="B19" s="502"/>
      <c r="C19" s="501"/>
      <c r="D19" s="521"/>
      <c r="E19" s="521"/>
      <c r="F19" s="503" t="s">
        <v>38</v>
      </c>
      <c r="G19" s="503">
        <v>68</v>
      </c>
      <c r="H19" s="522">
        <v>550000</v>
      </c>
      <c r="I19" s="504">
        <f t="shared" si="0"/>
        <v>37400000</v>
      </c>
      <c r="J19" s="504"/>
      <c r="K19" s="505">
        <v>0.5</v>
      </c>
      <c r="L19" s="504">
        <f t="shared" si="1"/>
        <v>18700000</v>
      </c>
      <c r="M19" s="504"/>
      <c r="N19" s="504"/>
      <c r="O19" s="504">
        <f t="shared" si="3"/>
        <v>18700000</v>
      </c>
      <c r="P19" s="523"/>
    </row>
    <row r="20" spans="1:16" x14ac:dyDescent="0.25">
      <c r="A20" s="501"/>
      <c r="B20" s="502"/>
      <c r="C20" s="501"/>
      <c r="D20" s="521"/>
      <c r="E20" s="521"/>
      <c r="F20" s="503" t="s">
        <v>39</v>
      </c>
      <c r="G20" s="503">
        <v>101</v>
      </c>
      <c r="H20" s="522">
        <v>455000</v>
      </c>
      <c r="I20" s="504">
        <f t="shared" si="0"/>
        <v>45955000</v>
      </c>
      <c r="J20" s="504"/>
      <c r="K20" s="505">
        <v>0.5</v>
      </c>
      <c r="L20" s="504">
        <f t="shared" si="1"/>
        <v>22977500</v>
      </c>
      <c r="M20" s="504"/>
      <c r="N20" s="504"/>
      <c r="O20" s="504">
        <f t="shared" si="3"/>
        <v>22977500</v>
      </c>
      <c r="P20" s="523"/>
    </row>
    <row r="21" spans="1:16" x14ac:dyDescent="0.25">
      <c r="A21" s="506"/>
      <c r="B21" s="507"/>
      <c r="C21" s="506"/>
      <c r="D21" s="524"/>
      <c r="E21" s="524"/>
      <c r="F21" s="508" t="s">
        <v>66</v>
      </c>
      <c r="G21" s="508">
        <v>37</v>
      </c>
      <c r="H21" s="525">
        <v>455000</v>
      </c>
      <c r="I21" s="509">
        <f t="shared" si="0"/>
        <v>16835000</v>
      </c>
      <c r="J21" s="509"/>
      <c r="K21" s="510">
        <v>0.5</v>
      </c>
      <c r="L21" s="509">
        <f t="shared" si="1"/>
        <v>8417500</v>
      </c>
      <c r="M21" s="509"/>
      <c r="N21" s="509"/>
      <c r="O21" s="509">
        <f t="shared" si="3"/>
        <v>8417500</v>
      </c>
      <c r="P21" s="526"/>
    </row>
    <row r="22" spans="1:16" x14ac:dyDescent="0.25">
      <c r="A22" s="496">
        <v>466</v>
      </c>
      <c r="B22" s="497">
        <v>43955</v>
      </c>
      <c r="C22" s="496" t="s">
        <v>101</v>
      </c>
      <c r="D22" s="496" t="s">
        <v>107</v>
      </c>
      <c r="E22" s="496" t="s">
        <v>68</v>
      </c>
      <c r="F22" s="498" t="s">
        <v>36</v>
      </c>
      <c r="G22" s="498">
        <v>1</v>
      </c>
      <c r="H22" s="499">
        <v>455000</v>
      </c>
      <c r="I22" s="499">
        <f t="shared" si="0"/>
        <v>455000</v>
      </c>
      <c r="J22" s="499"/>
      <c r="K22" s="500">
        <v>0.41</v>
      </c>
      <c r="L22" s="499">
        <f t="shared" si="1"/>
        <v>268450.00000000006</v>
      </c>
      <c r="M22" s="499">
        <f>L22</f>
        <v>268450.00000000006</v>
      </c>
      <c r="N22" s="499"/>
      <c r="O22" s="499"/>
      <c r="P22" s="520"/>
    </row>
    <row r="23" spans="1:16" x14ac:dyDescent="0.25">
      <c r="A23" s="501"/>
      <c r="B23" s="502"/>
      <c r="C23" s="501"/>
      <c r="D23" s="501"/>
      <c r="E23" s="501"/>
      <c r="F23" s="503" t="s">
        <v>37</v>
      </c>
      <c r="G23" s="503">
        <v>1</v>
      </c>
      <c r="H23" s="504">
        <v>465000</v>
      </c>
      <c r="I23" s="504">
        <f t="shared" si="0"/>
        <v>465000</v>
      </c>
      <c r="J23" s="504"/>
      <c r="K23" s="505">
        <v>0.41</v>
      </c>
      <c r="L23" s="504">
        <f t="shared" si="1"/>
        <v>274350.00000000006</v>
      </c>
      <c r="M23" s="504">
        <f t="shared" ref="M23:M25" si="4">L23</f>
        <v>274350.00000000006</v>
      </c>
      <c r="N23" s="504"/>
      <c r="O23" s="504"/>
      <c r="P23" s="503"/>
    </row>
    <row r="24" spans="1:16" x14ac:dyDescent="0.25">
      <c r="A24" s="501"/>
      <c r="B24" s="502"/>
      <c r="C24" s="501"/>
      <c r="D24" s="501"/>
      <c r="E24" s="501"/>
      <c r="F24" s="503" t="s">
        <v>66</v>
      </c>
      <c r="G24" s="503">
        <v>1</v>
      </c>
      <c r="H24" s="504">
        <v>455000</v>
      </c>
      <c r="I24" s="504">
        <f t="shared" si="0"/>
        <v>455000</v>
      </c>
      <c r="J24" s="504"/>
      <c r="K24" s="505">
        <v>0.41</v>
      </c>
      <c r="L24" s="504">
        <f t="shared" si="1"/>
        <v>268450.00000000006</v>
      </c>
      <c r="M24" s="504">
        <f>L24</f>
        <v>268450.00000000006</v>
      </c>
      <c r="N24" s="504"/>
      <c r="O24" s="504"/>
      <c r="P24" s="503"/>
    </row>
    <row r="25" spans="1:16" x14ac:dyDescent="0.25">
      <c r="A25" s="506"/>
      <c r="B25" s="507"/>
      <c r="C25" s="506"/>
      <c r="D25" s="506"/>
      <c r="E25" s="506"/>
      <c r="F25" s="508" t="s">
        <v>40</v>
      </c>
      <c r="G25" s="508">
        <v>1</v>
      </c>
      <c r="H25" s="509">
        <v>475000</v>
      </c>
      <c r="I25" s="509">
        <f t="shared" si="0"/>
        <v>475000</v>
      </c>
      <c r="J25" s="509"/>
      <c r="K25" s="510">
        <v>0.41</v>
      </c>
      <c r="L25" s="509">
        <f t="shared" si="1"/>
        <v>280250.00000000006</v>
      </c>
      <c r="M25" s="509">
        <f t="shared" si="4"/>
        <v>280250.00000000006</v>
      </c>
      <c r="N25" s="509"/>
      <c r="O25" s="509"/>
      <c r="P25" s="508"/>
    </row>
    <row r="26" spans="1:16" x14ac:dyDescent="0.25">
      <c r="A26" s="496">
        <v>468</v>
      </c>
      <c r="B26" s="497">
        <v>43956</v>
      </c>
      <c r="C26" s="496"/>
      <c r="D26" s="496" t="s">
        <v>109</v>
      </c>
      <c r="E26" s="518" t="s">
        <v>110</v>
      </c>
      <c r="F26" s="498" t="s">
        <v>36</v>
      </c>
      <c r="G26" s="498">
        <v>24</v>
      </c>
      <c r="H26" s="499">
        <v>455000</v>
      </c>
      <c r="I26" s="499">
        <f t="shared" si="0"/>
        <v>10920000</v>
      </c>
      <c r="J26" s="527">
        <v>200000</v>
      </c>
      <c r="K26" s="500">
        <v>0.41</v>
      </c>
      <c r="L26" s="499">
        <f>I26*(1-K26)</f>
        <v>6442800.0000000009</v>
      </c>
      <c r="M26" s="499"/>
      <c r="N26" s="499">
        <f t="shared" ref="N26:N32" si="5">L26</f>
        <v>6442800.0000000009</v>
      </c>
      <c r="O26" s="499"/>
      <c r="P26" s="498"/>
    </row>
    <row r="27" spans="1:16" x14ac:dyDescent="0.25">
      <c r="A27" s="501"/>
      <c r="B27" s="502"/>
      <c r="C27" s="501"/>
      <c r="D27" s="501"/>
      <c r="E27" s="521"/>
      <c r="F27" s="503" t="s">
        <v>42</v>
      </c>
      <c r="G27" s="503">
        <v>12</v>
      </c>
      <c r="H27" s="504">
        <v>485000</v>
      </c>
      <c r="I27" s="504">
        <f t="shared" si="0"/>
        <v>5820000</v>
      </c>
      <c r="J27" s="528"/>
      <c r="K27" s="505">
        <v>0.41</v>
      </c>
      <c r="L27" s="504">
        <f t="shared" si="1"/>
        <v>3433800.0000000005</v>
      </c>
      <c r="M27" s="504"/>
      <c r="N27" s="504">
        <f t="shared" si="5"/>
        <v>3433800.0000000005</v>
      </c>
      <c r="O27" s="504"/>
      <c r="P27" s="503"/>
    </row>
    <row r="28" spans="1:16" x14ac:dyDescent="0.25">
      <c r="A28" s="506"/>
      <c r="B28" s="507"/>
      <c r="C28" s="506"/>
      <c r="D28" s="506"/>
      <c r="E28" s="524"/>
      <c r="F28" s="508" t="s">
        <v>41</v>
      </c>
      <c r="G28" s="508">
        <v>12</v>
      </c>
      <c r="H28" s="509">
        <v>485000</v>
      </c>
      <c r="I28" s="509">
        <f t="shared" si="0"/>
        <v>5820000</v>
      </c>
      <c r="J28" s="529"/>
      <c r="K28" s="510">
        <v>0.41</v>
      </c>
      <c r="L28" s="509">
        <f t="shared" si="1"/>
        <v>3433800.0000000005</v>
      </c>
      <c r="M28" s="509"/>
      <c r="N28" s="509">
        <f t="shared" si="5"/>
        <v>3433800.0000000005</v>
      </c>
      <c r="O28" s="509"/>
      <c r="P28" s="508"/>
    </row>
    <row r="29" spans="1:16" x14ac:dyDescent="0.25">
      <c r="A29" s="530">
        <v>1147</v>
      </c>
      <c r="B29" s="531">
        <v>43956</v>
      </c>
      <c r="C29" s="530" t="s">
        <v>103</v>
      </c>
      <c r="D29" s="530" t="s">
        <v>103</v>
      </c>
      <c r="E29" s="532" t="s">
        <v>99</v>
      </c>
      <c r="F29" s="511" t="s">
        <v>39</v>
      </c>
      <c r="G29" s="511">
        <v>1</v>
      </c>
      <c r="H29" s="513">
        <v>455000</v>
      </c>
      <c r="I29" s="513">
        <f t="shared" si="0"/>
        <v>455000</v>
      </c>
      <c r="J29" s="533"/>
      <c r="K29" s="514">
        <v>0.41</v>
      </c>
      <c r="L29" s="513">
        <f>I29*(1-K29)</f>
        <v>268450.00000000006</v>
      </c>
      <c r="M29" s="513"/>
      <c r="N29" s="513">
        <f t="shared" si="5"/>
        <v>268450.00000000006</v>
      </c>
      <c r="O29" s="513"/>
      <c r="P29" s="511" t="s">
        <v>164</v>
      </c>
    </row>
    <row r="30" spans="1:16" ht="36" x14ac:dyDescent="0.25">
      <c r="A30" s="511">
        <v>469</v>
      </c>
      <c r="B30" s="512">
        <v>43956</v>
      </c>
      <c r="C30" s="511" t="s">
        <v>101</v>
      </c>
      <c r="D30" s="511" t="s">
        <v>111</v>
      </c>
      <c r="E30" s="517" t="s">
        <v>112</v>
      </c>
      <c r="F30" s="511" t="s">
        <v>38</v>
      </c>
      <c r="G30" s="511">
        <v>1</v>
      </c>
      <c r="H30" s="513">
        <v>550000</v>
      </c>
      <c r="I30" s="513">
        <f t="shared" si="0"/>
        <v>550000</v>
      </c>
      <c r="J30" s="513"/>
      <c r="K30" s="514">
        <v>0.41</v>
      </c>
      <c r="L30" s="513">
        <f t="shared" si="1"/>
        <v>324500.00000000006</v>
      </c>
      <c r="M30" s="513"/>
      <c r="N30" s="513">
        <f t="shared" si="5"/>
        <v>324500.00000000006</v>
      </c>
      <c r="O30" s="513"/>
      <c r="P30" s="517" t="s">
        <v>242</v>
      </c>
    </row>
    <row r="31" spans="1:16" x14ac:dyDescent="0.25">
      <c r="A31" s="496">
        <v>1150</v>
      </c>
      <c r="B31" s="534" t="s">
        <v>131</v>
      </c>
      <c r="C31" s="496"/>
      <c r="D31" s="496" t="s">
        <v>123</v>
      </c>
      <c r="E31" s="518" t="s">
        <v>128</v>
      </c>
      <c r="F31" s="498" t="s">
        <v>39</v>
      </c>
      <c r="G31" s="498">
        <v>12</v>
      </c>
      <c r="H31" s="499">
        <v>455000</v>
      </c>
      <c r="I31" s="499">
        <f t="shared" si="0"/>
        <v>5460000</v>
      </c>
      <c r="J31" s="499"/>
      <c r="K31" s="500">
        <v>0.35</v>
      </c>
      <c r="L31" s="499">
        <f t="shared" si="1"/>
        <v>3549000</v>
      </c>
      <c r="M31" s="499"/>
      <c r="N31" s="499">
        <f t="shared" si="5"/>
        <v>3549000</v>
      </c>
      <c r="O31" s="499"/>
      <c r="P31" s="498"/>
    </row>
    <row r="32" spans="1:16" x14ac:dyDescent="0.25">
      <c r="A32" s="506"/>
      <c r="B32" s="507"/>
      <c r="C32" s="506"/>
      <c r="D32" s="506"/>
      <c r="E32" s="524"/>
      <c r="F32" s="508" t="s">
        <v>66</v>
      </c>
      <c r="G32" s="508">
        <v>12</v>
      </c>
      <c r="H32" s="509">
        <v>455000</v>
      </c>
      <c r="I32" s="509">
        <f t="shared" si="0"/>
        <v>5460000</v>
      </c>
      <c r="J32" s="509"/>
      <c r="K32" s="510">
        <v>0.35</v>
      </c>
      <c r="L32" s="509">
        <f t="shared" si="1"/>
        <v>3549000</v>
      </c>
      <c r="M32" s="509"/>
      <c r="N32" s="509">
        <f t="shared" si="5"/>
        <v>3549000</v>
      </c>
      <c r="O32" s="509"/>
      <c r="P32" s="508"/>
    </row>
    <row r="33" spans="1:16" x14ac:dyDescent="0.25">
      <c r="A33" s="496">
        <v>502</v>
      </c>
      <c r="B33" s="497">
        <v>43956</v>
      </c>
      <c r="C33" s="496" t="s">
        <v>101</v>
      </c>
      <c r="D33" s="518" t="s">
        <v>129</v>
      </c>
      <c r="E33" s="496"/>
      <c r="F33" s="498" t="s">
        <v>36</v>
      </c>
      <c r="G33" s="498">
        <v>1</v>
      </c>
      <c r="H33" s="499">
        <v>455000</v>
      </c>
      <c r="I33" s="499">
        <f t="shared" ref="I33:I38" si="6">G33*H33</f>
        <v>455000</v>
      </c>
      <c r="J33" s="499"/>
      <c r="K33" s="500">
        <v>1</v>
      </c>
      <c r="L33" s="499">
        <f t="shared" ref="L33:L38" si="7">I33*(1-K33)</f>
        <v>0</v>
      </c>
      <c r="M33" s="499"/>
      <c r="N33" s="499"/>
      <c r="O33" s="499">
        <f t="shared" ref="O33:O38" si="8">L33</f>
        <v>0</v>
      </c>
      <c r="P33" s="498"/>
    </row>
    <row r="34" spans="1:16" x14ac:dyDescent="0.25">
      <c r="A34" s="501"/>
      <c r="B34" s="502"/>
      <c r="C34" s="501"/>
      <c r="D34" s="521"/>
      <c r="E34" s="501"/>
      <c r="F34" s="503" t="s">
        <v>37</v>
      </c>
      <c r="G34" s="503">
        <v>1</v>
      </c>
      <c r="H34" s="504">
        <v>465000</v>
      </c>
      <c r="I34" s="504">
        <f t="shared" si="6"/>
        <v>465000</v>
      </c>
      <c r="J34" s="504"/>
      <c r="K34" s="505">
        <v>1</v>
      </c>
      <c r="L34" s="504">
        <f t="shared" si="7"/>
        <v>0</v>
      </c>
      <c r="M34" s="504"/>
      <c r="N34" s="504"/>
      <c r="O34" s="504">
        <f t="shared" si="8"/>
        <v>0</v>
      </c>
      <c r="P34" s="503"/>
    </row>
    <row r="35" spans="1:16" x14ac:dyDescent="0.25">
      <c r="A35" s="501"/>
      <c r="B35" s="502"/>
      <c r="C35" s="501"/>
      <c r="D35" s="521"/>
      <c r="E35" s="501"/>
      <c r="F35" s="503" t="s">
        <v>40</v>
      </c>
      <c r="G35" s="503">
        <v>1</v>
      </c>
      <c r="H35" s="504">
        <v>475000</v>
      </c>
      <c r="I35" s="504">
        <f t="shared" si="6"/>
        <v>475000</v>
      </c>
      <c r="J35" s="504"/>
      <c r="K35" s="505">
        <v>1</v>
      </c>
      <c r="L35" s="504">
        <f t="shared" si="7"/>
        <v>0</v>
      </c>
      <c r="M35" s="504"/>
      <c r="N35" s="504"/>
      <c r="O35" s="504">
        <f t="shared" si="8"/>
        <v>0</v>
      </c>
      <c r="P35" s="503"/>
    </row>
    <row r="36" spans="1:16" x14ac:dyDescent="0.25">
      <c r="A36" s="501"/>
      <c r="B36" s="502"/>
      <c r="C36" s="501"/>
      <c r="D36" s="521"/>
      <c r="E36" s="501"/>
      <c r="F36" s="503" t="s">
        <v>42</v>
      </c>
      <c r="G36" s="503">
        <v>1</v>
      </c>
      <c r="H36" s="504">
        <v>485000</v>
      </c>
      <c r="I36" s="504">
        <f t="shared" si="6"/>
        <v>485000</v>
      </c>
      <c r="J36" s="504"/>
      <c r="K36" s="505">
        <v>1</v>
      </c>
      <c r="L36" s="504">
        <f t="shared" si="7"/>
        <v>0</v>
      </c>
      <c r="M36" s="504"/>
      <c r="N36" s="504"/>
      <c r="O36" s="504">
        <f t="shared" si="8"/>
        <v>0</v>
      </c>
      <c r="P36" s="503"/>
    </row>
    <row r="37" spans="1:16" x14ac:dyDescent="0.25">
      <c r="A37" s="501"/>
      <c r="B37" s="502"/>
      <c r="C37" s="501"/>
      <c r="D37" s="521"/>
      <c r="E37" s="501"/>
      <c r="F37" s="503" t="s">
        <v>41</v>
      </c>
      <c r="G37" s="503">
        <v>1</v>
      </c>
      <c r="H37" s="504">
        <v>485000</v>
      </c>
      <c r="I37" s="504">
        <f t="shared" si="6"/>
        <v>485000</v>
      </c>
      <c r="J37" s="504"/>
      <c r="K37" s="505">
        <v>1</v>
      </c>
      <c r="L37" s="504">
        <f t="shared" si="7"/>
        <v>0</v>
      </c>
      <c r="M37" s="504"/>
      <c r="N37" s="504"/>
      <c r="O37" s="504">
        <f t="shared" si="8"/>
        <v>0</v>
      </c>
      <c r="P37" s="503"/>
    </row>
    <row r="38" spans="1:16" x14ac:dyDescent="0.25">
      <c r="A38" s="506"/>
      <c r="B38" s="507"/>
      <c r="C38" s="506"/>
      <c r="D38" s="524"/>
      <c r="E38" s="506"/>
      <c r="F38" s="508" t="s">
        <v>38</v>
      </c>
      <c r="G38" s="508">
        <v>1</v>
      </c>
      <c r="H38" s="509">
        <v>550000</v>
      </c>
      <c r="I38" s="509">
        <f t="shared" si="6"/>
        <v>550000</v>
      </c>
      <c r="J38" s="509"/>
      <c r="K38" s="510">
        <v>1</v>
      </c>
      <c r="L38" s="509">
        <f t="shared" si="7"/>
        <v>0</v>
      </c>
      <c r="M38" s="509"/>
      <c r="N38" s="509"/>
      <c r="O38" s="509">
        <f t="shared" si="8"/>
        <v>0</v>
      </c>
      <c r="P38" s="508"/>
    </row>
    <row r="39" spans="1:16" x14ac:dyDescent="0.25">
      <c r="A39" s="511">
        <v>470</v>
      </c>
      <c r="B39" s="512">
        <v>43957</v>
      </c>
      <c r="C39" s="511"/>
      <c r="D39" s="511" t="s">
        <v>109</v>
      </c>
      <c r="E39" s="511" t="s">
        <v>110</v>
      </c>
      <c r="F39" s="511" t="s">
        <v>113</v>
      </c>
      <c r="G39" s="511">
        <v>24</v>
      </c>
      <c r="H39" s="513">
        <v>225000</v>
      </c>
      <c r="I39" s="513">
        <f t="shared" si="0"/>
        <v>5400000</v>
      </c>
      <c r="J39" s="513">
        <v>50000</v>
      </c>
      <c r="K39" s="514">
        <v>0.41</v>
      </c>
      <c r="L39" s="513">
        <f>I39*(1-K39)</f>
        <v>3186000.0000000005</v>
      </c>
      <c r="M39" s="513"/>
      <c r="N39" s="513">
        <f>L39</f>
        <v>3186000.0000000005</v>
      </c>
      <c r="O39" s="513"/>
      <c r="P39" s="511"/>
    </row>
    <row r="40" spans="1:16" x14ac:dyDescent="0.25">
      <c r="A40" s="496">
        <v>513</v>
      </c>
      <c r="B40" s="497">
        <v>43987</v>
      </c>
      <c r="C40" s="496" t="s">
        <v>101</v>
      </c>
      <c r="D40" s="518" t="s">
        <v>136</v>
      </c>
      <c r="E40" s="496" t="s">
        <v>99</v>
      </c>
      <c r="F40" s="498" t="s">
        <v>42</v>
      </c>
      <c r="G40" s="498">
        <v>1</v>
      </c>
      <c r="H40" s="499">
        <v>485000</v>
      </c>
      <c r="I40" s="499">
        <f t="shared" ref="I40:I41" si="9">G40*H40</f>
        <v>485000</v>
      </c>
      <c r="J40" s="499"/>
      <c r="K40" s="500">
        <v>1</v>
      </c>
      <c r="L40" s="499">
        <f>I40*(1-K40)</f>
        <v>0</v>
      </c>
      <c r="M40" s="499"/>
      <c r="N40" s="499"/>
      <c r="O40" s="499">
        <f t="shared" ref="O40:O41" si="10">L40</f>
        <v>0</v>
      </c>
      <c r="P40" s="498"/>
    </row>
    <row r="41" spans="1:16" x14ac:dyDescent="0.25">
      <c r="A41" s="506"/>
      <c r="B41" s="507"/>
      <c r="C41" s="506"/>
      <c r="D41" s="524"/>
      <c r="E41" s="506"/>
      <c r="F41" s="508" t="s">
        <v>38</v>
      </c>
      <c r="G41" s="508">
        <v>2</v>
      </c>
      <c r="H41" s="509">
        <v>550000</v>
      </c>
      <c r="I41" s="509">
        <f t="shared" si="9"/>
        <v>1100000</v>
      </c>
      <c r="J41" s="509"/>
      <c r="K41" s="510">
        <v>1</v>
      </c>
      <c r="L41" s="509">
        <f>I41*(1-K41)</f>
        <v>0</v>
      </c>
      <c r="M41" s="509"/>
      <c r="N41" s="509"/>
      <c r="O41" s="509">
        <f t="shared" si="10"/>
        <v>0</v>
      </c>
      <c r="P41" s="508"/>
    </row>
    <row r="42" spans="1:16" x14ac:dyDescent="0.25">
      <c r="A42" s="511">
        <v>512</v>
      </c>
      <c r="B42" s="535" t="s">
        <v>134</v>
      </c>
      <c r="C42" s="511" t="s">
        <v>103</v>
      </c>
      <c r="D42" s="511" t="s">
        <v>135</v>
      </c>
      <c r="E42" s="511"/>
      <c r="F42" s="511" t="s">
        <v>36</v>
      </c>
      <c r="G42" s="511">
        <v>3</v>
      </c>
      <c r="H42" s="513">
        <v>455000</v>
      </c>
      <c r="I42" s="513">
        <f>G42*H42</f>
        <v>1365000</v>
      </c>
      <c r="J42" s="513"/>
      <c r="K42" s="514">
        <v>0.5</v>
      </c>
      <c r="L42" s="513">
        <f>I42*(1-K42)</f>
        <v>682500</v>
      </c>
      <c r="M42" s="513"/>
      <c r="N42" s="513">
        <f>L42</f>
        <v>682500</v>
      </c>
      <c r="O42" s="513"/>
      <c r="P42" s="511" t="s">
        <v>164</v>
      </c>
    </row>
    <row r="43" spans="1:16" x14ac:dyDescent="0.25">
      <c r="A43" s="329">
        <v>529</v>
      </c>
      <c r="B43" s="536">
        <v>43959</v>
      </c>
      <c r="C43" s="329" t="s">
        <v>103</v>
      </c>
      <c r="D43" s="329" t="s">
        <v>103</v>
      </c>
      <c r="E43" s="329" t="s">
        <v>99</v>
      </c>
      <c r="F43" s="511" t="s">
        <v>39</v>
      </c>
      <c r="G43" s="511">
        <v>1</v>
      </c>
      <c r="H43" s="513">
        <v>455000</v>
      </c>
      <c r="I43" s="513">
        <f>G43*H43</f>
        <v>455000</v>
      </c>
      <c r="J43" s="513"/>
      <c r="K43" s="514">
        <v>0.41</v>
      </c>
      <c r="L43" s="513">
        <f>I43*(1-K43)</f>
        <v>268450.00000000006</v>
      </c>
      <c r="M43" s="513"/>
      <c r="N43" s="513">
        <f>L43</f>
        <v>268450.00000000006</v>
      </c>
      <c r="O43" s="513"/>
      <c r="P43" s="511" t="s">
        <v>164</v>
      </c>
    </row>
    <row r="44" spans="1:16" x14ac:dyDescent="0.25">
      <c r="A44" s="496">
        <v>472</v>
      </c>
      <c r="B44" s="497">
        <v>43960</v>
      </c>
      <c r="C44" s="496"/>
      <c r="D44" s="496" t="s">
        <v>114</v>
      </c>
      <c r="E44" s="496"/>
      <c r="F44" s="498" t="s">
        <v>36</v>
      </c>
      <c r="G44" s="498">
        <v>5</v>
      </c>
      <c r="H44" s="499">
        <v>455000</v>
      </c>
      <c r="I44" s="499">
        <f t="shared" si="0"/>
        <v>2275000</v>
      </c>
      <c r="J44" s="499"/>
      <c r="K44" s="500">
        <v>1</v>
      </c>
      <c r="L44" s="499">
        <f t="shared" si="1"/>
        <v>0</v>
      </c>
      <c r="M44" s="499"/>
      <c r="N44" s="499"/>
      <c r="O44" s="499"/>
      <c r="P44" s="498"/>
    </row>
    <row r="45" spans="1:16" x14ac:dyDescent="0.25">
      <c r="A45" s="501"/>
      <c r="B45" s="502"/>
      <c r="C45" s="501"/>
      <c r="D45" s="501"/>
      <c r="E45" s="501"/>
      <c r="F45" s="503" t="s">
        <v>42</v>
      </c>
      <c r="G45" s="503">
        <v>10</v>
      </c>
      <c r="H45" s="504">
        <v>485000</v>
      </c>
      <c r="I45" s="504">
        <f t="shared" si="0"/>
        <v>4850000</v>
      </c>
      <c r="J45" s="504"/>
      <c r="K45" s="505">
        <v>1</v>
      </c>
      <c r="L45" s="504">
        <f t="shared" si="1"/>
        <v>0</v>
      </c>
      <c r="M45" s="504"/>
      <c r="N45" s="504"/>
      <c r="O45" s="504"/>
      <c r="P45" s="503"/>
    </row>
    <row r="46" spans="1:16" x14ac:dyDescent="0.25">
      <c r="A46" s="506"/>
      <c r="B46" s="507"/>
      <c r="C46" s="506"/>
      <c r="D46" s="506"/>
      <c r="E46" s="506"/>
      <c r="F46" s="508" t="s">
        <v>39</v>
      </c>
      <c r="G46" s="508">
        <v>3</v>
      </c>
      <c r="H46" s="509">
        <v>455000</v>
      </c>
      <c r="I46" s="509">
        <f t="shared" si="0"/>
        <v>1365000</v>
      </c>
      <c r="J46" s="509"/>
      <c r="K46" s="510">
        <v>1</v>
      </c>
      <c r="L46" s="509">
        <f t="shared" si="1"/>
        <v>0</v>
      </c>
      <c r="M46" s="509"/>
      <c r="N46" s="509"/>
      <c r="O46" s="509"/>
      <c r="P46" s="508"/>
    </row>
    <row r="47" spans="1:16" x14ac:dyDescent="0.25">
      <c r="A47" s="496">
        <v>473</v>
      </c>
      <c r="B47" s="497">
        <v>43960</v>
      </c>
      <c r="C47" s="496"/>
      <c r="D47" s="518" t="s">
        <v>120</v>
      </c>
      <c r="E47" s="496" t="s">
        <v>115</v>
      </c>
      <c r="F47" s="498" t="s">
        <v>113</v>
      </c>
      <c r="G47" s="498">
        <v>24</v>
      </c>
      <c r="H47" s="499">
        <v>225000</v>
      </c>
      <c r="I47" s="499">
        <f t="shared" si="0"/>
        <v>5400000</v>
      </c>
      <c r="J47" s="499"/>
      <c r="K47" s="500">
        <v>0.38</v>
      </c>
      <c r="L47" s="499">
        <f>I47*(1-K47)</f>
        <v>3348000</v>
      </c>
      <c r="M47" s="499"/>
      <c r="N47" s="499"/>
      <c r="O47" s="499">
        <f t="shared" ref="O47:O70" si="11">L47</f>
        <v>3348000</v>
      </c>
      <c r="P47" s="498"/>
    </row>
    <row r="48" spans="1:16" x14ac:dyDescent="0.25">
      <c r="A48" s="506"/>
      <c r="B48" s="507"/>
      <c r="C48" s="506"/>
      <c r="D48" s="524"/>
      <c r="E48" s="506"/>
      <c r="F48" s="508" t="s">
        <v>36</v>
      </c>
      <c r="G48" s="508">
        <v>24</v>
      </c>
      <c r="H48" s="509">
        <v>455000</v>
      </c>
      <c r="I48" s="509">
        <f t="shared" si="0"/>
        <v>10920000</v>
      </c>
      <c r="J48" s="509"/>
      <c r="K48" s="510">
        <v>0.38</v>
      </c>
      <c r="L48" s="509">
        <f t="shared" si="1"/>
        <v>6770400</v>
      </c>
      <c r="M48" s="509"/>
      <c r="N48" s="509"/>
      <c r="O48" s="509">
        <f t="shared" si="11"/>
        <v>6770400</v>
      </c>
      <c r="P48" s="508"/>
    </row>
    <row r="49" spans="1:16" ht="24" x14ac:dyDescent="0.25">
      <c r="A49" s="511">
        <v>475</v>
      </c>
      <c r="B49" s="512">
        <v>43960</v>
      </c>
      <c r="C49" s="511"/>
      <c r="D49" s="517" t="s">
        <v>119</v>
      </c>
      <c r="E49" s="511" t="s">
        <v>68</v>
      </c>
      <c r="F49" s="511" t="s">
        <v>113</v>
      </c>
      <c r="G49" s="511">
        <v>24</v>
      </c>
      <c r="H49" s="513">
        <v>225000</v>
      </c>
      <c r="I49" s="513">
        <f t="shared" si="0"/>
        <v>5400000</v>
      </c>
      <c r="J49" s="513"/>
      <c r="K49" s="514">
        <v>0.5</v>
      </c>
      <c r="L49" s="513">
        <f t="shared" si="1"/>
        <v>2700000</v>
      </c>
      <c r="N49" s="513" t="s">
        <v>100</v>
      </c>
      <c r="O49" s="513">
        <f>L49</f>
        <v>2700000</v>
      </c>
      <c r="P49" s="511"/>
    </row>
    <row r="50" spans="1:16" x14ac:dyDescent="0.25">
      <c r="A50" s="496">
        <v>508</v>
      </c>
      <c r="B50" s="534" t="s">
        <v>130</v>
      </c>
      <c r="C50" s="496" t="s">
        <v>103</v>
      </c>
      <c r="D50" s="496" t="s">
        <v>102</v>
      </c>
      <c r="E50" s="496" t="s">
        <v>104</v>
      </c>
      <c r="F50" s="498" t="s">
        <v>36</v>
      </c>
      <c r="G50" s="498">
        <v>2</v>
      </c>
      <c r="H50" s="499">
        <v>455000</v>
      </c>
      <c r="I50" s="499">
        <f t="shared" ref="I50:I110" si="12">G50*H50</f>
        <v>910000</v>
      </c>
      <c r="J50" s="499"/>
      <c r="K50" s="500">
        <v>0.41</v>
      </c>
      <c r="L50" s="499">
        <f t="shared" si="1"/>
        <v>536900.00000000012</v>
      </c>
      <c r="M50" s="499"/>
      <c r="N50" s="499">
        <f>L50</f>
        <v>536900.00000000012</v>
      </c>
      <c r="O50" s="499"/>
      <c r="P50" s="498" t="s">
        <v>164</v>
      </c>
    </row>
    <row r="51" spans="1:16" x14ac:dyDescent="0.25">
      <c r="A51" s="506"/>
      <c r="B51" s="537"/>
      <c r="C51" s="506"/>
      <c r="D51" s="506"/>
      <c r="E51" s="506"/>
      <c r="F51" s="508" t="s">
        <v>37</v>
      </c>
      <c r="G51" s="508">
        <v>5</v>
      </c>
      <c r="H51" s="509">
        <v>465000</v>
      </c>
      <c r="I51" s="509">
        <f t="shared" si="12"/>
        <v>2325000</v>
      </c>
      <c r="J51" s="509"/>
      <c r="K51" s="510">
        <v>0.41</v>
      </c>
      <c r="L51" s="509">
        <f>I51*(1-K51)</f>
        <v>1371750.0000000002</v>
      </c>
      <c r="M51" s="509"/>
      <c r="N51" s="509">
        <f>L51</f>
        <v>1371750.0000000002</v>
      </c>
      <c r="O51" s="509"/>
      <c r="P51" s="508" t="s">
        <v>164</v>
      </c>
    </row>
    <row r="52" spans="1:16" x14ac:dyDescent="0.25">
      <c r="A52" s="511">
        <v>509</v>
      </c>
      <c r="B52" s="535">
        <v>43960</v>
      </c>
      <c r="C52" s="511" t="s">
        <v>103</v>
      </c>
      <c r="D52" s="511" t="s">
        <v>132</v>
      </c>
      <c r="E52" s="511" t="s">
        <v>133</v>
      </c>
      <c r="F52" s="511" t="s">
        <v>42</v>
      </c>
      <c r="G52" s="511">
        <v>12</v>
      </c>
      <c r="H52" s="513">
        <v>485000</v>
      </c>
      <c r="I52" s="513">
        <f t="shared" si="12"/>
        <v>5820000</v>
      </c>
      <c r="J52" s="513"/>
      <c r="K52" s="514">
        <v>0.41</v>
      </c>
      <c r="L52" s="513">
        <f t="shared" ref="L52:L110" si="13">I52*(1-K52)</f>
        <v>3433800.0000000005</v>
      </c>
      <c r="M52" s="513"/>
      <c r="N52" s="513">
        <f>L52</f>
        <v>3433800.0000000005</v>
      </c>
      <c r="O52" s="513"/>
      <c r="P52" s="511" t="s">
        <v>164</v>
      </c>
    </row>
    <row r="53" spans="1:16" x14ac:dyDescent="0.25">
      <c r="A53" s="511">
        <v>514</v>
      </c>
      <c r="B53" s="535" t="s">
        <v>130</v>
      </c>
      <c r="C53" s="511" t="s">
        <v>103</v>
      </c>
      <c r="D53" s="511" t="s">
        <v>103</v>
      </c>
      <c r="E53" s="511" t="s">
        <v>99</v>
      </c>
      <c r="F53" s="511" t="s">
        <v>42</v>
      </c>
      <c r="G53" s="511">
        <v>1</v>
      </c>
      <c r="H53" s="513">
        <v>485000</v>
      </c>
      <c r="I53" s="513">
        <f t="shared" si="12"/>
        <v>485000</v>
      </c>
      <c r="J53" s="513"/>
      <c r="K53" s="514">
        <v>0.41</v>
      </c>
      <c r="L53" s="513">
        <f t="shared" si="13"/>
        <v>286150.00000000006</v>
      </c>
      <c r="M53" s="513">
        <f>L53</f>
        <v>286150.00000000006</v>
      </c>
      <c r="P53" s="511"/>
    </row>
    <row r="54" spans="1:16" x14ac:dyDescent="0.25">
      <c r="A54" s="496">
        <v>521</v>
      </c>
      <c r="B54" s="534">
        <v>43961</v>
      </c>
      <c r="C54" s="496" t="s">
        <v>101</v>
      </c>
      <c r="D54" s="518" t="s">
        <v>152</v>
      </c>
      <c r="E54" s="496" t="s">
        <v>99</v>
      </c>
      <c r="F54" s="498" t="s">
        <v>36</v>
      </c>
      <c r="G54" s="498">
        <v>1</v>
      </c>
      <c r="H54" s="499">
        <v>455000</v>
      </c>
      <c r="I54" s="499">
        <f t="shared" si="12"/>
        <v>455000</v>
      </c>
      <c r="J54" s="499"/>
      <c r="K54" s="500">
        <v>1</v>
      </c>
      <c r="L54" s="499">
        <f t="shared" si="13"/>
        <v>0</v>
      </c>
      <c r="M54" s="499"/>
      <c r="N54" s="499"/>
      <c r="O54" s="499">
        <f t="shared" si="11"/>
        <v>0</v>
      </c>
      <c r="P54" s="498"/>
    </row>
    <row r="55" spans="1:16" x14ac:dyDescent="0.25">
      <c r="A55" s="501"/>
      <c r="B55" s="538"/>
      <c r="C55" s="501"/>
      <c r="D55" s="521"/>
      <c r="E55" s="501"/>
      <c r="F55" s="503" t="s">
        <v>37</v>
      </c>
      <c r="G55" s="503">
        <v>2</v>
      </c>
      <c r="H55" s="504">
        <v>465000</v>
      </c>
      <c r="I55" s="504">
        <f t="shared" si="12"/>
        <v>930000</v>
      </c>
      <c r="J55" s="504"/>
      <c r="K55" s="505">
        <v>1</v>
      </c>
      <c r="L55" s="504">
        <f t="shared" si="13"/>
        <v>0</v>
      </c>
      <c r="M55" s="504"/>
      <c r="N55" s="504"/>
      <c r="O55" s="504">
        <f t="shared" si="11"/>
        <v>0</v>
      </c>
      <c r="P55" s="503"/>
    </row>
    <row r="56" spans="1:16" x14ac:dyDescent="0.25">
      <c r="A56" s="501"/>
      <c r="B56" s="538"/>
      <c r="C56" s="501"/>
      <c r="D56" s="521"/>
      <c r="E56" s="501"/>
      <c r="F56" s="503" t="s">
        <v>40</v>
      </c>
      <c r="G56" s="503">
        <v>1</v>
      </c>
      <c r="H56" s="504">
        <v>475000</v>
      </c>
      <c r="I56" s="504">
        <f t="shared" si="12"/>
        <v>475000</v>
      </c>
      <c r="J56" s="504"/>
      <c r="K56" s="505">
        <v>1</v>
      </c>
      <c r="L56" s="504">
        <f t="shared" si="13"/>
        <v>0</v>
      </c>
      <c r="M56" s="504"/>
      <c r="N56" s="504"/>
      <c r="O56" s="504">
        <f t="shared" si="11"/>
        <v>0</v>
      </c>
      <c r="P56" s="503"/>
    </row>
    <row r="57" spans="1:16" x14ac:dyDescent="0.25">
      <c r="A57" s="501"/>
      <c r="B57" s="538"/>
      <c r="C57" s="501"/>
      <c r="D57" s="521"/>
      <c r="E57" s="501"/>
      <c r="F57" s="503" t="s">
        <v>42</v>
      </c>
      <c r="G57" s="503">
        <v>1</v>
      </c>
      <c r="H57" s="504">
        <v>485000</v>
      </c>
      <c r="I57" s="504">
        <f t="shared" si="12"/>
        <v>485000</v>
      </c>
      <c r="J57" s="504"/>
      <c r="K57" s="505">
        <v>1</v>
      </c>
      <c r="L57" s="504">
        <f t="shared" si="13"/>
        <v>0</v>
      </c>
      <c r="M57" s="504"/>
      <c r="N57" s="504"/>
      <c r="O57" s="504">
        <f t="shared" si="11"/>
        <v>0</v>
      </c>
      <c r="P57" s="503"/>
    </row>
    <row r="58" spans="1:16" x14ac:dyDescent="0.25">
      <c r="A58" s="501"/>
      <c r="B58" s="538"/>
      <c r="C58" s="501"/>
      <c r="D58" s="521"/>
      <c r="E58" s="501"/>
      <c r="F58" s="503" t="s">
        <v>41</v>
      </c>
      <c r="G58" s="503">
        <v>1</v>
      </c>
      <c r="H58" s="504">
        <v>485000</v>
      </c>
      <c r="I58" s="504">
        <f t="shared" si="12"/>
        <v>485000</v>
      </c>
      <c r="J58" s="504"/>
      <c r="K58" s="505">
        <v>1</v>
      </c>
      <c r="L58" s="504">
        <f t="shared" si="13"/>
        <v>0</v>
      </c>
      <c r="M58" s="504"/>
      <c r="N58" s="504"/>
      <c r="O58" s="504">
        <f t="shared" si="11"/>
        <v>0</v>
      </c>
      <c r="P58" s="503"/>
    </row>
    <row r="59" spans="1:16" x14ac:dyDescent="0.25">
      <c r="A59" s="506"/>
      <c r="B59" s="537"/>
      <c r="C59" s="506"/>
      <c r="D59" s="524"/>
      <c r="E59" s="506"/>
      <c r="F59" s="508" t="s">
        <v>38</v>
      </c>
      <c r="G59" s="508">
        <v>2</v>
      </c>
      <c r="H59" s="509">
        <v>550000</v>
      </c>
      <c r="I59" s="509">
        <f t="shared" si="12"/>
        <v>1100000</v>
      </c>
      <c r="J59" s="509"/>
      <c r="K59" s="510">
        <v>1</v>
      </c>
      <c r="L59" s="509">
        <f t="shared" si="13"/>
        <v>0</v>
      </c>
      <c r="M59" s="509"/>
      <c r="N59" s="509"/>
      <c r="O59" s="509">
        <f t="shared" si="11"/>
        <v>0</v>
      </c>
      <c r="P59" s="508"/>
    </row>
    <row r="60" spans="1:16" x14ac:dyDescent="0.25">
      <c r="A60" s="496">
        <v>515</v>
      </c>
      <c r="B60" s="534">
        <v>43962</v>
      </c>
      <c r="C60" s="496"/>
      <c r="D60" s="518" t="s">
        <v>146</v>
      </c>
      <c r="E60" s="496"/>
      <c r="F60" s="498" t="s">
        <v>36</v>
      </c>
      <c r="G60" s="498">
        <v>24</v>
      </c>
      <c r="H60" s="499">
        <v>455000</v>
      </c>
      <c r="I60" s="499">
        <f t="shared" si="12"/>
        <v>10920000</v>
      </c>
      <c r="J60" s="499"/>
      <c r="K60" s="500">
        <v>0.35</v>
      </c>
      <c r="L60" s="499">
        <f>I60*(1-K60)</f>
        <v>7098000</v>
      </c>
      <c r="M60" s="499">
        <f t="shared" ref="M60:M66" si="14">L60</f>
        <v>7098000</v>
      </c>
      <c r="N60" s="499"/>
      <c r="O60" s="499"/>
      <c r="P60" s="498"/>
    </row>
    <row r="61" spans="1:16" x14ac:dyDescent="0.25">
      <c r="A61" s="506"/>
      <c r="B61" s="537"/>
      <c r="C61" s="506"/>
      <c r="D61" s="524"/>
      <c r="E61" s="506"/>
      <c r="F61" s="508" t="s">
        <v>37</v>
      </c>
      <c r="G61" s="508">
        <v>24</v>
      </c>
      <c r="H61" s="509">
        <v>465000</v>
      </c>
      <c r="I61" s="509">
        <f t="shared" si="12"/>
        <v>11160000</v>
      </c>
      <c r="J61" s="509"/>
      <c r="K61" s="510">
        <v>0.35</v>
      </c>
      <c r="L61" s="509">
        <f>I61*(1-K61)</f>
        <v>7254000</v>
      </c>
      <c r="M61" s="509">
        <f t="shared" si="14"/>
        <v>7254000</v>
      </c>
      <c r="N61" s="509"/>
      <c r="O61" s="509"/>
      <c r="P61" s="508"/>
    </row>
    <row r="62" spans="1:16" x14ac:dyDescent="0.25">
      <c r="A62" s="511">
        <v>517</v>
      </c>
      <c r="B62" s="535">
        <v>43962</v>
      </c>
      <c r="C62" s="511" t="s">
        <v>147</v>
      </c>
      <c r="D62" s="511" t="s">
        <v>148</v>
      </c>
      <c r="E62" s="511" t="s">
        <v>149</v>
      </c>
      <c r="F62" s="511" t="s">
        <v>42</v>
      </c>
      <c r="G62" s="511">
        <v>12</v>
      </c>
      <c r="H62" s="513">
        <v>485000</v>
      </c>
      <c r="I62" s="513">
        <f t="shared" si="12"/>
        <v>5820000</v>
      </c>
      <c r="J62" s="513"/>
      <c r="K62" s="514">
        <v>0.41</v>
      </c>
      <c r="L62" s="513">
        <f t="shared" si="13"/>
        <v>3433800.0000000005</v>
      </c>
      <c r="M62" s="513">
        <f t="shared" si="14"/>
        <v>3433800.0000000005</v>
      </c>
      <c r="N62" s="513"/>
      <c r="O62" s="513"/>
      <c r="P62" s="511" t="s">
        <v>164</v>
      </c>
    </row>
    <row r="63" spans="1:16" x14ac:dyDescent="0.25">
      <c r="A63" s="511">
        <v>518</v>
      </c>
      <c r="B63" s="535">
        <v>43963</v>
      </c>
      <c r="C63" s="511" t="s">
        <v>101</v>
      </c>
      <c r="D63" s="511" t="s">
        <v>150</v>
      </c>
      <c r="E63" s="511" t="s">
        <v>151</v>
      </c>
      <c r="F63" s="511" t="s">
        <v>37</v>
      </c>
      <c r="G63" s="511">
        <v>1</v>
      </c>
      <c r="H63" s="513">
        <v>465000</v>
      </c>
      <c r="I63" s="513">
        <f t="shared" si="12"/>
        <v>465000</v>
      </c>
      <c r="J63" s="513"/>
      <c r="K63" s="514">
        <v>0.41</v>
      </c>
      <c r="L63" s="513">
        <f t="shared" si="13"/>
        <v>274350.00000000006</v>
      </c>
      <c r="M63" s="513">
        <f t="shared" si="14"/>
        <v>274350.00000000006</v>
      </c>
      <c r="N63" s="513"/>
      <c r="O63" s="513"/>
      <c r="P63" s="511"/>
    </row>
    <row r="64" spans="1:16" x14ac:dyDescent="0.25">
      <c r="A64" s="496">
        <v>525</v>
      </c>
      <c r="B64" s="534">
        <v>43965</v>
      </c>
      <c r="C64" s="496" t="s">
        <v>153</v>
      </c>
      <c r="D64" s="496" t="s">
        <v>153</v>
      </c>
      <c r="E64" s="496" t="s">
        <v>99</v>
      </c>
      <c r="F64" s="498" t="s">
        <v>36</v>
      </c>
      <c r="G64" s="498">
        <v>2</v>
      </c>
      <c r="H64" s="499">
        <v>455000</v>
      </c>
      <c r="I64" s="499">
        <f t="shared" si="12"/>
        <v>910000</v>
      </c>
      <c r="J64" s="499"/>
      <c r="K64" s="500">
        <v>0.41</v>
      </c>
      <c r="L64" s="499">
        <f t="shared" si="13"/>
        <v>536900.00000000012</v>
      </c>
      <c r="M64" s="499">
        <f t="shared" si="14"/>
        <v>536900.00000000012</v>
      </c>
      <c r="N64" s="499"/>
      <c r="O64" s="499"/>
      <c r="P64" s="498" t="s">
        <v>164</v>
      </c>
    </row>
    <row r="65" spans="1:16" x14ac:dyDescent="0.25">
      <c r="A65" s="501"/>
      <c r="B65" s="538"/>
      <c r="C65" s="501"/>
      <c r="D65" s="501"/>
      <c r="E65" s="501"/>
      <c r="F65" s="503" t="s">
        <v>37</v>
      </c>
      <c r="G65" s="503">
        <v>1</v>
      </c>
      <c r="H65" s="504">
        <v>465000</v>
      </c>
      <c r="I65" s="504">
        <f t="shared" si="12"/>
        <v>465000</v>
      </c>
      <c r="J65" s="504"/>
      <c r="K65" s="505">
        <v>0.41</v>
      </c>
      <c r="L65" s="504">
        <f t="shared" si="13"/>
        <v>274350.00000000006</v>
      </c>
      <c r="M65" s="504">
        <f t="shared" si="14"/>
        <v>274350.00000000006</v>
      </c>
      <c r="N65" s="504"/>
      <c r="O65" s="504"/>
      <c r="P65" s="503" t="s">
        <v>164</v>
      </c>
    </row>
    <row r="66" spans="1:16" x14ac:dyDescent="0.25">
      <c r="A66" s="506"/>
      <c r="B66" s="537"/>
      <c r="C66" s="506"/>
      <c r="D66" s="506"/>
      <c r="E66" s="506"/>
      <c r="F66" s="508" t="s">
        <v>66</v>
      </c>
      <c r="G66" s="508">
        <v>1</v>
      </c>
      <c r="H66" s="509">
        <v>455000</v>
      </c>
      <c r="I66" s="509">
        <f t="shared" si="12"/>
        <v>455000</v>
      </c>
      <c r="J66" s="509"/>
      <c r="K66" s="510">
        <v>0.41</v>
      </c>
      <c r="L66" s="509">
        <f t="shared" si="13"/>
        <v>268450.00000000006</v>
      </c>
      <c r="M66" s="509">
        <f t="shared" si="14"/>
        <v>268450.00000000006</v>
      </c>
      <c r="N66" s="509"/>
      <c r="O66" s="509"/>
      <c r="P66" s="508"/>
    </row>
    <row r="67" spans="1:16" x14ac:dyDescent="0.25">
      <c r="A67" s="496">
        <v>526</v>
      </c>
      <c r="B67" s="534">
        <v>43965</v>
      </c>
      <c r="C67" s="496"/>
      <c r="D67" s="496" t="s">
        <v>154</v>
      </c>
      <c r="E67" s="496" t="s">
        <v>155</v>
      </c>
      <c r="F67" s="498" t="s">
        <v>36</v>
      </c>
      <c r="G67" s="498">
        <v>12</v>
      </c>
      <c r="H67" s="499">
        <v>455000</v>
      </c>
      <c r="I67" s="499">
        <f t="shared" si="12"/>
        <v>5460000</v>
      </c>
      <c r="J67" s="499"/>
      <c r="K67" s="500">
        <v>0.43</v>
      </c>
      <c r="L67" s="499">
        <f t="shared" si="13"/>
        <v>3112200.0000000005</v>
      </c>
      <c r="M67" s="499"/>
      <c r="N67" s="499"/>
      <c r="O67" s="499">
        <f t="shared" si="11"/>
        <v>3112200.0000000005</v>
      </c>
      <c r="P67" s="498"/>
    </row>
    <row r="68" spans="1:16" x14ac:dyDescent="0.25">
      <c r="A68" s="501"/>
      <c r="B68" s="538"/>
      <c r="C68" s="501"/>
      <c r="D68" s="501"/>
      <c r="E68" s="501"/>
      <c r="F68" s="503" t="s">
        <v>41</v>
      </c>
      <c r="G68" s="503">
        <v>12</v>
      </c>
      <c r="H68" s="504">
        <v>485000</v>
      </c>
      <c r="I68" s="504">
        <f t="shared" si="12"/>
        <v>5820000</v>
      </c>
      <c r="J68" s="504"/>
      <c r="K68" s="505">
        <v>0.43</v>
      </c>
      <c r="L68" s="504">
        <f t="shared" si="13"/>
        <v>3317400.0000000005</v>
      </c>
      <c r="M68" s="504"/>
      <c r="N68" s="504"/>
      <c r="O68" s="504">
        <f t="shared" si="11"/>
        <v>3317400.0000000005</v>
      </c>
      <c r="P68" s="503"/>
    </row>
    <row r="69" spans="1:16" x14ac:dyDescent="0.25">
      <c r="A69" s="501"/>
      <c r="B69" s="538"/>
      <c r="C69" s="501"/>
      <c r="D69" s="501"/>
      <c r="E69" s="501"/>
      <c r="F69" s="503" t="s">
        <v>39</v>
      </c>
      <c r="G69" s="503">
        <v>24</v>
      </c>
      <c r="H69" s="504">
        <v>455000</v>
      </c>
      <c r="I69" s="504">
        <f t="shared" si="12"/>
        <v>10920000</v>
      </c>
      <c r="J69" s="504"/>
      <c r="K69" s="505">
        <v>0.43</v>
      </c>
      <c r="L69" s="504">
        <f t="shared" si="13"/>
        <v>6224400.0000000009</v>
      </c>
      <c r="M69" s="504"/>
      <c r="N69" s="504"/>
      <c r="O69" s="504">
        <f t="shared" si="11"/>
        <v>6224400.0000000009</v>
      </c>
      <c r="P69" s="503"/>
    </row>
    <row r="70" spans="1:16" x14ac:dyDescent="0.25">
      <c r="A70" s="506"/>
      <c r="B70" s="537"/>
      <c r="C70" s="506"/>
      <c r="D70" s="506"/>
      <c r="E70" s="506"/>
      <c r="F70" s="508" t="s">
        <v>66</v>
      </c>
      <c r="G70" s="508">
        <v>12</v>
      </c>
      <c r="H70" s="509">
        <v>455000</v>
      </c>
      <c r="I70" s="509">
        <f t="shared" si="12"/>
        <v>5460000</v>
      </c>
      <c r="J70" s="509"/>
      <c r="K70" s="510">
        <v>0.43</v>
      </c>
      <c r="L70" s="509">
        <f t="shared" si="13"/>
        <v>3112200.0000000005</v>
      </c>
      <c r="M70" s="509"/>
      <c r="N70" s="509"/>
      <c r="O70" s="509">
        <f t="shared" si="11"/>
        <v>3112200.0000000005</v>
      </c>
      <c r="P70" s="508"/>
    </row>
    <row r="71" spans="1:16" x14ac:dyDescent="0.25">
      <c r="A71" s="496">
        <v>527</v>
      </c>
      <c r="B71" s="534">
        <v>43967</v>
      </c>
      <c r="C71" s="496" t="s">
        <v>103</v>
      </c>
      <c r="D71" s="496" t="s">
        <v>102</v>
      </c>
      <c r="E71" s="496" t="s">
        <v>104</v>
      </c>
      <c r="F71" s="498" t="s">
        <v>36</v>
      </c>
      <c r="G71" s="498">
        <v>10</v>
      </c>
      <c r="H71" s="499">
        <v>455000</v>
      </c>
      <c r="I71" s="499">
        <f t="shared" si="12"/>
        <v>4550000</v>
      </c>
      <c r="J71" s="539">
        <v>150000</v>
      </c>
      <c r="K71" s="500">
        <v>0.41</v>
      </c>
      <c r="L71" s="499">
        <f>I71*(1-K71)</f>
        <v>2684500.0000000005</v>
      </c>
      <c r="M71" s="499"/>
      <c r="N71" s="499">
        <f>L71</f>
        <v>2684500.0000000005</v>
      </c>
      <c r="O71" s="499"/>
      <c r="P71" s="498"/>
    </row>
    <row r="72" spans="1:16" x14ac:dyDescent="0.25">
      <c r="A72" s="501"/>
      <c r="B72" s="538"/>
      <c r="C72" s="501"/>
      <c r="D72" s="501"/>
      <c r="E72" s="501"/>
      <c r="F72" s="503" t="s">
        <v>37</v>
      </c>
      <c r="G72" s="503">
        <v>16</v>
      </c>
      <c r="H72" s="504">
        <v>465000</v>
      </c>
      <c r="I72" s="504">
        <f t="shared" si="12"/>
        <v>7440000</v>
      </c>
      <c r="J72" s="540"/>
      <c r="K72" s="505">
        <v>0.41</v>
      </c>
      <c r="L72" s="504">
        <f t="shared" si="13"/>
        <v>4389600.0000000009</v>
      </c>
      <c r="M72" s="504"/>
      <c r="N72" s="504">
        <f t="shared" ref="N72:N73" si="15">L72</f>
        <v>4389600.0000000009</v>
      </c>
      <c r="O72" s="504"/>
      <c r="P72" s="503"/>
    </row>
    <row r="73" spans="1:16" x14ac:dyDescent="0.25">
      <c r="A73" s="506"/>
      <c r="B73" s="537"/>
      <c r="C73" s="506"/>
      <c r="D73" s="506"/>
      <c r="E73" s="506"/>
      <c r="F73" s="508" t="s">
        <v>38</v>
      </c>
      <c r="G73" s="508">
        <v>6</v>
      </c>
      <c r="H73" s="509">
        <v>550000</v>
      </c>
      <c r="I73" s="509">
        <f t="shared" si="12"/>
        <v>3300000</v>
      </c>
      <c r="J73" s="541"/>
      <c r="K73" s="510">
        <v>0.41</v>
      </c>
      <c r="L73" s="509">
        <f t="shared" si="13"/>
        <v>1947000.0000000002</v>
      </c>
      <c r="M73" s="509"/>
      <c r="N73" s="509">
        <f t="shared" si="15"/>
        <v>1947000.0000000002</v>
      </c>
      <c r="O73" s="509"/>
      <c r="P73" s="508"/>
    </row>
    <row r="74" spans="1:16" x14ac:dyDescent="0.25">
      <c r="A74" s="530">
        <v>542</v>
      </c>
      <c r="B74" s="542">
        <v>43967</v>
      </c>
      <c r="C74" s="530" t="s">
        <v>101</v>
      </c>
      <c r="D74" s="530" t="s">
        <v>309</v>
      </c>
      <c r="E74" s="530"/>
      <c r="F74" s="511" t="s">
        <v>42</v>
      </c>
      <c r="G74" s="511">
        <v>1</v>
      </c>
      <c r="H74" s="513">
        <v>485000</v>
      </c>
      <c r="I74" s="513">
        <f t="shared" si="12"/>
        <v>485000</v>
      </c>
      <c r="J74" s="543"/>
      <c r="K74" s="514">
        <v>0.41</v>
      </c>
      <c r="L74" s="513">
        <f t="shared" si="13"/>
        <v>286150.00000000006</v>
      </c>
      <c r="M74" s="513">
        <f>L74</f>
        <v>286150.00000000006</v>
      </c>
      <c r="N74" s="513"/>
      <c r="O74" s="513"/>
      <c r="P74" s="511"/>
    </row>
    <row r="75" spans="1:16" x14ac:dyDescent="0.25">
      <c r="A75" s="511">
        <v>528</v>
      </c>
      <c r="B75" s="535">
        <v>43967</v>
      </c>
      <c r="C75" s="511" t="s">
        <v>101</v>
      </c>
      <c r="D75" s="511" t="s">
        <v>156</v>
      </c>
      <c r="E75" s="511" t="s">
        <v>157</v>
      </c>
      <c r="F75" s="511" t="s">
        <v>42</v>
      </c>
      <c r="G75" s="511">
        <v>12</v>
      </c>
      <c r="H75" s="513">
        <v>485000</v>
      </c>
      <c r="I75" s="513">
        <f t="shared" si="12"/>
        <v>5820000</v>
      </c>
      <c r="J75" s="513"/>
      <c r="K75" s="514">
        <v>0.41</v>
      </c>
      <c r="L75" s="513">
        <f t="shared" si="13"/>
        <v>3433800.0000000005</v>
      </c>
      <c r="M75" s="513"/>
      <c r="N75" s="513">
        <f t="shared" ref="N75:N80" si="16">L75</f>
        <v>3433800.0000000005</v>
      </c>
      <c r="O75" s="513"/>
      <c r="P75" s="511"/>
    </row>
    <row r="76" spans="1:16" x14ac:dyDescent="0.25">
      <c r="A76" s="496">
        <v>530</v>
      </c>
      <c r="B76" s="534">
        <v>43968</v>
      </c>
      <c r="C76" s="496"/>
      <c r="D76" s="518" t="s">
        <v>109</v>
      </c>
      <c r="E76" s="518" t="s">
        <v>110</v>
      </c>
      <c r="F76" s="498" t="s">
        <v>36</v>
      </c>
      <c r="G76" s="498">
        <v>36</v>
      </c>
      <c r="H76" s="499">
        <v>455000</v>
      </c>
      <c r="I76" s="499">
        <f t="shared" si="12"/>
        <v>16380000</v>
      </c>
      <c r="J76" s="539">
        <v>350000</v>
      </c>
      <c r="K76" s="500">
        <v>0.41</v>
      </c>
      <c r="L76" s="499">
        <f>I76*(1-K76)</f>
        <v>9664200.0000000019</v>
      </c>
      <c r="M76" s="499"/>
      <c r="N76" s="499">
        <f t="shared" si="16"/>
        <v>9664200.0000000019</v>
      </c>
      <c r="O76" s="499"/>
      <c r="P76" s="498"/>
    </row>
    <row r="77" spans="1:16" x14ac:dyDescent="0.25">
      <c r="A77" s="501"/>
      <c r="B77" s="538"/>
      <c r="C77" s="501"/>
      <c r="D77" s="521"/>
      <c r="E77" s="521"/>
      <c r="F77" s="503" t="s">
        <v>37</v>
      </c>
      <c r="G77" s="503">
        <v>24</v>
      </c>
      <c r="H77" s="504">
        <v>465000</v>
      </c>
      <c r="I77" s="504">
        <f t="shared" si="12"/>
        <v>11160000</v>
      </c>
      <c r="J77" s="540"/>
      <c r="K77" s="505">
        <v>0.41</v>
      </c>
      <c r="L77" s="504">
        <f t="shared" si="13"/>
        <v>6584400.0000000009</v>
      </c>
      <c r="M77" s="504"/>
      <c r="N77" s="504">
        <f t="shared" si="16"/>
        <v>6584400.0000000009</v>
      </c>
      <c r="O77" s="504"/>
      <c r="P77" s="503"/>
    </row>
    <row r="78" spans="1:16" x14ac:dyDescent="0.25">
      <c r="A78" s="501"/>
      <c r="B78" s="538"/>
      <c r="C78" s="501"/>
      <c r="D78" s="521"/>
      <c r="E78" s="521"/>
      <c r="F78" s="503" t="s">
        <v>42</v>
      </c>
      <c r="G78" s="503">
        <v>12</v>
      </c>
      <c r="H78" s="504">
        <v>485000</v>
      </c>
      <c r="I78" s="504">
        <f t="shared" si="12"/>
        <v>5820000</v>
      </c>
      <c r="J78" s="540"/>
      <c r="K78" s="505">
        <v>0.41</v>
      </c>
      <c r="L78" s="504">
        <f t="shared" si="13"/>
        <v>3433800.0000000005</v>
      </c>
      <c r="M78" s="504"/>
      <c r="N78" s="504">
        <f t="shared" si="16"/>
        <v>3433800.0000000005</v>
      </c>
      <c r="O78" s="504"/>
      <c r="P78" s="503"/>
    </row>
    <row r="79" spans="1:16" x14ac:dyDescent="0.25">
      <c r="A79" s="506"/>
      <c r="B79" s="537"/>
      <c r="C79" s="506"/>
      <c r="D79" s="524"/>
      <c r="E79" s="524"/>
      <c r="F79" s="508" t="s">
        <v>41</v>
      </c>
      <c r="G79" s="508">
        <v>12</v>
      </c>
      <c r="H79" s="509">
        <v>485000</v>
      </c>
      <c r="I79" s="509">
        <f t="shared" si="12"/>
        <v>5820000</v>
      </c>
      <c r="J79" s="541"/>
      <c r="K79" s="510">
        <v>0.41</v>
      </c>
      <c r="L79" s="509">
        <f t="shared" si="13"/>
        <v>3433800.0000000005</v>
      </c>
      <c r="M79" s="509"/>
      <c r="N79" s="509">
        <f t="shared" si="16"/>
        <v>3433800.0000000005</v>
      </c>
      <c r="O79" s="509"/>
      <c r="P79" s="508"/>
    </row>
    <row r="80" spans="1:16" x14ac:dyDescent="0.25">
      <c r="A80" s="511">
        <v>531</v>
      </c>
      <c r="B80" s="535">
        <v>43968</v>
      </c>
      <c r="C80" s="511" t="s">
        <v>103</v>
      </c>
      <c r="D80" s="511" t="s">
        <v>103</v>
      </c>
      <c r="E80" s="511" t="s">
        <v>99</v>
      </c>
      <c r="F80" s="511" t="s">
        <v>37</v>
      </c>
      <c r="G80" s="511">
        <v>1</v>
      </c>
      <c r="H80" s="513">
        <v>465000</v>
      </c>
      <c r="I80" s="513">
        <f t="shared" si="12"/>
        <v>465000</v>
      </c>
      <c r="J80" s="513"/>
      <c r="K80" s="514">
        <v>0.41</v>
      </c>
      <c r="L80" s="513">
        <f t="shared" si="13"/>
        <v>274350.00000000006</v>
      </c>
      <c r="M80" s="513"/>
      <c r="N80" s="513">
        <f t="shared" si="16"/>
        <v>274350.00000000006</v>
      </c>
      <c r="O80" s="513"/>
      <c r="P80" s="511" t="s">
        <v>164</v>
      </c>
    </row>
    <row r="81" spans="1:16" x14ac:dyDescent="0.25">
      <c r="A81" s="496">
        <v>532</v>
      </c>
      <c r="B81" s="534">
        <v>43969</v>
      </c>
      <c r="C81" s="496" t="s">
        <v>103</v>
      </c>
      <c r="D81" s="496" t="s">
        <v>102</v>
      </c>
      <c r="E81" s="496" t="s">
        <v>104</v>
      </c>
      <c r="F81" s="498" t="s">
        <v>113</v>
      </c>
      <c r="G81" s="498">
        <v>2</v>
      </c>
      <c r="H81" s="499">
        <v>225000</v>
      </c>
      <c r="I81" s="499">
        <f t="shared" si="12"/>
        <v>450000</v>
      </c>
      <c r="J81" s="499"/>
      <c r="K81" s="500">
        <v>0.41</v>
      </c>
      <c r="L81" s="499">
        <f t="shared" si="13"/>
        <v>265500.00000000006</v>
      </c>
      <c r="M81" s="499"/>
      <c r="N81" s="499">
        <f t="shared" ref="N81:N82" si="17">L81</f>
        <v>265500.00000000006</v>
      </c>
      <c r="O81" s="499"/>
      <c r="P81" s="498" t="s">
        <v>164</v>
      </c>
    </row>
    <row r="82" spans="1:16" x14ac:dyDescent="0.25">
      <c r="A82" s="506"/>
      <c r="B82" s="537"/>
      <c r="C82" s="506"/>
      <c r="D82" s="506"/>
      <c r="E82" s="506"/>
      <c r="F82" s="508" t="s">
        <v>40</v>
      </c>
      <c r="G82" s="508">
        <v>1</v>
      </c>
      <c r="H82" s="509">
        <v>475000</v>
      </c>
      <c r="I82" s="509">
        <f t="shared" si="12"/>
        <v>475000</v>
      </c>
      <c r="J82" s="509"/>
      <c r="K82" s="510">
        <v>0.41</v>
      </c>
      <c r="L82" s="509">
        <f t="shared" si="13"/>
        <v>280250.00000000006</v>
      </c>
      <c r="M82" s="509"/>
      <c r="N82" s="509">
        <f t="shared" si="17"/>
        <v>280250.00000000006</v>
      </c>
      <c r="O82" s="509"/>
      <c r="P82" s="508" t="s">
        <v>164</v>
      </c>
    </row>
    <row r="83" spans="1:16" x14ac:dyDescent="0.25">
      <c r="A83" s="496">
        <v>533</v>
      </c>
      <c r="B83" s="534">
        <v>43969</v>
      </c>
      <c r="C83" s="496" t="s">
        <v>103</v>
      </c>
      <c r="D83" s="496" t="s">
        <v>158</v>
      </c>
      <c r="E83" s="496" t="s">
        <v>159</v>
      </c>
      <c r="F83" s="498" t="s">
        <v>37</v>
      </c>
      <c r="G83" s="498">
        <v>1</v>
      </c>
      <c r="H83" s="499">
        <v>465000</v>
      </c>
      <c r="I83" s="499">
        <f t="shared" si="12"/>
        <v>465000</v>
      </c>
      <c r="J83" s="499"/>
      <c r="K83" s="500">
        <v>0.41</v>
      </c>
      <c r="L83" s="499">
        <f t="shared" si="13"/>
        <v>274350.00000000006</v>
      </c>
      <c r="M83" s="499"/>
      <c r="N83" s="499">
        <f t="shared" ref="N83:N88" si="18">L83</f>
        <v>274350.00000000006</v>
      </c>
      <c r="O83" s="499"/>
      <c r="P83" s="498" t="s">
        <v>164</v>
      </c>
    </row>
    <row r="84" spans="1:16" x14ac:dyDescent="0.25">
      <c r="A84" s="506"/>
      <c r="B84" s="537"/>
      <c r="C84" s="506"/>
      <c r="D84" s="506"/>
      <c r="E84" s="506"/>
      <c r="F84" s="508" t="s">
        <v>40</v>
      </c>
      <c r="G84" s="508">
        <v>1</v>
      </c>
      <c r="H84" s="509">
        <v>475000</v>
      </c>
      <c r="I84" s="509">
        <f t="shared" si="12"/>
        <v>475000</v>
      </c>
      <c r="J84" s="509"/>
      <c r="K84" s="510">
        <v>0.41</v>
      </c>
      <c r="L84" s="509">
        <f t="shared" si="13"/>
        <v>280250.00000000006</v>
      </c>
      <c r="M84" s="509"/>
      <c r="N84" s="509">
        <f t="shared" si="18"/>
        <v>280250.00000000006</v>
      </c>
      <c r="O84" s="509"/>
      <c r="P84" s="508" t="s">
        <v>164</v>
      </c>
    </row>
    <row r="85" spans="1:16" x14ac:dyDescent="0.25">
      <c r="A85" s="511">
        <v>535</v>
      </c>
      <c r="B85" s="535">
        <v>43969</v>
      </c>
      <c r="C85" s="511" t="s">
        <v>101</v>
      </c>
      <c r="D85" s="511" t="s">
        <v>160</v>
      </c>
      <c r="E85" s="511" t="s">
        <v>161</v>
      </c>
      <c r="F85" s="511" t="s">
        <v>66</v>
      </c>
      <c r="G85" s="511">
        <v>5</v>
      </c>
      <c r="H85" s="513">
        <v>455000</v>
      </c>
      <c r="I85" s="513">
        <f t="shared" si="12"/>
        <v>2275000</v>
      </c>
      <c r="J85" s="513"/>
      <c r="K85" s="514">
        <v>0.41</v>
      </c>
      <c r="L85" s="513">
        <f t="shared" si="13"/>
        <v>1342250.0000000002</v>
      </c>
      <c r="M85" s="513"/>
      <c r="N85" s="513">
        <f t="shared" si="18"/>
        <v>1342250.0000000002</v>
      </c>
      <c r="O85" s="513"/>
      <c r="P85" s="511"/>
    </row>
    <row r="86" spans="1:16" x14ac:dyDescent="0.25">
      <c r="A86" s="511">
        <v>536</v>
      </c>
      <c r="B86" s="535">
        <v>43969</v>
      </c>
      <c r="C86" s="511" t="s">
        <v>101</v>
      </c>
      <c r="D86" s="511" t="s">
        <v>162</v>
      </c>
      <c r="E86" s="511" t="s">
        <v>163</v>
      </c>
      <c r="F86" s="511" t="s">
        <v>36</v>
      </c>
      <c r="G86" s="511">
        <v>12</v>
      </c>
      <c r="H86" s="513">
        <v>455000</v>
      </c>
      <c r="I86" s="513">
        <f t="shared" si="12"/>
        <v>5460000</v>
      </c>
      <c r="J86" s="513" t="s">
        <v>237</v>
      </c>
      <c r="K86" s="514">
        <v>0.41</v>
      </c>
      <c r="L86" s="513">
        <f t="shared" si="13"/>
        <v>3221400.0000000005</v>
      </c>
      <c r="M86" s="513"/>
      <c r="N86" s="513">
        <f t="shared" si="18"/>
        <v>3221400.0000000005</v>
      </c>
      <c r="O86" s="513"/>
      <c r="P86" s="511"/>
    </row>
    <row r="87" spans="1:16" x14ac:dyDescent="0.25">
      <c r="A87" s="511">
        <v>537</v>
      </c>
      <c r="B87" s="535">
        <v>43970</v>
      </c>
      <c r="C87" s="511" t="s">
        <v>118</v>
      </c>
      <c r="D87" s="511" t="s">
        <v>118</v>
      </c>
      <c r="E87" s="511" t="s">
        <v>99</v>
      </c>
      <c r="F87" s="511" t="s">
        <v>38</v>
      </c>
      <c r="G87" s="511">
        <v>1</v>
      </c>
      <c r="H87" s="513">
        <v>550000</v>
      </c>
      <c r="I87" s="513">
        <f t="shared" si="12"/>
        <v>550000</v>
      </c>
      <c r="J87" s="513"/>
      <c r="K87" s="514">
        <v>0.41</v>
      </c>
      <c r="L87" s="513">
        <f t="shared" si="13"/>
        <v>324500.00000000006</v>
      </c>
      <c r="M87" s="513"/>
      <c r="N87" s="513">
        <f t="shared" si="18"/>
        <v>324500.00000000006</v>
      </c>
      <c r="O87" s="513"/>
      <c r="P87" s="511" t="s">
        <v>164</v>
      </c>
    </row>
    <row r="88" spans="1:16" x14ac:dyDescent="0.25">
      <c r="A88" s="511">
        <v>540</v>
      </c>
      <c r="B88" s="535">
        <v>43971</v>
      </c>
      <c r="C88" s="511" t="s">
        <v>103</v>
      </c>
      <c r="D88" s="511" t="s">
        <v>103</v>
      </c>
      <c r="E88" s="511" t="s">
        <v>99</v>
      </c>
      <c r="F88" s="511" t="s">
        <v>36</v>
      </c>
      <c r="G88" s="511">
        <v>2</v>
      </c>
      <c r="H88" s="513">
        <v>455000</v>
      </c>
      <c r="I88" s="513">
        <f t="shared" si="12"/>
        <v>910000</v>
      </c>
      <c r="J88" s="513"/>
      <c r="K88" s="514">
        <v>0.41</v>
      </c>
      <c r="L88" s="513">
        <f t="shared" si="13"/>
        <v>536900.00000000012</v>
      </c>
      <c r="M88" s="513"/>
      <c r="N88" s="513">
        <f t="shared" si="18"/>
        <v>536900.00000000012</v>
      </c>
      <c r="O88" s="513"/>
      <c r="P88" s="511" t="s">
        <v>164</v>
      </c>
    </row>
    <row r="89" spans="1:16" x14ac:dyDescent="0.25">
      <c r="A89" s="496">
        <v>541</v>
      </c>
      <c r="B89" s="497">
        <v>43971</v>
      </c>
      <c r="C89" s="496"/>
      <c r="D89" s="496" t="s">
        <v>238</v>
      </c>
      <c r="E89" s="496" t="s">
        <v>239</v>
      </c>
      <c r="F89" s="498" t="s">
        <v>36</v>
      </c>
      <c r="G89" s="498">
        <v>1</v>
      </c>
      <c r="H89" s="499">
        <v>455000</v>
      </c>
      <c r="I89" s="499">
        <f t="shared" si="12"/>
        <v>455000</v>
      </c>
      <c r="J89" s="499"/>
      <c r="K89" s="500">
        <v>0.5</v>
      </c>
      <c r="L89" s="499">
        <f t="shared" si="13"/>
        <v>227500</v>
      </c>
      <c r="M89" s="499">
        <f>L89</f>
        <v>227500</v>
      </c>
      <c r="N89" s="499"/>
      <c r="O89" s="499"/>
      <c r="P89" s="498"/>
    </row>
    <row r="90" spans="1:16" x14ac:dyDescent="0.25">
      <c r="A90" s="501"/>
      <c r="B90" s="502"/>
      <c r="C90" s="501"/>
      <c r="D90" s="501"/>
      <c r="E90" s="501"/>
      <c r="F90" s="503" t="s">
        <v>37</v>
      </c>
      <c r="G90" s="503">
        <v>1</v>
      </c>
      <c r="H90" s="504">
        <v>465000</v>
      </c>
      <c r="I90" s="504">
        <f t="shared" si="12"/>
        <v>465000</v>
      </c>
      <c r="J90" s="504"/>
      <c r="K90" s="505">
        <v>0.5</v>
      </c>
      <c r="L90" s="504">
        <f t="shared" si="13"/>
        <v>232500</v>
      </c>
      <c r="M90" s="504">
        <f t="shared" ref="M90:M95" si="19">L90</f>
        <v>232500</v>
      </c>
      <c r="N90" s="504"/>
      <c r="O90" s="504"/>
      <c r="P90" s="503"/>
    </row>
    <row r="91" spans="1:16" x14ac:dyDescent="0.25">
      <c r="A91" s="501"/>
      <c r="B91" s="502"/>
      <c r="C91" s="501"/>
      <c r="D91" s="501"/>
      <c r="E91" s="501"/>
      <c r="F91" s="503" t="s">
        <v>40</v>
      </c>
      <c r="G91" s="503">
        <v>1</v>
      </c>
      <c r="H91" s="504">
        <v>475000</v>
      </c>
      <c r="I91" s="504">
        <f t="shared" si="12"/>
        <v>475000</v>
      </c>
      <c r="J91" s="504"/>
      <c r="K91" s="505">
        <v>0.5</v>
      </c>
      <c r="L91" s="504">
        <f t="shared" si="13"/>
        <v>237500</v>
      </c>
      <c r="M91" s="504">
        <f t="shared" si="19"/>
        <v>237500</v>
      </c>
      <c r="N91" s="504"/>
      <c r="O91" s="504"/>
      <c r="P91" s="503"/>
    </row>
    <row r="92" spans="1:16" x14ac:dyDescent="0.25">
      <c r="A92" s="501"/>
      <c r="B92" s="502"/>
      <c r="C92" s="501"/>
      <c r="D92" s="501"/>
      <c r="E92" s="501"/>
      <c r="F92" s="503" t="s">
        <v>42</v>
      </c>
      <c r="G92" s="503">
        <v>1</v>
      </c>
      <c r="H92" s="504">
        <v>485000</v>
      </c>
      <c r="I92" s="504">
        <f t="shared" si="12"/>
        <v>485000</v>
      </c>
      <c r="J92" s="504"/>
      <c r="K92" s="505">
        <v>0.5</v>
      </c>
      <c r="L92" s="504">
        <f t="shared" si="13"/>
        <v>242500</v>
      </c>
      <c r="M92" s="504">
        <f t="shared" si="19"/>
        <v>242500</v>
      </c>
      <c r="N92" s="504"/>
      <c r="O92" s="504"/>
      <c r="P92" s="503"/>
    </row>
    <row r="93" spans="1:16" x14ac:dyDescent="0.25">
      <c r="A93" s="501"/>
      <c r="B93" s="502"/>
      <c r="C93" s="501"/>
      <c r="D93" s="501"/>
      <c r="E93" s="501"/>
      <c r="F93" s="503" t="s">
        <v>127</v>
      </c>
      <c r="G93" s="503">
        <v>1</v>
      </c>
      <c r="H93" s="504">
        <v>285000</v>
      </c>
      <c r="I93" s="504">
        <f t="shared" si="12"/>
        <v>285000</v>
      </c>
      <c r="J93" s="504"/>
      <c r="K93" s="505">
        <v>0.5</v>
      </c>
      <c r="L93" s="504">
        <f t="shared" si="13"/>
        <v>142500</v>
      </c>
      <c r="M93" s="504">
        <f t="shared" si="19"/>
        <v>142500</v>
      </c>
      <c r="N93" s="504"/>
      <c r="O93" s="504"/>
      <c r="P93" s="503"/>
    </row>
    <row r="94" spans="1:16" x14ac:dyDescent="0.25">
      <c r="A94" s="501"/>
      <c r="B94" s="502"/>
      <c r="C94" s="501"/>
      <c r="D94" s="501"/>
      <c r="E94" s="501"/>
      <c r="F94" s="503" t="s">
        <v>38</v>
      </c>
      <c r="G94" s="503">
        <v>1</v>
      </c>
      <c r="H94" s="504">
        <v>550000</v>
      </c>
      <c r="I94" s="504">
        <f t="shared" si="12"/>
        <v>550000</v>
      </c>
      <c r="J94" s="504"/>
      <c r="K94" s="505">
        <v>0.5</v>
      </c>
      <c r="L94" s="504">
        <f t="shared" si="13"/>
        <v>275000</v>
      </c>
      <c r="M94" s="504">
        <f t="shared" si="19"/>
        <v>275000</v>
      </c>
      <c r="N94" s="504"/>
      <c r="O94" s="504"/>
      <c r="P94" s="503"/>
    </row>
    <row r="95" spans="1:16" x14ac:dyDescent="0.25">
      <c r="A95" s="506"/>
      <c r="B95" s="507"/>
      <c r="C95" s="506"/>
      <c r="D95" s="506"/>
      <c r="E95" s="506"/>
      <c r="F95" s="508" t="s">
        <v>39</v>
      </c>
      <c r="G95" s="508">
        <v>1</v>
      </c>
      <c r="H95" s="509">
        <v>455000</v>
      </c>
      <c r="I95" s="509">
        <f t="shared" si="12"/>
        <v>455000</v>
      </c>
      <c r="J95" s="509"/>
      <c r="K95" s="510">
        <v>0.5</v>
      </c>
      <c r="L95" s="509">
        <f t="shared" si="13"/>
        <v>227500</v>
      </c>
      <c r="M95" s="509">
        <f t="shared" si="19"/>
        <v>227500</v>
      </c>
      <c r="N95" s="509"/>
      <c r="O95" s="509"/>
      <c r="P95" s="508"/>
    </row>
    <row r="96" spans="1:16" x14ac:dyDescent="0.25">
      <c r="A96" s="511">
        <v>543</v>
      </c>
      <c r="B96" s="512">
        <v>43972</v>
      </c>
      <c r="C96" s="511" t="s">
        <v>103</v>
      </c>
      <c r="D96" s="511" t="s">
        <v>240</v>
      </c>
      <c r="E96" s="511"/>
      <c r="F96" s="511" t="s">
        <v>241</v>
      </c>
      <c r="G96" s="511">
        <v>1</v>
      </c>
      <c r="H96" s="513">
        <v>450000</v>
      </c>
      <c r="I96" s="513">
        <f t="shared" si="12"/>
        <v>450000</v>
      </c>
      <c r="J96" s="513"/>
      <c r="K96" s="514">
        <v>1</v>
      </c>
      <c r="L96" s="513">
        <f t="shared" si="13"/>
        <v>0</v>
      </c>
      <c r="M96" s="513"/>
      <c r="N96" s="513"/>
      <c r="O96" s="513"/>
      <c r="P96" s="511"/>
    </row>
    <row r="97" spans="1:16" x14ac:dyDescent="0.25">
      <c r="A97" s="496">
        <v>549</v>
      </c>
      <c r="B97" s="497">
        <v>43974</v>
      </c>
      <c r="C97" s="496" t="s">
        <v>101</v>
      </c>
      <c r="D97" s="496" t="s">
        <v>253</v>
      </c>
      <c r="E97" s="496" t="s">
        <v>254</v>
      </c>
      <c r="F97" s="498" t="s">
        <v>40</v>
      </c>
      <c r="G97" s="498">
        <v>6</v>
      </c>
      <c r="H97" s="499">
        <v>475000</v>
      </c>
      <c r="I97" s="499">
        <f t="shared" si="12"/>
        <v>2850000</v>
      </c>
      <c r="J97" s="499"/>
      <c r="K97" s="500">
        <v>0.41</v>
      </c>
      <c r="L97" s="499">
        <f t="shared" si="13"/>
        <v>1681500.0000000002</v>
      </c>
      <c r="M97" s="499">
        <f>L97</f>
        <v>1681500.0000000002</v>
      </c>
      <c r="N97" s="499"/>
      <c r="O97" s="499"/>
      <c r="P97" s="498"/>
    </row>
    <row r="98" spans="1:16" x14ac:dyDescent="0.25">
      <c r="A98" s="506"/>
      <c r="B98" s="507"/>
      <c r="C98" s="506"/>
      <c r="D98" s="506"/>
      <c r="E98" s="506"/>
      <c r="F98" s="508" t="s">
        <v>42</v>
      </c>
      <c r="G98" s="508">
        <v>6</v>
      </c>
      <c r="H98" s="509">
        <v>485000</v>
      </c>
      <c r="I98" s="509">
        <f t="shared" si="12"/>
        <v>2910000</v>
      </c>
      <c r="J98" s="509"/>
      <c r="K98" s="510">
        <v>0.41</v>
      </c>
      <c r="L98" s="509">
        <f t="shared" si="13"/>
        <v>1716900.0000000002</v>
      </c>
      <c r="M98" s="509">
        <f>L98</f>
        <v>1716900.0000000002</v>
      </c>
      <c r="N98" s="509"/>
      <c r="O98" s="509"/>
      <c r="P98" s="508"/>
    </row>
    <row r="99" spans="1:16" x14ac:dyDescent="0.25">
      <c r="A99" s="496">
        <v>565</v>
      </c>
      <c r="B99" s="497">
        <v>43976</v>
      </c>
      <c r="C99" s="496"/>
      <c r="D99" s="496" t="s">
        <v>257</v>
      </c>
      <c r="E99" s="496"/>
      <c r="F99" s="498" t="s">
        <v>36</v>
      </c>
      <c r="G99" s="498">
        <v>60</v>
      </c>
      <c r="H99" s="499">
        <v>455000</v>
      </c>
      <c r="I99" s="499">
        <f t="shared" si="12"/>
        <v>27300000</v>
      </c>
      <c r="J99" s="499"/>
      <c r="K99" s="500">
        <v>0.38</v>
      </c>
      <c r="L99" s="499">
        <f t="shared" si="13"/>
        <v>16926000</v>
      </c>
      <c r="M99" s="499"/>
      <c r="N99" s="499"/>
      <c r="O99" s="499">
        <f>L99</f>
        <v>16926000</v>
      </c>
      <c r="P99" s="498"/>
    </row>
    <row r="100" spans="1:16" x14ac:dyDescent="0.25">
      <c r="A100" s="501"/>
      <c r="B100" s="502"/>
      <c r="C100" s="501"/>
      <c r="D100" s="501"/>
      <c r="E100" s="501"/>
      <c r="F100" s="503" t="s">
        <v>37</v>
      </c>
      <c r="G100" s="503">
        <v>48</v>
      </c>
      <c r="H100" s="504">
        <v>465000</v>
      </c>
      <c r="I100" s="504">
        <f t="shared" si="12"/>
        <v>22320000</v>
      </c>
      <c r="J100" s="504"/>
      <c r="K100" s="505">
        <v>0.38</v>
      </c>
      <c r="L100" s="504">
        <f t="shared" si="13"/>
        <v>13838400</v>
      </c>
      <c r="M100" s="504"/>
      <c r="N100" s="504"/>
      <c r="O100" s="504">
        <f t="shared" ref="O100:O101" si="20">L100</f>
        <v>13838400</v>
      </c>
      <c r="P100" s="503"/>
    </row>
    <row r="101" spans="1:16" x14ac:dyDescent="0.25">
      <c r="A101" s="506"/>
      <c r="B101" s="507"/>
      <c r="C101" s="506"/>
      <c r="D101" s="506"/>
      <c r="E101" s="506"/>
      <c r="F101" s="508" t="s">
        <v>40</v>
      </c>
      <c r="G101" s="508">
        <v>36</v>
      </c>
      <c r="H101" s="509">
        <v>475000</v>
      </c>
      <c r="I101" s="509">
        <f t="shared" si="12"/>
        <v>17100000</v>
      </c>
      <c r="J101" s="509"/>
      <c r="K101" s="510">
        <v>0.38</v>
      </c>
      <c r="L101" s="509">
        <f t="shared" si="13"/>
        <v>10602000</v>
      </c>
      <c r="M101" s="509"/>
      <c r="N101" s="509"/>
      <c r="O101" s="509">
        <f t="shared" si="20"/>
        <v>10602000</v>
      </c>
      <c r="P101" s="508"/>
    </row>
    <row r="102" spans="1:16" x14ac:dyDescent="0.25">
      <c r="A102" s="496">
        <v>784</v>
      </c>
      <c r="B102" s="497">
        <v>43982</v>
      </c>
      <c r="C102" s="496"/>
      <c r="D102" s="518" t="s">
        <v>312</v>
      </c>
      <c r="E102" s="496"/>
      <c r="F102" s="498" t="s">
        <v>113</v>
      </c>
      <c r="G102" s="498">
        <v>4</v>
      </c>
      <c r="H102" s="499">
        <v>225000</v>
      </c>
      <c r="I102" s="499">
        <f t="shared" si="12"/>
        <v>900000</v>
      </c>
      <c r="J102" s="544"/>
      <c r="K102" s="545"/>
      <c r="L102" s="544">
        <v>4379000</v>
      </c>
      <c r="M102" s="544">
        <f>L102</f>
        <v>4379000</v>
      </c>
      <c r="N102" s="499"/>
      <c r="O102" s="499"/>
      <c r="P102" s="498"/>
    </row>
    <row r="103" spans="1:16" x14ac:dyDescent="0.25">
      <c r="A103" s="501"/>
      <c r="B103" s="502"/>
      <c r="C103" s="501"/>
      <c r="D103" s="521"/>
      <c r="E103" s="501"/>
      <c r="F103" s="503" t="s">
        <v>36</v>
      </c>
      <c r="G103" s="503">
        <v>2</v>
      </c>
      <c r="H103" s="504">
        <v>455000</v>
      </c>
      <c r="I103" s="504">
        <f t="shared" si="12"/>
        <v>910000</v>
      </c>
      <c r="J103" s="546"/>
      <c r="K103" s="547"/>
      <c r="L103" s="546"/>
      <c r="M103" s="546"/>
      <c r="N103" s="504"/>
      <c r="O103" s="504"/>
      <c r="P103" s="503"/>
    </row>
    <row r="104" spans="1:16" x14ac:dyDescent="0.25">
      <c r="A104" s="501"/>
      <c r="B104" s="502"/>
      <c r="C104" s="501"/>
      <c r="D104" s="521"/>
      <c r="E104" s="501"/>
      <c r="F104" s="503" t="s">
        <v>37</v>
      </c>
      <c r="G104" s="503">
        <v>2</v>
      </c>
      <c r="H104" s="504">
        <v>465000</v>
      </c>
      <c r="I104" s="504">
        <f t="shared" si="12"/>
        <v>930000</v>
      </c>
      <c r="J104" s="546"/>
      <c r="K104" s="547"/>
      <c r="L104" s="546"/>
      <c r="M104" s="546"/>
      <c r="N104" s="504"/>
      <c r="O104" s="504"/>
      <c r="P104" s="503"/>
    </row>
    <row r="105" spans="1:16" x14ac:dyDescent="0.25">
      <c r="A105" s="501"/>
      <c r="B105" s="502"/>
      <c r="C105" s="501"/>
      <c r="D105" s="521"/>
      <c r="E105" s="501"/>
      <c r="F105" s="503" t="s">
        <v>40</v>
      </c>
      <c r="G105" s="503">
        <v>1</v>
      </c>
      <c r="H105" s="504">
        <v>475000</v>
      </c>
      <c r="I105" s="504">
        <f t="shared" si="12"/>
        <v>475000</v>
      </c>
      <c r="J105" s="546"/>
      <c r="K105" s="547"/>
      <c r="L105" s="546"/>
      <c r="M105" s="546"/>
      <c r="N105" s="504"/>
      <c r="O105" s="504"/>
      <c r="P105" s="503"/>
    </row>
    <row r="106" spans="1:16" x14ac:dyDescent="0.25">
      <c r="A106" s="501"/>
      <c r="B106" s="502"/>
      <c r="C106" s="501"/>
      <c r="D106" s="521"/>
      <c r="E106" s="501"/>
      <c r="F106" s="503" t="s">
        <v>42</v>
      </c>
      <c r="G106" s="503">
        <v>14</v>
      </c>
      <c r="H106" s="504">
        <v>485000</v>
      </c>
      <c r="I106" s="504">
        <f t="shared" si="12"/>
        <v>6790000</v>
      </c>
      <c r="J106" s="546"/>
      <c r="K106" s="547"/>
      <c r="L106" s="546"/>
      <c r="M106" s="546"/>
      <c r="N106" s="504"/>
      <c r="O106" s="504"/>
      <c r="P106" s="503"/>
    </row>
    <row r="107" spans="1:16" x14ac:dyDescent="0.25">
      <c r="A107" s="501"/>
      <c r="B107" s="502"/>
      <c r="C107" s="501"/>
      <c r="D107" s="521"/>
      <c r="E107" s="501"/>
      <c r="F107" s="503" t="s">
        <v>66</v>
      </c>
      <c r="G107" s="503">
        <v>1</v>
      </c>
      <c r="H107" s="504">
        <v>455000</v>
      </c>
      <c r="I107" s="504">
        <f t="shared" si="12"/>
        <v>455000</v>
      </c>
      <c r="J107" s="546"/>
      <c r="K107" s="547"/>
      <c r="L107" s="546"/>
      <c r="M107" s="546"/>
      <c r="N107" s="504"/>
      <c r="O107" s="504"/>
      <c r="P107" s="503"/>
    </row>
    <row r="108" spans="1:16" x14ac:dyDescent="0.25">
      <c r="A108" s="506"/>
      <c r="B108" s="507"/>
      <c r="C108" s="506"/>
      <c r="D108" s="524"/>
      <c r="E108" s="506"/>
      <c r="F108" s="508" t="s">
        <v>38</v>
      </c>
      <c r="G108" s="508">
        <v>6</v>
      </c>
      <c r="H108" s="509">
        <v>550000</v>
      </c>
      <c r="I108" s="509">
        <f t="shared" si="12"/>
        <v>3300000</v>
      </c>
      <c r="J108" s="548"/>
      <c r="K108" s="549"/>
      <c r="L108" s="548"/>
      <c r="M108" s="548"/>
      <c r="N108" s="509"/>
      <c r="O108" s="509"/>
      <c r="P108" s="508"/>
    </row>
    <row r="109" spans="1:16" x14ac:dyDescent="0.25">
      <c r="A109" s="496">
        <v>556</v>
      </c>
      <c r="B109" s="497">
        <v>43976</v>
      </c>
      <c r="C109" s="496"/>
      <c r="D109" s="496" t="s">
        <v>258</v>
      </c>
      <c r="E109" s="496" t="s">
        <v>104</v>
      </c>
      <c r="F109" s="498" t="s">
        <v>113</v>
      </c>
      <c r="G109" s="498">
        <v>24</v>
      </c>
      <c r="H109" s="499">
        <v>225000</v>
      </c>
      <c r="I109" s="499">
        <f t="shared" si="12"/>
        <v>5400000</v>
      </c>
      <c r="J109" s="499">
        <v>100000</v>
      </c>
      <c r="K109" s="500">
        <v>0.41</v>
      </c>
      <c r="L109" s="499">
        <f>I109*(1-K109)</f>
        <v>3186000.0000000005</v>
      </c>
      <c r="M109" s="499"/>
      <c r="N109" s="499">
        <f>L109</f>
        <v>3186000.0000000005</v>
      </c>
      <c r="O109" s="499"/>
      <c r="P109" s="498"/>
    </row>
    <row r="110" spans="1:16" x14ac:dyDescent="0.25">
      <c r="A110" s="506"/>
      <c r="B110" s="507"/>
      <c r="C110" s="506"/>
      <c r="D110" s="506"/>
      <c r="E110" s="506"/>
      <c r="F110" s="508" t="s">
        <v>39</v>
      </c>
      <c r="G110" s="508">
        <v>12</v>
      </c>
      <c r="H110" s="509">
        <v>455000</v>
      </c>
      <c r="I110" s="509">
        <f t="shared" si="12"/>
        <v>5460000</v>
      </c>
      <c r="J110" s="509"/>
      <c r="K110" s="510">
        <v>0.41</v>
      </c>
      <c r="L110" s="509">
        <f t="shared" si="13"/>
        <v>3221400.0000000005</v>
      </c>
      <c r="M110" s="509"/>
      <c r="N110" s="509">
        <f>L110</f>
        <v>3221400.0000000005</v>
      </c>
      <c r="O110" s="509"/>
      <c r="P110" s="508"/>
    </row>
    <row r="111" spans="1:16" s="327" customFormat="1" x14ac:dyDescent="0.25">
      <c r="A111" s="354" t="s">
        <v>92</v>
      </c>
      <c r="B111" s="354"/>
      <c r="C111" s="354"/>
      <c r="D111" s="354"/>
      <c r="E111" s="354"/>
      <c r="F111" s="354"/>
      <c r="G111" s="136">
        <f>SUM(G9:G110)</f>
        <v>1160</v>
      </c>
      <c r="H111" s="137"/>
      <c r="I111" s="138">
        <f>SUM(I9:I110)</f>
        <v>521695000</v>
      </c>
      <c r="J111" s="139"/>
      <c r="K111" s="138"/>
      <c r="L111" s="140">
        <f>SUM(L9:L110)</f>
        <v>279350550</v>
      </c>
      <c r="M111" s="137"/>
      <c r="N111" s="137"/>
      <c r="O111" s="137"/>
      <c r="P111" s="355"/>
    </row>
    <row r="112" spans="1:16" s="327" customFormat="1" x14ac:dyDescent="0.25">
      <c r="A112" s="354" t="s">
        <v>122</v>
      </c>
      <c r="B112" s="354"/>
      <c r="C112" s="354"/>
      <c r="D112" s="354"/>
      <c r="E112" s="354"/>
      <c r="F112" s="354"/>
      <c r="G112" s="136">
        <f>G111</f>
        <v>1160</v>
      </c>
      <c r="H112" s="139"/>
      <c r="I112" s="138"/>
      <c r="J112" s="139"/>
      <c r="K112" s="138"/>
      <c r="L112" s="140">
        <f>L111</f>
        <v>279350550</v>
      </c>
      <c r="M112" s="139"/>
      <c r="N112" s="139"/>
      <c r="O112" s="139"/>
      <c r="P112" s="355"/>
    </row>
    <row r="113" spans="1:15" s="327" customFormat="1" x14ac:dyDescent="0.25">
      <c r="A113" s="354" t="s">
        <v>93</v>
      </c>
      <c r="B113" s="354"/>
      <c r="C113" s="354"/>
      <c r="D113" s="354"/>
      <c r="E113" s="354"/>
      <c r="F113" s="354"/>
      <c r="G113" s="328" t="s">
        <v>56</v>
      </c>
      <c r="H113" s="139"/>
      <c r="I113" s="139"/>
      <c r="J113" s="139"/>
      <c r="K113" s="139"/>
      <c r="L113" s="140">
        <f>SUM(M9:M110)</f>
        <v>30166050</v>
      </c>
      <c r="M113" s="139"/>
      <c r="N113" s="139"/>
      <c r="O113" s="139"/>
    </row>
    <row r="114" spans="1:15" s="327" customFormat="1" x14ac:dyDescent="0.25">
      <c r="A114" s="354" t="s">
        <v>94</v>
      </c>
      <c r="B114" s="354"/>
      <c r="C114" s="354"/>
      <c r="D114" s="354"/>
      <c r="E114" s="354"/>
      <c r="F114" s="354"/>
      <c r="G114" s="328"/>
      <c r="H114" s="139"/>
      <c r="I114" s="137"/>
      <c r="J114" s="139"/>
      <c r="K114" s="138"/>
      <c r="L114" s="140">
        <f>SUM(N9:N110)</f>
        <v>82091000</v>
      </c>
      <c r="M114" s="139"/>
      <c r="N114" s="139"/>
      <c r="O114" s="139"/>
    </row>
    <row r="115" spans="1:15" s="327" customFormat="1" x14ac:dyDescent="0.25">
      <c r="A115" s="550" t="s">
        <v>98</v>
      </c>
      <c r="B115" s="551"/>
      <c r="C115" s="551"/>
      <c r="D115" s="551"/>
      <c r="E115" s="551"/>
      <c r="F115" s="552"/>
      <c r="G115" s="328"/>
      <c r="H115" s="139"/>
      <c r="I115" s="137"/>
      <c r="J115" s="139"/>
      <c r="K115" s="138"/>
      <c r="L115" s="140">
        <f>'Hàng khách trả'!K22</f>
        <v>93174950</v>
      </c>
      <c r="M115" s="139"/>
      <c r="N115" s="139"/>
      <c r="O115" s="139"/>
    </row>
    <row r="116" spans="1:15" s="327" customFormat="1" x14ac:dyDescent="0.25">
      <c r="A116" s="354" t="s">
        <v>95</v>
      </c>
      <c r="B116" s="354"/>
      <c r="C116" s="354"/>
      <c r="D116" s="354"/>
      <c r="E116" s="354"/>
      <c r="F116" s="354"/>
      <c r="G116" s="328"/>
      <c r="H116" s="139"/>
      <c r="I116" s="137"/>
      <c r="J116" s="139"/>
      <c r="K116" s="138"/>
      <c r="L116" s="140">
        <f>SUM(O9:O110)-L115</f>
        <v>73918550</v>
      </c>
      <c r="M116" s="139"/>
      <c r="N116" s="139"/>
      <c r="O116" s="139"/>
    </row>
    <row r="119" spans="1:15" x14ac:dyDescent="0.25">
      <c r="C119" s="327"/>
      <c r="E119" s="327" t="s">
        <v>189</v>
      </c>
      <c r="F119" s="327"/>
      <c r="G119" s="327"/>
      <c r="H119" s="554"/>
      <c r="I119" s="554"/>
      <c r="J119" s="555"/>
      <c r="K119" s="555"/>
      <c r="L119" s="327" t="s">
        <v>14</v>
      </c>
      <c r="M119" s="555"/>
      <c r="N119" s="555"/>
      <c r="O119" s="555"/>
    </row>
    <row r="120" spans="1:15" x14ac:dyDescent="0.25">
      <c r="C120" s="556"/>
      <c r="E120" s="556" t="s">
        <v>15</v>
      </c>
      <c r="F120" s="556"/>
      <c r="G120" s="556"/>
      <c r="H120" s="557"/>
      <c r="I120" s="557"/>
      <c r="J120" s="555"/>
      <c r="K120" s="555"/>
      <c r="L120" s="556" t="s">
        <v>16</v>
      </c>
      <c r="M120" s="555"/>
      <c r="N120" s="555"/>
      <c r="O120" s="555"/>
    </row>
    <row r="121" spans="1:15" x14ac:dyDescent="0.25">
      <c r="L121" s="558"/>
    </row>
    <row r="122" spans="1:15" x14ac:dyDescent="0.25">
      <c r="L122" s="558"/>
    </row>
    <row r="123" spans="1:15" x14ac:dyDescent="0.25">
      <c r="C123" s="327"/>
      <c r="E123" s="327"/>
      <c r="F123" s="558"/>
      <c r="G123" s="558"/>
      <c r="H123" s="555"/>
      <c r="I123" s="555"/>
      <c r="J123" s="555"/>
      <c r="K123" s="555"/>
      <c r="L123" s="559"/>
      <c r="M123" s="555"/>
      <c r="N123" s="555"/>
      <c r="O123" s="555"/>
    </row>
  </sheetData>
  <mergeCells count="151">
    <mergeCell ref="L102:L108"/>
    <mergeCell ref="M102:M108"/>
    <mergeCell ref="K102:K108"/>
    <mergeCell ref="J102:J108"/>
    <mergeCell ref="A115:F115"/>
    <mergeCell ref="E83:E84"/>
    <mergeCell ref="A114:F114"/>
    <mergeCell ref="A97:A98"/>
    <mergeCell ref="B97:B98"/>
    <mergeCell ref="C97:C98"/>
    <mergeCell ref="D97:D98"/>
    <mergeCell ref="E97:E98"/>
    <mergeCell ref="E99:E101"/>
    <mergeCell ref="A112:F112"/>
    <mergeCell ref="A113:F113"/>
    <mergeCell ref="E109:E110"/>
    <mergeCell ref="D109:D110"/>
    <mergeCell ref="C109:C110"/>
    <mergeCell ref="B109:B110"/>
    <mergeCell ref="A109:A110"/>
    <mergeCell ref="A102:A108"/>
    <mergeCell ref="B102:B108"/>
    <mergeCell ref="D102:D108"/>
    <mergeCell ref="C102:C108"/>
    <mergeCell ref="E102:E108"/>
    <mergeCell ref="C76:C79"/>
    <mergeCell ref="D76:D79"/>
    <mergeCell ref="E76:E79"/>
    <mergeCell ref="A71:A73"/>
    <mergeCell ref="B71:B73"/>
    <mergeCell ref="C71:C73"/>
    <mergeCell ref="D71:D73"/>
    <mergeCell ref="E71:E73"/>
    <mergeCell ref="B89:B95"/>
    <mergeCell ref="C89:C95"/>
    <mergeCell ref="D89:D95"/>
    <mergeCell ref="E89:E95"/>
    <mergeCell ref="A83:A84"/>
    <mergeCell ref="B83:B84"/>
    <mergeCell ref="C83:C84"/>
    <mergeCell ref="D83:D84"/>
    <mergeCell ref="B99:B101"/>
    <mergeCell ref="C99:C101"/>
    <mergeCell ref="D99:D101"/>
    <mergeCell ref="A81:A82"/>
    <mergeCell ref="B81:B82"/>
    <mergeCell ref="C81:C82"/>
    <mergeCell ref="D81:D82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9:A11"/>
    <mergeCell ref="B9:B11"/>
    <mergeCell ref="C9:C11"/>
    <mergeCell ref="D9:D11"/>
    <mergeCell ref="E9:E11"/>
    <mergeCell ref="E26:E28"/>
    <mergeCell ref="A44:A46"/>
    <mergeCell ref="B44:B46"/>
    <mergeCell ref="C44:C46"/>
    <mergeCell ref="D44:D46"/>
    <mergeCell ref="E44:E46"/>
    <mergeCell ref="A14:A21"/>
    <mergeCell ref="D14:D21"/>
    <mergeCell ref="E14:E21"/>
    <mergeCell ref="C14:C21"/>
    <mergeCell ref="B14:B21"/>
    <mergeCell ref="E31:E32"/>
    <mergeCell ref="A31:A32"/>
    <mergeCell ref="B31:B32"/>
    <mergeCell ref="C31:C32"/>
    <mergeCell ref="D31:D32"/>
    <mergeCell ref="A22:A25"/>
    <mergeCell ref="B22:B25"/>
    <mergeCell ref="A116:F116"/>
    <mergeCell ref="A111:F111"/>
    <mergeCell ref="P111:P112"/>
    <mergeCell ref="A47:A48"/>
    <mergeCell ref="A33:A38"/>
    <mergeCell ref="B33:B38"/>
    <mergeCell ref="C33:C38"/>
    <mergeCell ref="D33:D38"/>
    <mergeCell ref="E33:E38"/>
    <mergeCell ref="A40:A41"/>
    <mergeCell ref="B40:B41"/>
    <mergeCell ref="C40:C41"/>
    <mergeCell ref="D40:D41"/>
    <mergeCell ref="E40:E41"/>
    <mergeCell ref="A50:A51"/>
    <mergeCell ref="B50:B51"/>
    <mergeCell ref="C50:C51"/>
    <mergeCell ref="D50:D51"/>
    <mergeCell ref="E50:E51"/>
    <mergeCell ref="E54:E59"/>
    <mergeCell ref="A89:A95"/>
    <mergeCell ref="A99:A101"/>
    <mergeCell ref="A76:A79"/>
    <mergeCell ref="B76:B79"/>
    <mergeCell ref="J26:J28"/>
    <mergeCell ref="A26:A28"/>
    <mergeCell ref="B26:B28"/>
    <mergeCell ref="C22:C25"/>
    <mergeCell ref="D22:D25"/>
    <mergeCell ref="E22:E25"/>
    <mergeCell ref="C26:C28"/>
    <mergeCell ref="D26:D28"/>
    <mergeCell ref="J71:J73"/>
    <mergeCell ref="D64:D66"/>
    <mergeCell ref="E81:E82"/>
    <mergeCell ref="J76:J79"/>
    <mergeCell ref="B47:B48"/>
    <mergeCell ref="C47:C48"/>
    <mergeCell ref="D47:D48"/>
    <mergeCell ref="E47:E48"/>
    <mergeCell ref="A67:A70"/>
    <mergeCell ref="B67:B70"/>
    <mergeCell ref="C67:C70"/>
    <mergeCell ref="D67:D70"/>
    <mergeCell ref="E67:E70"/>
    <mergeCell ref="A60:A61"/>
    <mergeCell ref="B60:B61"/>
    <mergeCell ref="C60:C61"/>
    <mergeCell ref="D60:D61"/>
    <mergeCell ref="A54:A59"/>
    <mergeCell ref="D54:D59"/>
    <mergeCell ref="C54:C59"/>
    <mergeCell ref="B54:B59"/>
    <mergeCell ref="E64:E66"/>
    <mergeCell ref="B64:B66"/>
    <mergeCell ref="A64:A66"/>
    <mergeCell ref="E60:E61"/>
    <mergeCell ref="C64:C66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0" workbookViewId="0">
      <selection activeCell="P7" sqref="P7"/>
    </sheetView>
  </sheetViews>
  <sheetFormatPr defaultColWidth="9.140625" defaultRowHeight="15" x14ac:dyDescent="0.25"/>
  <cols>
    <col min="1" max="1" width="4.5703125" style="626" customWidth="1"/>
    <col min="2" max="2" width="10.140625" style="561" customWidth="1"/>
    <col min="3" max="3" width="5.85546875" style="561" customWidth="1"/>
    <col min="4" max="4" width="9.140625" style="561" customWidth="1"/>
    <col min="5" max="5" width="6.140625" style="561" customWidth="1"/>
    <col min="6" max="6" width="7.42578125" style="561" customWidth="1"/>
    <col min="7" max="7" width="4.7109375" style="561" customWidth="1"/>
    <col min="8" max="8" width="10.28515625" style="561" customWidth="1"/>
    <col min="9" max="9" width="12.85546875" style="561" customWidth="1"/>
    <col min="10" max="10" width="5.5703125" style="562" customWidth="1"/>
    <col min="11" max="11" width="13" style="563" customWidth="1"/>
    <col min="12" max="12" width="11.42578125" style="561" customWidth="1"/>
    <col min="13" max="13" width="6.140625" style="561" customWidth="1"/>
    <col min="14" max="14" width="12.85546875" style="561" customWidth="1"/>
    <col min="15" max="15" width="13.140625" style="561" customWidth="1"/>
    <col min="16" max="16384" width="9.140625" style="561"/>
  </cols>
  <sheetData>
    <row r="1" spans="1:15" x14ac:dyDescent="0.25">
      <c r="A1" s="560" t="s">
        <v>0</v>
      </c>
    </row>
    <row r="2" spans="1:15" x14ac:dyDescent="0.25">
      <c r="A2" s="564" t="s">
        <v>2</v>
      </c>
    </row>
    <row r="3" spans="1:15" ht="15.75" x14ac:dyDescent="0.25">
      <c r="A3" s="565" t="s">
        <v>64</v>
      </c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</row>
    <row r="4" spans="1:15" ht="15.75" x14ac:dyDescent="0.25">
      <c r="A4" s="566" t="s">
        <v>121</v>
      </c>
      <c r="B4" s="566"/>
      <c r="C4" s="566"/>
      <c r="D4" s="566"/>
      <c r="E4" s="566"/>
      <c r="F4" s="566"/>
      <c r="G4" s="566"/>
      <c r="H4" s="566"/>
      <c r="I4" s="566"/>
      <c r="J4" s="567"/>
      <c r="K4" s="566"/>
      <c r="L4" s="566"/>
      <c r="M4" s="566"/>
      <c r="N4" s="566"/>
      <c r="O4" s="566"/>
    </row>
    <row r="5" spans="1:15" ht="30.75" customHeight="1" x14ac:dyDescent="0.25">
      <c r="A5" s="646" t="s">
        <v>18</v>
      </c>
      <c r="B5" s="647" t="s">
        <v>27</v>
      </c>
      <c r="C5" s="648" t="s">
        <v>28</v>
      </c>
      <c r="D5" s="649" t="s">
        <v>47</v>
      </c>
      <c r="E5" s="649"/>
      <c r="F5" s="650" t="s">
        <v>29</v>
      </c>
      <c r="G5" s="650"/>
      <c r="H5" s="650"/>
      <c r="I5" s="650"/>
      <c r="J5" s="651"/>
      <c r="K5" s="652" t="s">
        <v>30</v>
      </c>
      <c r="L5" s="650" t="s">
        <v>65</v>
      </c>
      <c r="M5" s="650"/>
      <c r="N5" s="650"/>
      <c r="O5" s="649" t="s">
        <v>20</v>
      </c>
    </row>
    <row r="6" spans="1:15" ht="57" customHeight="1" x14ac:dyDescent="0.25">
      <c r="A6" s="646"/>
      <c r="B6" s="647"/>
      <c r="C6" s="648"/>
      <c r="D6" s="653" t="s">
        <v>48</v>
      </c>
      <c r="E6" s="653" t="s">
        <v>49</v>
      </c>
      <c r="F6" s="653" t="s">
        <v>31</v>
      </c>
      <c r="G6" s="653" t="s">
        <v>32</v>
      </c>
      <c r="H6" s="654" t="s">
        <v>33</v>
      </c>
      <c r="I6" s="655" t="s">
        <v>34</v>
      </c>
      <c r="J6" s="656" t="s">
        <v>35</v>
      </c>
      <c r="K6" s="652"/>
      <c r="L6" s="653" t="s">
        <v>52</v>
      </c>
      <c r="M6" s="653" t="s">
        <v>53</v>
      </c>
      <c r="N6" s="653" t="s">
        <v>54</v>
      </c>
      <c r="O6" s="649"/>
    </row>
    <row r="7" spans="1:15" ht="60" x14ac:dyDescent="0.25">
      <c r="A7" s="568">
        <v>465</v>
      </c>
      <c r="B7" s="569">
        <v>43955</v>
      </c>
      <c r="C7" s="569"/>
      <c r="D7" s="570" t="s">
        <v>105</v>
      </c>
      <c r="E7" s="575" t="s">
        <v>106</v>
      </c>
      <c r="F7" s="570" t="s">
        <v>42</v>
      </c>
      <c r="G7" s="570">
        <v>10</v>
      </c>
      <c r="H7" s="571">
        <v>485000</v>
      </c>
      <c r="I7" s="571">
        <f>G7*H7</f>
        <v>4850000</v>
      </c>
      <c r="J7" s="572">
        <v>0.5</v>
      </c>
      <c r="K7" s="573">
        <f>I7*(1-J7)</f>
        <v>2425000</v>
      </c>
      <c r="L7" s="570"/>
      <c r="M7" s="570"/>
      <c r="N7" s="574">
        <f>K7</f>
        <v>2425000</v>
      </c>
      <c r="O7" s="575"/>
    </row>
    <row r="8" spans="1:15" x14ac:dyDescent="0.25">
      <c r="A8" s="576">
        <v>1149</v>
      </c>
      <c r="B8" s="577">
        <v>43987</v>
      </c>
      <c r="C8" s="578"/>
      <c r="D8" s="579" t="s">
        <v>123</v>
      </c>
      <c r="E8" s="580" t="s">
        <v>124</v>
      </c>
      <c r="F8" s="581" t="s">
        <v>125</v>
      </c>
      <c r="G8" s="581">
        <v>10</v>
      </c>
      <c r="H8" s="582">
        <v>265000</v>
      </c>
      <c r="I8" s="582">
        <f t="shared" ref="I8:I20" si="0">G8*H8</f>
        <v>2650000</v>
      </c>
      <c r="J8" s="583">
        <v>0.35</v>
      </c>
      <c r="K8" s="584">
        <f t="shared" ref="K8:K12" si="1">I8*(1-J8)</f>
        <v>1722500</v>
      </c>
      <c r="L8" s="585">
        <f>K8</f>
        <v>1722500</v>
      </c>
      <c r="M8" s="581"/>
      <c r="N8" s="581"/>
      <c r="O8" s="586" t="s">
        <v>391</v>
      </c>
    </row>
    <row r="9" spans="1:15" x14ac:dyDescent="0.25">
      <c r="A9" s="587"/>
      <c r="B9" s="588"/>
      <c r="C9" s="589"/>
      <c r="D9" s="590"/>
      <c r="E9" s="591"/>
      <c r="F9" s="592" t="s">
        <v>126</v>
      </c>
      <c r="G9" s="592">
        <v>14</v>
      </c>
      <c r="H9" s="593">
        <v>275000</v>
      </c>
      <c r="I9" s="593">
        <f t="shared" si="0"/>
        <v>3850000</v>
      </c>
      <c r="J9" s="594">
        <v>0.35</v>
      </c>
      <c r="K9" s="595">
        <f t="shared" si="1"/>
        <v>2502500</v>
      </c>
      <c r="L9" s="585">
        <f t="shared" ref="L9:L10" si="2">K9</f>
        <v>2502500</v>
      </c>
      <c r="M9" s="592"/>
      <c r="N9" s="592"/>
      <c r="O9" s="596"/>
    </row>
    <row r="10" spans="1:15" x14ac:dyDescent="0.25">
      <c r="A10" s="597"/>
      <c r="B10" s="598"/>
      <c r="C10" s="599"/>
      <c r="D10" s="600"/>
      <c r="E10" s="601"/>
      <c r="F10" s="602" t="s">
        <v>127</v>
      </c>
      <c r="G10" s="602">
        <v>11</v>
      </c>
      <c r="H10" s="603">
        <v>285000</v>
      </c>
      <c r="I10" s="603">
        <f t="shared" si="0"/>
        <v>3135000</v>
      </c>
      <c r="J10" s="604">
        <v>0.35</v>
      </c>
      <c r="K10" s="605">
        <f t="shared" si="1"/>
        <v>2037750</v>
      </c>
      <c r="L10" s="585">
        <f t="shared" si="2"/>
        <v>2037750</v>
      </c>
      <c r="M10" s="602"/>
      <c r="N10" s="602"/>
      <c r="O10" s="606"/>
    </row>
    <row r="11" spans="1:15" ht="30" x14ac:dyDescent="0.25">
      <c r="A11" s="568">
        <v>516</v>
      </c>
      <c r="B11" s="569">
        <v>43962</v>
      </c>
      <c r="C11" s="569"/>
      <c r="D11" s="575" t="s">
        <v>146</v>
      </c>
      <c r="E11" s="570"/>
      <c r="F11" s="570" t="s">
        <v>42</v>
      </c>
      <c r="G11" s="570">
        <v>12</v>
      </c>
      <c r="H11" s="571">
        <v>485000</v>
      </c>
      <c r="I11" s="571">
        <f t="shared" si="0"/>
        <v>5820000</v>
      </c>
      <c r="J11" s="572">
        <v>0.35</v>
      </c>
      <c r="K11" s="573">
        <f t="shared" si="1"/>
        <v>3783000</v>
      </c>
      <c r="L11" s="570"/>
      <c r="M11" s="570"/>
      <c r="N11" s="574">
        <f>K11</f>
        <v>3783000</v>
      </c>
      <c r="O11" s="575"/>
    </row>
    <row r="12" spans="1:15" ht="30" x14ac:dyDescent="0.25">
      <c r="A12" s="568">
        <v>534</v>
      </c>
      <c r="B12" s="569">
        <v>43965</v>
      </c>
      <c r="C12" s="569"/>
      <c r="D12" s="575" t="s">
        <v>154</v>
      </c>
      <c r="E12" s="570"/>
      <c r="F12" s="570" t="s">
        <v>39</v>
      </c>
      <c r="G12" s="570">
        <v>12</v>
      </c>
      <c r="H12" s="571">
        <v>455000</v>
      </c>
      <c r="I12" s="571">
        <f t="shared" si="0"/>
        <v>5460000</v>
      </c>
      <c r="J12" s="572">
        <v>0.43</v>
      </c>
      <c r="K12" s="573">
        <f t="shared" si="1"/>
        <v>3112200.0000000005</v>
      </c>
      <c r="L12" s="570"/>
      <c r="M12" s="570"/>
      <c r="N12" s="574">
        <f t="shared" ref="N12:N20" si="3">K12</f>
        <v>3112200.0000000005</v>
      </c>
      <c r="O12" s="575"/>
    </row>
    <row r="13" spans="1:15" ht="30" x14ac:dyDescent="0.25">
      <c r="A13" s="607">
        <v>551</v>
      </c>
      <c r="B13" s="608">
        <v>43974</v>
      </c>
      <c r="C13" s="608" t="s">
        <v>303</v>
      </c>
      <c r="D13" s="609" t="s">
        <v>253</v>
      </c>
      <c r="E13" s="610" t="s">
        <v>254</v>
      </c>
      <c r="F13" s="610" t="s">
        <v>41</v>
      </c>
      <c r="G13" s="610">
        <v>12</v>
      </c>
      <c r="H13" s="611">
        <v>485000</v>
      </c>
      <c r="I13" s="611">
        <f t="shared" si="0"/>
        <v>5820000</v>
      </c>
      <c r="J13" s="612">
        <v>0.41</v>
      </c>
      <c r="K13" s="613">
        <f>I13*(1-J13)</f>
        <v>3433800.0000000005</v>
      </c>
      <c r="L13" s="610"/>
      <c r="M13" s="610"/>
      <c r="N13" s="574">
        <f t="shared" si="3"/>
        <v>3433800.0000000005</v>
      </c>
      <c r="O13" s="609" t="s">
        <v>392</v>
      </c>
    </row>
    <row r="14" spans="1:15" x14ac:dyDescent="0.25">
      <c r="A14" s="576">
        <v>552</v>
      </c>
      <c r="B14" s="614">
        <v>43975</v>
      </c>
      <c r="C14" s="578"/>
      <c r="D14" s="638" t="s">
        <v>255</v>
      </c>
      <c r="E14" s="617" t="s">
        <v>115</v>
      </c>
      <c r="F14" s="581" t="s">
        <v>41</v>
      </c>
      <c r="G14" s="581">
        <v>12</v>
      </c>
      <c r="H14" s="582">
        <v>485000</v>
      </c>
      <c r="I14" s="582">
        <f t="shared" si="0"/>
        <v>5820000</v>
      </c>
      <c r="J14" s="583">
        <v>0.38</v>
      </c>
      <c r="K14" s="584">
        <f t="shared" ref="K14:K21" si="4">I14*(1-J14)</f>
        <v>3608400</v>
      </c>
      <c r="L14" s="581"/>
      <c r="M14" s="581"/>
      <c r="N14" s="585">
        <f t="shared" si="3"/>
        <v>3608400</v>
      </c>
      <c r="O14" s="581"/>
    </row>
    <row r="15" spans="1:15" x14ac:dyDescent="0.25">
      <c r="A15" s="587"/>
      <c r="B15" s="615"/>
      <c r="C15" s="589"/>
      <c r="D15" s="639"/>
      <c r="E15" s="618"/>
      <c r="F15" s="592" t="s">
        <v>38</v>
      </c>
      <c r="G15" s="592">
        <v>18</v>
      </c>
      <c r="H15" s="593">
        <v>550000</v>
      </c>
      <c r="I15" s="593">
        <f t="shared" si="0"/>
        <v>9900000</v>
      </c>
      <c r="J15" s="594">
        <v>0.38</v>
      </c>
      <c r="K15" s="595">
        <f t="shared" si="4"/>
        <v>6138000</v>
      </c>
      <c r="L15" s="592"/>
      <c r="M15" s="592"/>
      <c r="N15" s="640">
        <f t="shared" si="3"/>
        <v>6138000</v>
      </c>
      <c r="O15" s="592"/>
    </row>
    <row r="16" spans="1:15" x14ac:dyDescent="0.25">
      <c r="A16" s="587"/>
      <c r="B16" s="615"/>
      <c r="C16" s="589"/>
      <c r="D16" s="639"/>
      <c r="E16" s="618"/>
      <c r="F16" s="592" t="s">
        <v>241</v>
      </c>
      <c r="G16" s="592">
        <v>46</v>
      </c>
      <c r="H16" s="593">
        <v>450000</v>
      </c>
      <c r="I16" s="593">
        <f t="shared" si="0"/>
        <v>20700000</v>
      </c>
      <c r="J16" s="594">
        <v>0.38</v>
      </c>
      <c r="K16" s="595">
        <f t="shared" si="4"/>
        <v>12834000</v>
      </c>
      <c r="L16" s="592"/>
      <c r="M16" s="592"/>
      <c r="N16" s="640">
        <f t="shared" si="3"/>
        <v>12834000</v>
      </c>
      <c r="O16" s="592"/>
    </row>
    <row r="17" spans="1:15" x14ac:dyDescent="0.25">
      <c r="A17" s="597"/>
      <c r="B17" s="616"/>
      <c r="C17" s="599"/>
      <c r="D17" s="641"/>
      <c r="E17" s="619"/>
      <c r="F17" s="602" t="s">
        <v>39</v>
      </c>
      <c r="G17" s="602">
        <v>24</v>
      </c>
      <c r="H17" s="603">
        <v>455000</v>
      </c>
      <c r="I17" s="603">
        <f t="shared" si="0"/>
        <v>10920000</v>
      </c>
      <c r="J17" s="604">
        <v>0.38</v>
      </c>
      <c r="K17" s="605">
        <f t="shared" si="4"/>
        <v>6770400</v>
      </c>
      <c r="L17" s="602"/>
      <c r="M17" s="602"/>
      <c r="N17" s="642">
        <f t="shared" si="3"/>
        <v>6770400</v>
      </c>
      <c r="O17" s="602"/>
    </row>
    <row r="18" spans="1:15" x14ac:dyDescent="0.25">
      <c r="A18" s="576">
        <v>553</v>
      </c>
      <c r="B18" s="614">
        <v>43975</v>
      </c>
      <c r="C18" s="578"/>
      <c r="D18" s="617" t="s">
        <v>256</v>
      </c>
      <c r="E18" s="643"/>
      <c r="F18" s="581" t="s">
        <v>38</v>
      </c>
      <c r="G18" s="581">
        <v>48</v>
      </c>
      <c r="H18" s="582">
        <v>550000</v>
      </c>
      <c r="I18" s="582">
        <f t="shared" si="0"/>
        <v>26400000</v>
      </c>
      <c r="J18" s="583">
        <v>0.38</v>
      </c>
      <c r="K18" s="584">
        <f t="shared" si="4"/>
        <v>16368000</v>
      </c>
      <c r="L18" s="581"/>
      <c r="M18" s="581"/>
      <c r="N18" s="574">
        <f t="shared" si="3"/>
        <v>16368000</v>
      </c>
      <c r="O18" s="581"/>
    </row>
    <row r="19" spans="1:15" x14ac:dyDescent="0.25">
      <c r="A19" s="587"/>
      <c r="B19" s="615"/>
      <c r="C19" s="589"/>
      <c r="D19" s="618"/>
      <c r="E19" s="644"/>
      <c r="F19" s="592" t="s">
        <v>241</v>
      </c>
      <c r="G19" s="592">
        <v>17</v>
      </c>
      <c r="H19" s="593">
        <v>450000</v>
      </c>
      <c r="I19" s="593">
        <f t="shared" si="0"/>
        <v>7650000</v>
      </c>
      <c r="J19" s="594">
        <v>0.38</v>
      </c>
      <c r="K19" s="595">
        <f t="shared" si="4"/>
        <v>4743000</v>
      </c>
      <c r="L19" s="592"/>
      <c r="M19" s="592"/>
      <c r="N19" s="574">
        <f t="shared" si="3"/>
        <v>4743000</v>
      </c>
      <c r="O19" s="592"/>
    </row>
    <row r="20" spans="1:15" x14ac:dyDescent="0.25">
      <c r="A20" s="597"/>
      <c r="B20" s="616"/>
      <c r="C20" s="599"/>
      <c r="D20" s="619"/>
      <c r="E20" s="645"/>
      <c r="F20" s="602" t="s">
        <v>39</v>
      </c>
      <c r="G20" s="602">
        <v>84</v>
      </c>
      <c r="H20" s="603">
        <v>455000</v>
      </c>
      <c r="I20" s="603">
        <f t="shared" si="0"/>
        <v>38220000</v>
      </c>
      <c r="J20" s="604">
        <v>0.38</v>
      </c>
      <c r="K20" s="605">
        <f t="shared" si="4"/>
        <v>23696400</v>
      </c>
      <c r="L20" s="602"/>
      <c r="M20" s="602"/>
      <c r="N20" s="574">
        <f t="shared" si="3"/>
        <v>23696400</v>
      </c>
      <c r="O20" s="602"/>
    </row>
    <row r="21" spans="1:15" x14ac:dyDescent="0.25">
      <c r="A21" s="607"/>
      <c r="B21" s="608"/>
      <c r="C21" s="608"/>
      <c r="D21" s="609"/>
      <c r="E21" s="610"/>
      <c r="F21" s="610"/>
      <c r="G21" s="610"/>
      <c r="H21" s="611"/>
      <c r="I21" s="611"/>
      <c r="J21" s="612"/>
      <c r="K21" s="613">
        <f t="shared" si="4"/>
        <v>0</v>
      </c>
      <c r="L21" s="610"/>
      <c r="M21" s="610"/>
      <c r="N21" s="610"/>
      <c r="O21" s="610"/>
    </row>
    <row r="22" spans="1:15" s="625" customFormat="1" ht="30" customHeight="1" x14ac:dyDescent="0.25">
      <c r="A22" s="620" t="s">
        <v>67</v>
      </c>
      <c r="B22" s="620"/>
      <c r="C22" s="620"/>
      <c r="D22" s="620"/>
      <c r="E22" s="620"/>
      <c r="F22" s="621"/>
      <c r="G22" s="621">
        <f>SUM(G7:G20)</f>
        <v>330</v>
      </c>
      <c r="H22" s="622">
        <f>SUM(H7:H20)</f>
        <v>6130000</v>
      </c>
      <c r="I22" s="622">
        <f>SUM(I7:I20)</f>
        <v>151195000</v>
      </c>
      <c r="J22" s="623"/>
      <c r="K22" s="624">
        <f>SUM(K7:K20)</f>
        <v>93174950</v>
      </c>
      <c r="L22" s="621"/>
      <c r="M22" s="621"/>
      <c r="N22" s="621"/>
      <c r="O22" s="621"/>
    </row>
    <row r="23" spans="1:15" x14ac:dyDescent="0.25">
      <c r="G23" s="627"/>
      <c r="H23" s="627"/>
    </row>
    <row r="24" spans="1:15" s="629" customFormat="1" x14ac:dyDescent="0.25">
      <c r="A24" s="628"/>
      <c r="E24" s="630" t="s">
        <v>189</v>
      </c>
      <c r="F24" s="631"/>
      <c r="G24" s="631"/>
      <c r="H24" s="631"/>
      <c r="K24" s="630" t="s">
        <v>14</v>
      </c>
    </row>
    <row r="25" spans="1:15" s="629" customFormat="1" x14ac:dyDescent="0.25">
      <c r="A25" s="628"/>
      <c r="E25" s="632" t="s">
        <v>15</v>
      </c>
      <c r="F25" s="11"/>
      <c r="G25" s="11"/>
      <c r="H25" s="11"/>
      <c r="K25" s="632" t="s">
        <v>16</v>
      </c>
    </row>
    <row r="26" spans="1:15" x14ac:dyDescent="0.25">
      <c r="G26" s="627"/>
      <c r="H26" s="627"/>
      <c r="K26" s="633"/>
    </row>
    <row r="27" spans="1:15" x14ac:dyDescent="0.25">
      <c r="G27" s="627"/>
      <c r="H27" s="627"/>
      <c r="K27" s="633"/>
    </row>
    <row r="28" spans="1:15" s="635" customFormat="1" x14ac:dyDescent="0.25">
      <c r="A28" s="634"/>
      <c r="E28" s="631"/>
      <c r="F28" s="636"/>
      <c r="K28" s="637"/>
    </row>
    <row r="29" spans="1:15" x14ac:dyDescent="0.25">
      <c r="G29" s="627"/>
      <c r="H29" s="627"/>
    </row>
    <row r="30" spans="1:15" x14ac:dyDescent="0.25">
      <c r="G30" s="627"/>
      <c r="H30" s="627"/>
    </row>
    <row r="31" spans="1:15" x14ac:dyDescent="0.25">
      <c r="G31" s="627"/>
      <c r="H31" s="627"/>
    </row>
  </sheetData>
  <mergeCells count="27">
    <mergeCell ref="O8:O10"/>
    <mergeCell ref="E8:E10"/>
    <mergeCell ref="D18:D20"/>
    <mergeCell ref="B18:B20"/>
    <mergeCell ref="C18:C20"/>
    <mergeCell ref="C14:C17"/>
    <mergeCell ref="E18:E20"/>
    <mergeCell ref="A22:E22"/>
    <mergeCell ref="A8:A10"/>
    <mergeCell ref="B8:B10"/>
    <mergeCell ref="D8:D10"/>
    <mergeCell ref="A18:A20"/>
    <mergeCell ref="E14:E17"/>
    <mergeCell ref="D14:D17"/>
    <mergeCell ref="B14:B17"/>
    <mergeCell ref="A14:A17"/>
    <mergeCell ref="C8:C10"/>
    <mergeCell ref="A3:O3"/>
    <mergeCell ref="A4:O4"/>
    <mergeCell ref="A5:A6"/>
    <mergeCell ref="B5:B6"/>
    <mergeCell ref="D5:E5"/>
    <mergeCell ref="F5:J5"/>
    <mergeCell ref="K5:K6"/>
    <mergeCell ref="L5:N5"/>
    <mergeCell ref="O5:O6"/>
    <mergeCell ref="C5:C6"/>
  </mergeCells>
  <pageMargins left="0.21" right="0.2" top="0.48" bottom="0.28000000000000003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6" workbookViewId="0">
      <selection activeCell="I23" sqref="I2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0" customWidth="1"/>
    <col min="5" max="5" width="26.140625" style="1" customWidth="1"/>
    <col min="6" max="16384" width="9.140625" style="1"/>
  </cols>
  <sheetData>
    <row r="1" spans="1:7" ht="16.5" x14ac:dyDescent="0.25">
      <c r="A1" s="5" t="s">
        <v>0</v>
      </c>
      <c r="B1" s="6"/>
      <c r="C1" s="7"/>
      <c r="D1" s="8" t="s">
        <v>1</v>
      </c>
      <c r="E1" s="9"/>
      <c r="F1" s="8"/>
      <c r="G1" s="8"/>
    </row>
    <row r="2" spans="1:7" ht="15.75" x14ac:dyDescent="0.25">
      <c r="A2" s="10" t="s">
        <v>2</v>
      </c>
      <c r="B2" s="11"/>
      <c r="C2" s="12"/>
      <c r="D2" s="13" t="s">
        <v>3</v>
      </c>
      <c r="E2" s="14"/>
      <c r="F2" s="13"/>
      <c r="G2" s="13"/>
    </row>
    <row r="3" spans="1:7" ht="15.75" x14ac:dyDescent="0.25">
      <c r="A3" s="10"/>
      <c r="B3" s="11"/>
      <c r="C3" s="12"/>
      <c r="D3" s="15"/>
      <c r="E3" s="14"/>
      <c r="F3" s="16"/>
      <c r="G3" s="16"/>
    </row>
    <row r="4" spans="1:7" ht="20.25" x14ac:dyDescent="0.3">
      <c r="A4" s="370" t="s">
        <v>17</v>
      </c>
      <c r="B4" s="370"/>
      <c r="C4" s="370"/>
      <c r="D4" s="370"/>
      <c r="E4" s="370"/>
      <c r="F4" s="17"/>
      <c r="G4" s="17"/>
    </row>
    <row r="5" spans="1:7" x14ac:dyDescent="0.25">
      <c r="A5" s="371" t="s">
        <v>138</v>
      </c>
      <c r="B5" s="371"/>
      <c r="C5" s="371"/>
      <c r="D5" s="371"/>
      <c r="E5" s="371"/>
      <c r="F5" s="2"/>
      <c r="G5" s="2"/>
    </row>
    <row r="6" spans="1:7" s="59" customFormat="1" x14ac:dyDescent="0.25">
      <c r="A6" s="64"/>
      <c r="B6" s="64"/>
      <c r="C6" s="64"/>
      <c r="D6" s="64"/>
      <c r="E6" s="64"/>
      <c r="F6" s="61"/>
      <c r="G6" s="61"/>
    </row>
    <row r="7" spans="1:7" ht="15.75" x14ac:dyDescent="0.25">
      <c r="A7" s="62" t="s">
        <v>18</v>
      </c>
      <c r="B7" s="62" t="s">
        <v>19</v>
      </c>
      <c r="C7" s="62" t="s">
        <v>58</v>
      </c>
      <c r="D7" s="63" t="s">
        <v>57</v>
      </c>
      <c r="E7" s="62" t="s">
        <v>20</v>
      </c>
      <c r="F7" s="60"/>
      <c r="G7" s="60"/>
    </row>
    <row r="8" spans="1:7" ht="15.75" x14ac:dyDescent="0.25">
      <c r="A8" s="65">
        <v>1</v>
      </c>
      <c r="B8" s="66" t="s">
        <v>59</v>
      </c>
      <c r="C8" s="57">
        <f>'DOANH THU'!G112</f>
        <v>1160</v>
      </c>
      <c r="D8" s="67">
        <f>'DOANH THU'!I111</f>
        <v>521695000</v>
      </c>
      <c r="E8" s="66"/>
      <c r="F8" s="58"/>
      <c r="G8" s="58"/>
    </row>
    <row r="9" spans="1:7" s="59" customFormat="1" ht="15.75" x14ac:dyDescent="0.25">
      <c r="A9" s="305">
        <v>2</v>
      </c>
      <c r="B9" s="306" t="s">
        <v>389</v>
      </c>
      <c r="C9" s="307"/>
      <c r="D9" s="308">
        <f>'DOANH THU'!L111</f>
        <v>279350550</v>
      </c>
      <c r="E9" s="306"/>
      <c r="F9" s="58"/>
      <c r="G9" s="58"/>
    </row>
    <row r="10" spans="1:7" ht="15.75" x14ac:dyDescent="0.25">
      <c r="A10" s="68">
        <v>3</v>
      </c>
      <c r="B10" s="69" t="s">
        <v>60</v>
      </c>
      <c r="C10" s="69"/>
      <c r="D10" s="70">
        <f>'DOANH THU'!L113</f>
        <v>30166050</v>
      </c>
      <c r="E10" s="69"/>
      <c r="F10" s="58"/>
      <c r="G10" s="58"/>
    </row>
    <row r="11" spans="1:7" ht="15.75" x14ac:dyDescent="0.25">
      <c r="A11" s="68">
        <v>4</v>
      </c>
      <c r="B11" s="69" t="s">
        <v>61</v>
      </c>
      <c r="C11" s="69"/>
      <c r="D11" s="70">
        <f>'DOANH THU'!L114</f>
        <v>82091000</v>
      </c>
      <c r="E11" s="69"/>
      <c r="F11" s="58"/>
      <c r="G11" s="58"/>
    </row>
    <row r="12" spans="1:7" s="59" customFormat="1" ht="15.75" x14ac:dyDescent="0.25">
      <c r="A12" s="122"/>
      <c r="B12" s="125" t="s">
        <v>390</v>
      </c>
      <c r="C12" s="127"/>
      <c r="D12" s="126">
        <f>'Hàng khách trả'!I22</f>
        <v>151195000</v>
      </c>
      <c r="E12" s="123"/>
      <c r="F12" s="58"/>
      <c r="G12" s="58"/>
    </row>
    <row r="13" spans="1:7" s="59" customFormat="1" ht="15.75" x14ac:dyDescent="0.25">
      <c r="A13" s="122"/>
      <c r="B13" s="125" t="s">
        <v>389</v>
      </c>
      <c r="C13" s="127"/>
      <c r="D13" s="126">
        <f>'Hàng khách trả'!K22</f>
        <v>93174950</v>
      </c>
      <c r="E13" s="123"/>
      <c r="F13" s="58"/>
      <c r="G13" s="58"/>
    </row>
    <row r="14" spans="1:7" s="59" customFormat="1" ht="15.75" x14ac:dyDescent="0.25">
      <c r="A14" s="71"/>
      <c r="B14" s="73" t="s">
        <v>62</v>
      </c>
      <c r="C14" s="74"/>
      <c r="D14" s="75">
        <f>D9-D10-D11-D13</f>
        <v>73918550</v>
      </c>
      <c r="E14" s="72"/>
      <c r="F14" s="58"/>
      <c r="G14" s="58"/>
    </row>
    <row r="15" spans="1:7" x14ac:dyDescent="0.25">
      <c r="A15" s="33"/>
      <c r="B15" s="33"/>
      <c r="C15" s="33"/>
      <c r="D15" s="1"/>
      <c r="E15" s="33"/>
      <c r="F15" s="2"/>
      <c r="G15" s="2"/>
    </row>
    <row r="16" spans="1:7" x14ac:dyDescent="0.25">
      <c r="A16" s="33"/>
      <c r="B16" s="33"/>
      <c r="C16" s="33"/>
      <c r="D16" s="33"/>
      <c r="E16" s="33"/>
      <c r="F16" s="2"/>
      <c r="G16" s="2"/>
    </row>
    <row r="17" spans="1:6" s="23" customFormat="1" x14ac:dyDescent="0.25">
      <c r="A17" s="18" t="s">
        <v>18</v>
      </c>
      <c r="B17" s="18" t="s">
        <v>19</v>
      </c>
      <c r="C17" s="21" t="s">
        <v>21</v>
      </c>
      <c r="D17" s="22" t="s">
        <v>22</v>
      </c>
      <c r="E17" s="21" t="s">
        <v>20</v>
      </c>
    </row>
    <row r="18" spans="1:6" x14ac:dyDescent="0.25">
      <c r="A18" s="24">
        <v>1</v>
      </c>
      <c r="B18" s="25" t="s">
        <v>23</v>
      </c>
      <c r="C18" s="26">
        <f>'THU CHI'!E171+'THU CHI'!F171</f>
        <v>174371954.15384614</v>
      </c>
      <c r="D18" s="227">
        <f>'THU CHI'!H171</f>
        <v>122100000</v>
      </c>
      <c r="E18" s="227"/>
    </row>
    <row r="19" spans="1:6" s="59" customFormat="1" x14ac:dyDescent="0.25">
      <c r="A19" s="24">
        <v>2</v>
      </c>
      <c r="B19" s="225" t="s">
        <v>388</v>
      </c>
      <c r="C19" s="226">
        <v>50000000</v>
      </c>
      <c r="D19" s="304"/>
      <c r="E19" s="304"/>
    </row>
    <row r="20" spans="1:6" s="59" customFormat="1" x14ac:dyDescent="0.25">
      <c r="A20" s="24">
        <v>3</v>
      </c>
      <c r="B20" s="225" t="s">
        <v>279</v>
      </c>
      <c r="C20" s="226"/>
      <c r="D20" s="228">
        <f>'THU CHI'!G111+'THU CHI'!H111</f>
        <v>62450000</v>
      </c>
      <c r="E20" s="228"/>
    </row>
    <row r="21" spans="1:6" x14ac:dyDescent="0.25">
      <c r="A21" s="24">
        <v>4</v>
      </c>
      <c r="B21" s="19" t="s">
        <v>9</v>
      </c>
      <c r="C21" s="19"/>
      <c r="D21" s="228">
        <f>'THU CHI'!H137</f>
        <v>4743350</v>
      </c>
      <c r="E21" s="31"/>
    </row>
    <row r="22" spans="1:6" x14ac:dyDescent="0.25">
      <c r="A22" s="24">
        <v>5</v>
      </c>
      <c r="B22" s="19" t="s">
        <v>11</v>
      </c>
      <c r="C22" s="19"/>
      <c r="D22" s="228">
        <f>'THU CHI'!G184+'THU CHI'!H184</f>
        <v>19407604.153846152</v>
      </c>
      <c r="E22" s="31"/>
    </row>
    <row r="23" spans="1:6" x14ac:dyDescent="0.25">
      <c r="A23" s="24">
        <v>6</v>
      </c>
      <c r="B23" s="19" t="s">
        <v>286</v>
      </c>
      <c r="C23" s="19"/>
      <c r="D23" s="228">
        <f>'THU CHI'!G198+'THU CHI'!H198</f>
        <v>12730920</v>
      </c>
      <c r="E23" s="31"/>
    </row>
    <row r="24" spans="1:6" x14ac:dyDescent="0.25">
      <c r="A24" s="24">
        <v>7</v>
      </c>
      <c r="B24" s="19" t="s">
        <v>12</v>
      </c>
      <c r="C24" s="19"/>
      <c r="D24" s="228">
        <f>'THU CHI'!H215</f>
        <v>6113000</v>
      </c>
      <c r="E24" s="31"/>
    </row>
    <row r="25" spans="1:6" x14ac:dyDescent="0.25">
      <c r="A25" s="24">
        <v>8</v>
      </c>
      <c r="B25" s="19" t="s">
        <v>13</v>
      </c>
      <c r="C25" s="19"/>
      <c r="D25" s="228">
        <f>'THU CHI'!H209</f>
        <v>2370000</v>
      </c>
      <c r="E25" s="31"/>
    </row>
    <row r="26" spans="1:6" x14ac:dyDescent="0.25">
      <c r="A26" s="24">
        <v>9</v>
      </c>
      <c r="B26" s="20" t="s">
        <v>24</v>
      </c>
      <c r="C26" s="20"/>
      <c r="D26" s="229">
        <f>'THU CHI'!G226</f>
        <v>41050000</v>
      </c>
      <c r="E26" s="32"/>
    </row>
    <row r="27" spans="1:6" ht="15.75" x14ac:dyDescent="0.25">
      <c r="A27" s="27"/>
      <c r="B27" s="28" t="s">
        <v>25</v>
      </c>
      <c r="C27" s="29">
        <f>SUM(C18:C26)</f>
        <v>224371954.15384614</v>
      </c>
      <c r="D27" s="230">
        <f>SUM(D18:D26)</f>
        <v>270964874.15384614</v>
      </c>
      <c r="E27" s="27"/>
    </row>
    <row r="28" spans="1:6" x14ac:dyDescent="0.25">
      <c r="A28" s="372" t="s">
        <v>26</v>
      </c>
      <c r="B28" s="372"/>
      <c r="C28" s="27"/>
      <c r="D28" s="230">
        <f>C27-D27</f>
        <v>-46592920</v>
      </c>
      <c r="E28" s="27"/>
    </row>
    <row r="30" spans="1:6" s="56" customFormat="1" ht="14.25" x14ac:dyDescent="0.25">
      <c r="B30" s="309" t="s">
        <v>189</v>
      </c>
      <c r="C30" s="373" t="s">
        <v>396</v>
      </c>
      <c r="D30" s="373"/>
      <c r="E30" s="373"/>
      <c r="F30" s="373"/>
    </row>
    <row r="31" spans="1:6" s="310" customFormat="1" ht="12" x14ac:dyDescent="0.25">
      <c r="B31" s="311" t="s">
        <v>397</v>
      </c>
      <c r="C31" s="374" t="s">
        <v>397</v>
      </c>
      <c r="D31" s="374"/>
      <c r="E31" s="374"/>
      <c r="F31" s="374"/>
    </row>
    <row r="32" spans="1:6" x14ac:dyDescent="0.25">
      <c r="B32" s="3"/>
      <c r="C32" s="4"/>
      <c r="D32" s="3"/>
      <c r="E32" s="4"/>
    </row>
    <row r="35" spans="2:4" s="23" customFormat="1" x14ac:dyDescent="0.25">
      <c r="B35" s="87"/>
      <c r="C35" s="87"/>
      <c r="D35" s="128"/>
    </row>
  </sheetData>
  <mergeCells count="5">
    <mergeCell ref="A4:E4"/>
    <mergeCell ref="A5:E5"/>
    <mergeCell ref="A28:B28"/>
    <mergeCell ref="C30:F30"/>
    <mergeCell ref="C31:F3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" zoomScale="85" zoomScaleNormal="85" workbookViewId="0">
      <selection activeCell="I13" sqref="I13"/>
    </sheetView>
  </sheetViews>
  <sheetFormatPr defaultColWidth="9.140625" defaultRowHeight="15.75" x14ac:dyDescent="0.25"/>
  <cols>
    <col min="1" max="1" width="5.28515625" style="60" customWidth="1"/>
    <col min="2" max="2" width="10.140625" style="91" customWidth="1"/>
    <col min="3" max="3" width="5.140625" style="13" customWidth="1"/>
    <col min="4" max="4" width="9.140625" style="13" customWidth="1"/>
    <col min="5" max="5" width="9.42578125" style="13" customWidth="1"/>
    <col min="6" max="6" width="8.28515625" style="13" customWidth="1"/>
    <col min="7" max="7" width="5.42578125" style="13" customWidth="1"/>
    <col min="8" max="8" width="10.28515625" style="13" customWidth="1"/>
    <col min="9" max="9" width="14.28515625" style="13" customWidth="1"/>
    <col min="10" max="10" width="10" style="13" customWidth="1"/>
    <col min="11" max="11" width="8.140625" style="13" customWidth="1"/>
    <col min="12" max="12" width="13.5703125" style="13" customWidth="1"/>
    <col min="13" max="13" width="6.140625" style="13" customWidth="1"/>
    <col min="14" max="14" width="12.85546875" style="13" customWidth="1"/>
    <col min="15" max="15" width="14.28515625" style="13" customWidth="1"/>
    <col min="16" max="16384" width="9.140625" style="13"/>
  </cols>
  <sheetData>
    <row r="1" spans="1:15" x14ac:dyDescent="0.25">
      <c r="A1" s="425" t="s">
        <v>0</v>
      </c>
      <c r="B1" s="425"/>
      <c r="C1" s="425"/>
      <c r="D1" s="425"/>
      <c r="E1" s="425"/>
      <c r="F1" s="60"/>
      <c r="G1" s="60"/>
      <c r="H1" s="60"/>
      <c r="I1" s="60"/>
    </row>
    <row r="2" spans="1:15" x14ac:dyDescent="0.25">
      <c r="A2" s="35" t="s">
        <v>403</v>
      </c>
      <c r="B2" s="35"/>
      <c r="C2" s="35"/>
      <c r="D2" s="35"/>
      <c r="E2" s="35"/>
      <c r="F2" s="60"/>
      <c r="G2" s="60"/>
      <c r="H2" s="60"/>
      <c r="I2" s="60"/>
    </row>
    <row r="3" spans="1:15" x14ac:dyDescent="0.25">
      <c r="A3" s="36"/>
      <c r="B3" s="89"/>
      <c r="F3" s="60"/>
      <c r="G3" s="60"/>
      <c r="H3" s="60"/>
      <c r="I3" s="60"/>
    </row>
    <row r="4" spans="1:15" x14ac:dyDescent="0.25">
      <c r="A4" s="426" t="s">
        <v>165</v>
      </c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</row>
    <row r="5" spans="1:15" ht="19.5" customHeight="1" x14ac:dyDescent="0.25">
      <c r="A5" s="380" t="s">
        <v>249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</row>
    <row r="6" spans="1:15" s="130" customFormat="1" ht="42" customHeight="1" x14ac:dyDescent="0.25">
      <c r="A6" s="409" t="s">
        <v>91</v>
      </c>
      <c r="B6" s="421" t="s">
        <v>27</v>
      </c>
      <c r="C6" s="409" t="s">
        <v>28</v>
      </c>
      <c r="D6" s="409" t="s">
        <v>47</v>
      </c>
      <c r="E6" s="409"/>
      <c r="F6" s="410" t="s">
        <v>29</v>
      </c>
      <c r="G6" s="410"/>
      <c r="H6" s="410"/>
      <c r="I6" s="410"/>
      <c r="J6" s="410"/>
      <c r="K6" s="410"/>
      <c r="L6" s="410"/>
      <c r="M6" s="428"/>
      <c r="N6" s="428"/>
      <c r="O6" s="428"/>
    </row>
    <row r="7" spans="1:15" s="130" customFormat="1" ht="38.25" customHeight="1" x14ac:dyDescent="0.25">
      <c r="A7" s="409"/>
      <c r="B7" s="421"/>
      <c r="C7" s="409"/>
      <c r="D7" s="409" t="s">
        <v>48</v>
      </c>
      <c r="E7" s="409" t="s">
        <v>49</v>
      </c>
      <c r="F7" s="409" t="s">
        <v>31</v>
      </c>
      <c r="G7" s="409" t="s">
        <v>32</v>
      </c>
      <c r="H7" s="427" t="s">
        <v>33</v>
      </c>
      <c r="I7" s="427" t="s">
        <v>50</v>
      </c>
      <c r="J7" s="429" t="s">
        <v>35</v>
      </c>
      <c r="K7" s="429"/>
      <c r="L7" s="427" t="s">
        <v>51</v>
      </c>
      <c r="M7" s="427" t="s">
        <v>52</v>
      </c>
      <c r="N7" s="427" t="s">
        <v>53</v>
      </c>
      <c r="O7" s="427" t="s">
        <v>54</v>
      </c>
    </row>
    <row r="8" spans="1:15" s="130" customFormat="1" ht="12.75" x14ac:dyDescent="0.25">
      <c r="A8" s="409"/>
      <c r="B8" s="421"/>
      <c r="C8" s="409"/>
      <c r="D8" s="409"/>
      <c r="E8" s="409"/>
      <c r="F8" s="409"/>
      <c r="G8" s="409"/>
      <c r="H8" s="427"/>
      <c r="I8" s="427"/>
      <c r="J8" s="168" t="s">
        <v>108</v>
      </c>
      <c r="K8" s="149" t="s">
        <v>55</v>
      </c>
      <c r="L8" s="427"/>
      <c r="M8" s="427"/>
      <c r="N8" s="427"/>
      <c r="O8" s="427"/>
    </row>
    <row r="9" spans="1:15" s="135" customFormat="1" ht="15" x14ac:dyDescent="0.25">
      <c r="A9" s="411">
        <v>461</v>
      </c>
      <c r="B9" s="414">
        <v>43951</v>
      </c>
      <c r="C9" s="411" t="s">
        <v>103</v>
      </c>
      <c r="D9" s="411" t="s">
        <v>102</v>
      </c>
      <c r="E9" s="411" t="s">
        <v>104</v>
      </c>
      <c r="F9" s="165" t="s">
        <v>36</v>
      </c>
      <c r="G9" s="165">
        <v>4</v>
      </c>
      <c r="H9" s="150">
        <v>455000</v>
      </c>
      <c r="I9" s="150">
        <v>1820000</v>
      </c>
      <c r="J9" s="150"/>
      <c r="K9" s="151">
        <v>0.41</v>
      </c>
      <c r="L9" s="150">
        <v>1073800.0000000002</v>
      </c>
      <c r="M9" s="150"/>
      <c r="N9" s="150"/>
      <c r="O9" s="150">
        <v>1073800.0000000002</v>
      </c>
    </row>
    <row r="10" spans="1:15" s="135" customFormat="1" ht="15" x14ac:dyDescent="0.25">
      <c r="A10" s="412"/>
      <c r="B10" s="415"/>
      <c r="C10" s="412"/>
      <c r="D10" s="412"/>
      <c r="E10" s="412"/>
      <c r="F10" s="166" t="s">
        <v>37</v>
      </c>
      <c r="G10" s="166">
        <v>2</v>
      </c>
      <c r="H10" s="152">
        <v>465000</v>
      </c>
      <c r="I10" s="152">
        <v>930000</v>
      </c>
      <c r="J10" s="152"/>
      <c r="K10" s="153">
        <v>0.41</v>
      </c>
      <c r="L10" s="152">
        <v>548700.00000000012</v>
      </c>
      <c r="M10" s="152"/>
      <c r="N10" s="152"/>
      <c r="O10" s="152">
        <v>548700.00000000012</v>
      </c>
    </row>
    <row r="11" spans="1:15" s="135" customFormat="1" ht="15" x14ac:dyDescent="0.25">
      <c r="A11" s="413"/>
      <c r="B11" s="416"/>
      <c r="C11" s="413"/>
      <c r="D11" s="413"/>
      <c r="E11" s="413"/>
      <c r="F11" s="167" t="s">
        <v>40</v>
      </c>
      <c r="G11" s="167">
        <v>1</v>
      </c>
      <c r="H11" s="154">
        <v>475000</v>
      </c>
      <c r="I11" s="154">
        <v>475000</v>
      </c>
      <c r="J11" s="154"/>
      <c r="K11" s="155">
        <v>0.41</v>
      </c>
      <c r="L11" s="154">
        <v>280250.00000000006</v>
      </c>
      <c r="M11" s="154"/>
      <c r="N11" s="154"/>
      <c r="O11" s="154">
        <v>280250.00000000006</v>
      </c>
    </row>
    <row r="12" spans="1:15" s="135" customFormat="1" ht="15" x14ac:dyDescent="0.25">
      <c r="A12" s="131">
        <v>462</v>
      </c>
      <c r="B12" s="132">
        <v>43951</v>
      </c>
      <c r="C12" s="131" t="s">
        <v>103</v>
      </c>
      <c r="D12" s="131" t="s">
        <v>103</v>
      </c>
      <c r="E12" s="131" t="s">
        <v>99</v>
      </c>
      <c r="F12" s="131" t="s">
        <v>40</v>
      </c>
      <c r="G12" s="131">
        <v>1</v>
      </c>
      <c r="H12" s="133">
        <v>475000</v>
      </c>
      <c r="I12" s="133">
        <v>475000</v>
      </c>
      <c r="J12" s="133"/>
      <c r="K12" s="134">
        <v>0.41</v>
      </c>
      <c r="L12" s="133">
        <v>280250.00000000006</v>
      </c>
      <c r="M12" s="133"/>
      <c r="N12" s="133"/>
      <c r="O12" s="133">
        <v>280250.00000000006</v>
      </c>
    </row>
    <row r="13" spans="1:15" s="135" customFormat="1" ht="15" x14ac:dyDescent="0.25">
      <c r="A13" s="160">
        <v>1147</v>
      </c>
      <c r="B13" s="161">
        <v>43956</v>
      </c>
      <c r="C13" s="160" t="s">
        <v>103</v>
      </c>
      <c r="D13" s="160" t="s">
        <v>103</v>
      </c>
      <c r="E13" s="162" t="s">
        <v>99</v>
      </c>
      <c r="F13" s="131" t="s">
        <v>39</v>
      </c>
      <c r="G13" s="131">
        <v>1</v>
      </c>
      <c r="H13" s="133">
        <v>455000</v>
      </c>
      <c r="I13" s="133">
        <v>455000</v>
      </c>
      <c r="J13" s="157"/>
      <c r="K13" s="134">
        <v>0.41</v>
      </c>
      <c r="L13" s="133">
        <v>268450.00000000006</v>
      </c>
      <c r="M13" s="133"/>
      <c r="N13" s="133"/>
      <c r="O13" s="133">
        <v>268450.00000000006</v>
      </c>
    </row>
    <row r="14" spans="1:15" s="135" customFormat="1" ht="15" x14ac:dyDescent="0.25">
      <c r="A14" s="131">
        <v>512</v>
      </c>
      <c r="B14" s="141" t="s">
        <v>134</v>
      </c>
      <c r="C14" s="131" t="s">
        <v>103</v>
      </c>
      <c r="D14" s="131" t="s">
        <v>135</v>
      </c>
      <c r="E14" s="131"/>
      <c r="F14" s="131" t="s">
        <v>36</v>
      </c>
      <c r="G14" s="131">
        <v>3</v>
      </c>
      <c r="H14" s="133">
        <v>455000</v>
      </c>
      <c r="I14" s="133">
        <v>1365000</v>
      </c>
      <c r="J14" s="133"/>
      <c r="K14" s="134">
        <v>0.5</v>
      </c>
      <c r="L14" s="133">
        <v>682500</v>
      </c>
      <c r="M14" s="133"/>
      <c r="N14" s="133"/>
      <c r="O14" s="133">
        <v>682500</v>
      </c>
    </row>
    <row r="15" spans="1:15" s="135" customFormat="1" ht="15" x14ac:dyDescent="0.25">
      <c r="A15" s="159">
        <v>529</v>
      </c>
      <c r="B15" s="163">
        <v>43959</v>
      </c>
      <c r="C15" s="159" t="s">
        <v>103</v>
      </c>
      <c r="D15" s="159" t="s">
        <v>103</v>
      </c>
      <c r="E15" s="159" t="s">
        <v>99</v>
      </c>
      <c r="F15" s="131" t="s">
        <v>39</v>
      </c>
      <c r="G15" s="131">
        <v>1</v>
      </c>
      <c r="H15" s="133">
        <v>455000</v>
      </c>
      <c r="I15" s="133">
        <v>455000</v>
      </c>
      <c r="J15" s="133"/>
      <c r="K15" s="134">
        <v>0.41</v>
      </c>
      <c r="L15" s="133">
        <v>268450.00000000006</v>
      </c>
      <c r="M15" s="133"/>
      <c r="N15" s="133"/>
      <c r="O15" s="133">
        <v>268450.00000000006</v>
      </c>
    </row>
    <row r="16" spans="1:15" s="135" customFormat="1" ht="15" x14ac:dyDescent="0.25">
      <c r="A16" s="417">
        <v>508</v>
      </c>
      <c r="B16" s="419" t="s">
        <v>130</v>
      </c>
      <c r="C16" s="411" t="s">
        <v>103</v>
      </c>
      <c r="D16" s="411" t="s">
        <v>102</v>
      </c>
      <c r="E16" s="411" t="s">
        <v>104</v>
      </c>
      <c r="F16" s="165" t="s">
        <v>36</v>
      </c>
      <c r="G16" s="165">
        <v>2</v>
      </c>
      <c r="H16" s="150">
        <v>455000</v>
      </c>
      <c r="I16" s="150">
        <v>910000</v>
      </c>
      <c r="J16" s="150"/>
      <c r="K16" s="151">
        <v>0.41</v>
      </c>
      <c r="L16" s="150">
        <v>536900.00000000012</v>
      </c>
      <c r="M16" s="150"/>
      <c r="N16" s="150"/>
      <c r="O16" s="150">
        <v>536900.00000000012</v>
      </c>
    </row>
    <row r="17" spans="1:15" s="135" customFormat="1" ht="15" x14ac:dyDescent="0.25">
      <c r="A17" s="418"/>
      <c r="B17" s="420"/>
      <c r="C17" s="413"/>
      <c r="D17" s="413"/>
      <c r="E17" s="413"/>
      <c r="F17" s="167" t="s">
        <v>37</v>
      </c>
      <c r="G17" s="167">
        <v>5</v>
      </c>
      <c r="H17" s="154">
        <v>465000</v>
      </c>
      <c r="I17" s="154">
        <v>2325000</v>
      </c>
      <c r="J17" s="154"/>
      <c r="K17" s="155">
        <v>0.41</v>
      </c>
      <c r="L17" s="154">
        <v>1371750.0000000002</v>
      </c>
      <c r="M17" s="154"/>
      <c r="N17" s="154"/>
      <c r="O17" s="154">
        <v>1371750.0000000002</v>
      </c>
    </row>
    <row r="18" spans="1:15" s="135" customFormat="1" ht="15" x14ac:dyDescent="0.25">
      <c r="A18" s="131">
        <v>509</v>
      </c>
      <c r="B18" s="141">
        <v>43960</v>
      </c>
      <c r="C18" s="131" t="s">
        <v>103</v>
      </c>
      <c r="D18" s="131" t="s">
        <v>132</v>
      </c>
      <c r="E18" s="131" t="s">
        <v>133</v>
      </c>
      <c r="F18" s="131" t="s">
        <v>42</v>
      </c>
      <c r="G18" s="131">
        <v>12</v>
      </c>
      <c r="H18" s="133">
        <v>485000</v>
      </c>
      <c r="I18" s="133">
        <v>5820000</v>
      </c>
      <c r="J18" s="133"/>
      <c r="K18" s="134">
        <v>0.41</v>
      </c>
      <c r="L18" s="133">
        <v>3433800.0000000005</v>
      </c>
      <c r="M18" s="133"/>
      <c r="N18" s="133"/>
      <c r="O18" s="133">
        <v>3433800.0000000005</v>
      </c>
    </row>
    <row r="19" spans="1:15" s="135" customFormat="1" ht="15" x14ac:dyDescent="0.25">
      <c r="A19" s="131">
        <v>514</v>
      </c>
      <c r="B19" s="141" t="s">
        <v>130</v>
      </c>
      <c r="C19" s="131" t="s">
        <v>103</v>
      </c>
      <c r="D19" s="131" t="s">
        <v>103</v>
      </c>
      <c r="E19" s="131" t="s">
        <v>99</v>
      </c>
      <c r="F19" s="131" t="s">
        <v>42</v>
      </c>
      <c r="G19" s="131">
        <v>1</v>
      </c>
      <c r="H19" s="133">
        <v>485000</v>
      </c>
      <c r="I19" s="133">
        <v>485000</v>
      </c>
      <c r="J19" s="133"/>
      <c r="K19" s="134">
        <v>0.41</v>
      </c>
      <c r="L19" s="133">
        <v>286150.00000000006</v>
      </c>
      <c r="M19" s="133"/>
      <c r="N19" s="133"/>
      <c r="O19" s="133">
        <v>286150.00000000006</v>
      </c>
    </row>
    <row r="20" spans="1:15" s="135" customFormat="1" ht="15" x14ac:dyDescent="0.25">
      <c r="A20" s="411">
        <v>527</v>
      </c>
      <c r="B20" s="419">
        <v>43967</v>
      </c>
      <c r="C20" s="411" t="s">
        <v>103</v>
      </c>
      <c r="D20" s="411" t="s">
        <v>102</v>
      </c>
      <c r="E20" s="411" t="s">
        <v>104</v>
      </c>
      <c r="F20" s="165" t="s">
        <v>36</v>
      </c>
      <c r="G20" s="165">
        <v>10</v>
      </c>
      <c r="H20" s="150">
        <v>455000</v>
      </c>
      <c r="I20" s="150">
        <v>4550000</v>
      </c>
      <c r="J20" s="422">
        <v>150000</v>
      </c>
      <c r="K20" s="151">
        <v>0.41</v>
      </c>
      <c r="L20" s="150">
        <v>2534500.0000000005</v>
      </c>
      <c r="M20" s="150"/>
      <c r="N20" s="150">
        <v>2534500.0000000005</v>
      </c>
      <c r="O20" s="150"/>
    </row>
    <row r="21" spans="1:15" s="135" customFormat="1" ht="15" x14ac:dyDescent="0.25">
      <c r="A21" s="412"/>
      <c r="B21" s="430"/>
      <c r="C21" s="412"/>
      <c r="D21" s="412"/>
      <c r="E21" s="412"/>
      <c r="F21" s="166" t="s">
        <v>37</v>
      </c>
      <c r="G21" s="166">
        <v>16</v>
      </c>
      <c r="H21" s="152">
        <v>465000</v>
      </c>
      <c r="I21" s="152">
        <v>7440000</v>
      </c>
      <c r="J21" s="423"/>
      <c r="K21" s="153">
        <v>0.41</v>
      </c>
      <c r="L21" s="152">
        <v>4389600.0000000009</v>
      </c>
      <c r="M21" s="152"/>
      <c r="N21" s="152">
        <v>4389600.0000000009</v>
      </c>
      <c r="O21" s="152"/>
    </row>
    <row r="22" spans="1:15" s="135" customFormat="1" ht="15" x14ac:dyDescent="0.25">
      <c r="A22" s="413"/>
      <c r="B22" s="420"/>
      <c r="C22" s="413"/>
      <c r="D22" s="413"/>
      <c r="E22" s="413"/>
      <c r="F22" s="167" t="s">
        <v>38</v>
      </c>
      <c r="G22" s="167">
        <v>6</v>
      </c>
      <c r="H22" s="154">
        <v>550000</v>
      </c>
      <c r="I22" s="154">
        <v>3300000</v>
      </c>
      <c r="J22" s="424"/>
      <c r="K22" s="155">
        <v>0.41</v>
      </c>
      <c r="L22" s="154">
        <v>1947000.0000000002</v>
      </c>
      <c r="M22" s="154"/>
      <c r="N22" s="154">
        <v>1947000.0000000002</v>
      </c>
      <c r="O22" s="154"/>
    </row>
    <row r="23" spans="1:15" s="135" customFormat="1" ht="15" x14ac:dyDescent="0.25">
      <c r="A23" s="131">
        <v>531</v>
      </c>
      <c r="B23" s="141">
        <v>43968</v>
      </c>
      <c r="C23" s="131" t="s">
        <v>103</v>
      </c>
      <c r="D23" s="131" t="s">
        <v>103</v>
      </c>
      <c r="E23" s="131" t="s">
        <v>99</v>
      </c>
      <c r="F23" s="131" t="s">
        <v>37</v>
      </c>
      <c r="G23" s="131">
        <v>1</v>
      </c>
      <c r="H23" s="133">
        <v>465000</v>
      </c>
      <c r="I23" s="133">
        <v>465000</v>
      </c>
      <c r="J23" s="133"/>
      <c r="K23" s="134">
        <v>0.41</v>
      </c>
      <c r="L23" s="133">
        <v>274350.00000000006</v>
      </c>
      <c r="M23" s="133"/>
      <c r="N23" s="133">
        <v>128900</v>
      </c>
      <c r="O23" s="133">
        <f>L23-N23</f>
        <v>145450.00000000006</v>
      </c>
    </row>
    <row r="24" spans="1:15" s="135" customFormat="1" ht="15" x14ac:dyDescent="0.25">
      <c r="A24" s="411">
        <v>532</v>
      </c>
      <c r="B24" s="419">
        <v>43969</v>
      </c>
      <c r="C24" s="411" t="s">
        <v>103</v>
      </c>
      <c r="D24" s="411" t="s">
        <v>102</v>
      </c>
      <c r="E24" s="411" t="s">
        <v>104</v>
      </c>
      <c r="F24" s="165" t="s">
        <v>113</v>
      </c>
      <c r="G24" s="165">
        <v>2</v>
      </c>
      <c r="H24" s="150">
        <v>255000</v>
      </c>
      <c r="I24" s="150">
        <v>510000</v>
      </c>
      <c r="J24" s="150"/>
      <c r="K24" s="151">
        <v>0.41</v>
      </c>
      <c r="L24" s="150">
        <v>300900.00000000006</v>
      </c>
      <c r="M24" s="150"/>
      <c r="N24" s="150"/>
      <c r="O24" s="150">
        <v>300900.00000000006</v>
      </c>
    </row>
    <row r="25" spans="1:15" s="135" customFormat="1" ht="15" x14ac:dyDescent="0.25">
      <c r="A25" s="413"/>
      <c r="B25" s="420"/>
      <c r="C25" s="413"/>
      <c r="D25" s="413"/>
      <c r="E25" s="413"/>
      <c r="F25" s="167" t="s">
        <v>40</v>
      </c>
      <c r="G25" s="167">
        <v>1</v>
      </c>
      <c r="H25" s="154">
        <v>475000</v>
      </c>
      <c r="I25" s="154">
        <v>475000</v>
      </c>
      <c r="J25" s="154"/>
      <c r="K25" s="155">
        <v>0.41</v>
      </c>
      <c r="L25" s="154">
        <v>280250.00000000006</v>
      </c>
      <c r="M25" s="154"/>
      <c r="N25" s="154"/>
      <c r="O25" s="154">
        <v>280250.00000000006</v>
      </c>
    </row>
    <row r="26" spans="1:15" s="135" customFormat="1" ht="15" x14ac:dyDescent="0.25">
      <c r="A26" s="411">
        <v>533</v>
      </c>
      <c r="B26" s="419">
        <v>43969</v>
      </c>
      <c r="C26" s="411" t="s">
        <v>103</v>
      </c>
      <c r="D26" s="411" t="s">
        <v>158</v>
      </c>
      <c r="E26" s="411" t="s">
        <v>159</v>
      </c>
      <c r="F26" s="165" t="s">
        <v>37</v>
      </c>
      <c r="G26" s="165">
        <v>1</v>
      </c>
      <c r="H26" s="150">
        <v>465000</v>
      </c>
      <c r="I26" s="150">
        <v>465000</v>
      </c>
      <c r="J26" s="150"/>
      <c r="K26" s="151">
        <v>0.41</v>
      </c>
      <c r="L26" s="150">
        <v>274350.00000000006</v>
      </c>
      <c r="M26" s="150"/>
      <c r="N26" s="150"/>
      <c r="O26" s="150">
        <v>274350.00000000006</v>
      </c>
    </row>
    <row r="27" spans="1:15" s="135" customFormat="1" ht="15" x14ac:dyDescent="0.25">
      <c r="A27" s="413"/>
      <c r="B27" s="420"/>
      <c r="C27" s="413"/>
      <c r="D27" s="413"/>
      <c r="E27" s="413"/>
      <c r="F27" s="167" t="s">
        <v>40</v>
      </c>
      <c r="G27" s="167">
        <v>1</v>
      </c>
      <c r="H27" s="154">
        <v>475000</v>
      </c>
      <c r="I27" s="154">
        <v>475000</v>
      </c>
      <c r="J27" s="154"/>
      <c r="K27" s="155">
        <v>0.41</v>
      </c>
      <c r="L27" s="154">
        <v>280250.00000000006</v>
      </c>
      <c r="M27" s="154"/>
      <c r="N27" s="154"/>
      <c r="O27" s="154">
        <v>280250.00000000006</v>
      </c>
    </row>
    <row r="28" spans="1:15" s="135" customFormat="1" ht="15" x14ac:dyDescent="0.25">
      <c r="A28" s="160">
        <v>540</v>
      </c>
      <c r="B28" s="164">
        <v>43971</v>
      </c>
      <c r="C28" s="160" t="s">
        <v>103</v>
      </c>
      <c r="D28" s="160" t="s">
        <v>103</v>
      </c>
      <c r="E28" s="160" t="s">
        <v>99</v>
      </c>
      <c r="F28" s="160" t="s">
        <v>36</v>
      </c>
      <c r="G28" s="160">
        <v>2</v>
      </c>
      <c r="H28" s="158">
        <v>455000</v>
      </c>
      <c r="I28" s="158">
        <f>H28*G28</f>
        <v>910000</v>
      </c>
      <c r="J28" s="158"/>
      <c r="K28" s="196">
        <v>0.41</v>
      </c>
      <c r="L28" s="158">
        <f>I28*(1-K28)</f>
        <v>536900.00000000012</v>
      </c>
      <c r="M28" s="158"/>
      <c r="N28" s="158"/>
      <c r="O28" s="158">
        <f>L28</f>
        <v>536900.00000000012</v>
      </c>
    </row>
    <row r="29" spans="1:15" s="135" customFormat="1" ht="15" hidden="1" x14ac:dyDescent="0.25">
      <c r="A29" s="160"/>
      <c r="B29" s="164"/>
      <c r="C29" s="160"/>
      <c r="D29" s="160"/>
      <c r="E29" s="160"/>
      <c r="F29" s="160"/>
      <c r="G29" s="160"/>
      <c r="H29" s="158"/>
      <c r="I29" s="158"/>
      <c r="J29" s="158"/>
      <c r="K29" s="196"/>
      <c r="L29" s="158"/>
      <c r="M29" s="158"/>
      <c r="N29" s="158"/>
      <c r="O29" s="158"/>
    </row>
    <row r="30" spans="1:15" s="135" customFormat="1" ht="15" hidden="1" x14ac:dyDescent="0.25">
      <c r="A30" s="160"/>
      <c r="B30" s="164"/>
      <c r="C30" s="160"/>
      <c r="D30" s="160"/>
      <c r="E30" s="160"/>
      <c r="F30" s="160"/>
      <c r="G30" s="160"/>
      <c r="H30" s="158"/>
      <c r="I30" s="158"/>
      <c r="J30" s="158"/>
      <c r="K30" s="196"/>
      <c r="L30" s="158"/>
      <c r="M30" s="158"/>
      <c r="N30" s="158"/>
      <c r="O30" s="158"/>
    </row>
    <row r="31" spans="1:15" s="135" customFormat="1" ht="15" hidden="1" x14ac:dyDescent="0.25">
      <c r="A31" s="160"/>
      <c r="B31" s="164"/>
      <c r="C31" s="160"/>
      <c r="D31" s="160"/>
      <c r="E31" s="160"/>
      <c r="F31" s="160"/>
      <c r="G31" s="160"/>
      <c r="H31" s="158"/>
      <c r="I31" s="158"/>
      <c r="J31" s="158"/>
      <c r="K31" s="196"/>
      <c r="L31" s="158"/>
      <c r="M31" s="158"/>
      <c r="N31" s="158"/>
      <c r="O31" s="158"/>
    </row>
    <row r="32" spans="1:15" s="198" customFormat="1" x14ac:dyDescent="0.25">
      <c r="A32" s="385" t="s">
        <v>43</v>
      </c>
      <c r="B32" s="386"/>
      <c r="C32" s="386"/>
      <c r="D32" s="386"/>
      <c r="E32" s="386"/>
      <c r="F32" s="386"/>
      <c r="G32" s="386"/>
      <c r="H32" s="379"/>
      <c r="I32" s="199">
        <f>SUM(I9:I31)</f>
        <v>34105000</v>
      </c>
      <c r="J32" s="200"/>
      <c r="K32" s="200"/>
      <c r="L32" s="199">
        <f>SUM(L9:L31)</f>
        <v>19849100.000000004</v>
      </c>
      <c r="M32" s="200"/>
      <c r="N32" s="199">
        <f>SUM(N9:N31)</f>
        <v>9000000.0000000019</v>
      </c>
      <c r="O32" s="199">
        <f>SUM(O9:O31)</f>
        <v>10849100.000000002</v>
      </c>
    </row>
    <row r="33" spans="1:15" s="207" customFormat="1" x14ac:dyDescent="0.25">
      <c r="A33" s="205"/>
      <c r="B33" s="205"/>
      <c r="C33" s="205"/>
      <c r="D33" s="205"/>
      <c r="E33" s="205"/>
      <c r="F33" s="205"/>
      <c r="G33" s="205"/>
      <c r="H33" s="205"/>
      <c r="I33" s="206"/>
      <c r="L33" s="206"/>
      <c r="N33" s="206"/>
      <c r="O33" s="206"/>
    </row>
    <row r="34" spans="1:15" s="56" customFormat="1" ht="14.25" x14ac:dyDescent="0.25">
      <c r="B34" s="309" t="s">
        <v>395</v>
      </c>
      <c r="C34" s="309"/>
      <c r="D34" s="309"/>
      <c r="G34" s="309"/>
      <c r="I34" s="309" t="s">
        <v>189</v>
      </c>
      <c r="J34" s="124"/>
      <c r="K34" s="124"/>
      <c r="N34" s="309" t="s">
        <v>396</v>
      </c>
    </row>
    <row r="35" spans="1:15" s="310" customFormat="1" ht="12" x14ac:dyDescent="0.25">
      <c r="B35" s="311" t="s">
        <v>397</v>
      </c>
      <c r="C35" s="311"/>
      <c r="D35" s="311"/>
      <c r="G35" s="311"/>
      <c r="I35" s="311" t="s">
        <v>397</v>
      </c>
      <c r="J35" s="312"/>
      <c r="K35" s="312"/>
      <c r="N35" s="311" t="s">
        <v>397</v>
      </c>
    </row>
    <row r="36" spans="1:15" s="207" customFormat="1" x14ac:dyDescent="0.25">
      <c r="A36" s="205"/>
      <c r="B36" s="205"/>
      <c r="C36" s="205"/>
      <c r="D36" s="205"/>
      <c r="E36" s="205"/>
      <c r="F36" s="205"/>
      <c r="G36" s="205"/>
      <c r="H36" s="205"/>
      <c r="I36" s="206"/>
      <c r="L36" s="206"/>
      <c r="N36" s="206"/>
      <c r="O36" s="206"/>
    </row>
    <row r="37" spans="1:15" s="135" customFormat="1" ht="18.75" x14ac:dyDescent="0.25">
      <c r="A37" s="431" t="s">
        <v>191</v>
      </c>
      <c r="B37" s="432"/>
      <c r="C37" s="432"/>
      <c r="D37" s="432"/>
      <c r="E37" s="432"/>
      <c r="F37" s="432"/>
      <c r="G37" s="432"/>
      <c r="H37" s="432"/>
      <c r="I37" s="432"/>
      <c r="J37" s="432"/>
      <c r="K37" s="432"/>
      <c r="L37" s="432"/>
      <c r="M37" s="432"/>
      <c r="N37" s="432"/>
      <c r="O37" s="432"/>
    </row>
    <row r="38" spans="1:15" s="130" customFormat="1" ht="42" customHeight="1" x14ac:dyDescent="0.25">
      <c r="A38" s="409" t="s">
        <v>91</v>
      </c>
      <c r="B38" s="421" t="s">
        <v>27</v>
      </c>
      <c r="C38" s="409" t="s">
        <v>28</v>
      </c>
      <c r="D38" s="409" t="s">
        <v>47</v>
      </c>
      <c r="E38" s="409"/>
      <c r="F38" s="410" t="s">
        <v>29</v>
      </c>
      <c r="G38" s="410"/>
      <c r="H38" s="410"/>
      <c r="I38" s="410"/>
      <c r="J38" s="410"/>
      <c r="K38" s="410"/>
      <c r="L38" s="410"/>
      <c r="M38" s="436" t="s">
        <v>57</v>
      </c>
      <c r="N38" s="437"/>
      <c r="O38" s="433" t="s">
        <v>20</v>
      </c>
    </row>
    <row r="39" spans="1:15" s="130" customFormat="1" ht="38.25" customHeight="1" x14ac:dyDescent="0.25">
      <c r="A39" s="409"/>
      <c r="B39" s="421"/>
      <c r="C39" s="409"/>
      <c r="D39" s="409" t="s">
        <v>48</v>
      </c>
      <c r="E39" s="409" t="s">
        <v>49</v>
      </c>
      <c r="F39" s="409" t="s">
        <v>31</v>
      </c>
      <c r="G39" s="409" t="s">
        <v>32</v>
      </c>
      <c r="H39" s="427" t="s">
        <v>33</v>
      </c>
      <c r="I39" s="427" t="s">
        <v>50</v>
      </c>
      <c r="J39" s="429" t="s">
        <v>35</v>
      </c>
      <c r="K39" s="429"/>
      <c r="L39" s="427" t="s">
        <v>51</v>
      </c>
      <c r="M39" s="438"/>
      <c r="N39" s="439"/>
      <c r="O39" s="434"/>
    </row>
    <row r="40" spans="1:15" s="130" customFormat="1" ht="12.75" x14ac:dyDescent="0.25">
      <c r="A40" s="409"/>
      <c r="B40" s="421"/>
      <c r="C40" s="409"/>
      <c r="D40" s="409"/>
      <c r="E40" s="409"/>
      <c r="F40" s="409"/>
      <c r="G40" s="409"/>
      <c r="H40" s="427"/>
      <c r="I40" s="427"/>
      <c r="J40" s="168" t="s">
        <v>108</v>
      </c>
      <c r="K40" s="149" t="s">
        <v>55</v>
      </c>
      <c r="L40" s="427"/>
      <c r="M40" s="438"/>
      <c r="N40" s="439"/>
      <c r="O40" s="435"/>
    </row>
    <row r="41" spans="1:15" s="135" customFormat="1" ht="15" x14ac:dyDescent="0.25">
      <c r="A41" s="160">
        <v>1133</v>
      </c>
      <c r="B41" s="164">
        <v>43943</v>
      </c>
      <c r="C41" s="160" t="s">
        <v>192</v>
      </c>
      <c r="D41" s="160" t="s">
        <v>193</v>
      </c>
      <c r="E41" s="160" t="s">
        <v>194</v>
      </c>
      <c r="F41" s="160" t="s">
        <v>38</v>
      </c>
      <c r="G41" s="160">
        <v>1</v>
      </c>
      <c r="H41" s="158">
        <v>550000</v>
      </c>
      <c r="I41" s="158">
        <f>H41*G41</f>
        <v>550000</v>
      </c>
      <c r="J41" s="158"/>
      <c r="K41" s="196">
        <v>0</v>
      </c>
      <c r="L41" s="158">
        <f>I41*(1-K41)</f>
        <v>550000</v>
      </c>
      <c r="M41" s="440">
        <f>L41</f>
        <v>550000</v>
      </c>
      <c r="N41" s="440"/>
      <c r="O41" s="197"/>
    </row>
    <row r="42" spans="1:15" s="135" customFormat="1" ht="15" x14ac:dyDescent="0.25">
      <c r="A42" s="160">
        <v>458</v>
      </c>
      <c r="B42" s="164">
        <v>43947</v>
      </c>
      <c r="C42" s="160" t="s">
        <v>192</v>
      </c>
      <c r="D42" s="160" t="s">
        <v>195</v>
      </c>
      <c r="E42" s="160" t="s">
        <v>196</v>
      </c>
      <c r="F42" s="160" t="s">
        <v>36</v>
      </c>
      <c r="G42" s="160">
        <v>1</v>
      </c>
      <c r="H42" s="158">
        <v>455000</v>
      </c>
      <c r="I42" s="158">
        <f t="shared" ref="I42:I47" si="0">H42*G42</f>
        <v>455000</v>
      </c>
      <c r="J42" s="158"/>
      <c r="K42" s="196">
        <v>0.35</v>
      </c>
      <c r="L42" s="158">
        <f t="shared" ref="L42:L47" si="1">I42*(1-K42)</f>
        <v>295750</v>
      </c>
      <c r="M42" s="404">
        <f>L42</f>
        <v>295750</v>
      </c>
      <c r="N42" s="405"/>
      <c r="O42" s="133"/>
    </row>
    <row r="43" spans="1:15" s="135" customFormat="1" ht="15" x14ac:dyDescent="0.25">
      <c r="A43" s="160">
        <v>469</v>
      </c>
      <c r="B43" s="164">
        <v>43956</v>
      </c>
      <c r="C43" s="160" t="s">
        <v>192</v>
      </c>
      <c r="D43" s="160" t="s">
        <v>111</v>
      </c>
      <c r="E43" s="160" t="s">
        <v>197</v>
      </c>
      <c r="F43" s="160" t="s">
        <v>38</v>
      </c>
      <c r="G43" s="160">
        <v>1</v>
      </c>
      <c r="H43" s="158">
        <v>550000</v>
      </c>
      <c r="I43" s="158">
        <f t="shared" si="0"/>
        <v>550000</v>
      </c>
      <c r="J43" s="158"/>
      <c r="K43" s="196">
        <v>0</v>
      </c>
      <c r="L43" s="158">
        <f t="shared" si="1"/>
        <v>550000</v>
      </c>
      <c r="M43" s="404">
        <f t="shared" ref="M43:M47" si="2">L43</f>
        <v>550000</v>
      </c>
      <c r="N43" s="405"/>
      <c r="O43" s="133"/>
    </row>
    <row r="44" spans="1:15" s="135" customFormat="1" ht="15" x14ac:dyDescent="0.25">
      <c r="A44" s="160">
        <v>539</v>
      </c>
      <c r="B44" s="164">
        <v>43925</v>
      </c>
      <c r="C44" s="160" t="s">
        <v>192</v>
      </c>
      <c r="D44" s="160" t="s">
        <v>210</v>
      </c>
      <c r="E44" s="160" t="s">
        <v>196</v>
      </c>
      <c r="F44" s="160" t="s">
        <v>42</v>
      </c>
      <c r="G44" s="160">
        <v>1</v>
      </c>
      <c r="H44" s="158">
        <v>485000</v>
      </c>
      <c r="I44" s="158">
        <f t="shared" si="0"/>
        <v>485000</v>
      </c>
      <c r="J44" s="158">
        <v>97000</v>
      </c>
      <c r="K44" s="196">
        <v>0</v>
      </c>
      <c r="L44" s="158">
        <f>I44*(1-K44)-J44</f>
        <v>388000</v>
      </c>
      <c r="M44" s="404">
        <f t="shared" si="2"/>
        <v>388000</v>
      </c>
      <c r="N44" s="405"/>
      <c r="O44" s="133"/>
    </row>
    <row r="45" spans="1:15" s="135" customFormat="1" ht="15" hidden="1" x14ac:dyDescent="0.25">
      <c r="A45" s="160"/>
      <c r="B45" s="164"/>
      <c r="C45" s="160"/>
      <c r="D45" s="160"/>
      <c r="E45" s="160"/>
      <c r="F45" s="160"/>
      <c r="G45" s="160"/>
      <c r="H45" s="158"/>
      <c r="I45" s="158">
        <f t="shared" si="0"/>
        <v>0</v>
      </c>
      <c r="J45" s="158"/>
      <c r="K45" s="196"/>
      <c r="L45" s="158">
        <f t="shared" si="1"/>
        <v>0</v>
      </c>
      <c r="M45" s="404">
        <f t="shared" si="2"/>
        <v>0</v>
      </c>
      <c r="N45" s="405"/>
      <c r="O45" s="133"/>
    </row>
    <row r="46" spans="1:15" s="135" customFormat="1" ht="15" hidden="1" x14ac:dyDescent="0.25">
      <c r="A46" s="160"/>
      <c r="B46" s="164"/>
      <c r="C46" s="160"/>
      <c r="D46" s="160"/>
      <c r="E46" s="160"/>
      <c r="F46" s="160"/>
      <c r="G46" s="160"/>
      <c r="H46" s="158"/>
      <c r="I46" s="158">
        <f t="shared" si="0"/>
        <v>0</v>
      </c>
      <c r="J46" s="158"/>
      <c r="K46" s="196"/>
      <c r="L46" s="158">
        <f t="shared" si="1"/>
        <v>0</v>
      </c>
      <c r="M46" s="404">
        <f t="shared" si="2"/>
        <v>0</v>
      </c>
      <c r="N46" s="405"/>
      <c r="O46" s="133"/>
    </row>
    <row r="47" spans="1:15" s="135" customFormat="1" ht="15" hidden="1" x14ac:dyDescent="0.25">
      <c r="A47" s="160"/>
      <c r="B47" s="164"/>
      <c r="C47" s="160"/>
      <c r="D47" s="160"/>
      <c r="E47" s="160"/>
      <c r="F47" s="160"/>
      <c r="G47" s="160"/>
      <c r="H47" s="158"/>
      <c r="I47" s="158">
        <f t="shared" si="0"/>
        <v>0</v>
      </c>
      <c r="J47" s="158"/>
      <c r="K47" s="196"/>
      <c r="L47" s="158">
        <f t="shared" si="1"/>
        <v>0</v>
      </c>
      <c r="M47" s="404">
        <f t="shared" si="2"/>
        <v>0</v>
      </c>
      <c r="N47" s="405"/>
      <c r="O47" s="133"/>
    </row>
    <row r="48" spans="1:15" s="198" customFormat="1" x14ac:dyDescent="0.25">
      <c r="A48" s="385" t="s">
        <v>43</v>
      </c>
      <c r="B48" s="386"/>
      <c r="C48" s="386"/>
      <c r="D48" s="386"/>
      <c r="E48" s="386"/>
      <c r="F48" s="386"/>
      <c r="G48" s="386"/>
      <c r="H48" s="379"/>
      <c r="I48" s="199">
        <f>SUM(I41:I47)</f>
        <v>2040000</v>
      </c>
      <c r="J48" s="200"/>
      <c r="K48" s="200"/>
      <c r="L48" s="199">
        <f>SUM(L41:L47)</f>
        <v>1783750</v>
      </c>
      <c r="M48" s="406">
        <f>SUM(M41:N47)</f>
        <v>1783750</v>
      </c>
      <c r="N48" s="407"/>
      <c r="O48" s="201"/>
    </row>
    <row r="49" spans="1:15" ht="18.75" x14ac:dyDescent="0.25">
      <c r="A49" s="403" t="s">
        <v>208</v>
      </c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3"/>
    </row>
    <row r="50" spans="1:15" x14ac:dyDescent="0.25">
      <c r="A50" s="388" t="s">
        <v>198</v>
      </c>
      <c r="B50" s="388"/>
      <c r="C50" s="388"/>
      <c r="D50" s="388"/>
      <c r="E50" s="388"/>
      <c r="F50" s="388"/>
      <c r="G50" s="388"/>
      <c r="H50" s="388" t="s">
        <v>57</v>
      </c>
      <c r="I50" s="388"/>
      <c r="J50" s="388" t="s">
        <v>20</v>
      </c>
      <c r="K50" s="388"/>
      <c r="L50" s="388"/>
    </row>
    <row r="51" spans="1:15" x14ac:dyDescent="0.25">
      <c r="A51" s="395" t="s">
        <v>199</v>
      </c>
      <c r="B51" s="396"/>
      <c r="C51" s="396"/>
      <c r="D51" s="396"/>
      <c r="E51" s="396"/>
      <c r="F51" s="396"/>
      <c r="G51" s="397"/>
      <c r="H51" s="398">
        <v>523000</v>
      </c>
      <c r="I51" s="399"/>
      <c r="J51" s="391" t="s">
        <v>200</v>
      </c>
      <c r="K51" s="392"/>
      <c r="L51" s="393"/>
    </row>
    <row r="52" spans="1:15" ht="32.25" customHeight="1" x14ac:dyDescent="0.25">
      <c r="A52" s="400" t="s">
        <v>212</v>
      </c>
      <c r="B52" s="401"/>
      <c r="C52" s="401"/>
      <c r="D52" s="401"/>
      <c r="E52" s="401"/>
      <c r="F52" s="401"/>
      <c r="G52" s="402"/>
      <c r="H52" s="398">
        <v>2079000</v>
      </c>
      <c r="I52" s="399"/>
      <c r="J52" s="391" t="s">
        <v>200</v>
      </c>
      <c r="K52" s="392"/>
      <c r="L52" s="393"/>
    </row>
    <row r="53" spans="1:15" x14ac:dyDescent="0.25">
      <c r="A53" s="395" t="s">
        <v>201</v>
      </c>
      <c r="B53" s="396"/>
      <c r="C53" s="396"/>
      <c r="D53" s="396"/>
      <c r="E53" s="396"/>
      <c r="F53" s="396"/>
      <c r="G53" s="397"/>
      <c r="H53" s="398">
        <v>2563000</v>
      </c>
      <c r="I53" s="399"/>
      <c r="J53" s="391" t="s">
        <v>200</v>
      </c>
      <c r="K53" s="392"/>
      <c r="L53" s="393"/>
    </row>
    <row r="54" spans="1:15" x14ac:dyDescent="0.25">
      <c r="A54" s="395" t="s">
        <v>209</v>
      </c>
      <c r="B54" s="396"/>
      <c r="C54" s="396"/>
      <c r="D54" s="396"/>
      <c r="E54" s="396"/>
      <c r="F54" s="396"/>
      <c r="G54" s="397"/>
      <c r="H54" s="398">
        <v>82000</v>
      </c>
      <c r="I54" s="399"/>
      <c r="J54" s="391" t="s">
        <v>200</v>
      </c>
      <c r="K54" s="392"/>
      <c r="L54" s="393"/>
    </row>
    <row r="55" spans="1:15" x14ac:dyDescent="0.25">
      <c r="A55" s="395" t="s">
        <v>213</v>
      </c>
      <c r="B55" s="396"/>
      <c r="C55" s="396"/>
      <c r="D55" s="396"/>
      <c r="E55" s="396"/>
      <c r="F55" s="396"/>
      <c r="G55" s="397"/>
      <c r="H55" s="398">
        <v>866000</v>
      </c>
      <c r="I55" s="399"/>
      <c r="J55" s="391" t="s">
        <v>200</v>
      </c>
      <c r="K55" s="392"/>
      <c r="L55" s="393"/>
    </row>
    <row r="56" spans="1:15" hidden="1" x14ac:dyDescent="0.25">
      <c r="A56" s="395"/>
      <c r="B56" s="396"/>
      <c r="C56" s="396"/>
      <c r="D56" s="396"/>
      <c r="E56" s="396"/>
      <c r="F56" s="396"/>
      <c r="G56" s="397"/>
      <c r="H56" s="398"/>
      <c r="I56" s="399"/>
      <c r="J56" s="391" t="s">
        <v>200</v>
      </c>
      <c r="K56" s="392"/>
      <c r="L56" s="393"/>
    </row>
    <row r="57" spans="1:15" hidden="1" x14ac:dyDescent="0.25">
      <c r="A57" s="395"/>
      <c r="B57" s="396"/>
      <c r="C57" s="396"/>
      <c r="D57" s="396"/>
      <c r="E57" s="396"/>
      <c r="F57" s="396"/>
      <c r="G57" s="397"/>
      <c r="H57" s="398"/>
      <c r="I57" s="399"/>
      <c r="J57" s="391" t="s">
        <v>200</v>
      </c>
      <c r="K57" s="392"/>
      <c r="L57" s="393"/>
    </row>
    <row r="58" spans="1:15" hidden="1" x14ac:dyDescent="0.25">
      <c r="A58" s="395"/>
      <c r="B58" s="396"/>
      <c r="C58" s="396"/>
      <c r="D58" s="396"/>
      <c r="E58" s="396"/>
      <c r="F58" s="396"/>
      <c r="G58" s="397"/>
      <c r="H58" s="398"/>
      <c r="I58" s="399"/>
      <c r="J58" s="391" t="s">
        <v>200</v>
      </c>
      <c r="K58" s="392"/>
      <c r="L58" s="393"/>
    </row>
    <row r="59" spans="1:15" hidden="1" x14ac:dyDescent="0.25">
      <c r="A59" s="395"/>
      <c r="B59" s="396"/>
      <c r="C59" s="396"/>
      <c r="D59" s="396"/>
      <c r="E59" s="396"/>
      <c r="F59" s="396"/>
      <c r="G59" s="397"/>
      <c r="H59" s="398"/>
      <c r="I59" s="399"/>
      <c r="J59" s="391" t="s">
        <v>200</v>
      </c>
      <c r="K59" s="392"/>
      <c r="L59" s="393"/>
    </row>
    <row r="60" spans="1:15" hidden="1" x14ac:dyDescent="0.25">
      <c r="A60" s="395"/>
      <c r="B60" s="396"/>
      <c r="C60" s="396"/>
      <c r="D60" s="396"/>
      <c r="E60" s="396"/>
      <c r="F60" s="396"/>
      <c r="G60" s="397"/>
      <c r="H60" s="398"/>
      <c r="I60" s="399"/>
      <c r="J60" s="391" t="s">
        <v>200</v>
      </c>
      <c r="K60" s="392"/>
      <c r="L60" s="393"/>
    </row>
    <row r="61" spans="1:15" hidden="1" x14ac:dyDescent="0.25">
      <c r="A61" s="395"/>
      <c r="B61" s="396"/>
      <c r="C61" s="396"/>
      <c r="D61" s="396"/>
      <c r="E61" s="396"/>
      <c r="F61" s="396"/>
      <c r="G61" s="397"/>
      <c r="H61" s="398"/>
      <c r="I61" s="399"/>
      <c r="J61" s="391" t="s">
        <v>200</v>
      </c>
      <c r="K61" s="392"/>
      <c r="L61" s="393"/>
    </row>
    <row r="62" spans="1:15" x14ac:dyDescent="0.25">
      <c r="A62" s="385" t="s">
        <v>43</v>
      </c>
      <c r="B62" s="386"/>
      <c r="C62" s="386"/>
      <c r="D62" s="386"/>
      <c r="E62" s="386"/>
      <c r="F62" s="386"/>
      <c r="G62" s="379"/>
      <c r="H62" s="389">
        <f>SUM(H51:I61)</f>
        <v>6113000</v>
      </c>
      <c r="I62" s="390"/>
      <c r="J62" s="391"/>
      <c r="K62" s="392"/>
      <c r="L62" s="393"/>
    </row>
    <row r="63" spans="1:15" ht="20.25" x14ac:dyDescent="0.25">
      <c r="A63" s="394" t="s">
        <v>202</v>
      </c>
      <c r="B63" s="394"/>
      <c r="C63" s="394"/>
      <c r="D63" s="394"/>
      <c r="E63" s="394"/>
      <c r="F63" s="394"/>
      <c r="G63" s="394"/>
      <c r="H63" s="394"/>
      <c r="I63" s="394"/>
    </row>
    <row r="64" spans="1:15" x14ac:dyDescent="0.25">
      <c r="A64" s="62" t="s">
        <v>18</v>
      </c>
      <c r="B64" s="385" t="s">
        <v>198</v>
      </c>
      <c r="C64" s="386"/>
      <c r="D64" s="386"/>
      <c r="E64" s="386"/>
      <c r="F64" s="386"/>
      <c r="G64" s="386"/>
      <c r="H64" s="379"/>
      <c r="I64" s="388" t="s">
        <v>204</v>
      </c>
      <c r="J64" s="388"/>
    </row>
    <row r="65" spans="1:14" x14ac:dyDescent="0.25">
      <c r="A65" s="62">
        <v>1</v>
      </c>
      <c r="B65" s="375" t="s">
        <v>205</v>
      </c>
      <c r="C65" s="376"/>
      <c r="D65" s="376"/>
      <c r="E65" s="376"/>
      <c r="F65" s="376"/>
      <c r="G65" s="376"/>
      <c r="H65" s="377"/>
      <c r="I65" s="378">
        <f>L32</f>
        <v>19849100.000000004</v>
      </c>
      <c r="J65" s="379"/>
    </row>
    <row r="66" spans="1:14" x14ac:dyDescent="0.25">
      <c r="A66" s="62">
        <v>2</v>
      </c>
      <c r="B66" s="375" t="s">
        <v>206</v>
      </c>
      <c r="C66" s="376"/>
      <c r="D66" s="376"/>
      <c r="E66" s="376"/>
      <c r="F66" s="376"/>
      <c r="G66" s="376"/>
      <c r="H66" s="377"/>
      <c r="I66" s="387">
        <f>M48</f>
        <v>1783750</v>
      </c>
      <c r="J66" s="387"/>
    </row>
    <row r="67" spans="1:14" x14ac:dyDescent="0.25">
      <c r="A67" s="62">
        <v>3</v>
      </c>
      <c r="B67" s="375" t="s">
        <v>207</v>
      </c>
      <c r="C67" s="376"/>
      <c r="D67" s="376"/>
      <c r="E67" s="376"/>
      <c r="F67" s="376"/>
      <c r="G67" s="376"/>
      <c r="H67" s="377"/>
      <c r="I67" s="387">
        <f>N32</f>
        <v>9000000.0000000019</v>
      </c>
      <c r="J67" s="387"/>
    </row>
    <row r="68" spans="1:14" x14ac:dyDescent="0.25">
      <c r="A68" s="62">
        <v>4</v>
      </c>
      <c r="B68" s="375" t="s">
        <v>203</v>
      </c>
      <c r="C68" s="376"/>
      <c r="D68" s="376"/>
      <c r="E68" s="376"/>
      <c r="F68" s="376"/>
      <c r="G68" s="376"/>
      <c r="H68" s="377"/>
      <c r="I68" s="387">
        <f>H62</f>
        <v>6113000</v>
      </c>
      <c r="J68" s="387"/>
      <c r="L68" s="215"/>
      <c r="M68" s="215"/>
    </row>
    <row r="69" spans="1:14" x14ac:dyDescent="0.25">
      <c r="A69" s="62">
        <v>5</v>
      </c>
      <c r="B69" s="375" t="s">
        <v>250</v>
      </c>
      <c r="C69" s="376"/>
      <c r="D69" s="376"/>
      <c r="E69" s="376"/>
      <c r="F69" s="376"/>
      <c r="G69" s="376"/>
      <c r="H69" s="377"/>
      <c r="I69" s="378">
        <f>'Bảng lương'!K17</f>
        <v>4407604.153846154</v>
      </c>
      <c r="J69" s="381"/>
    </row>
    <row r="70" spans="1:14" ht="31.5" customHeight="1" x14ac:dyDescent="0.25">
      <c r="A70" s="62">
        <v>6</v>
      </c>
      <c r="B70" s="382" t="s">
        <v>211</v>
      </c>
      <c r="C70" s="383"/>
      <c r="D70" s="383"/>
      <c r="E70" s="383"/>
      <c r="F70" s="383"/>
      <c r="G70" s="383"/>
      <c r="H70" s="384"/>
      <c r="I70" s="387">
        <f>I65+I66-I67-I68-I69</f>
        <v>2112245.8461538479</v>
      </c>
      <c r="J70" s="387"/>
      <c r="N70" s="215"/>
    </row>
    <row r="71" spans="1:14" x14ac:dyDescent="0.25">
      <c r="A71" s="88"/>
      <c r="B71" s="88"/>
      <c r="C71" s="88"/>
      <c r="D71" s="88"/>
      <c r="E71" s="88"/>
      <c r="F71" s="88"/>
      <c r="G71" s="88"/>
      <c r="H71" s="88"/>
      <c r="I71" s="202"/>
    </row>
    <row r="72" spans="1:14" s="56" customFormat="1" ht="14.25" x14ac:dyDescent="0.25">
      <c r="B72" s="309" t="s">
        <v>395</v>
      </c>
      <c r="C72" s="309"/>
      <c r="D72" s="309"/>
      <c r="G72" s="309" t="s">
        <v>189</v>
      </c>
      <c r="I72" s="124"/>
      <c r="J72" s="124"/>
      <c r="K72" s="124"/>
      <c r="L72" s="309" t="s">
        <v>396</v>
      </c>
    </row>
    <row r="73" spans="1:14" s="310" customFormat="1" ht="12" x14ac:dyDescent="0.25">
      <c r="B73" s="311" t="s">
        <v>397</v>
      </c>
      <c r="C73" s="311"/>
      <c r="D73" s="311"/>
      <c r="G73" s="311" t="s">
        <v>397</v>
      </c>
      <c r="I73" s="312"/>
      <c r="J73" s="312"/>
      <c r="K73" s="312"/>
      <c r="L73" s="311" t="s">
        <v>397</v>
      </c>
    </row>
    <row r="74" spans="1:14" x14ac:dyDescent="0.25">
      <c r="A74" s="88"/>
      <c r="B74" s="88"/>
      <c r="C74" s="88"/>
      <c r="D74" s="88"/>
      <c r="E74" s="88"/>
      <c r="F74" s="88"/>
      <c r="G74" s="88"/>
      <c r="H74" s="88"/>
      <c r="I74" s="202"/>
    </row>
    <row r="75" spans="1:14" x14ac:dyDescent="0.25">
      <c r="A75" s="88"/>
      <c r="B75" s="88"/>
      <c r="C75" s="88"/>
      <c r="D75" s="88"/>
      <c r="E75" s="88"/>
      <c r="F75" s="88"/>
      <c r="G75" s="88"/>
      <c r="H75" s="88"/>
      <c r="I75" s="202"/>
    </row>
    <row r="76" spans="1:14" x14ac:dyDescent="0.25">
      <c r="A76" s="88"/>
      <c r="B76" s="88"/>
      <c r="C76" s="88"/>
      <c r="D76" s="88"/>
      <c r="E76" s="88"/>
      <c r="F76" s="88"/>
      <c r="G76" s="88"/>
      <c r="H76" s="88"/>
      <c r="I76" s="202"/>
    </row>
    <row r="77" spans="1:14" x14ac:dyDescent="0.25">
      <c r="A77" s="88"/>
      <c r="B77" s="88"/>
      <c r="C77" s="88"/>
      <c r="D77" s="88"/>
      <c r="E77" s="88"/>
      <c r="F77" s="88"/>
      <c r="G77" s="88"/>
      <c r="H77" s="88"/>
      <c r="I77" s="202"/>
    </row>
    <row r="78" spans="1:14" x14ac:dyDescent="0.25">
      <c r="A78" s="88"/>
      <c r="B78" s="90"/>
      <c r="C78" s="88"/>
      <c r="D78" s="88"/>
      <c r="E78" s="88"/>
      <c r="F78" s="88"/>
      <c r="G78" s="88"/>
      <c r="H78" s="88"/>
      <c r="I78" s="202"/>
    </row>
    <row r="79" spans="1:14" x14ac:dyDescent="0.25">
      <c r="A79" s="92"/>
      <c r="B79" s="92"/>
      <c r="C79" s="92"/>
      <c r="D79" s="92"/>
      <c r="E79" s="92"/>
      <c r="F79" s="92"/>
      <c r="G79" s="92"/>
      <c r="H79" s="92"/>
      <c r="I79" s="203"/>
    </row>
    <row r="80" spans="1:14" x14ac:dyDescent="0.25">
      <c r="A80" s="408"/>
      <c r="B80" s="408"/>
      <c r="E80" s="34"/>
      <c r="F80" s="34"/>
      <c r="G80" s="34"/>
      <c r="H80" s="34"/>
    </row>
    <row r="82" spans="1:8" x14ac:dyDescent="0.25">
      <c r="H82" s="204"/>
    </row>
    <row r="84" spans="1:8" x14ac:dyDescent="0.25">
      <c r="A84" s="408"/>
      <c r="B84" s="408"/>
      <c r="E84" s="34"/>
      <c r="F84" s="34"/>
      <c r="G84" s="34"/>
      <c r="H84" s="34"/>
    </row>
  </sheetData>
  <mergeCells count="129"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A2" sqref="A2"/>
    </sheetView>
  </sheetViews>
  <sheetFormatPr defaultColWidth="9" defaultRowHeight="15" x14ac:dyDescent="0.25"/>
  <cols>
    <col min="1" max="1" width="2.5703125" style="171" customWidth="1"/>
    <col min="2" max="2" width="18.140625" style="171" customWidth="1"/>
    <col min="3" max="3" width="13.140625" style="172" customWidth="1"/>
    <col min="4" max="4" width="3" style="172" customWidth="1"/>
    <col min="5" max="34" width="3" style="171" customWidth="1"/>
    <col min="35" max="35" width="7.42578125" style="171" customWidth="1"/>
    <col min="36" max="246" width="9" style="171"/>
    <col min="247" max="247" width="3.28515625" style="171" customWidth="1"/>
    <col min="248" max="248" width="20" style="171" customWidth="1"/>
    <col min="249" max="249" width="24.5703125" style="171" customWidth="1"/>
    <col min="250" max="279" width="4.42578125" style="171" customWidth="1"/>
    <col min="280" max="280" width="2.5703125" style="171" customWidth="1"/>
    <col min="281" max="281" width="6.140625" style="171" customWidth="1"/>
    <col min="282" max="282" width="19.42578125" style="171" customWidth="1"/>
    <col min="283" max="502" width="9" style="171"/>
    <col min="503" max="503" width="3.28515625" style="171" customWidth="1"/>
    <col min="504" max="504" width="20" style="171" customWidth="1"/>
    <col min="505" max="505" width="24.5703125" style="171" customWidth="1"/>
    <col min="506" max="535" width="4.42578125" style="171" customWidth="1"/>
    <col min="536" max="536" width="2.5703125" style="171" customWidth="1"/>
    <col min="537" max="537" width="6.140625" style="171" customWidth="1"/>
    <col min="538" max="538" width="19.42578125" style="171" customWidth="1"/>
    <col min="539" max="758" width="9" style="171"/>
    <col min="759" max="759" width="3.28515625" style="171" customWidth="1"/>
    <col min="760" max="760" width="20" style="171" customWidth="1"/>
    <col min="761" max="761" width="24.5703125" style="171" customWidth="1"/>
    <col min="762" max="791" width="4.42578125" style="171" customWidth="1"/>
    <col min="792" max="792" width="2.5703125" style="171" customWidth="1"/>
    <col min="793" max="793" width="6.140625" style="171" customWidth="1"/>
    <col min="794" max="794" width="19.42578125" style="171" customWidth="1"/>
    <col min="795" max="1014" width="9" style="171"/>
    <col min="1015" max="1015" width="3.28515625" style="171" customWidth="1"/>
    <col min="1016" max="1016" width="20" style="171" customWidth="1"/>
    <col min="1017" max="1017" width="24.5703125" style="171" customWidth="1"/>
    <col min="1018" max="1047" width="4.42578125" style="171" customWidth="1"/>
    <col min="1048" max="1048" width="2.5703125" style="171" customWidth="1"/>
    <col min="1049" max="1049" width="6.140625" style="171" customWidth="1"/>
    <col min="1050" max="1050" width="19.42578125" style="171" customWidth="1"/>
    <col min="1051" max="1270" width="9" style="171"/>
    <col min="1271" max="1271" width="3.28515625" style="171" customWidth="1"/>
    <col min="1272" max="1272" width="20" style="171" customWidth="1"/>
    <col min="1273" max="1273" width="24.5703125" style="171" customWidth="1"/>
    <col min="1274" max="1303" width="4.42578125" style="171" customWidth="1"/>
    <col min="1304" max="1304" width="2.5703125" style="171" customWidth="1"/>
    <col min="1305" max="1305" width="6.140625" style="171" customWidth="1"/>
    <col min="1306" max="1306" width="19.42578125" style="171" customWidth="1"/>
    <col min="1307" max="1526" width="9" style="171"/>
    <col min="1527" max="1527" width="3.28515625" style="171" customWidth="1"/>
    <col min="1528" max="1528" width="20" style="171" customWidth="1"/>
    <col min="1529" max="1529" width="24.5703125" style="171" customWidth="1"/>
    <col min="1530" max="1559" width="4.42578125" style="171" customWidth="1"/>
    <col min="1560" max="1560" width="2.5703125" style="171" customWidth="1"/>
    <col min="1561" max="1561" width="6.140625" style="171" customWidth="1"/>
    <col min="1562" max="1562" width="19.42578125" style="171" customWidth="1"/>
    <col min="1563" max="1782" width="9" style="171"/>
    <col min="1783" max="1783" width="3.28515625" style="171" customWidth="1"/>
    <col min="1784" max="1784" width="20" style="171" customWidth="1"/>
    <col min="1785" max="1785" width="24.5703125" style="171" customWidth="1"/>
    <col min="1786" max="1815" width="4.42578125" style="171" customWidth="1"/>
    <col min="1816" max="1816" width="2.5703125" style="171" customWidth="1"/>
    <col min="1817" max="1817" width="6.140625" style="171" customWidth="1"/>
    <col min="1818" max="1818" width="19.42578125" style="171" customWidth="1"/>
    <col min="1819" max="2038" width="9" style="171"/>
    <col min="2039" max="2039" width="3.28515625" style="171" customWidth="1"/>
    <col min="2040" max="2040" width="20" style="171" customWidth="1"/>
    <col min="2041" max="2041" width="24.5703125" style="171" customWidth="1"/>
    <col min="2042" max="2071" width="4.42578125" style="171" customWidth="1"/>
    <col min="2072" max="2072" width="2.5703125" style="171" customWidth="1"/>
    <col min="2073" max="2073" width="6.140625" style="171" customWidth="1"/>
    <col min="2074" max="2074" width="19.42578125" style="171" customWidth="1"/>
    <col min="2075" max="2294" width="9" style="171"/>
    <col min="2295" max="2295" width="3.28515625" style="171" customWidth="1"/>
    <col min="2296" max="2296" width="20" style="171" customWidth="1"/>
    <col min="2297" max="2297" width="24.5703125" style="171" customWidth="1"/>
    <col min="2298" max="2327" width="4.42578125" style="171" customWidth="1"/>
    <col min="2328" max="2328" width="2.5703125" style="171" customWidth="1"/>
    <col min="2329" max="2329" width="6.140625" style="171" customWidth="1"/>
    <col min="2330" max="2330" width="19.42578125" style="171" customWidth="1"/>
    <col min="2331" max="2550" width="9" style="171"/>
    <col min="2551" max="2551" width="3.28515625" style="171" customWidth="1"/>
    <col min="2552" max="2552" width="20" style="171" customWidth="1"/>
    <col min="2553" max="2553" width="24.5703125" style="171" customWidth="1"/>
    <col min="2554" max="2583" width="4.42578125" style="171" customWidth="1"/>
    <col min="2584" max="2584" width="2.5703125" style="171" customWidth="1"/>
    <col min="2585" max="2585" width="6.140625" style="171" customWidth="1"/>
    <col min="2586" max="2586" width="19.42578125" style="171" customWidth="1"/>
    <col min="2587" max="2806" width="9" style="171"/>
    <col min="2807" max="2807" width="3.28515625" style="171" customWidth="1"/>
    <col min="2808" max="2808" width="20" style="171" customWidth="1"/>
    <col min="2809" max="2809" width="24.5703125" style="171" customWidth="1"/>
    <col min="2810" max="2839" width="4.42578125" style="171" customWidth="1"/>
    <col min="2840" max="2840" width="2.5703125" style="171" customWidth="1"/>
    <col min="2841" max="2841" width="6.140625" style="171" customWidth="1"/>
    <col min="2842" max="2842" width="19.42578125" style="171" customWidth="1"/>
    <col min="2843" max="3062" width="9" style="171"/>
    <col min="3063" max="3063" width="3.28515625" style="171" customWidth="1"/>
    <col min="3064" max="3064" width="20" style="171" customWidth="1"/>
    <col min="3065" max="3065" width="24.5703125" style="171" customWidth="1"/>
    <col min="3066" max="3095" width="4.42578125" style="171" customWidth="1"/>
    <col min="3096" max="3096" width="2.5703125" style="171" customWidth="1"/>
    <col min="3097" max="3097" width="6.140625" style="171" customWidth="1"/>
    <col min="3098" max="3098" width="19.42578125" style="171" customWidth="1"/>
    <col min="3099" max="3318" width="9" style="171"/>
    <col min="3319" max="3319" width="3.28515625" style="171" customWidth="1"/>
    <col min="3320" max="3320" width="20" style="171" customWidth="1"/>
    <col min="3321" max="3321" width="24.5703125" style="171" customWidth="1"/>
    <col min="3322" max="3351" width="4.42578125" style="171" customWidth="1"/>
    <col min="3352" max="3352" width="2.5703125" style="171" customWidth="1"/>
    <col min="3353" max="3353" width="6.140625" style="171" customWidth="1"/>
    <col min="3354" max="3354" width="19.42578125" style="171" customWidth="1"/>
    <col min="3355" max="3574" width="9" style="171"/>
    <col min="3575" max="3575" width="3.28515625" style="171" customWidth="1"/>
    <col min="3576" max="3576" width="20" style="171" customWidth="1"/>
    <col min="3577" max="3577" width="24.5703125" style="171" customWidth="1"/>
    <col min="3578" max="3607" width="4.42578125" style="171" customWidth="1"/>
    <col min="3608" max="3608" width="2.5703125" style="171" customWidth="1"/>
    <col min="3609" max="3609" width="6.140625" style="171" customWidth="1"/>
    <col min="3610" max="3610" width="19.42578125" style="171" customWidth="1"/>
    <col min="3611" max="3830" width="9" style="171"/>
    <col min="3831" max="3831" width="3.28515625" style="171" customWidth="1"/>
    <col min="3832" max="3832" width="20" style="171" customWidth="1"/>
    <col min="3833" max="3833" width="24.5703125" style="171" customWidth="1"/>
    <col min="3834" max="3863" width="4.42578125" style="171" customWidth="1"/>
    <col min="3864" max="3864" width="2.5703125" style="171" customWidth="1"/>
    <col min="3865" max="3865" width="6.140625" style="171" customWidth="1"/>
    <col min="3866" max="3866" width="19.42578125" style="171" customWidth="1"/>
    <col min="3867" max="4086" width="9" style="171"/>
    <col min="4087" max="4087" width="3.28515625" style="171" customWidth="1"/>
    <col min="4088" max="4088" width="20" style="171" customWidth="1"/>
    <col min="4089" max="4089" width="24.5703125" style="171" customWidth="1"/>
    <col min="4090" max="4119" width="4.42578125" style="171" customWidth="1"/>
    <col min="4120" max="4120" width="2.5703125" style="171" customWidth="1"/>
    <col min="4121" max="4121" width="6.140625" style="171" customWidth="1"/>
    <col min="4122" max="4122" width="19.42578125" style="171" customWidth="1"/>
    <col min="4123" max="4342" width="9" style="171"/>
    <col min="4343" max="4343" width="3.28515625" style="171" customWidth="1"/>
    <col min="4344" max="4344" width="20" style="171" customWidth="1"/>
    <col min="4345" max="4345" width="24.5703125" style="171" customWidth="1"/>
    <col min="4346" max="4375" width="4.42578125" style="171" customWidth="1"/>
    <col min="4376" max="4376" width="2.5703125" style="171" customWidth="1"/>
    <col min="4377" max="4377" width="6.140625" style="171" customWidth="1"/>
    <col min="4378" max="4378" width="19.42578125" style="171" customWidth="1"/>
    <col min="4379" max="4598" width="9" style="171"/>
    <col min="4599" max="4599" width="3.28515625" style="171" customWidth="1"/>
    <col min="4600" max="4600" width="20" style="171" customWidth="1"/>
    <col min="4601" max="4601" width="24.5703125" style="171" customWidth="1"/>
    <col min="4602" max="4631" width="4.42578125" style="171" customWidth="1"/>
    <col min="4632" max="4632" width="2.5703125" style="171" customWidth="1"/>
    <col min="4633" max="4633" width="6.140625" style="171" customWidth="1"/>
    <col min="4634" max="4634" width="19.42578125" style="171" customWidth="1"/>
    <col min="4635" max="4854" width="9" style="171"/>
    <col min="4855" max="4855" width="3.28515625" style="171" customWidth="1"/>
    <col min="4856" max="4856" width="20" style="171" customWidth="1"/>
    <col min="4857" max="4857" width="24.5703125" style="171" customWidth="1"/>
    <col min="4858" max="4887" width="4.42578125" style="171" customWidth="1"/>
    <col min="4888" max="4888" width="2.5703125" style="171" customWidth="1"/>
    <col min="4889" max="4889" width="6.140625" style="171" customWidth="1"/>
    <col min="4890" max="4890" width="19.42578125" style="171" customWidth="1"/>
    <col min="4891" max="5110" width="9" style="171"/>
    <col min="5111" max="5111" width="3.28515625" style="171" customWidth="1"/>
    <col min="5112" max="5112" width="20" style="171" customWidth="1"/>
    <col min="5113" max="5113" width="24.5703125" style="171" customWidth="1"/>
    <col min="5114" max="5143" width="4.42578125" style="171" customWidth="1"/>
    <col min="5144" max="5144" width="2.5703125" style="171" customWidth="1"/>
    <col min="5145" max="5145" width="6.140625" style="171" customWidth="1"/>
    <col min="5146" max="5146" width="19.42578125" style="171" customWidth="1"/>
    <col min="5147" max="5366" width="9" style="171"/>
    <col min="5367" max="5367" width="3.28515625" style="171" customWidth="1"/>
    <col min="5368" max="5368" width="20" style="171" customWidth="1"/>
    <col min="5369" max="5369" width="24.5703125" style="171" customWidth="1"/>
    <col min="5370" max="5399" width="4.42578125" style="171" customWidth="1"/>
    <col min="5400" max="5400" width="2.5703125" style="171" customWidth="1"/>
    <col min="5401" max="5401" width="6.140625" style="171" customWidth="1"/>
    <col min="5402" max="5402" width="19.42578125" style="171" customWidth="1"/>
    <col min="5403" max="5622" width="9" style="171"/>
    <col min="5623" max="5623" width="3.28515625" style="171" customWidth="1"/>
    <col min="5624" max="5624" width="20" style="171" customWidth="1"/>
    <col min="5625" max="5625" width="24.5703125" style="171" customWidth="1"/>
    <col min="5626" max="5655" width="4.42578125" style="171" customWidth="1"/>
    <col min="5656" max="5656" width="2.5703125" style="171" customWidth="1"/>
    <col min="5657" max="5657" width="6.140625" style="171" customWidth="1"/>
    <col min="5658" max="5658" width="19.42578125" style="171" customWidth="1"/>
    <col min="5659" max="5878" width="9" style="171"/>
    <col min="5879" max="5879" width="3.28515625" style="171" customWidth="1"/>
    <col min="5880" max="5880" width="20" style="171" customWidth="1"/>
    <col min="5881" max="5881" width="24.5703125" style="171" customWidth="1"/>
    <col min="5882" max="5911" width="4.42578125" style="171" customWidth="1"/>
    <col min="5912" max="5912" width="2.5703125" style="171" customWidth="1"/>
    <col min="5913" max="5913" width="6.140625" style="171" customWidth="1"/>
    <col min="5914" max="5914" width="19.42578125" style="171" customWidth="1"/>
    <col min="5915" max="6134" width="9" style="171"/>
    <col min="6135" max="6135" width="3.28515625" style="171" customWidth="1"/>
    <col min="6136" max="6136" width="20" style="171" customWidth="1"/>
    <col min="6137" max="6137" width="24.5703125" style="171" customWidth="1"/>
    <col min="6138" max="6167" width="4.42578125" style="171" customWidth="1"/>
    <col min="6168" max="6168" width="2.5703125" style="171" customWidth="1"/>
    <col min="6169" max="6169" width="6.140625" style="171" customWidth="1"/>
    <col min="6170" max="6170" width="19.42578125" style="171" customWidth="1"/>
    <col min="6171" max="6390" width="9" style="171"/>
    <col min="6391" max="6391" width="3.28515625" style="171" customWidth="1"/>
    <col min="6392" max="6392" width="20" style="171" customWidth="1"/>
    <col min="6393" max="6393" width="24.5703125" style="171" customWidth="1"/>
    <col min="6394" max="6423" width="4.42578125" style="171" customWidth="1"/>
    <col min="6424" max="6424" width="2.5703125" style="171" customWidth="1"/>
    <col min="6425" max="6425" width="6.140625" style="171" customWidth="1"/>
    <col min="6426" max="6426" width="19.42578125" style="171" customWidth="1"/>
    <col min="6427" max="6646" width="9" style="171"/>
    <col min="6647" max="6647" width="3.28515625" style="171" customWidth="1"/>
    <col min="6648" max="6648" width="20" style="171" customWidth="1"/>
    <col min="6649" max="6649" width="24.5703125" style="171" customWidth="1"/>
    <col min="6650" max="6679" width="4.42578125" style="171" customWidth="1"/>
    <col min="6680" max="6680" width="2.5703125" style="171" customWidth="1"/>
    <col min="6681" max="6681" width="6.140625" style="171" customWidth="1"/>
    <col min="6682" max="6682" width="19.42578125" style="171" customWidth="1"/>
    <col min="6683" max="6902" width="9" style="171"/>
    <col min="6903" max="6903" width="3.28515625" style="171" customWidth="1"/>
    <col min="6904" max="6904" width="20" style="171" customWidth="1"/>
    <col min="6905" max="6905" width="24.5703125" style="171" customWidth="1"/>
    <col min="6906" max="6935" width="4.42578125" style="171" customWidth="1"/>
    <col min="6936" max="6936" width="2.5703125" style="171" customWidth="1"/>
    <col min="6937" max="6937" width="6.140625" style="171" customWidth="1"/>
    <col min="6938" max="6938" width="19.42578125" style="171" customWidth="1"/>
    <col min="6939" max="7158" width="9" style="171"/>
    <col min="7159" max="7159" width="3.28515625" style="171" customWidth="1"/>
    <col min="7160" max="7160" width="20" style="171" customWidth="1"/>
    <col min="7161" max="7161" width="24.5703125" style="171" customWidth="1"/>
    <col min="7162" max="7191" width="4.42578125" style="171" customWidth="1"/>
    <col min="7192" max="7192" width="2.5703125" style="171" customWidth="1"/>
    <col min="7193" max="7193" width="6.140625" style="171" customWidth="1"/>
    <col min="7194" max="7194" width="19.42578125" style="171" customWidth="1"/>
    <col min="7195" max="7414" width="9" style="171"/>
    <col min="7415" max="7415" width="3.28515625" style="171" customWidth="1"/>
    <col min="7416" max="7416" width="20" style="171" customWidth="1"/>
    <col min="7417" max="7417" width="24.5703125" style="171" customWidth="1"/>
    <col min="7418" max="7447" width="4.42578125" style="171" customWidth="1"/>
    <col min="7448" max="7448" width="2.5703125" style="171" customWidth="1"/>
    <col min="7449" max="7449" width="6.140625" style="171" customWidth="1"/>
    <col min="7450" max="7450" width="19.42578125" style="171" customWidth="1"/>
    <col min="7451" max="7670" width="9" style="171"/>
    <col min="7671" max="7671" width="3.28515625" style="171" customWidth="1"/>
    <col min="7672" max="7672" width="20" style="171" customWidth="1"/>
    <col min="7673" max="7673" width="24.5703125" style="171" customWidth="1"/>
    <col min="7674" max="7703" width="4.42578125" style="171" customWidth="1"/>
    <col min="7704" max="7704" width="2.5703125" style="171" customWidth="1"/>
    <col min="7705" max="7705" width="6.140625" style="171" customWidth="1"/>
    <col min="7706" max="7706" width="19.42578125" style="171" customWidth="1"/>
    <col min="7707" max="7926" width="9" style="171"/>
    <col min="7927" max="7927" width="3.28515625" style="171" customWidth="1"/>
    <col min="7928" max="7928" width="20" style="171" customWidth="1"/>
    <col min="7929" max="7929" width="24.5703125" style="171" customWidth="1"/>
    <col min="7930" max="7959" width="4.42578125" style="171" customWidth="1"/>
    <col min="7960" max="7960" width="2.5703125" style="171" customWidth="1"/>
    <col min="7961" max="7961" width="6.140625" style="171" customWidth="1"/>
    <col min="7962" max="7962" width="19.42578125" style="171" customWidth="1"/>
    <col min="7963" max="8182" width="9" style="171"/>
    <col min="8183" max="8183" width="3.28515625" style="171" customWidth="1"/>
    <col min="8184" max="8184" width="20" style="171" customWidth="1"/>
    <col min="8185" max="8185" width="24.5703125" style="171" customWidth="1"/>
    <col min="8186" max="8215" width="4.42578125" style="171" customWidth="1"/>
    <col min="8216" max="8216" width="2.5703125" style="171" customWidth="1"/>
    <col min="8217" max="8217" width="6.140625" style="171" customWidth="1"/>
    <col min="8218" max="8218" width="19.42578125" style="171" customWidth="1"/>
    <col min="8219" max="8438" width="9" style="171"/>
    <col min="8439" max="8439" width="3.28515625" style="171" customWidth="1"/>
    <col min="8440" max="8440" width="20" style="171" customWidth="1"/>
    <col min="8441" max="8441" width="24.5703125" style="171" customWidth="1"/>
    <col min="8442" max="8471" width="4.42578125" style="171" customWidth="1"/>
    <col min="8472" max="8472" width="2.5703125" style="171" customWidth="1"/>
    <col min="8473" max="8473" width="6.140625" style="171" customWidth="1"/>
    <col min="8474" max="8474" width="19.42578125" style="171" customWidth="1"/>
    <col min="8475" max="8694" width="9" style="171"/>
    <col min="8695" max="8695" width="3.28515625" style="171" customWidth="1"/>
    <col min="8696" max="8696" width="20" style="171" customWidth="1"/>
    <col min="8697" max="8697" width="24.5703125" style="171" customWidth="1"/>
    <col min="8698" max="8727" width="4.42578125" style="171" customWidth="1"/>
    <col min="8728" max="8728" width="2.5703125" style="171" customWidth="1"/>
    <col min="8729" max="8729" width="6.140625" style="171" customWidth="1"/>
    <col min="8730" max="8730" width="19.42578125" style="171" customWidth="1"/>
    <col min="8731" max="8950" width="9" style="171"/>
    <col min="8951" max="8951" width="3.28515625" style="171" customWidth="1"/>
    <col min="8952" max="8952" width="20" style="171" customWidth="1"/>
    <col min="8953" max="8953" width="24.5703125" style="171" customWidth="1"/>
    <col min="8954" max="8983" width="4.42578125" style="171" customWidth="1"/>
    <col min="8984" max="8984" width="2.5703125" style="171" customWidth="1"/>
    <col min="8985" max="8985" width="6.140625" style="171" customWidth="1"/>
    <col min="8986" max="8986" width="19.42578125" style="171" customWidth="1"/>
    <col min="8987" max="9206" width="9" style="171"/>
    <col min="9207" max="9207" width="3.28515625" style="171" customWidth="1"/>
    <col min="9208" max="9208" width="20" style="171" customWidth="1"/>
    <col min="9209" max="9209" width="24.5703125" style="171" customWidth="1"/>
    <col min="9210" max="9239" width="4.42578125" style="171" customWidth="1"/>
    <col min="9240" max="9240" width="2.5703125" style="171" customWidth="1"/>
    <col min="9241" max="9241" width="6.140625" style="171" customWidth="1"/>
    <col min="9242" max="9242" width="19.42578125" style="171" customWidth="1"/>
    <col min="9243" max="9462" width="9" style="171"/>
    <col min="9463" max="9463" width="3.28515625" style="171" customWidth="1"/>
    <col min="9464" max="9464" width="20" style="171" customWidth="1"/>
    <col min="9465" max="9465" width="24.5703125" style="171" customWidth="1"/>
    <col min="9466" max="9495" width="4.42578125" style="171" customWidth="1"/>
    <col min="9496" max="9496" width="2.5703125" style="171" customWidth="1"/>
    <col min="9497" max="9497" width="6.140625" style="171" customWidth="1"/>
    <col min="9498" max="9498" width="19.42578125" style="171" customWidth="1"/>
    <col min="9499" max="9718" width="9" style="171"/>
    <col min="9719" max="9719" width="3.28515625" style="171" customWidth="1"/>
    <col min="9720" max="9720" width="20" style="171" customWidth="1"/>
    <col min="9721" max="9721" width="24.5703125" style="171" customWidth="1"/>
    <col min="9722" max="9751" width="4.42578125" style="171" customWidth="1"/>
    <col min="9752" max="9752" width="2.5703125" style="171" customWidth="1"/>
    <col min="9753" max="9753" width="6.140625" style="171" customWidth="1"/>
    <col min="9754" max="9754" width="19.42578125" style="171" customWidth="1"/>
    <col min="9755" max="9974" width="9" style="171"/>
    <col min="9975" max="9975" width="3.28515625" style="171" customWidth="1"/>
    <col min="9976" max="9976" width="20" style="171" customWidth="1"/>
    <col min="9977" max="9977" width="24.5703125" style="171" customWidth="1"/>
    <col min="9978" max="10007" width="4.42578125" style="171" customWidth="1"/>
    <col min="10008" max="10008" width="2.5703125" style="171" customWidth="1"/>
    <col min="10009" max="10009" width="6.140625" style="171" customWidth="1"/>
    <col min="10010" max="10010" width="19.42578125" style="171" customWidth="1"/>
    <col min="10011" max="10230" width="9" style="171"/>
    <col min="10231" max="10231" width="3.28515625" style="171" customWidth="1"/>
    <col min="10232" max="10232" width="20" style="171" customWidth="1"/>
    <col min="10233" max="10233" width="24.5703125" style="171" customWidth="1"/>
    <col min="10234" max="10263" width="4.42578125" style="171" customWidth="1"/>
    <col min="10264" max="10264" width="2.5703125" style="171" customWidth="1"/>
    <col min="10265" max="10265" width="6.140625" style="171" customWidth="1"/>
    <col min="10266" max="10266" width="19.42578125" style="171" customWidth="1"/>
    <col min="10267" max="10486" width="9" style="171"/>
    <col min="10487" max="10487" width="3.28515625" style="171" customWidth="1"/>
    <col min="10488" max="10488" width="20" style="171" customWidth="1"/>
    <col min="10489" max="10489" width="24.5703125" style="171" customWidth="1"/>
    <col min="10490" max="10519" width="4.42578125" style="171" customWidth="1"/>
    <col min="10520" max="10520" width="2.5703125" style="171" customWidth="1"/>
    <col min="10521" max="10521" width="6.140625" style="171" customWidth="1"/>
    <col min="10522" max="10522" width="19.42578125" style="171" customWidth="1"/>
    <col min="10523" max="10742" width="9" style="171"/>
    <col min="10743" max="10743" width="3.28515625" style="171" customWidth="1"/>
    <col min="10744" max="10744" width="20" style="171" customWidth="1"/>
    <col min="10745" max="10745" width="24.5703125" style="171" customWidth="1"/>
    <col min="10746" max="10775" width="4.42578125" style="171" customWidth="1"/>
    <col min="10776" max="10776" width="2.5703125" style="171" customWidth="1"/>
    <col min="10777" max="10777" width="6.140625" style="171" customWidth="1"/>
    <col min="10778" max="10778" width="19.42578125" style="171" customWidth="1"/>
    <col min="10779" max="10998" width="9" style="171"/>
    <col min="10999" max="10999" width="3.28515625" style="171" customWidth="1"/>
    <col min="11000" max="11000" width="20" style="171" customWidth="1"/>
    <col min="11001" max="11001" width="24.5703125" style="171" customWidth="1"/>
    <col min="11002" max="11031" width="4.42578125" style="171" customWidth="1"/>
    <col min="11032" max="11032" width="2.5703125" style="171" customWidth="1"/>
    <col min="11033" max="11033" width="6.140625" style="171" customWidth="1"/>
    <col min="11034" max="11034" width="19.42578125" style="171" customWidth="1"/>
    <col min="11035" max="11254" width="9" style="171"/>
    <col min="11255" max="11255" width="3.28515625" style="171" customWidth="1"/>
    <col min="11256" max="11256" width="20" style="171" customWidth="1"/>
    <col min="11257" max="11257" width="24.5703125" style="171" customWidth="1"/>
    <col min="11258" max="11287" width="4.42578125" style="171" customWidth="1"/>
    <col min="11288" max="11288" width="2.5703125" style="171" customWidth="1"/>
    <col min="11289" max="11289" width="6.140625" style="171" customWidth="1"/>
    <col min="11290" max="11290" width="19.42578125" style="171" customWidth="1"/>
    <col min="11291" max="11510" width="9" style="171"/>
    <col min="11511" max="11511" width="3.28515625" style="171" customWidth="1"/>
    <col min="11512" max="11512" width="20" style="171" customWidth="1"/>
    <col min="11513" max="11513" width="24.5703125" style="171" customWidth="1"/>
    <col min="11514" max="11543" width="4.42578125" style="171" customWidth="1"/>
    <col min="11544" max="11544" width="2.5703125" style="171" customWidth="1"/>
    <col min="11545" max="11545" width="6.140625" style="171" customWidth="1"/>
    <col min="11546" max="11546" width="19.42578125" style="171" customWidth="1"/>
    <col min="11547" max="11766" width="9" style="171"/>
    <col min="11767" max="11767" width="3.28515625" style="171" customWidth="1"/>
    <col min="11768" max="11768" width="20" style="171" customWidth="1"/>
    <col min="11769" max="11769" width="24.5703125" style="171" customWidth="1"/>
    <col min="11770" max="11799" width="4.42578125" style="171" customWidth="1"/>
    <col min="11800" max="11800" width="2.5703125" style="171" customWidth="1"/>
    <col min="11801" max="11801" width="6.140625" style="171" customWidth="1"/>
    <col min="11802" max="11802" width="19.42578125" style="171" customWidth="1"/>
    <col min="11803" max="12022" width="9" style="171"/>
    <col min="12023" max="12023" width="3.28515625" style="171" customWidth="1"/>
    <col min="12024" max="12024" width="20" style="171" customWidth="1"/>
    <col min="12025" max="12025" width="24.5703125" style="171" customWidth="1"/>
    <col min="12026" max="12055" width="4.42578125" style="171" customWidth="1"/>
    <col min="12056" max="12056" width="2.5703125" style="171" customWidth="1"/>
    <col min="12057" max="12057" width="6.140625" style="171" customWidth="1"/>
    <col min="12058" max="12058" width="19.42578125" style="171" customWidth="1"/>
    <col min="12059" max="12278" width="9" style="171"/>
    <col min="12279" max="12279" width="3.28515625" style="171" customWidth="1"/>
    <col min="12280" max="12280" width="20" style="171" customWidth="1"/>
    <col min="12281" max="12281" width="24.5703125" style="171" customWidth="1"/>
    <col min="12282" max="12311" width="4.42578125" style="171" customWidth="1"/>
    <col min="12312" max="12312" width="2.5703125" style="171" customWidth="1"/>
    <col min="12313" max="12313" width="6.140625" style="171" customWidth="1"/>
    <col min="12314" max="12314" width="19.42578125" style="171" customWidth="1"/>
    <col min="12315" max="12534" width="9" style="171"/>
    <col min="12535" max="12535" width="3.28515625" style="171" customWidth="1"/>
    <col min="12536" max="12536" width="20" style="171" customWidth="1"/>
    <col min="12537" max="12537" width="24.5703125" style="171" customWidth="1"/>
    <col min="12538" max="12567" width="4.42578125" style="171" customWidth="1"/>
    <col min="12568" max="12568" width="2.5703125" style="171" customWidth="1"/>
    <col min="12569" max="12569" width="6.140625" style="171" customWidth="1"/>
    <col min="12570" max="12570" width="19.42578125" style="171" customWidth="1"/>
    <col min="12571" max="12790" width="9" style="171"/>
    <col min="12791" max="12791" width="3.28515625" style="171" customWidth="1"/>
    <col min="12792" max="12792" width="20" style="171" customWidth="1"/>
    <col min="12793" max="12793" width="24.5703125" style="171" customWidth="1"/>
    <col min="12794" max="12823" width="4.42578125" style="171" customWidth="1"/>
    <col min="12824" max="12824" width="2.5703125" style="171" customWidth="1"/>
    <col min="12825" max="12825" width="6.140625" style="171" customWidth="1"/>
    <col min="12826" max="12826" width="19.42578125" style="171" customWidth="1"/>
    <col min="12827" max="13046" width="9" style="171"/>
    <col min="13047" max="13047" width="3.28515625" style="171" customWidth="1"/>
    <col min="13048" max="13048" width="20" style="171" customWidth="1"/>
    <col min="13049" max="13049" width="24.5703125" style="171" customWidth="1"/>
    <col min="13050" max="13079" width="4.42578125" style="171" customWidth="1"/>
    <col min="13080" max="13080" width="2.5703125" style="171" customWidth="1"/>
    <col min="13081" max="13081" width="6.140625" style="171" customWidth="1"/>
    <col min="13082" max="13082" width="19.42578125" style="171" customWidth="1"/>
    <col min="13083" max="13302" width="9" style="171"/>
    <col min="13303" max="13303" width="3.28515625" style="171" customWidth="1"/>
    <col min="13304" max="13304" width="20" style="171" customWidth="1"/>
    <col min="13305" max="13305" width="24.5703125" style="171" customWidth="1"/>
    <col min="13306" max="13335" width="4.42578125" style="171" customWidth="1"/>
    <col min="13336" max="13336" width="2.5703125" style="171" customWidth="1"/>
    <col min="13337" max="13337" width="6.140625" style="171" customWidth="1"/>
    <col min="13338" max="13338" width="19.42578125" style="171" customWidth="1"/>
    <col min="13339" max="13558" width="9" style="171"/>
    <col min="13559" max="13559" width="3.28515625" style="171" customWidth="1"/>
    <col min="13560" max="13560" width="20" style="171" customWidth="1"/>
    <col min="13561" max="13561" width="24.5703125" style="171" customWidth="1"/>
    <col min="13562" max="13591" width="4.42578125" style="171" customWidth="1"/>
    <col min="13592" max="13592" width="2.5703125" style="171" customWidth="1"/>
    <col min="13593" max="13593" width="6.140625" style="171" customWidth="1"/>
    <col min="13594" max="13594" width="19.42578125" style="171" customWidth="1"/>
    <col min="13595" max="13814" width="9" style="171"/>
    <col min="13815" max="13815" width="3.28515625" style="171" customWidth="1"/>
    <col min="13816" max="13816" width="20" style="171" customWidth="1"/>
    <col min="13817" max="13817" width="24.5703125" style="171" customWidth="1"/>
    <col min="13818" max="13847" width="4.42578125" style="171" customWidth="1"/>
    <col min="13848" max="13848" width="2.5703125" style="171" customWidth="1"/>
    <col min="13849" max="13849" width="6.140625" style="171" customWidth="1"/>
    <col min="13850" max="13850" width="19.42578125" style="171" customWidth="1"/>
    <col min="13851" max="14070" width="9" style="171"/>
    <col min="14071" max="14071" width="3.28515625" style="171" customWidth="1"/>
    <col min="14072" max="14072" width="20" style="171" customWidth="1"/>
    <col min="14073" max="14073" width="24.5703125" style="171" customWidth="1"/>
    <col min="14074" max="14103" width="4.42578125" style="171" customWidth="1"/>
    <col min="14104" max="14104" width="2.5703125" style="171" customWidth="1"/>
    <col min="14105" max="14105" width="6.140625" style="171" customWidth="1"/>
    <col min="14106" max="14106" width="19.42578125" style="171" customWidth="1"/>
    <col min="14107" max="14326" width="9" style="171"/>
    <col min="14327" max="14327" width="3.28515625" style="171" customWidth="1"/>
    <col min="14328" max="14328" width="20" style="171" customWidth="1"/>
    <col min="14329" max="14329" width="24.5703125" style="171" customWidth="1"/>
    <col min="14330" max="14359" width="4.42578125" style="171" customWidth="1"/>
    <col min="14360" max="14360" width="2.5703125" style="171" customWidth="1"/>
    <col min="14361" max="14361" width="6.140625" style="171" customWidth="1"/>
    <col min="14362" max="14362" width="19.42578125" style="171" customWidth="1"/>
    <col min="14363" max="14582" width="9" style="171"/>
    <col min="14583" max="14583" width="3.28515625" style="171" customWidth="1"/>
    <col min="14584" max="14584" width="20" style="171" customWidth="1"/>
    <col min="14585" max="14585" width="24.5703125" style="171" customWidth="1"/>
    <col min="14586" max="14615" width="4.42578125" style="171" customWidth="1"/>
    <col min="14616" max="14616" width="2.5703125" style="171" customWidth="1"/>
    <col min="14617" max="14617" width="6.140625" style="171" customWidth="1"/>
    <col min="14618" max="14618" width="19.42578125" style="171" customWidth="1"/>
    <col min="14619" max="14838" width="9" style="171"/>
    <col min="14839" max="14839" width="3.28515625" style="171" customWidth="1"/>
    <col min="14840" max="14840" width="20" style="171" customWidth="1"/>
    <col min="14841" max="14841" width="24.5703125" style="171" customWidth="1"/>
    <col min="14842" max="14871" width="4.42578125" style="171" customWidth="1"/>
    <col min="14872" max="14872" width="2.5703125" style="171" customWidth="1"/>
    <col min="14873" max="14873" width="6.140625" style="171" customWidth="1"/>
    <col min="14874" max="14874" width="19.42578125" style="171" customWidth="1"/>
    <col min="14875" max="15094" width="9" style="171"/>
    <col min="15095" max="15095" width="3.28515625" style="171" customWidth="1"/>
    <col min="15096" max="15096" width="20" style="171" customWidth="1"/>
    <col min="15097" max="15097" width="24.5703125" style="171" customWidth="1"/>
    <col min="15098" max="15127" width="4.42578125" style="171" customWidth="1"/>
    <col min="15128" max="15128" width="2.5703125" style="171" customWidth="1"/>
    <col min="15129" max="15129" width="6.140625" style="171" customWidth="1"/>
    <col min="15130" max="15130" width="19.42578125" style="171" customWidth="1"/>
    <col min="15131" max="15350" width="9" style="171"/>
    <col min="15351" max="15351" width="3.28515625" style="171" customWidth="1"/>
    <col min="15352" max="15352" width="20" style="171" customWidth="1"/>
    <col min="15353" max="15353" width="24.5703125" style="171" customWidth="1"/>
    <col min="15354" max="15383" width="4.42578125" style="171" customWidth="1"/>
    <col min="15384" max="15384" width="2.5703125" style="171" customWidth="1"/>
    <col min="15385" max="15385" width="6.140625" style="171" customWidth="1"/>
    <col min="15386" max="15386" width="19.42578125" style="171" customWidth="1"/>
    <col min="15387" max="15606" width="9" style="171"/>
    <col min="15607" max="15607" width="3.28515625" style="171" customWidth="1"/>
    <col min="15608" max="15608" width="20" style="171" customWidth="1"/>
    <col min="15609" max="15609" width="24.5703125" style="171" customWidth="1"/>
    <col min="15610" max="15639" width="4.42578125" style="171" customWidth="1"/>
    <col min="15640" max="15640" width="2.5703125" style="171" customWidth="1"/>
    <col min="15641" max="15641" width="6.140625" style="171" customWidth="1"/>
    <col min="15642" max="15642" width="19.42578125" style="171" customWidth="1"/>
    <col min="15643" max="15862" width="9" style="171"/>
    <col min="15863" max="15863" width="3.28515625" style="171" customWidth="1"/>
    <col min="15864" max="15864" width="20" style="171" customWidth="1"/>
    <col min="15865" max="15865" width="24.5703125" style="171" customWidth="1"/>
    <col min="15866" max="15895" width="4.42578125" style="171" customWidth="1"/>
    <col min="15896" max="15896" width="2.5703125" style="171" customWidth="1"/>
    <col min="15897" max="15897" width="6.140625" style="171" customWidth="1"/>
    <col min="15898" max="15898" width="19.42578125" style="171" customWidth="1"/>
    <col min="15899" max="16118" width="9" style="171"/>
    <col min="16119" max="16119" width="3.28515625" style="171" customWidth="1"/>
    <col min="16120" max="16120" width="20" style="171" customWidth="1"/>
    <col min="16121" max="16121" width="24.5703125" style="171" customWidth="1"/>
    <col min="16122" max="16151" width="4.42578125" style="171" customWidth="1"/>
    <col min="16152" max="16152" width="2.5703125" style="171" customWidth="1"/>
    <col min="16153" max="16153" width="6.140625" style="171" customWidth="1"/>
    <col min="16154" max="16154" width="19.42578125" style="171" customWidth="1"/>
    <col min="16155" max="16384" width="9" style="171"/>
  </cols>
  <sheetData>
    <row r="1" spans="1:35" ht="16.5" x14ac:dyDescent="0.25">
      <c r="A1" s="169" t="s">
        <v>0</v>
      </c>
      <c r="B1" s="169"/>
      <c r="C1" s="170"/>
      <c r="D1" s="170"/>
      <c r="E1" s="170"/>
      <c r="Z1" s="441" t="s">
        <v>20</v>
      </c>
      <c r="AA1" s="442"/>
      <c r="AB1" s="442"/>
      <c r="AC1" s="442"/>
      <c r="AD1" s="442"/>
      <c r="AE1" s="442"/>
      <c r="AF1" s="442"/>
      <c r="AG1" s="443"/>
    </row>
    <row r="2" spans="1:35" x14ac:dyDescent="0.25">
      <c r="A2" s="173" t="s">
        <v>394</v>
      </c>
      <c r="B2" s="173"/>
      <c r="C2" s="174"/>
      <c r="D2" s="174"/>
      <c r="E2" s="174"/>
      <c r="Z2" s="444" t="s">
        <v>166</v>
      </c>
      <c r="AA2" s="445"/>
      <c r="AB2" s="445"/>
      <c r="AC2" s="445"/>
      <c r="AD2" s="445"/>
      <c r="AE2" s="446"/>
      <c r="AF2" s="447" t="s">
        <v>167</v>
      </c>
      <c r="AG2" s="448"/>
    </row>
    <row r="3" spans="1:35" x14ac:dyDescent="0.25">
      <c r="A3" s="173" t="s">
        <v>168</v>
      </c>
      <c r="B3" s="76"/>
      <c r="C3" s="76"/>
      <c r="D3" s="76"/>
      <c r="E3" s="76"/>
      <c r="Z3" s="444" t="s">
        <v>169</v>
      </c>
      <c r="AA3" s="445"/>
      <c r="AB3" s="445"/>
      <c r="AC3" s="445"/>
      <c r="AD3" s="445"/>
      <c r="AE3" s="446"/>
      <c r="AF3" s="447" t="s">
        <v>170</v>
      </c>
      <c r="AG3" s="448"/>
    </row>
    <row r="4" spans="1:35" x14ac:dyDescent="0.25">
      <c r="A4" s="173" t="s">
        <v>171</v>
      </c>
      <c r="B4" s="76"/>
      <c r="C4" s="76"/>
      <c r="D4" s="76"/>
      <c r="E4" s="76"/>
      <c r="Z4" s="444" t="s">
        <v>172</v>
      </c>
      <c r="AA4" s="445"/>
      <c r="AB4" s="445"/>
      <c r="AC4" s="445"/>
      <c r="AD4" s="445"/>
      <c r="AE4" s="446"/>
      <c r="AF4" s="447" t="s">
        <v>173</v>
      </c>
      <c r="AG4" s="448"/>
    </row>
    <row r="5" spans="1:35" x14ac:dyDescent="0.25">
      <c r="A5" s="173" t="s">
        <v>174</v>
      </c>
      <c r="B5" s="76"/>
      <c r="C5" s="76"/>
      <c r="D5" s="76"/>
      <c r="E5" s="76"/>
      <c r="Z5" s="444" t="s">
        <v>175</v>
      </c>
      <c r="AA5" s="445"/>
      <c r="AB5" s="445"/>
      <c r="AC5" s="445"/>
      <c r="AD5" s="445"/>
      <c r="AE5" s="446"/>
      <c r="AF5" s="447" t="s">
        <v>176</v>
      </c>
      <c r="AG5" s="448"/>
    </row>
    <row r="6" spans="1:35" x14ac:dyDescent="0.25">
      <c r="A6" s="175"/>
      <c r="B6" s="175"/>
      <c r="C6" s="176"/>
      <c r="D6" s="176"/>
      <c r="E6" s="175"/>
    </row>
    <row r="7" spans="1:35" s="177" customFormat="1" ht="18.75" x14ac:dyDescent="0.25">
      <c r="A7" s="451" t="s">
        <v>236</v>
      </c>
      <c r="B7" s="451"/>
      <c r="C7" s="451"/>
      <c r="D7" s="451"/>
      <c r="E7" s="451"/>
      <c r="F7" s="451"/>
      <c r="G7" s="451"/>
      <c r="H7" s="451"/>
      <c r="I7" s="451"/>
      <c r="J7" s="451"/>
      <c r="K7" s="451"/>
      <c r="L7" s="451"/>
      <c r="M7" s="451"/>
      <c r="N7" s="451"/>
      <c r="O7" s="451"/>
      <c r="P7" s="451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51"/>
      <c r="AB7" s="451"/>
      <c r="AC7" s="451"/>
      <c r="AD7" s="451"/>
      <c r="AE7" s="451"/>
      <c r="AF7" s="451"/>
      <c r="AG7" s="451"/>
      <c r="AH7" s="451"/>
      <c r="AI7" s="451"/>
    </row>
    <row r="9" spans="1:35" s="178" customFormat="1" x14ac:dyDescent="0.25">
      <c r="A9" s="452" t="s">
        <v>177</v>
      </c>
      <c r="B9" s="452" t="s">
        <v>178</v>
      </c>
      <c r="C9" s="452" t="s">
        <v>179</v>
      </c>
      <c r="D9" s="455" t="s">
        <v>180</v>
      </c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456"/>
      <c r="Y9" s="456"/>
      <c r="Z9" s="456"/>
      <c r="AA9" s="456"/>
      <c r="AB9" s="456"/>
      <c r="AC9" s="456"/>
      <c r="AD9" s="456"/>
      <c r="AE9" s="456"/>
      <c r="AF9" s="456"/>
      <c r="AG9" s="456"/>
      <c r="AH9" s="457"/>
      <c r="AI9" s="458" t="s">
        <v>181</v>
      </c>
    </row>
    <row r="10" spans="1:35" s="178" customFormat="1" x14ac:dyDescent="0.25">
      <c r="A10" s="453"/>
      <c r="B10" s="453"/>
      <c r="C10" s="453"/>
      <c r="D10" s="179">
        <v>1</v>
      </c>
      <c r="E10" s="179">
        <v>2</v>
      </c>
      <c r="F10" s="179">
        <v>3</v>
      </c>
      <c r="G10" s="179">
        <v>4</v>
      </c>
      <c r="H10" s="179">
        <v>5</v>
      </c>
      <c r="I10" s="179">
        <v>6</v>
      </c>
      <c r="J10" s="179">
        <v>7</v>
      </c>
      <c r="K10" s="179">
        <v>8</v>
      </c>
      <c r="L10" s="179">
        <v>9</v>
      </c>
      <c r="M10" s="179">
        <v>10</v>
      </c>
      <c r="N10" s="179">
        <v>11</v>
      </c>
      <c r="O10" s="179">
        <v>12</v>
      </c>
      <c r="P10" s="179">
        <v>13</v>
      </c>
      <c r="Q10" s="179">
        <v>14</v>
      </c>
      <c r="R10" s="179">
        <v>15</v>
      </c>
      <c r="S10" s="179">
        <v>16</v>
      </c>
      <c r="T10" s="179">
        <v>17</v>
      </c>
      <c r="U10" s="179">
        <v>18</v>
      </c>
      <c r="V10" s="179">
        <v>19</v>
      </c>
      <c r="W10" s="179">
        <v>20</v>
      </c>
      <c r="X10" s="179">
        <v>21</v>
      </c>
      <c r="Y10" s="179">
        <v>22</v>
      </c>
      <c r="Z10" s="179">
        <v>23</v>
      </c>
      <c r="AA10" s="179">
        <v>24</v>
      </c>
      <c r="AB10" s="179">
        <v>25</v>
      </c>
      <c r="AC10" s="179">
        <v>26</v>
      </c>
      <c r="AD10" s="179">
        <v>27</v>
      </c>
      <c r="AE10" s="179">
        <v>28</v>
      </c>
      <c r="AF10" s="179">
        <v>29</v>
      </c>
      <c r="AG10" s="179">
        <v>30</v>
      </c>
      <c r="AH10" s="179">
        <v>31</v>
      </c>
      <c r="AI10" s="458"/>
    </row>
    <row r="11" spans="1:35" s="186" customFormat="1" x14ac:dyDescent="0.25">
      <c r="A11" s="454"/>
      <c r="B11" s="454"/>
      <c r="C11" s="454"/>
      <c r="D11" s="179" t="s">
        <v>182</v>
      </c>
      <c r="E11" s="180" t="s">
        <v>183</v>
      </c>
      <c r="F11" s="181" t="s">
        <v>184</v>
      </c>
      <c r="G11" s="180" t="s">
        <v>185</v>
      </c>
      <c r="H11" s="182" t="s">
        <v>186</v>
      </c>
      <c r="I11" s="183" t="s">
        <v>187</v>
      </c>
      <c r="J11" s="182" t="s">
        <v>188</v>
      </c>
      <c r="K11" s="183" t="s">
        <v>182</v>
      </c>
      <c r="L11" s="182" t="s">
        <v>183</v>
      </c>
      <c r="M11" s="184" t="s">
        <v>184</v>
      </c>
      <c r="N11" s="182" t="s">
        <v>185</v>
      </c>
      <c r="O11" s="183" t="s">
        <v>186</v>
      </c>
      <c r="P11" s="182" t="s">
        <v>187</v>
      </c>
      <c r="Q11" s="183" t="s">
        <v>188</v>
      </c>
      <c r="R11" s="182" t="s">
        <v>182</v>
      </c>
      <c r="S11" s="183" t="s">
        <v>183</v>
      </c>
      <c r="T11" s="181" t="s">
        <v>184</v>
      </c>
      <c r="U11" s="183" t="s">
        <v>185</v>
      </c>
      <c r="V11" s="182" t="s">
        <v>186</v>
      </c>
      <c r="W11" s="185" t="s">
        <v>187</v>
      </c>
      <c r="X11" s="183" t="s">
        <v>188</v>
      </c>
      <c r="Y11" s="182" t="s">
        <v>182</v>
      </c>
      <c r="Z11" s="183" t="s">
        <v>183</v>
      </c>
      <c r="AA11" s="184" t="s">
        <v>184</v>
      </c>
      <c r="AB11" s="183" t="s">
        <v>185</v>
      </c>
      <c r="AC11" s="182" t="s">
        <v>186</v>
      </c>
      <c r="AD11" s="185" t="s">
        <v>187</v>
      </c>
      <c r="AE11" s="183" t="s">
        <v>188</v>
      </c>
      <c r="AF11" s="180" t="s">
        <v>182</v>
      </c>
      <c r="AG11" s="180" t="s">
        <v>183</v>
      </c>
      <c r="AH11" s="184" t="s">
        <v>184</v>
      </c>
      <c r="AI11" s="458"/>
    </row>
    <row r="12" spans="1:35" s="186" customFormat="1" x14ac:dyDescent="0.25">
      <c r="A12" s="208">
        <v>1</v>
      </c>
      <c r="B12" s="208" t="s">
        <v>45</v>
      </c>
      <c r="C12" s="208" t="s">
        <v>14</v>
      </c>
      <c r="D12" s="187" t="s">
        <v>167</v>
      </c>
      <c r="E12" s="187" t="s">
        <v>167</v>
      </c>
      <c r="F12" s="188"/>
      <c r="G12" s="187" t="s">
        <v>167</v>
      </c>
      <c r="H12" s="189" t="s">
        <v>167</v>
      </c>
      <c r="I12" s="189" t="s">
        <v>167</v>
      </c>
      <c r="J12" s="189" t="s">
        <v>167</v>
      </c>
      <c r="K12" s="189" t="s">
        <v>167</v>
      </c>
      <c r="L12" s="189" t="s">
        <v>167</v>
      </c>
      <c r="M12" s="188"/>
      <c r="N12" s="189" t="s">
        <v>167</v>
      </c>
      <c r="O12" s="189" t="s">
        <v>167</v>
      </c>
      <c r="P12" s="189" t="s">
        <v>167</v>
      </c>
      <c r="Q12" s="189" t="s">
        <v>167</v>
      </c>
      <c r="R12" s="189" t="s">
        <v>167</v>
      </c>
      <c r="S12" s="189" t="s">
        <v>167</v>
      </c>
      <c r="T12" s="188"/>
      <c r="U12" s="189" t="s">
        <v>167</v>
      </c>
      <c r="V12" s="189" t="s">
        <v>167</v>
      </c>
      <c r="W12" s="189" t="s">
        <v>167</v>
      </c>
      <c r="X12" s="189" t="s">
        <v>167</v>
      </c>
      <c r="Y12" s="189" t="s">
        <v>167</v>
      </c>
      <c r="Z12" s="189" t="s">
        <v>167</v>
      </c>
      <c r="AA12" s="188"/>
      <c r="AB12" s="189" t="s">
        <v>167</v>
      </c>
      <c r="AC12" s="189" t="s">
        <v>167</v>
      </c>
      <c r="AD12" s="190" t="s">
        <v>167</v>
      </c>
      <c r="AE12" s="190" t="s">
        <v>167</v>
      </c>
      <c r="AF12" s="187" t="s">
        <v>167</v>
      </c>
      <c r="AG12" s="187" t="s">
        <v>167</v>
      </c>
      <c r="AH12" s="191"/>
      <c r="AI12" s="288">
        <f>COUNTIF(D12:AH12,"x")+ COUNTIF(D12:AH12,"x/2")/2+COUNTIF(D12:AH12,"CT")+COUNTIF(D12:AH12,"TT")</f>
        <v>26</v>
      </c>
    </row>
    <row r="13" spans="1:35" s="186" customFormat="1" x14ac:dyDescent="0.25">
      <c r="A13" s="208">
        <v>2</v>
      </c>
      <c r="B13" s="210" t="s">
        <v>82</v>
      </c>
      <c r="C13" s="211" t="s">
        <v>251</v>
      </c>
      <c r="D13" s="187" t="s">
        <v>167</v>
      </c>
      <c r="E13" s="187" t="s">
        <v>167</v>
      </c>
      <c r="F13" s="188"/>
      <c r="G13" s="187" t="s">
        <v>167</v>
      </c>
      <c r="H13" s="189" t="s">
        <v>167</v>
      </c>
      <c r="I13" s="189" t="s">
        <v>167</v>
      </c>
      <c r="J13" s="189" t="s">
        <v>167</v>
      </c>
      <c r="K13" s="189" t="s">
        <v>167</v>
      </c>
      <c r="L13" s="189" t="s">
        <v>167</v>
      </c>
      <c r="M13" s="188"/>
      <c r="N13" s="189" t="s">
        <v>167</v>
      </c>
      <c r="O13" s="189" t="s">
        <v>167</v>
      </c>
      <c r="P13" s="189" t="s">
        <v>167</v>
      </c>
      <c r="Q13" s="189" t="s">
        <v>167</v>
      </c>
      <c r="R13" s="189" t="s">
        <v>167</v>
      </c>
      <c r="S13" s="189"/>
      <c r="T13" s="188"/>
      <c r="U13" s="189"/>
      <c r="V13" s="189"/>
      <c r="W13" s="189"/>
      <c r="X13" s="189"/>
      <c r="Y13" s="189"/>
      <c r="Z13" s="189"/>
      <c r="AA13" s="188"/>
      <c r="AB13" s="189"/>
      <c r="AC13" s="189"/>
      <c r="AD13" s="190"/>
      <c r="AE13" s="190"/>
      <c r="AF13" s="192"/>
      <c r="AG13" s="192"/>
      <c r="AH13" s="193"/>
      <c r="AI13" s="288">
        <f t="shared" ref="AI13:AI18" si="0">COUNTIF(D13:AH13,"x")+ COUNTIF(D13:AH13,"x/2")/2+COUNTIF(D13:AH13,"CT")+COUNTIF(D13:AH13,"TT")</f>
        <v>13</v>
      </c>
    </row>
    <row r="14" spans="1:35" s="186" customFormat="1" x14ac:dyDescent="0.25">
      <c r="A14" s="208">
        <v>3</v>
      </c>
      <c r="B14" s="212" t="s">
        <v>89</v>
      </c>
      <c r="C14" s="211" t="s">
        <v>252</v>
      </c>
      <c r="D14" s="187" t="s">
        <v>167</v>
      </c>
      <c r="E14" s="187" t="s">
        <v>167</v>
      </c>
      <c r="F14" s="188"/>
      <c r="G14" s="187" t="s">
        <v>167</v>
      </c>
      <c r="H14" s="189" t="s">
        <v>167</v>
      </c>
      <c r="I14" s="189" t="s">
        <v>167</v>
      </c>
      <c r="J14" s="189" t="s">
        <v>167</v>
      </c>
      <c r="K14" s="189" t="s">
        <v>167</v>
      </c>
      <c r="L14" s="189" t="s">
        <v>167</v>
      </c>
      <c r="M14" s="188" t="s">
        <v>167</v>
      </c>
      <c r="N14" s="189" t="s">
        <v>167</v>
      </c>
      <c r="O14" s="189" t="s">
        <v>167</v>
      </c>
      <c r="P14" s="189" t="s">
        <v>167</v>
      </c>
      <c r="Q14" s="189" t="s">
        <v>167</v>
      </c>
      <c r="R14" s="189" t="s">
        <v>167</v>
      </c>
      <c r="S14" s="189" t="s">
        <v>167</v>
      </c>
      <c r="T14" s="188"/>
      <c r="U14" s="189" t="s">
        <v>167</v>
      </c>
      <c r="V14" s="189" t="s">
        <v>167</v>
      </c>
      <c r="W14" s="189" t="s">
        <v>167</v>
      </c>
      <c r="X14" s="189" t="s">
        <v>167</v>
      </c>
      <c r="Y14" s="189"/>
      <c r="Z14" s="189"/>
      <c r="AA14" s="188"/>
      <c r="AB14" s="189"/>
      <c r="AC14" s="189"/>
      <c r="AD14" s="190"/>
      <c r="AE14" s="190"/>
      <c r="AF14" s="192"/>
      <c r="AG14" s="192"/>
      <c r="AH14" s="193"/>
      <c r="AI14" s="288">
        <f t="shared" si="0"/>
        <v>19</v>
      </c>
    </row>
    <row r="15" spans="1:35" s="186" customFormat="1" x14ac:dyDescent="0.25">
      <c r="A15" s="208">
        <v>4</v>
      </c>
      <c r="B15" s="209" t="s">
        <v>44</v>
      </c>
      <c r="C15" s="211" t="s">
        <v>189</v>
      </c>
      <c r="D15" s="187" t="s">
        <v>167</v>
      </c>
      <c r="E15" s="187" t="s">
        <v>167</v>
      </c>
      <c r="F15" s="188"/>
      <c r="G15" s="187" t="s">
        <v>167</v>
      </c>
      <c r="H15" s="189" t="s">
        <v>167</v>
      </c>
      <c r="I15" s="189" t="s">
        <v>167</v>
      </c>
      <c r="J15" s="189" t="s">
        <v>167</v>
      </c>
      <c r="K15" s="189" t="s">
        <v>167</v>
      </c>
      <c r="L15" s="189" t="s">
        <v>167</v>
      </c>
      <c r="M15" s="188"/>
      <c r="N15" s="189" t="s">
        <v>167</v>
      </c>
      <c r="O15" s="189" t="s">
        <v>167</v>
      </c>
      <c r="P15" s="189" t="s">
        <v>167</v>
      </c>
      <c r="Q15" s="189" t="s">
        <v>167</v>
      </c>
      <c r="R15" s="189" t="s">
        <v>167</v>
      </c>
      <c r="S15" s="189" t="s">
        <v>167</v>
      </c>
      <c r="T15" s="188" t="s">
        <v>167</v>
      </c>
      <c r="U15" s="189" t="s">
        <v>167</v>
      </c>
      <c r="V15" s="189" t="s">
        <v>167</v>
      </c>
      <c r="W15" s="189" t="s">
        <v>167</v>
      </c>
      <c r="X15" s="189" t="s">
        <v>167</v>
      </c>
      <c r="Y15" s="189" t="s">
        <v>167</v>
      </c>
      <c r="Z15" s="189" t="s">
        <v>167</v>
      </c>
      <c r="AA15" s="188"/>
      <c r="AB15" s="189" t="s">
        <v>167</v>
      </c>
      <c r="AC15" s="189"/>
      <c r="AD15" s="190"/>
      <c r="AE15" s="190"/>
      <c r="AF15" s="192"/>
      <c r="AG15" s="192" t="s">
        <v>167</v>
      </c>
      <c r="AH15" s="193"/>
      <c r="AI15" s="288">
        <f t="shared" si="0"/>
        <v>23</v>
      </c>
    </row>
    <row r="16" spans="1:35" s="186" customFormat="1" x14ac:dyDescent="0.25">
      <c r="A16" s="208">
        <v>5</v>
      </c>
      <c r="B16" s="208" t="s">
        <v>84</v>
      </c>
      <c r="C16" s="211" t="s">
        <v>189</v>
      </c>
      <c r="D16" s="187" t="s">
        <v>167</v>
      </c>
      <c r="E16" s="187" t="s">
        <v>167</v>
      </c>
      <c r="F16" s="188"/>
      <c r="G16" s="187" t="s">
        <v>167</v>
      </c>
      <c r="H16" s="189" t="s">
        <v>167</v>
      </c>
      <c r="I16" s="189" t="s">
        <v>167</v>
      </c>
      <c r="J16" s="189" t="s">
        <v>167</v>
      </c>
      <c r="K16" s="189" t="s">
        <v>167</v>
      </c>
      <c r="L16" s="189" t="s">
        <v>167</v>
      </c>
      <c r="M16" s="188"/>
      <c r="N16" s="189" t="s">
        <v>167</v>
      </c>
      <c r="O16" s="189" t="s">
        <v>167</v>
      </c>
      <c r="P16" s="189" t="s">
        <v>167</v>
      </c>
      <c r="Q16" s="189" t="s">
        <v>167</v>
      </c>
      <c r="R16" s="189" t="s">
        <v>167</v>
      </c>
      <c r="S16" s="189" t="s">
        <v>167</v>
      </c>
      <c r="T16" s="188"/>
      <c r="U16" s="189" t="s">
        <v>167</v>
      </c>
      <c r="V16" s="189" t="s">
        <v>167</v>
      </c>
      <c r="W16" s="189" t="s">
        <v>167</v>
      </c>
      <c r="X16" s="189" t="s">
        <v>167</v>
      </c>
      <c r="Y16" s="189" t="s">
        <v>167</v>
      </c>
      <c r="Z16" s="189" t="s">
        <v>167</v>
      </c>
      <c r="AA16" s="188"/>
      <c r="AB16" s="189" t="s">
        <v>167</v>
      </c>
      <c r="AC16" s="189" t="s">
        <v>167</v>
      </c>
      <c r="AD16" s="190" t="s">
        <v>167</v>
      </c>
      <c r="AE16" s="190" t="s">
        <v>167</v>
      </c>
      <c r="AF16" s="192" t="s">
        <v>167</v>
      </c>
      <c r="AG16" s="192" t="s">
        <v>167</v>
      </c>
      <c r="AH16" s="193"/>
      <c r="AI16" s="288">
        <f t="shared" si="0"/>
        <v>26</v>
      </c>
    </row>
    <row r="17" spans="1:35" s="186" customFormat="1" x14ac:dyDescent="0.25">
      <c r="A17" s="208">
        <v>6</v>
      </c>
      <c r="B17" s="213" t="s">
        <v>88</v>
      </c>
      <c r="C17" s="211" t="s">
        <v>251</v>
      </c>
      <c r="D17" s="214" t="s">
        <v>167</v>
      </c>
      <c r="E17" s="187" t="s">
        <v>167</v>
      </c>
      <c r="F17" s="188"/>
      <c r="G17" s="187" t="s">
        <v>167</v>
      </c>
      <c r="H17" s="187" t="s">
        <v>167</v>
      </c>
      <c r="I17" s="187" t="s">
        <v>167</v>
      </c>
      <c r="J17" s="187" t="s">
        <v>167</v>
      </c>
      <c r="K17" s="187" t="s">
        <v>167</v>
      </c>
      <c r="L17" s="187" t="s">
        <v>167</v>
      </c>
      <c r="M17" s="188"/>
      <c r="N17" s="187" t="s">
        <v>167</v>
      </c>
      <c r="O17" s="187" t="s">
        <v>167</v>
      </c>
      <c r="P17" s="187" t="s">
        <v>167</v>
      </c>
      <c r="Q17" s="187" t="s">
        <v>167</v>
      </c>
      <c r="R17" s="187" t="s">
        <v>167</v>
      </c>
      <c r="S17" s="187"/>
      <c r="T17" s="188"/>
      <c r="U17" s="187"/>
      <c r="V17" s="187"/>
      <c r="W17" s="187"/>
      <c r="X17" s="187"/>
      <c r="Y17" s="187"/>
      <c r="Z17" s="187"/>
      <c r="AA17" s="188"/>
      <c r="AB17" s="187"/>
      <c r="AC17" s="187"/>
      <c r="AD17" s="187"/>
      <c r="AE17" s="187"/>
      <c r="AF17" s="187"/>
      <c r="AG17" s="187"/>
      <c r="AH17" s="193"/>
      <c r="AI17" s="288">
        <f t="shared" si="0"/>
        <v>13</v>
      </c>
    </row>
    <row r="18" spans="1:35" s="186" customFormat="1" x14ac:dyDescent="0.25">
      <c r="A18" s="297">
        <v>7</v>
      </c>
      <c r="B18" s="298" t="s">
        <v>299</v>
      </c>
      <c r="C18" s="299"/>
      <c r="D18" s="187" t="s">
        <v>167</v>
      </c>
      <c r="E18" s="187" t="s">
        <v>167</v>
      </c>
      <c r="F18" s="188"/>
      <c r="G18" s="187" t="s">
        <v>167</v>
      </c>
      <c r="H18" s="189" t="s">
        <v>167</v>
      </c>
      <c r="I18" s="189" t="s">
        <v>167</v>
      </c>
      <c r="J18" s="189" t="s">
        <v>167</v>
      </c>
      <c r="K18" s="189" t="s">
        <v>167</v>
      </c>
      <c r="L18" s="189" t="s">
        <v>167</v>
      </c>
      <c r="M18" s="188"/>
      <c r="N18" s="189" t="s">
        <v>167</v>
      </c>
      <c r="O18" s="189" t="s">
        <v>167</v>
      </c>
      <c r="P18" s="189" t="s">
        <v>167</v>
      </c>
      <c r="Q18" s="189" t="s">
        <v>167</v>
      </c>
      <c r="R18" s="189" t="s">
        <v>167</v>
      </c>
      <c r="S18" s="189" t="s">
        <v>167</v>
      </c>
      <c r="T18" s="188"/>
      <c r="U18" s="189" t="s">
        <v>167</v>
      </c>
      <c r="V18" s="189" t="s">
        <v>167</v>
      </c>
      <c r="W18" s="189" t="s">
        <v>167</v>
      </c>
      <c r="X18" s="189" t="s">
        <v>167</v>
      </c>
      <c r="Y18" s="189" t="s">
        <v>167</v>
      </c>
      <c r="Z18" s="189" t="s">
        <v>167</v>
      </c>
      <c r="AA18" s="188"/>
      <c r="AB18" s="189" t="s">
        <v>167</v>
      </c>
      <c r="AC18" s="189" t="s">
        <v>167</v>
      </c>
      <c r="AD18" s="190" t="s">
        <v>167</v>
      </c>
      <c r="AE18" s="190" t="s">
        <v>167</v>
      </c>
      <c r="AF18" s="187" t="s">
        <v>167</v>
      </c>
      <c r="AG18" s="187" t="s">
        <v>167</v>
      </c>
      <c r="AH18" s="191"/>
      <c r="AI18" s="288">
        <f t="shared" si="0"/>
        <v>26</v>
      </c>
    </row>
    <row r="19" spans="1:35" s="186" customFormat="1" x14ac:dyDescent="0.25">
      <c r="A19" s="449" t="s">
        <v>190</v>
      </c>
      <c r="B19" s="450"/>
      <c r="C19" s="194"/>
      <c r="D19" s="194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289">
        <f>SUM(AI12:AI17)</f>
        <v>120</v>
      </c>
    </row>
    <row r="20" spans="1:35" ht="18" customHeight="1" x14ac:dyDescent="0.25"/>
    <row r="21" spans="1:35" s="56" customFormat="1" ht="14.25" x14ac:dyDescent="0.25">
      <c r="B21" s="309" t="s">
        <v>395</v>
      </c>
      <c r="C21" s="309"/>
      <c r="D21" s="309"/>
      <c r="G21" s="309"/>
      <c r="N21" s="309" t="s">
        <v>189</v>
      </c>
      <c r="AB21" s="373" t="s">
        <v>396</v>
      </c>
      <c r="AC21" s="373"/>
      <c r="AD21" s="373"/>
      <c r="AE21" s="373"/>
    </row>
    <row r="22" spans="1:35" s="310" customFormat="1" ht="12" x14ac:dyDescent="0.25">
      <c r="B22" s="311" t="s">
        <v>397</v>
      </c>
      <c r="C22" s="311"/>
      <c r="D22" s="311"/>
      <c r="G22" s="311"/>
      <c r="N22" s="311" t="s">
        <v>397</v>
      </c>
      <c r="AB22" s="374" t="s">
        <v>397</v>
      </c>
      <c r="AC22" s="374"/>
      <c r="AD22" s="374"/>
      <c r="AE22" s="374"/>
    </row>
  </sheetData>
  <mergeCells count="18">
    <mergeCell ref="A19:B19"/>
    <mergeCell ref="AB21:AE21"/>
    <mergeCell ref="AB22:AE22"/>
    <mergeCell ref="Z4:AE4"/>
    <mergeCell ref="AF4:AG4"/>
    <mergeCell ref="Z5:AE5"/>
    <mergeCell ref="AF5:AG5"/>
    <mergeCell ref="A7:AI7"/>
    <mergeCell ref="A9:A11"/>
    <mergeCell ref="B9:B11"/>
    <mergeCell ref="C9:C11"/>
    <mergeCell ref="D9:AH9"/>
    <mergeCell ref="AI9:AI11"/>
    <mergeCell ref="Z1:AG1"/>
    <mergeCell ref="Z2:AE2"/>
    <mergeCell ref="AF2:AG2"/>
    <mergeCell ref="Z3:AE3"/>
    <mergeCell ref="AF3:AG3"/>
  </mergeCells>
  <pageMargins left="0.49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D2"/>
    </sheetView>
  </sheetViews>
  <sheetFormatPr defaultColWidth="9" defaultRowHeight="12.75" x14ac:dyDescent="0.25"/>
  <cols>
    <col min="1" max="1" width="3.140625" style="42" customWidth="1"/>
    <col min="2" max="2" width="13.7109375" style="42" customWidth="1"/>
    <col min="3" max="3" width="8.140625" style="42" customWidth="1"/>
    <col min="4" max="4" width="12.7109375" style="42" customWidth="1"/>
    <col min="5" max="5" width="8.140625" style="41" customWidth="1"/>
    <col min="6" max="6" width="12.85546875" style="42" customWidth="1"/>
    <col min="7" max="7" width="13.42578125" style="42" bestFit="1" customWidth="1"/>
    <col min="8" max="8" width="11.7109375" style="42" customWidth="1"/>
    <col min="9" max="9" width="12.85546875" style="42" customWidth="1"/>
    <col min="10" max="11" width="14.140625" style="42" customWidth="1"/>
    <col min="12" max="12" width="5" style="42" customWidth="1"/>
    <col min="13" max="13" width="4.28515625" style="42" bestFit="1" customWidth="1"/>
    <col min="14" max="257" width="9" style="42"/>
    <col min="258" max="258" width="5.28515625" style="42" customWidth="1"/>
    <col min="259" max="259" width="14.28515625" style="42" customWidth="1"/>
    <col min="260" max="260" width="9.7109375" style="42" customWidth="1"/>
    <col min="261" max="261" width="12.7109375" style="42" bestFit="1" customWidth="1"/>
    <col min="262" max="262" width="6" style="42" customWidth="1"/>
    <col min="263" max="263" width="12.85546875" style="42" customWidth="1"/>
    <col min="264" max="264" width="11.7109375" style="42" bestFit="1" customWidth="1"/>
    <col min="265" max="265" width="12.7109375" style="42" bestFit="1" customWidth="1"/>
    <col min="266" max="266" width="12.140625" style="42" customWidth="1"/>
    <col min="267" max="267" width="12.7109375" style="42" bestFit="1" customWidth="1"/>
    <col min="268" max="268" width="10.42578125" style="42" customWidth="1"/>
    <col min="269" max="269" width="5.140625" style="42" customWidth="1"/>
    <col min="270" max="513" width="9" style="42"/>
    <col min="514" max="514" width="5.28515625" style="42" customWidth="1"/>
    <col min="515" max="515" width="14.28515625" style="42" customWidth="1"/>
    <col min="516" max="516" width="9.7109375" style="42" customWidth="1"/>
    <col min="517" max="517" width="12.7109375" style="42" bestFit="1" customWidth="1"/>
    <col min="518" max="518" width="6" style="42" customWidth="1"/>
    <col min="519" max="519" width="12.85546875" style="42" customWidth="1"/>
    <col min="520" max="520" width="11.7109375" style="42" bestFit="1" customWidth="1"/>
    <col min="521" max="521" width="12.7109375" style="42" bestFit="1" customWidth="1"/>
    <col min="522" max="522" width="12.140625" style="42" customWidth="1"/>
    <col min="523" max="523" width="12.7109375" style="42" bestFit="1" customWidth="1"/>
    <col min="524" max="524" width="10.42578125" style="42" customWidth="1"/>
    <col min="525" max="525" width="5.140625" style="42" customWidth="1"/>
    <col min="526" max="769" width="9" style="42"/>
    <col min="770" max="770" width="5.28515625" style="42" customWidth="1"/>
    <col min="771" max="771" width="14.28515625" style="42" customWidth="1"/>
    <col min="772" max="772" width="9.7109375" style="42" customWidth="1"/>
    <col min="773" max="773" width="12.7109375" style="42" bestFit="1" customWidth="1"/>
    <col min="774" max="774" width="6" style="42" customWidth="1"/>
    <col min="775" max="775" width="12.85546875" style="42" customWidth="1"/>
    <col min="776" max="776" width="11.7109375" style="42" bestFit="1" customWidth="1"/>
    <col min="777" max="777" width="12.7109375" style="42" bestFit="1" customWidth="1"/>
    <col min="778" max="778" width="12.140625" style="42" customWidth="1"/>
    <col min="779" max="779" width="12.7109375" style="42" bestFit="1" customWidth="1"/>
    <col min="780" max="780" width="10.42578125" style="42" customWidth="1"/>
    <col min="781" max="781" width="5.140625" style="42" customWidth="1"/>
    <col min="782" max="1025" width="9" style="42"/>
    <col min="1026" max="1026" width="5.28515625" style="42" customWidth="1"/>
    <col min="1027" max="1027" width="14.28515625" style="42" customWidth="1"/>
    <col min="1028" max="1028" width="9.7109375" style="42" customWidth="1"/>
    <col min="1029" max="1029" width="12.7109375" style="42" bestFit="1" customWidth="1"/>
    <col min="1030" max="1030" width="6" style="42" customWidth="1"/>
    <col min="1031" max="1031" width="12.85546875" style="42" customWidth="1"/>
    <col min="1032" max="1032" width="11.7109375" style="42" bestFit="1" customWidth="1"/>
    <col min="1033" max="1033" width="12.7109375" style="42" bestFit="1" customWidth="1"/>
    <col min="1034" max="1034" width="12.140625" style="42" customWidth="1"/>
    <col min="1035" max="1035" width="12.7109375" style="42" bestFit="1" customWidth="1"/>
    <col min="1036" max="1036" width="10.42578125" style="42" customWidth="1"/>
    <col min="1037" max="1037" width="5.140625" style="42" customWidth="1"/>
    <col min="1038" max="1281" width="9" style="42"/>
    <col min="1282" max="1282" width="5.28515625" style="42" customWidth="1"/>
    <col min="1283" max="1283" width="14.28515625" style="42" customWidth="1"/>
    <col min="1284" max="1284" width="9.7109375" style="42" customWidth="1"/>
    <col min="1285" max="1285" width="12.7109375" style="42" bestFit="1" customWidth="1"/>
    <col min="1286" max="1286" width="6" style="42" customWidth="1"/>
    <col min="1287" max="1287" width="12.85546875" style="42" customWidth="1"/>
    <col min="1288" max="1288" width="11.7109375" style="42" bestFit="1" customWidth="1"/>
    <col min="1289" max="1289" width="12.7109375" style="42" bestFit="1" customWidth="1"/>
    <col min="1290" max="1290" width="12.140625" style="42" customWidth="1"/>
    <col min="1291" max="1291" width="12.7109375" style="42" bestFit="1" customWidth="1"/>
    <col min="1292" max="1292" width="10.42578125" style="42" customWidth="1"/>
    <col min="1293" max="1293" width="5.140625" style="42" customWidth="1"/>
    <col min="1294" max="1537" width="9" style="42"/>
    <col min="1538" max="1538" width="5.28515625" style="42" customWidth="1"/>
    <col min="1539" max="1539" width="14.28515625" style="42" customWidth="1"/>
    <col min="1540" max="1540" width="9.7109375" style="42" customWidth="1"/>
    <col min="1541" max="1541" width="12.7109375" style="42" bestFit="1" customWidth="1"/>
    <col min="1542" max="1542" width="6" style="42" customWidth="1"/>
    <col min="1543" max="1543" width="12.85546875" style="42" customWidth="1"/>
    <col min="1544" max="1544" width="11.7109375" style="42" bestFit="1" customWidth="1"/>
    <col min="1545" max="1545" width="12.7109375" style="42" bestFit="1" customWidth="1"/>
    <col min="1546" max="1546" width="12.140625" style="42" customWidth="1"/>
    <col min="1547" max="1547" width="12.7109375" style="42" bestFit="1" customWidth="1"/>
    <col min="1548" max="1548" width="10.42578125" style="42" customWidth="1"/>
    <col min="1549" max="1549" width="5.140625" style="42" customWidth="1"/>
    <col min="1550" max="1793" width="9" style="42"/>
    <col min="1794" max="1794" width="5.28515625" style="42" customWidth="1"/>
    <col min="1795" max="1795" width="14.28515625" style="42" customWidth="1"/>
    <col min="1796" max="1796" width="9.7109375" style="42" customWidth="1"/>
    <col min="1797" max="1797" width="12.7109375" style="42" bestFit="1" customWidth="1"/>
    <col min="1798" max="1798" width="6" style="42" customWidth="1"/>
    <col min="1799" max="1799" width="12.85546875" style="42" customWidth="1"/>
    <col min="1800" max="1800" width="11.7109375" style="42" bestFit="1" customWidth="1"/>
    <col min="1801" max="1801" width="12.7109375" style="42" bestFit="1" customWidth="1"/>
    <col min="1802" max="1802" width="12.140625" style="42" customWidth="1"/>
    <col min="1803" max="1803" width="12.7109375" style="42" bestFit="1" customWidth="1"/>
    <col min="1804" max="1804" width="10.42578125" style="42" customWidth="1"/>
    <col min="1805" max="1805" width="5.140625" style="42" customWidth="1"/>
    <col min="1806" max="2049" width="9" style="42"/>
    <col min="2050" max="2050" width="5.28515625" style="42" customWidth="1"/>
    <col min="2051" max="2051" width="14.28515625" style="42" customWidth="1"/>
    <col min="2052" max="2052" width="9.7109375" style="42" customWidth="1"/>
    <col min="2053" max="2053" width="12.7109375" style="42" bestFit="1" customWidth="1"/>
    <col min="2054" max="2054" width="6" style="42" customWidth="1"/>
    <col min="2055" max="2055" width="12.85546875" style="42" customWidth="1"/>
    <col min="2056" max="2056" width="11.7109375" style="42" bestFit="1" customWidth="1"/>
    <col min="2057" max="2057" width="12.7109375" style="42" bestFit="1" customWidth="1"/>
    <col min="2058" max="2058" width="12.140625" style="42" customWidth="1"/>
    <col min="2059" max="2059" width="12.7109375" style="42" bestFit="1" customWidth="1"/>
    <col min="2060" max="2060" width="10.42578125" style="42" customWidth="1"/>
    <col min="2061" max="2061" width="5.140625" style="42" customWidth="1"/>
    <col min="2062" max="2305" width="9" style="42"/>
    <col min="2306" max="2306" width="5.28515625" style="42" customWidth="1"/>
    <col min="2307" max="2307" width="14.28515625" style="42" customWidth="1"/>
    <col min="2308" max="2308" width="9.7109375" style="42" customWidth="1"/>
    <col min="2309" max="2309" width="12.7109375" style="42" bestFit="1" customWidth="1"/>
    <col min="2310" max="2310" width="6" style="42" customWidth="1"/>
    <col min="2311" max="2311" width="12.85546875" style="42" customWidth="1"/>
    <col min="2312" max="2312" width="11.7109375" style="42" bestFit="1" customWidth="1"/>
    <col min="2313" max="2313" width="12.7109375" style="42" bestFit="1" customWidth="1"/>
    <col min="2314" max="2314" width="12.140625" style="42" customWidth="1"/>
    <col min="2315" max="2315" width="12.7109375" style="42" bestFit="1" customWidth="1"/>
    <col min="2316" max="2316" width="10.42578125" style="42" customWidth="1"/>
    <col min="2317" max="2317" width="5.140625" style="42" customWidth="1"/>
    <col min="2318" max="2561" width="9" style="42"/>
    <col min="2562" max="2562" width="5.28515625" style="42" customWidth="1"/>
    <col min="2563" max="2563" width="14.28515625" style="42" customWidth="1"/>
    <col min="2564" max="2564" width="9.7109375" style="42" customWidth="1"/>
    <col min="2565" max="2565" width="12.7109375" style="42" bestFit="1" customWidth="1"/>
    <col min="2566" max="2566" width="6" style="42" customWidth="1"/>
    <col min="2567" max="2567" width="12.85546875" style="42" customWidth="1"/>
    <col min="2568" max="2568" width="11.7109375" style="42" bestFit="1" customWidth="1"/>
    <col min="2569" max="2569" width="12.7109375" style="42" bestFit="1" customWidth="1"/>
    <col min="2570" max="2570" width="12.140625" style="42" customWidth="1"/>
    <col min="2571" max="2571" width="12.7109375" style="42" bestFit="1" customWidth="1"/>
    <col min="2572" max="2572" width="10.42578125" style="42" customWidth="1"/>
    <col min="2573" max="2573" width="5.140625" style="42" customWidth="1"/>
    <col min="2574" max="2817" width="9" style="42"/>
    <col min="2818" max="2818" width="5.28515625" style="42" customWidth="1"/>
    <col min="2819" max="2819" width="14.28515625" style="42" customWidth="1"/>
    <col min="2820" max="2820" width="9.7109375" style="42" customWidth="1"/>
    <col min="2821" max="2821" width="12.7109375" style="42" bestFit="1" customWidth="1"/>
    <col min="2822" max="2822" width="6" style="42" customWidth="1"/>
    <col min="2823" max="2823" width="12.85546875" style="42" customWidth="1"/>
    <col min="2824" max="2824" width="11.7109375" style="42" bestFit="1" customWidth="1"/>
    <col min="2825" max="2825" width="12.7109375" style="42" bestFit="1" customWidth="1"/>
    <col min="2826" max="2826" width="12.140625" style="42" customWidth="1"/>
    <col min="2827" max="2827" width="12.7109375" style="42" bestFit="1" customWidth="1"/>
    <col min="2828" max="2828" width="10.42578125" style="42" customWidth="1"/>
    <col min="2829" max="2829" width="5.140625" style="42" customWidth="1"/>
    <col min="2830" max="3073" width="9" style="42"/>
    <col min="3074" max="3074" width="5.28515625" style="42" customWidth="1"/>
    <col min="3075" max="3075" width="14.28515625" style="42" customWidth="1"/>
    <col min="3076" max="3076" width="9.7109375" style="42" customWidth="1"/>
    <col min="3077" max="3077" width="12.7109375" style="42" bestFit="1" customWidth="1"/>
    <col min="3078" max="3078" width="6" style="42" customWidth="1"/>
    <col min="3079" max="3079" width="12.85546875" style="42" customWidth="1"/>
    <col min="3080" max="3080" width="11.7109375" style="42" bestFit="1" customWidth="1"/>
    <col min="3081" max="3081" width="12.7109375" style="42" bestFit="1" customWidth="1"/>
    <col min="3082" max="3082" width="12.140625" style="42" customWidth="1"/>
    <col min="3083" max="3083" width="12.7109375" style="42" bestFit="1" customWidth="1"/>
    <col min="3084" max="3084" width="10.42578125" style="42" customWidth="1"/>
    <col min="3085" max="3085" width="5.140625" style="42" customWidth="1"/>
    <col min="3086" max="3329" width="9" style="42"/>
    <col min="3330" max="3330" width="5.28515625" style="42" customWidth="1"/>
    <col min="3331" max="3331" width="14.28515625" style="42" customWidth="1"/>
    <col min="3332" max="3332" width="9.7109375" style="42" customWidth="1"/>
    <col min="3333" max="3333" width="12.7109375" style="42" bestFit="1" customWidth="1"/>
    <col min="3334" max="3334" width="6" style="42" customWidth="1"/>
    <col min="3335" max="3335" width="12.85546875" style="42" customWidth="1"/>
    <col min="3336" max="3336" width="11.7109375" style="42" bestFit="1" customWidth="1"/>
    <col min="3337" max="3337" width="12.7109375" style="42" bestFit="1" customWidth="1"/>
    <col min="3338" max="3338" width="12.140625" style="42" customWidth="1"/>
    <col min="3339" max="3339" width="12.7109375" style="42" bestFit="1" customWidth="1"/>
    <col min="3340" max="3340" width="10.42578125" style="42" customWidth="1"/>
    <col min="3341" max="3341" width="5.140625" style="42" customWidth="1"/>
    <col min="3342" max="3585" width="9" style="42"/>
    <col min="3586" max="3586" width="5.28515625" style="42" customWidth="1"/>
    <col min="3587" max="3587" width="14.28515625" style="42" customWidth="1"/>
    <col min="3588" max="3588" width="9.7109375" style="42" customWidth="1"/>
    <col min="3589" max="3589" width="12.7109375" style="42" bestFit="1" customWidth="1"/>
    <col min="3590" max="3590" width="6" style="42" customWidth="1"/>
    <col min="3591" max="3591" width="12.85546875" style="42" customWidth="1"/>
    <col min="3592" max="3592" width="11.7109375" style="42" bestFit="1" customWidth="1"/>
    <col min="3593" max="3593" width="12.7109375" style="42" bestFit="1" customWidth="1"/>
    <col min="3594" max="3594" width="12.140625" style="42" customWidth="1"/>
    <col min="3595" max="3595" width="12.7109375" style="42" bestFit="1" customWidth="1"/>
    <col min="3596" max="3596" width="10.42578125" style="42" customWidth="1"/>
    <col min="3597" max="3597" width="5.140625" style="42" customWidth="1"/>
    <col min="3598" max="3841" width="9" style="42"/>
    <col min="3842" max="3842" width="5.28515625" style="42" customWidth="1"/>
    <col min="3843" max="3843" width="14.28515625" style="42" customWidth="1"/>
    <col min="3844" max="3844" width="9.7109375" style="42" customWidth="1"/>
    <col min="3845" max="3845" width="12.7109375" style="42" bestFit="1" customWidth="1"/>
    <col min="3846" max="3846" width="6" style="42" customWidth="1"/>
    <col min="3847" max="3847" width="12.85546875" style="42" customWidth="1"/>
    <col min="3848" max="3848" width="11.7109375" style="42" bestFit="1" customWidth="1"/>
    <col min="3849" max="3849" width="12.7109375" style="42" bestFit="1" customWidth="1"/>
    <col min="3850" max="3850" width="12.140625" style="42" customWidth="1"/>
    <col min="3851" max="3851" width="12.7109375" style="42" bestFit="1" customWidth="1"/>
    <col min="3852" max="3852" width="10.42578125" style="42" customWidth="1"/>
    <col min="3853" max="3853" width="5.140625" style="42" customWidth="1"/>
    <col min="3854" max="4097" width="9" style="42"/>
    <col min="4098" max="4098" width="5.28515625" style="42" customWidth="1"/>
    <col min="4099" max="4099" width="14.28515625" style="42" customWidth="1"/>
    <col min="4100" max="4100" width="9.7109375" style="42" customWidth="1"/>
    <col min="4101" max="4101" width="12.7109375" style="42" bestFit="1" customWidth="1"/>
    <col min="4102" max="4102" width="6" style="42" customWidth="1"/>
    <col min="4103" max="4103" width="12.85546875" style="42" customWidth="1"/>
    <col min="4104" max="4104" width="11.7109375" style="42" bestFit="1" customWidth="1"/>
    <col min="4105" max="4105" width="12.7109375" style="42" bestFit="1" customWidth="1"/>
    <col min="4106" max="4106" width="12.140625" style="42" customWidth="1"/>
    <col min="4107" max="4107" width="12.7109375" style="42" bestFit="1" customWidth="1"/>
    <col min="4108" max="4108" width="10.42578125" style="42" customWidth="1"/>
    <col min="4109" max="4109" width="5.140625" style="42" customWidth="1"/>
    <col min="4110" max="4353" width="9" style="42"/>
    <col min="4354" max="4354" width="5.28515625" style="42" customWidth="1"/>
    <col min="4355" max="4355" width="14.28515625" style="42" customWidth="1"/>
    <col min="4356" max="4356" width="9.7109375" style="42" customWidth="1"/>
    <col min="4357" max="4357" width="12.7109375" style="42" bestFit="1" customWidth="1"/>
    <col min="4358" max="4358" width="6" style="42" customWidth="1"/>
    <col min="4359" max="4359" width="12.85546875" style="42" customWidth="1"/>
    <col min="4360" max="4360" width="11.7109375" style="42" bestFit="1" customWidth="1"/>
    <col min="4361" max="4361" width="12.7109375" style="42" bestFit="1" customWidth="1"/>
    <col min="4362" max="4362" width="12.140625" style="42" customWidth="1"/>
    <col min="4363" max="4363" width="12.7109375" style="42" bestFit="1" customWidth="1"/>
    <col min="4364" max="4364" width="10.42578125" style="42" customWidth="1"/>
    <col min="4365" max="4365" width="5.140625" style="42" customWidth="1"/>
    <col min="4366" max="4609" width="9" style="42"/>
    <col min="4610" max="4610" width="5.28515625" style="42" customWidth="1"/>
    <col min="4611" max="4611" width="14.28515625" style="42" customWidth="1"/>
    <col min="4612" max="4612" width="9.7109375" style="42" customWidth="1"/>
    <col min="4613" max="4613" width="12.7109375" style="42" bestFit="1" customWidth="1"/>
    <col min="4614" max="4614" width="6" style="42" customWidth="1"/>
    <col min="4615" max="4615" width="12.85546875" style="42" customWidth="1"/>
    <col min="4616" max="4616" width="11.7109375" style="42" bestFit="1" customWidth="1"/>
    <col min="4617" max="4617" width="12.7109375" style="42" bestFit="1" customWidth="1"/>
    <col min="4618" max="4618" width="12.140625" style="42" customWidth="1"/>
    <col min="4619" max="4619" width="12.7109375" style="42" bestFit="1" customWidth="1"/>
    <col min="4620" max="4620" width="10.42578125" style="42" customWidth="1"/>
    <col min="4621" max="4621" width="5.140625" style="42" customWidth="1"/>
    <col min="4622" max="4865" width="9" style="42"/>
    <col min="4866" max="4866" width="5.28515625" style="42" customWidth="1"/>
    <col min="4867" max="4867" width="14.28515625" style="42" customWidth="1"/>
    <col min="4868" max="4868" width="9.7109375" style="42" customWidth="1"/>
    <col min="4869" max="4869" width="12.7109375" style="42" bestFit="1" customWidth="1"/>
    <col min="4870" max="4870" width="6" style="42" customWidth="1"/>
    <col min="4871" max="4871" width="12.85546875" style="42" customWidth="1"/>
    <col min="4872" max="4872" width="11.7109375" style="42" bestFit="1" customWidth="1"/>
    <col min="4873" max="4873" width="12.7109375" style="42" bestFit="1" customWidth="1"/>
    <col min="4874" max="4874" width="12.140625" style="42" customWidth="1"/>
    <col min="4875" max="4875" width="12.7109375" style="42" bestFit="1" customWidth="1"/>
    <col min="4876" max="4876" width="10.42578125" style="42" customWidth="1"/>
    <col min="4877" max="4877" width="5.140625" style="42" customWidth="1"/>
    <col min="4878" max="5121" width="9" style="42"/>
    <col min="5122" max="5122" width="5.28515625" style="42" customWidth="1"/>
    <col min="5123" max="5123" width="14.28515625" style="42" customWidth="1"/>
    <col min="5124" max="5124" width="9.7109375" style="42" customWidth="1"/>
    <col min="5125" max="5125" width="12.7109375" style="42" bestFit="1" customWidth="1"/>
    <col min="5126" max="5126" width="6" style="42" customWidth="1"/>
    <col min="5127" max="5127" width="12.85546875" style="42" customWidth="1"/>
    <col min="5128" max="5128" width="11.7109375" style="42" bestFit="1" customWidth="1"/>
    <col min="5129" max="5129" width="12.7109375" style="42" bestFit="1" customWidth="1"/>
    <col min="5130" max="5130" width="12.140625" style="42" customWidth="1"/>
    <col min="5131" max="5131" width="12.7109375" style="42" bestFit="1" customWidth="1"/>
    <col min="5132" max="5132" width="10.42578125" style="42" customWidth="1"/>
    <col min="5133" max="5133" width="5.140625" style="42" customWidth="1"/>
    <col min="5134" max="5377" width="9" style="42"/>
    <col min="5378" max="5378" width="5.28515625" style="42" customWidth="1"/>
    <col min="5379" max="5379" width="14.28515625" style="42" customWidth="1"/>
    <col min="5380" max="5380" width="9.7109375" style="42" customWidth="1"/>
    <col min="5381" max="5381" width="12.7109375" style="42" bestFit="1" customWidth="1"/>
    <col min="5382" max="5382" width="6" style="42" customWidth="1"/>
    <col min="5383" max="5383" width="12.85546875" style="42" customWidth="1"/>
    <col min="5384" max="5384" width="11.7109375" style="42" bestFit="1" customWidth="1"/>
    <col min="5385" max="5385" width="12.7109375" style="42" bestFit="1" customWidth="1"/>
    <col min="5386" max="5386" width="12.140625" style="42" customWidth="1"/>
    <col min="5387" max="5387" width="12.7109375" style="42" bestFit="1" customWidth="1"/>
    <col min="5388" max="5388" width="10.42578125" style="42" customWidth="1"/>
    <col min="5389" max="5389" width="5.140625" style="42" customWidth="1"/>
    <col min="5390" max="5633" width="9" style="42"/>
    <col min="5634" max="5634" width="5.28515625" style="42" customWidth="1"/>
    <col min="5635" max="5635" width="14.28515625" style="42" customWidth="1"/>
    <col min="5636" max="5636" width="9.7109375" style="42" customWidth="1"/>
    <col min="5637" max="5637" width="12.7109375" style="42" bestFit="1" customWidth="1"/>
    <col min="5638" max="5638" width="6" style="42" customWidth="1"/>
    <col min="5639" max="5639" width="12.85546875" style="42" customWidth="1"/>
    <col min="5640" max="5640" width="11.7109375" style="42" bestFit="1" customWidth="1"/>
    <col min="5641" max="5641" width="12.7109375" style="42" bestFit="1" customWidth="1"/>
    <col min="5642" max="5642" width="12.140625" style="42" customWidth="1"/>
    <col min="5643" max="5643" width="12.7109375" style="42" bestFit="1" customWidth="1"/>
    <col min="5644" max="5644" width="10.42578125" style="42" customWidth="1"/>
    <col min="5645" max="5645" width="5.140625" style="42" customWidth="1"/>
    <col min="5646" max="5889" width="9" style="42"/>
    <col min="5890" max="5890" width="5.28515625" style="42" customWidth="1"/>
    <col min="5891" max="5891" width="14.28515625" style="42" customWidth="1"/>
    <col min="5892" max="5892" width="9.7109375" style="42" customWidth="1"/>
    <col min="5893" max="5893" width="12.7109375" style="42" bestFit="1" customWidth="1"/>
    <col min="5894" max="5894" width="6" style="42" customWidth="1"/>
    <col min="5895" max="5895" width="12.85546875" style="42" customWidth="1"/>
    <col min="5896" max="5896" width="11.7109375" style="42" bestFit="1" customWidth="1"/>
    <col min="5897" max="5897" width="12.7109375" style="42" bestFit="1" customWidth="1"/>
    <col min="5898" max="5898" width="12.140625" style="42" customWidth="1"/>
    <col min="5899" max="5899" width="12.7109375" style="42" bestFit="1" customWidth="1"/>
    <col min="5900" max="5900" width="10.42578125" style="42" customWidth="1"/>
    <col min="5901" max="5901" width="5.140625" style="42" customWidth="1"/>
    <col min="5902" max="6145" width="9" style="42"/>
    <col min="6146" max="6146" width="5.28515625" style="42" customWidth="1"/>
    <col min="6147" max="6147" width="14.28515625" style="42" customWidth="1"/>
    <col min="6148" max="6148" width="9.7109375" style="42" customWidth="1"/>
    <col min="6149" max="6149" width="12.7109375" style="42" bestFit="1" customWidth="1"/>
    <col min="6150" max="6150" width="6" style="42" customWidth="1"/>
    <col min="6151" max="6151" width="12.85546875" style="42" customWidth="1"/>
    <col min="6152" max="6152" width="11.7109375" style="42" bestFit="1" customWidth="1"/>
    <col min="6153" max="6153" width="12.7109375" style="42" bestFit="1" customWidth="1"/>
    <col min="6154" max="6154" width="12.140625" style="42" customWidth="1"/>
    <col min="6155" max="6155" width="12.7109375" style="42" bestFit="1" customWidth="1"/>
    <col min="6156" max="6156" width="10.42578125" style="42" customWidth="1"/>
    <col min="6157" max="6157" width="5.140625" style="42" customWidth="1"/>
    <col min="6158" max="6401" width="9" style="42"/>
    <col min="6402" max="6402" width="5.28515625" style="42" customWidth="1"/>
    <col min="6403" max="6403" width="14.28515625" style="42" customWidth="1"/>
    <col min="6404" max="6404" width="9.7109375" style="42" customWidth="1"/>
    <col min="6405" max="6405" width="12.7109375" style="42" bestFit="1" customWidth="1"/>
    <col min="6406" max="6406" width="6" style="42" customWidth="1"/>
    <col min="6407" max="6407" width="12.85546875" style="42" customWidth="1"/>
    <col min="6408" max="6408" width="11.7109375" style="42" bestFit="1" customWidth="1"/>
    <col min="6409" max="6409" width="12.7109375" style="42" bestFit="1" customWidth="1"/>
    <col min="6410" max="6410" width="12.140625" style="42" customWidth="1"/>
    <col min="6411" max="6411" width="12.7109375" style="42" bestFit="1" customWidth="1"/>
    <col min="6412" max="6412" width="10.42578125" style="42" customWidth="1"/>
    <col min="6413" max="6413" width="5.140625" style="42" customWidth="1"/>
    <col min="6414" max="6657" width="9" style="42"/>
    <col min="6658" max="6658" width="5.28515625" style="42" customWidth="1"/>
    <col min="6659" max="6659" width="14.28515625" style="42" customWidth="1"/>
    <col min="6660" max="6660" width="9.7109375" style="42" customWidth="1"/>
    <col min="6661" max="6661" width="12.7109375" style="42" bestFit="1" customWidth="1"/>
    <col min="6662" max="6662" width="6" style="42" customWidth="1"/>
    <col min="6663" max="6663" width="12.85546875" style="42" customWidth="1"/>
    <col min="6664" max="6664" width="11.7109375" style="42" bestFit="1" customWidth="1"/>
    <col min="6665" max="6665" width="12.7109375" style="42" bestFit="1" customWidth="1"/>
    <col min="6666" max="6666" width="12.140625" style="42" customWidth="1"/>
    <col min="6667" max="6667" width="12.7109375" style="42" bestFit="1" customWidth="1"/>
    <col min="6668" max="6668" width="10.42578125" style="42" customWidth="1"/>
    <col min="6669" max="6669" width="5.140625" style="42" customWidth="1"/>
    <col min="6670" max="6913" width="9" style="42"/>
    <col min="6914" max="6914" width="5.28515625" style="42" customWidth="1"/>
    <col min="6915" max="6915" width="14.28515625" style="42" customWidth="1"/>
    <col min="6916" max="6916" width="9.7109375" style="42" customWidth="1"/>
    <col min="6917" max="6917" width="12.7109375" style="42" bestFit="1" customWidth="1"/>
    <col min="6918" max="6918" width="6" style="42" customWidth="1"/>
    <col min="6919" max="6919" width="12.85546875" style="42" customWidth="1"/>
    <col min="6920" max="6920" width="11.7109375" style="42" bestFit="1" customWidth="1"/>
    <col min="6921" max="6921" width="12.7109375" style="42" bestFit="1" customWidth="1"/>
    <col min="6922" max="6922" width="12.140625" style="42" customWidth="1"/>
    <col min="6923" max="6923" width="12.7109375" style="42" bestFit="1" customWidth="1"/>
    <col min="6924" max="6924" width="10.42578125" style="42" customWidth="1"/>
    <col min="6925" max="6925" width="5.140625" style="42" customWidth="1"/>
    <col min="6926" max="7169" width="9" style="42"/>
    <col min="7170" max="7170" width="5.28515625" style="42" customWidth="1"/>
    <col min="7171" max="7171" width="14.28515625" style="42" customWidth="1"/>
    <col min="7172" max="7172" width="9.7109375" style="42" customWidth="1"/>
    <col min="7173" max="7173" width="12.7109375" style="42" bestFit="1" customWidth="1"/>
    <col min="7174" max="7174" width="6" style="42" customWidth="1"/>
    <col min="7175" max="7175" width="12.85546875" style="42" customWidth="1"/>
    <col min="7176" max="7176" width="11.7109375" style="42" bestFit="1" customWidth="1"/>
    <col min="7177" max="7177" width="12.7109375" style="42" bestFit="1" customWidth="1"/>
    <col min="7178" max="7178" width="12.140625" style="42" customWidth="1"/>
    <col min="7179" max="7179" width="12.7109375" style="42" bestFit="1" customWidth="1"/>
    <col min="7180" max="7180" width="10.42578125" style="42" customWidth="1"/>
    <col min="7181" max="7181" width="5.140625" style="42" customWidth="1"/>
    <col min="7182" max="7425" width="9" style="42"/>
    <col min="7426" max="7426" width="5.28515625" style="42" customWidth="1"/>
    <col min="7427" max="7427" width="14.28515625" style="42" customWidth="1"/>
    <col min="7428" max="7428" width="9.7109375" style="42" customWidth="1"/>
    <col min="7429" max="7429" width="12.7109375" style="42" bestFit="1" customWidth="1"/>
    <col min="7430" max="7430" width="6" style="42" customWidth="1"/>
    <col min="7431" max="7431" width="12.85546875" style="42" customWidth="1"/>
    <col min="7432" max="7432" width="11.7109375" style="42" bestFit="1" customWidth="1"/>
    <col min="7433" max="7433" width="12.7109375" style="42" bestFit="1" customWidth="1"/>
    <col min="7434" max="7434" width="12.140625" style="42" customWidth="1"/>
    <col min="7435" max="7435" width="12.7109375" style="42" bestFit="1" customWidth="1"/>
    <col min="7436" max="7436" width="10.42578125" style="42" customWidth="1"/>
    <col min="7437" max="7437" width="5.140625" style="42" customWidth="1"/>
    <col min="7438" max="7681" width="9" style="42"/>
    <col min="7682" max="7682" width="5.28515625" style="42" customWidth="1"/>
    <col min="7683" max="7683" width="14.28515625" style="42" customWidth="1"/>
    <col min="7684" max="7684" width="9.7109375" style="42" customWidth="1"/>
    <col min="7685" max="7685" width="12.7109375" style="42" bestFit="1" customWidth="1"/>
    <col min="7686" max="7686" width="6" style="42" customWidth="1"/>
    <col min="7687" max="7687" width="12.85546875" style="42" customWidth="1"/>
    <col min="7688" max="7688" width="11.7109375" style="42" bestFit="1" customWidth="1"/>
    <col min="7689" max="7689" width="12.7109375" style="42" bestFit="1" customWidth="1"/>
    <col min="7690" max="7690" width="12.140625" style="42" customWidth="1"/>
    <col min="7691" max="7691" width="12.7109375" style="42" bestFit="1" customWidth="1"/>
    <col min="7692" max="7692" width="10.42578125" style="42" customWidth="1"/>
    <col min="7693" max="7693" width="5.140625" style="42" customWidth="1"/>
    <col min="7694" max="7937" width="9" style="42"/>
    <col min="7938" max="7938" width="5.28515625" style="42" customWidth="1"/>
    <col min="7939" max="7939" width="14.28515625" style="42" customWidth="1"/>
    <col min="7940" max="7940" width="9.7109375" style="42" customWidth="1"/>
    <col min="7941" max="7941" width="12.7109375" style="42" bestFit="1" customWidth="1"/>
    <col min="7942" max="7942" width="6" style="42" customWidth="1"/>
    <col min="7943" max="7943" width="12.85546875" style="42" customWidth="1"/>
    <col min="7944" max="7944" width="11.7109375" style="42" bestFit="1" customWidth="1"/>
    <col min="7945" max="7945" width="12.7109375" style="42" bestFit="1" customWidth="1"/>
    <col min="7946" max="7946" width="12.140625" style="42" customWidth="1"/>
    <col min="7947" max="7947" width="12.7109375" style="42" bestFit="1" customWidth="1"/>
    <col min="7948" max="7948" width="10.42578125" style="42" customWidth="1"/>
    <col min="7949" max="7949" width="5.140625" style="42" customWidth="1"/>
    <col min="7950" max="8193" width="9" style="42"/>
    <col min="8194" max="8194" width="5.28515625" style="42" customWidth="1"/>
    <col min="8195" max="8195" width="14.28515625" style="42" customWidth="1"/>
    <col min="8196" max="8196" width="9.7109375" style="42" customWidth="1"/>
    <col min="8197" max="8197" width="12.7109375" style="42" bestFit="1" customWidth="1"/>
    <col min="8198" max="8198" width="6" style="42" customWidth="1"/>
    <col min="8199" max="8199" width="12.85546875" style="42" customWidth="1"/>
    <col min="8200" max="8200" width="11.7109375" style="42" bestFit="1" customWidth="1"/>
    <col min="8201" max="8201" width="12.7109375" style="42" bestFit="1" customWidth="1"/>
    <col min="8202" max="8202" width="12.140625" style="42" customWidth="1"/>
    <col min="8203" max="8203" width="12.7109375" style="42" bestFit="1" customWidth="1"/>
    <col min="8204" max="8204" width="10.42578125" style="42" customWidth="1"/>
    <col min="8205" max="8205" width="5.140625" style="42" customWidth="1"/>
    <col min="8206" max="8449" width="9" style="42"/>
    <col min="8450" max="8450" width="5.28515625" style="42" customWidth="1"/>
    <col min="8451" max="8451" width="14.28515625" style="42" customWidth="1"/>
    <col min="8452" max="8452" width="9.7109375" style="42" customWidth="1"/>
    <col min="8453" max="8453" width="12.7109375" style="42" bestFit="1" customWidth="1"/>
    <col min="8454" max="8454" width="6" style="42" customWidth="1"/>
    <col min="8455" max="8455" width="12.85546875" style="42" customWidth="1"/>
    <col min="8456" max="8456" width="11.7109375" style="42" bestFit="1" customWidth="1"/>
    <col min="8457" max="8457" width="12.7109375" style="42" bestFit="1" customWidth="1"/>
    <col min="8458" max="8458" width="12.140625" style="42" customWidth="1"/>
    <col min="8459" max="8459" width="12.7109375" style="42" bestFit="1" customWidth="1"/>
    <col min="8460" max="8460" width="10.42578125" style="42" customWidth="1"/>
    <col min="8461" max="8461" width="5.140625" style="42" customWidth="1"/>
    <col min="8462" max="8705" width="9" style="42"/>
    <col min="8706" max="8706" width="5.28515625" style="42" customWidth="1"/>
    <col min="8707" max="8707" width="14.28515625" style="42" customWidth="1"/>
    <col min="8708" max="8708" width="9.7109375" style="42" customWidth="1"/>
    <col min="8709" max="8709" width="12.7109375" style="42" bestFit="1" customWidth="1"/>
    <col min="8710" max="8710" width="6" style="42" customWidth="1"/>
    <col min="8711" max="8711" width="12.85546875" style="42" customWidth="1"/>
    <col min="8712" max="8712" width="11.7109375" style="42" bestFit="1" customWidth="1"/>
    <col min="8713" max="8713" width="12.7109375" style="42" bestFit="1" customWidth="1"/>
    <col min="8714" max="8714" width="12.140625" style="42" customWidth="1"/>
    <col min="8715" max="8715" width="12.7109375" style="42" bestFit="1" customWidth="1"/>
    <col min="8716" max="8716" width="10.42578125" style="42" customWidth="1"/>
    <col min="8717" max="8717" width="5.140625" style="42" customWidth="1"/>
    <col min="8718" max="8961" width="9" style="42"/>
    <col min="8962" max="8962" width="5.28515625" style="42" customWidth="1"/>
    <col min="8963" max="8963" width="14.28515625" style="42" customWidth="1"/>
    <col min="8964" max="8964" width="9.7109375" style="42" customWidth="1"/>
    <col min="8965" max="8965" width="12.7109375" style="42" bestFit="1" customWidth="1"/>
    <col min="8966" max="8966" width="6" style="42" customWidth="1"/>
    <col min="8967" max="8967" width="12.85546875" style="42" customWidth="1"/>
    <col min="8968" max="8968" width="11.7109375" style="42" bestFit="1" customWidth="1"/>
    <col min="8969" max="8969" width="12.7109375" style="42" bestFit="1" customWidth="1"/>
    <col min="8970" max="8970" width="12.140625" style="42" customWidth="1"/>
    <col min="8971" max="8971" width="12.7109375" style="42" bestFit="1" customWidth="1"/>
    <col min="8972" max="8972" width="10.42578125" style="42" customWidth="1"/>
    <col min="8973" max="8973" width="5.140625" style="42" customWidth="1"/>
    <col min="8974" max="9217" width="9" style="42"/>
    <col min="9218" max="9218" width="5.28515625" style="42" customWidth="1"/>
    <col min="9219" max="9219" width="14.28515625" style="42" customWidth="1"/>
    <col min="9220" max="9220" width="9.7109375" style="42" customWidth="1"/>
    <col min="9221" max="9221" width="12.7109375" style="42" bestFit="1" customWidth="1"/>
    <col min="9222" max="9222" width="6" style="42" customWidth="1"/>
    <col min="9223" max="9223" width="12.85546875" style="42" customWidth="1"/>
    <col min="9224" max="9224" width="11.7109375" style="42" bestFit="1" customWidth="1"/>
    <col min="9225" max="9225" width="12.7109375" style="42" bestFit="1" customWidth="1"/>
    <col min="9226" max="9226" width="12.140625" style="42" customWidth="1"/>
    <col min="9227" max="9227" width="12.7109375" style="42" bestFit="1" customWidth="1"/>
    <col min="9228" max="9228" width="10.42578125" style="42" customWidth="1"/>
    <col min="9229" max="9229" width="5.140625" style="42" customWidth="1"/>
    <col min="9230" max="9473" width="9" style="42"/>
    <col min="9474" max="9474" width="5.28515625" style="42" customWidth="1"/>
    <col min="9475" max="9475" width="14.28515625" style="42" customWidth="1"/>
    <col min="9476" max="9476" width="9.7109375" style="42" customWidth="1"/>
    <col min="9477" max="9477" width="12.7109375" style="42" bestFit="1" customWidth="1"/>
    <col min="9478" max="9478" width="6" style="42" customWidth="1"/>
    <col min="9479" max="9479" width="12.85546875" style="42" customWidth="1"/>
    <col min="9480" max="9480" width="11.7109375" style="42" bestFit="1" customWidth="1"/>
    <col min="9481" max="9481" width="12.7109375" style="42" bestFit="1" customWidth="1"/>
    <col min="9482" max="9482" width="12.140625" style="42" customWidth="1"/>
    <col min="9483" max="9483" width="12.7109375" style="42" bestFit="1" customWidth="1"/>
    <col min="9484" max="9484" width="10.42578125" style="42" customWidth="1"/>
    <col min="9485" max="9485" width="5.140625" style="42" customWidth="1"/>
    <col min="9486" max="9729" width="9" style="42"/>
    <col min="9730" max="9730" width="5.28515625" style="42" customWidth="1"/>
    <col min="9731" max="9731" width="14.28515625" style="42" customWidth="1"/>
    <col min="9732" max="9732" width="9.7109375" style="42" customWidth="1"/>
    <col min="9733" max="9733" width="12.7109375" style="42" bestFit="1" customWidth="1"/>
    <col min="9734" max="9734" width="6" style="42" customWidth="1"/>
    <col min="9735" max="9735" width="12.85546875" style="42" customWidth="1"/>
    <col min="9736" max="9736" width="11.7109375" style="42" bestFit="1" customWidth="1"/>
    <col min="9737" max="9737" width="12.7109375" style="42" bestFit="1" customWidth="1"/>
    <col min="9738" max="9738" width="12.140625" style="42" customWidth="1"/>
    <col min="9739" max="9739" width="12.7109375" style="42" bestFit="1" customWidth="1"/>
    <col min="9740" max="9740" width="10.42578125" style="42" customWidth="1"/>
    <col min="9741" max="9741" width="5.140625" style="42" customWidth="1"/>
    <col min="9742" max="9985" width="9" style="42"/>
    <col min="9986" max="9986" width="5.28515625" style="42" customWidth="1"/>
    <col min="9987" max="9987" width="14.28515625" style="42" customWidth="1"/>
    <col min="9988" max="9988" width="9.7109375" style="42" customWidth="1"/>
    <col min="9989" max="9989" width="12.7109375" style="42" bestFit="1" customWidth="1"/>
    <col min="9990" max="9990" width="6" style="42" customWidth="1"/>
    <col min="9991" max="9991" width="12.85546875" style="42" customWidth="1"/>
    <col min="9992" max="9992" width="11.7109375" style="42" bestFit="1" customWidth="1"/>
    <col min="9993" max="9993" width="12.7109375" style="42" bestFit="1" customWidth="1"/>
    <col min="9994" max="9994" width="12.140625" style="42" customWidth="1"/>
    <col min="9995" max="9995" width="12.7109375" style="42" bestFit="1" customWidth="1"/>
    <col min="9996" max="9996" width="10.42578125" style="42" customWidth="1"/>
    <col min="9997" max="9997" width="5.140625" style="42" customWidth="1"/>
    <col min="9998" max="10241" width="9" style="42"/>
    <col min="10242" max="10242" width="5.28515625" style="42" customWidth="1"/>
    <col min="10243" max="10243" width="14.28515625" style="42" customWidth="1"/>
    <col min="10244" max="10244" width="9.7109375" style="42" customWidth="1"/>
    <col min="10245" max="10245" width="12.7109375" style="42" bestFit="1" customWidth="1"/>
    <col min="10246" max="10246" width="6" style="42" customWidth="1"/>
    <col min="10247" max="10247" width="12.85546875" style="42" customWidth="1"/>
    <col min="10248" max="10248" width="11.7109375" style="42" bestFit="1" customWidth="1"/>
    <col min="10249" max="10249" width="12.7109375" style="42" bestFit="1" customWidth="1"/>
    <col min="10250" max="10250" width="12.140625" style="42" customWidth="1"/>
    <col min="10251" max="10251" width="12.7109375" style="42" bestFit="1" customWidth="1"/>
    <col min="10252" max="10252" width="10.42578125" style="42" customWidth="1"/>
    <col min="10253" max="10253" width="5.140625" style="42" customWidth="1"/>
    <col min="10254" max="10497" width="9" style="42"/>
    <col min="10498" max="10498" width="5.28515625" style="42" customWidth="1"/>
    <col min="10499" max="10499" width="14.28515625" style="42" customWidth="1"/>
    <col min="10500" max="10500" width="9.7109375" style="42" customWidth="1"/>
    <col min="10501" max="10501" width="12.7109375" style="42" bestFit="1" customWidth="1"/>
    <col min="10502" max="10502" width="6" style="42" customWidth="1"/>
    <col min="10503" max="10503" width="12.85546875" style="42" customWidth="1"/>
    <col min="10504" max="10504" width="11.7109375" style="42" bestFit="1" customWidth="1"/>
    <col min="10505" max="10505" width="12.7109375" style="42" bestFit="1" customWidth="1"/>
    <col min="10506" max="10506" width="12.140625" style="42" customWidth="1"/>
    <col min="10507" max="10507" width="12.7109375" style="42" bestFit="1" customWidth="1"/>
    <col min="10508" max="10508" width="10.42578125" style="42" customWidth="1"/>
    <col min="10509" max="10509" width="5.140625" style="42" customWidth="1"/>
    <col min="10510" max="10753" width="9" style="42"/>
    <col min="10754" max="10754" width="5.28515625" style="42" customWidth="1"/>
    <col min="10755" max="10755" width="14.28515625" style="42" customWidth="1"/>
    <col min="10756" max="10756" width="9.7109375" style="42" customWidth="1"/>
    <col min="10757" max="10757" width="12.7109375" style="42" bestFit="1" customWidth="1"/>
    <col min="10758" max="10758" width="6" style="42" customWidth="1"/>
    <col min="10759" max="10759" width="12.85546875" style="42" customWidth="1"/>
    <col min="10760" max="10760" width="11.7109375" style="42" bestFit="1" customWidth="1"/>
    <col min="10761" max="10761" width="12.7109375" style="42" bestFit="1" customWidth="1"/>
    <col min="10762" max="10762" width="12.140625" style="42" customWidth="1"/>
    <col min="10763" max="10763" width="12.7109375" style="42" bestFit="1" customWidth="1"/>
    <col min="10764" max="10764" width="10.42578125" style="42" customWidth="1"/>
    <col min="10765" max="10765" width="5.140625" style="42" customWidth="1"/>
    <col min="10766" max="11009" width="9" style="42"/>
    <col min="11010" max="11010" width="5.28515625" style="42" customWidth="1"/>
    <col min="11011" max="11011" width="14.28515625" style="42" customWidth="1"/>
    <col min="11012" max="11012" width="9.7109375" style="42" customWidth="1"/>
    <col min="11013" max="11013" width="12.7109375" style="42" bestFit="1" customWidth="1"/>
    <col min="11014" max="11014" width="6" style="42" customWidth="1"/>
    <col min="11015" max="11015" width="12.85546875" style="42" customWidth="1"/>
    <col min="11016" max="11016" width="11.7109375" style="42" bestFit="1" customWidth="1"/>
    <col min="11017" max="11017" width="12.7109375" style="42" bestFit="1" customWidth="1"/>
    <col min="11018" max="11018" width="12.140625" style="42" customWidth="1"/>
    <col min="11019" max="11019" width="12.7109375" style="42" bestFit="1" customWidth="1"/>
    <col min="11020" max="11020" width="10.42578125" style="42" customWidth="1"/>
    <col min="11021" max="11021" width="5.140625" style="42" customWidth="1"/>
    <col min="11022" max="11265" width="9" style="42"/>
    <col min="11266" max="11266" width="5.28515625" style="42" customWidth="1"/>
    <col min="11267" max="11267" width="14.28515625" style="42" customWidth="1"/>
    <col min="11268" max="11268" width="9.7109375" style="42" customWidth="1"/>
    <col min="11269" max="11269" width="12.7109375" style="42" bestFit="1" customWidth="1"/>
    <col min="11270" max="11270" width="6" style="42" customWidth="1"/>
    <col min="11271" max="11271" width="12.85546875" style="42" customWidth="1"/>
    <col min="11272" max="11272" width="11.7109375" style="42" bestFit="1" customWidth="1"/>
    <col min="11273" max="11273" width="12.7109375" style="42" bestFit="1" customWidth="1"/>
    <col min="11274" max="11274" width="12.140625" style="42" customWidth="1"/>
    <col min="11275" max="11275" width="12.7109375" style="42" bestFit="1" customWidth="1"/>
    <col min="11276" max="11276" width="10.42578125" style="42" customWidth="1"/>
    <col min="11277" max="11277" width="5.140625" style="42" customWidth="1"/>
    <col min="11278" max="11521" width="9" style="42"/>
    <col min="11522" max="11522" width="5.28515625" style="42" customWidth="1"/>
    <col min="11523" max="11523" width="14.28515625" style="42" customWidth="1"/>
    <col min="11524" max="11524" width="9.7109375" style="42" customWidth="1"/>
    <col min="11525" max="11525" width="12.7109375" style="42" bestFit="1" customWidth="1"/>
    <col min="11526" max="11526" width="6" style="42" customWidth="1"/>
    <col min="11527" max="11527" width="12.85546875" style="42" customWidth="1"/>
    <col min="11528" max="11528" width="11.7109375" style="42" bestFit="1" customWidth="1"/>
    <col min="11529" max="11529" width="12.7109375" style="42" bestFit="1" customWidth="1"/>
    <col min="11530" max="11530" width="12.140625" style="42" customWidth="1"/>
    <col min="11531" max="11531" width="12.7109375" style="42" bestFit="1" customWidth="1"/>
    <col min="11532" max="11532" width="10.42578125" style="42" customWidth="1"/>
    <col min="11533" max="11533" width="5.140625" style="42" customWidth="1"/>
    <col min="11534" max="11777" width="9" style="42"/>
    <col min="11778" max="11778" width="5.28515625" style="42" customWidth="1"/>
    <col min="11779" max="11779" width="14.28515625" style="42" customWidth="1"/>
    <col min="11780" max="11780" width="9.7109375" style="42" customWidth="1"/>
    <col min="11781" max="11781" width="12.7109375" style="42" bestFit="1" customWidth="1"/>
    <col min="11782" max="11782" width="6" style="42" customWidth="1"/>
    <col min="11783" max="11783" width="12.85546875" style="42" customWidth="1"/>
    <col min="11784" max="11784" width="11.7109375" style="42" bestFit="1" customWidth="1"/>
    <col min="11785" max="11785" width="12.7109375" style="42" bestFit="1" customWidth="1"/>
    <col min="11786" max="11786" width="12.140625" style="42" customWidth="1"/>
    <col min="11787" max="11787" width="12.7109375" style="42" bestFit="1" customWidth="1"/>
    <col min="11788" max="11788" width="10.42578125" style="42" customWidth="1"/>
    <col min="11789" max="11789" width="5.140625" style="42" customWidth="1"/>
    <col min="11790" max="12033" width="9" style="42"/>
    <col min="12034" max="12034" width="5.28515625" style="42" customWidth="1"/>
    <col min="12035" max="12035" width="14.28515625" style="42" customWidth="1"/>
    <col min="12036" max="12036" width="9.7109375" style="42" customWidth="1"/>
    <col min="12037" max="12037" width="12.7109375" style="42" bestFit="1" customWidth="1"/>
    <col min="12038" max="12038" width="6" style="42" customWidth="1"/>
    <col min="12039" max="12039" width="12.85546875" style="42" customWidth="1"/>
    <col min="12040" max="12040" width="11.7109375" style="42" bestFit="1" customWidth="1"/>
    <col min="12041" max="12041" width="12.7109375" style="42" bestFit="1" customWidth="1"/>
    <col min="12042" max="12042" width="12.140625" style="42" customWidth="1"/>
    <col min="12043" max="12043" width="12.7109375" style="42" bestFit="1" customWidth="1"/>
    <col min="12044" max="12044" width="10.42578125" style="42" customWidth="1"/>
    <col min="12045" max="12045" width="5.140625" style="42" customWidth="1"/>
    <col min="12046" max="12289" width="9" style="42"/>
    <col min="12290" max="12290" width="5.28515625" style="42" customWidth="1"/>
    <col min="12291" max="12291" width="14.28515625" style="42" customWidth="1"/>
    <col min="12292" max="12292" width="9.7109375" style="42" customWidth="1"/>
    <col min="12293" max="12293" width="12.7109375" style="42" bestFit="1" customWidth="1"/>
    <col min="12294" max="12294" width="6" style="42" customWidth="1"/>
    <col min="12295" max="12295" width="12.85546875" style="42" customWidth="1"/>
    <col min="12296" max="12296" width="11.7109375" style="42" bestFit="1" customWidth="1"/>
    <col min="12297" max="12297" width="12.7109375" style="42" bestFit="1" customWidth="1"/>
    <col min="12298" max="12298" width="12.140625" style="42" customWidth="1"/>
    <col min="12299" max="12299" width="12.7109375" style="42" bestFit="1" customWidth="1"/>
    <col min="12300" max="12300" width="10.42578125" style="42" customWidth="1"/>
    <col min="12301" max="12301" width="5.140625" style="42" customWidth="1"/>
    <col min="12302" max="12545" width="9" style="42"/>
    <col min="12546" max="12546" width="5.28515625" style="42" customWidth="1"/>
    <col min="12547" max="12547" width="14.28515625" style="42" customWidth="1"/>
    <col min="12548" max="12548" width="9.7109375" style="42" customWidth="1"/>
    <col min="12549" max="12549" width="12.7109375" style="42" bestFit="1" customWidth="1"/>
    <col min="12550" max="12550" width="6" style="42" customWidth="1"/>
    <col min="12551" max="12551" width="12.85546875" style="42" customWidth="1"/>
    <col min="12552" max="12552" width="11.7109375" style="42" bestFit="1" customWidth="1"/>
    <col min="12553" max="12553" width="12.7109375" style="42" bestFit="1" customWidth="1"/>
    <col min="12554" max="12554" width="12.140625" style="42" customWidth="1"/>
    <col min="12555" max="12555" width="12.7109375" style="42" bestFit="1" customWidth="1"/>
    <col min="12556" max="12556" width="10.42578125" style="42" customWidth="1"/>
    <col min="12557" max="12557" width="5.140625" style="42" customWidth="1"/>
    <col min="12558" max="12801" width="9" style="42"/>
    <col min="12802" max="12802" width="5.28515625" style="42" customWidth="1"/>
    <col min="12803" max="12803" width="14.28515625" style="42" customWidth="1"/>
    <col min="12804" max="12804" width="9.7109375" style="42" customWidth="1"/>
    <col min="12805" max="12805" width="12.7109375" style="42" bestFit="1" customWidth="1"/>
    <col min="12806" max="12806" width="6" style="42" customWidth="1"/>
    <col min="12807" max="12807" width="12.85546875" style="42" customWidth="1"/>
    <col min="12808" max="12808" width="11.7109375" style="42" bestFit="1" customWidth="1"/>
    <col min="12809" max="12809" width="12.7109375" style="42" bestFit="1" customWidth="1"/>
    <col min="12810" max="12810" width="12.140625" style="42" customWidth="1"/>
    <col min="12811" max="12811" width="12.7109375" style="42" bestFit="1" customWidth="1"/>
    <col min="12812" max="12812" width="10.42578125" style="42" customWidth="1"/>
    <col min="12813" max="12813" width="5.140625" style="42" customWidth="1"/>
    <col min="12814" max="13057" width="9" style="42"/>
    <col min="13058" max="13058" width="5.28515625" style="42" customWidth="1"/>
    <col min="13059" max="13059" width="14.28515625" style="42" customWidth="1"/>
    <col min="13060" max="13060" width="9.7109375" style="42" customWidth="1"/>
    <col min="13061" max="13061" width="12.7109375" style="42" bestFit="1" customWidth="1"/>
    <col min="13062" max="13062" width="6" style="42" customWidth="1"/>
    <col min="13063" max="13063" width="12.85546875" style="42" customWidth="1"/>
    <col min="13064" max="13064" width="11.7109375" style="42" bestFit="1" customWidth="1"/>
    <col min="13065" max="13065" width="12.7109375" style="42" bestFit="1" customWidth="1"/>
    <col min="13066" max="13066" width="12.140625" style="42" customWidth="1"/>
    <col min="13067" max="13067" width="12.7109375" style="42" bestFit="1" customWidth="1"/>
    <col min="13068" max="13068" width="10.42578125" style="42" customWidth="1"/>
    <col min="13069" max="13069" width="5.140625" style="42" customWidth="1"/>
    <col min="13070" max="13313" width="9" style="42"/>
    <col min="13314" max="13314" width="5.28515625" style="42" customWidth="1"/>
    <col min="13315" max="13315" width="14.28515625" style="42" customWidth="1"/>
    <col min="13316" max="13316" width="9.7109375" style="42" customWidth="1"/>
    <col min="13317" max="13317" width="12.7109375" style="42" bestFit="1" customWidth="1"/>
    <col min="13318" max="13318" width="6" style="42" customWidth="1"/>
    <col min="13319" max="13319" width="12.85546875" style="42" customWidth="1"/>
    <col min="13320" max="13320" width="11.7109375" style="42" bestFit="1" customWidth="1"/>
    <col min="13321" max="13321" width="12.7109375" style="42" bestFit="1" customWidth="1"/>
    <col min="13322" max="13322" width="12.140625" style="42" customWidth="1"/>
    <col min="13323" max="13323" width="12.7109375" style="42" bestFit="1" customWidth="1"/>
    <col min="13324" max="13324" width="10.42578125" style="42" customWidth="1"/>
    <col min="13325" max="13325" width="5.140625" style="42" customWidth="1"/>
    <col min="13326" max="13569" width="9" style="42"/>
    <col min="13570" max="13570" width="5.28515625" style="42" customWidth="1"/>
    <col min="13571" max="13571" width="14.28515625" style="42" customWidth="1"/>
    <col min="13572" max="13572" width="9.7109375" style="42" customWidth="1"/>
    <col min="13573" max="13573" width="12.7109375" style="42" bestFit="1" customWidth="1"/>
    <col min="13574" max="13574" width="6" style="42" customWidth="1"/>
    <col min="13575" max="13575" width="12.85546875" style="42" customWidth="1"/>
    <col min="13576" max="13576" width="11.7109375" style="42" bestFit="1" customWidth="1"/>
    <col min="13577" max="13577" width="12.7109375" style="42" bestFit="1" customWidth="1"/>
    <col min="13578" max="13578" width="12.140625" style="42" customWidth="1"/>
    <col min="13579" max="13579" width="12.7109375" style="42" bestFit="1" customWidth="1"/>
    <col min="13580" max="13580" width="10.42578125" style="42" customWidth="1"/>
    <col min="13581" max="13581" width="5.140625" style="42" customWidth="1"/>
    <col min="13582" max="13825" width="9" style="42"/>
    <col min="13826" max="13826" width="5.28515625" style="42" customWidth="1"/>
    <col min="13827" max="13827" width="14.28515625" style="42" customWidth="1"/>
    <col min="13828" max="13828" width="9.7109375" style="42" customWidth="1"/>
    <col min="13829" max="13829" width="12.7109375" style="42" bestFit="1" customWidth="1"/>
    <col min="13830" max="13830" width="6" style="42" customWidth="1"/>
    <col min="13831" max="13831" width="12.85546875" style="42" customWidth="1"/>
    <col min="13832" max="13832" width="11.7109375" style="42" bestFit="1" customWidth="1"/>
    <col min="13833" max="13833" width="12.7109375" style="42" bestFit="1" customWidth="1"/>
    <col min="13834" max="13834" width="12.140625" style="42" customWidth="1"/>
    <col min="13835" max="13835" width="12.7109375" style="42" bestFit="1" customWidth="1"/>
    <col min="13836" max="13836" width="10.42578125" style="42" customWidth="1"/>
    <col min="13837" max="13837" width="5.140625" style="42" customWidth="1"/>
    <col min="13838" max="14081" width="9" style="42"/>
    <col min="14082" max="14082" width="5.28515625" style="42" customWidth="1"/>
    <col min="14083" max="14083" width="14.28515625" style="42" customWidth="1"/>
    <col min="14084" max="14084" width="9.7109375" style="42" customWidth="1"/>
    <col min="14085" max="14085" width="12.7109375" style="42" bestFit="1" customWidth="1"/>
    <col min="14086" max="14086" width="6" style="42" customWidth="1"/>
    <col min="14087" max="14087" width="12.85546875" style="42" customWidth="1"/>
    <col min="14088" max="14088" width="11.7109375" style="42" bestFit="1" customWidth="1"/>
    <col min="14089" max="14089" width="12.7109375" style="42" bestFit="1" customWidth="1"/>
    <col min="14090" max="14090" width="12.140625" style="42" customWidth="1"/>
    <col min="14091" max="14091" width="12.7109375" style="42" bestFit="1" customWidth="1"/>
    <col min="14092" max="14092" width="10.42578125" style="42" customWidth="1"/>
    <col min="14093" max="14093" width="5.140625" style="42" customWidth="1"/>
    <col min="14094" max="14337" width="9" style="42"/>
    <col min="14338" max="14338" width="5.28515625" style="42" customWidth="1"/>
    <col min="14339" max="14339" width="14.28515625" style="42" customWidth="1"/>
    <col min="14340" max="14340" width="9.7109375" style="42" customWidth="1"/>
    <col min="14341" max="14341" width="12.7109375" style="42" bestFit="1" customWidth="1"/>
    <col min="14342" max="14342" width="6" style="42" customWidth="1"/>
    <col min="14343" max="14343" width="12.85546875" style="42" customWidth="1"/>
    <col min="14344" max="14344" width="11.7109375" style="42" bestFit="1" customWidth="1"/>
    <col min="14345" max="14345" width="12.7109375" style="42" bestFit="1" customWidth="1"/>
    <col min="14346" max="14346" width="12.140625" style="42" customWidth="1"/>
    <col min="14347" max="14347" width="12.7109375" style="42" bestFit="1" customWidth="1"/>
    <col min="14348" max="14348" width="10.42578125" style="42" customWidth="1"/>
    <col min="14349" max="14349" width="5.140625" style="42" customWidth="1"/>
    <col min="14350" max="14593" width="9" style="42"/>
    <col min="14594" max="14594" width="5.28515625" style="42" customWidth="1"/>
    <col min="14595" max="14595" width="14.28515625" style="42" customWidth="1"/>
    <col min="14596" max="14596" width="9.7109375" style="42" customWidth="1"/>
    <col min="14597" max="14597" width="12.7109375" style="42" bestFit="1" customWidth="1"/>
    <col min="14598" max="14598" width="6" style="42" customWidth="1"/>
    <col min="14599" max="14599" width="12.85546875" style="42" customWidth="1"/>
    <col min="14600" max="14600" width="11.7109375" style="42" bestFit="1" customWidth="1"/>
    <col min="14601" max="14601" width="12.7109375" style="42" bestFit="1" customWidth="1"/>
    <col min="14602" max="14602" width="12.140625" style="42" customWidth="1"/>
    <col min="14603" max="14603" width="12.7109375" style="42" bestFit="1" customWidth="1"/>
    <col min="14604" max="14604" width="10.42578125" style="42" customWidth="1"/>
    <col min="14605" max="14605" width="5.140625" style="42" customWidth="1"/>
    <col min="14606" max="14849" width="9" style="42"/>
    <col min="14850" max="14850" width="5.28515625" style="42" customWidth="1"/>
    <col min="14851" max="14851" width="14.28515625" style="42" customWidth="1"/>
    <col min="14852" max="14852" width="9.7109375" style="42" customWidth="1"/>
    <col min="14853" max="14853" width="12.7109375" style="42" bestFit="1" customWidth="1"/>
    <col min="14854" max="14854" width="6" style="42" customWidth="1"/>
    <col min="14855" max="14855" width="12.85546875" style="42" customWidth="1"/>
    <col min="14856" max="14856" width="11.7109375" style="42" bestFit="1" customWidth="1"/>
    <col min="14857" max="14857" width="12.7109375" style="42" bestFit="1" customWidth="1"/>
    <col min="14858" max="14858" width="12.140625" style="42" customWidth="1"/>
    <col min="14859" max="14859" width="12.7109375" style="42" bestFit="1" customWidth="1"/>
    <col min="14860" max="14860" width="10.42578125" style="42" customWidth="1"/>
    <col min="14861" max="14861" width="5.140625" style="42" customWidth="1"/>
    <col min="14862" max="15105" width="9" style="42"/>
    <col min="15106" max="15106" width="5.28515625" style="42" customWidth="1"/>
    <col min="15107" max="15107" width="14.28515625" style="42" customWidth="1"/>
    <col min="15108" max="15108" width="9.7109375" style="42" customWidth="1"/>
    <col min="15109" max="15109" width="12.7109375" style="42" bestFit="1" customWidth="1"/>
    <col min="15110" max="15110" width="6" style="42" customWidth="1"/>
    <col min="15111" max="15111" width="12.85546875" style="42" customWidth="1"/>
    <col min="15112" max="15112" width="11.7109375" style="42" bestFit="1" customWidth="1"/>
    <col min="15113" max="15113" width="12.7109375" style="42" bestFit="1" customWidth="1"/>
    <col min="15114" max="15114" width="12.140625" style="42" customWidth="1"/>
    <col min="15115" max="15115" width="12.7109375" style="42" bestFit="1" customWidth="1"/>
    <col min="15116" max="15116" width="10.42578125" style="42" customWidth="1"/>
    <col min="15117" max="15117" width="5.140625" style="42" customWidth="1"/>
    <col min="15118" max="15361" width="9" style="42"/>
    <col min="15362" max="15362" width="5.28515625" style="42" customWidth="1"/>
    <col min="15363" max="15363" width="14.28515625" style="42" customWidth="1"/>
    <col min="15364" max="15364" width="9.7109375" style="42" customWidth="1"/>
    <col min="15365" max="15365" width="12.7109375" style="42" bestFit="1" customWidth="1"/>
    <col min="15366" max="15366" width="6" style="42" customWidth="1"/>
    <col min="15367" max="15367" width="12.85546875" style="42" customWidth="1"/>
    <col min="15368" max="15368" width="11.7109375" style="42" bestFit="1" customWidth="1"/>
    <col min="15369" max="15369" width="12.7109375" style="42" bestFit="1" customWidth="1"/>
    <col min="15370" max="15370" width="12.140625" style="42" customWidth="1"/>
    <col min="15371" max="15371" width="12.7109375" style="42" bestFit="1" customWidth="1"/>
    <col min="15372" max="15372" width="10.42578125" style="42" customWidth="1"/>
    <col min="15373" max="15373" width="5.140625" style="42" customWidth="1"/>
    <col min="15374" max="15617" width="9" style="42"/>
    <col min="15618" max="15618" width="5.28515625" style="42" customWidth="1"/>
    <col min="15619" max="15619" width="14.28515625" style="42" customWidth="1"/>
    <col min="15620" max="15620" width="9.7109375" style="42" customWidth="1"/>
    <col min="15621" max="15621" width="12.7109375" style="42" bestFit="1" customWidth="1"/>
    <col min="15622" max="15622" width="6" style="42" customWidth="1"/>
    <col min="15623" max="15623" width="12.85546875" style="42" customWidth="1"/>
    <col min="15624" max="15624" width="11.7109375" style="42" bestFit="1" customWidth="1"/>
    <col min="15625" max="15625" width="12.7109375" style="42" bestFit="1" customWidth="1"/>
    <col min="15626" max="15626" width="12.140625" style="42" customWidth="1"/>
    <col min="15627" max="15627" width="12.7109375" style="42" bestFit="1" customWidth="1"/>
    <col min="15628" max="15628" width="10.42578125" style="42" customWidth="1"/>
    <col min="15629" max="15629" width="5.140625" style="42" customWidth="1"/>
    <col min="15630" max="15873" width="9" style="42"/>
    <col min="15874" max="15874" width="5.28515625" style="42" customWidth="1"/>
    <col min="15875" max="15875" width="14.28515625" style="42" customWidth="1"/>
    <col min="15876" max="15876" width="9.7109375" style="42" customWidth="1"/>
    <col min="15877" max="15877" width="12.7109375" style="42" bestFit="1" customWidth="1"/>
    <col min="15878" max="15878" width="6" style="42" customWidth="1"/>
    <col min="15879" max="15879" width="12.85546875" style="42" customWidth="1"/>
    <col min="15880" max="15880" width="11.7109375" style="42" bestFit="1" customWidth="1"/>
    <col min="15881" max="15881" width="12.7109375" style="42" bestFit="1" customWidth="1"/>
    <col min="15882" max="15882" width="12.140625" style="42" customWidth="1"/>
    <col min="15883" max="15883" width="12.7109375" style="42" bestFit="1" customWidth="1"/>
    <col min="15884" max="15884" width="10.42578125" style="42" customWidth="1"/>
    <col min="15885" max="15885" width="5.140625" style="42" customWidth="1"/>
    <col min="15886" max="16129" width="9" style="42"/>
    <col min="16130" max="16130" width="5.28515625" style="42" customWidth="1"/>
    <col min="16131" max="16131" width="14.28515625" style="42" customWidth="1"/>
    <col min="16132" max="16132" width="9.7109375" style="42" customWidth="1"/>
    <col min="16133" max="16133" width="12.7109375" style="42" bestFit="1" customWidth="1"/>
    <col min="16134" max="16134" width="6" style="42" customWidth="1"/>
    <col min="16135" max="16135" width="12.85546875" style="42" customWidth="1"/>
    <col min="16136" max="16136" width="11.7109375" style="42" bestFit="1" customWidth="1"/>
    <col min="16137" max="16137" width="12.7109375" style="42" bestFit="1" customWidth="1"/>
    <col min="16138" max="16138" width="12.140625" style="42" customWidth="1"/>
    <col min="16139" max="16139" width="12.7109375" style="42" bestFit="1" customWidth="1"/>
    <col min="16140" max="16140" width="10.42578125" style="42" customWidth="1"/>
    <col min="16141" max="16141" width="5.140625" style="42" customWidth="1"/>
    <col min="16142" max="16384" width="9" style="42"/>
  </cols>
  <sheetData>
    <row r="1" spans="1:13" s="37" customFormat="1" ht="14.25" x14ac:dyDescent="0.2">
      <c r="A1" s="466" t="s">
        <v>0</v>
      </c>
      <c r="B1" s="466"/>
      <c r="C1" s="466"/>
      <c r="D1" s="466"/>
      <c r="E1" s="77"/>
      <c r="F1" s="467" t="s">
        <v>1</v>
      </c>
      <c r="G1" s="467"/>
      <c r="H1" s="467"/>
      <c r="I1" s="467"/>
      <c r="J1" s="467"/>
      <c r="K1" s="467"/>
      <c r="L1" s="467"/>
    </row>
    <row r="2" spans="1:13" s="37" customFormat="1" ht="14.25" x14ac:dyDescent="0.2">
      <c r="A2" s="468" t="s">
        <v>398</v>
      </c>
      <c r="B2" s="468"/>
      <c r="C2" s="468"/>
      <c r="D2" s="468"/>
      <c r="E2" s="77"/>
      <c r="F2" s="469" t="s">
        <v>3</v>
      </c>
      <c r="G2" s="469"/>
      <c r="H2" s="469"/>
      <c r="I2" s="469"/>
      <c r="J2" s="469"/>
      <c r="K2" s="469"/>
      <c r="L2" s="469"/>
    </row>
    <row r="3" spans="1:13" s="37" customFormat="1" ht="14.25" x14ac:dyDescent="0.2">
      <c r="A3" s="38"/>
      <c r="B3" s="38"/>
      <c r="C3" s="38"/>
      <c r="E3" s="78"/>
      <c r="F3" s="78"/>
      <c r="G3" s="129"/>
      <c r="H3" s="39"/>
      <c r="I3" s="78"/>
      <c r="J3" s="78"/>
    </row>
    <row r="4" spans="1:13" s="40" customFormat="1" ht="26.25" x14ac:dyDescent="0.25">
      <c r="A4" s="470" t="s">
        <v>69</v>
      </c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</row>
    <row r="5" spans="1:13" s="41" customFormat="1" x14ac:dyDescent="0.25">
      <c r="A5" s="471" t="s">
        <v>399</v>
      </c>
      <c r="B5" s="471"/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</row>
    <row r="6" spans="1:13" x14ac:dyDescent="0.25">
      <c r="K6" s="472" t="s">
        <v>70</v>
      </c>
      <c r="L6" s="472"/>
      <c r="M6" s="472"/>
    </row>
    <row r="7" spans="1:13" ht="51" x14ac:dyDescent="0.25">
      <c r="A7" s="319" t="s">
        <v>18</v>
      </c>
      <c r="B7" s="320" t="s">
        <v>71</v>
      </c>
      <c r="C7" s="320" t="s">
        <v>72</v>
      </c>
      <c r="D7" s="320" t="s">
        <v>73</v>
      </c>
      <c r="E7" s="321" t="s">
        <v>74</v>
      </c>
      <c r="F7" s="319" t="s">
        <v>400</v>
      </c>
      <c r="G7" s="319" t="s">
        <v>143</v>
      </c>
      <c r="H7" s="319" t="s">
        <v>75</v>
      </c>
      <c r="I7" s="319" t="s">
        <v>234</v>
      </c>
      <c r="J7" s="319" t="s">
        <v>235</v>
      </c>
      <c r="K7" s="319" t="s">
        <v>76</v>
      </c>
      <c r="L7" s="322" t="s">
        <v>77</v>
      </c>
      <c r="M7" s="319" t="s">
        <v>20</v>
      </c>
    </row>
    <row r="8" spans="1:13" ht="25.5" x14ac:dyDescent="0.25">
      <c r="A8" s="319"/>
      <c r="B8" s="320"/>
      <c r="C8" s="320"/>
      <c r="D8" s="320"/>
      <c r="E8" s="321"/>
      <c r="F8" s="319" t="s">
        <v>401</v>
      </c>
      <c r="G8" s="319" t="s">
        <v>402</v>
      </c>
      <c r="H8" s="321" t="s">
        <v>78</v>
      </c>
      <c r="I8" s="321" t="s">
        <v>79</v>
      </c>
      <c r="J8" s="321" t="s">
        <v>144</v>
      </c>
      <c r="K8" s="322" t="s">
        <v>145</v>
      </c>
      <c r="L8" s="320"/>
      <c r="M8" s="319"/>
    </row>
    <row r="9" spans="1:13" s="47" customFormat="1" ht="12.75" customHeight="1" x14ac:dyDescent="0.25">
      <c r="A9" s="460" t="s">
        <v>80</v>
      </c>
      <c r="B9" s="461"/>
      <c r="C9" s="461"/>
      <c r="D9" s="461"/>
      <c r="E9" s="462"/>
      <c r="F9" s="323">
        <f>SUM(F10:F13)</f>
        <v>31307692.307692308</v>
      </c>
      <c r="G9" s="323">
        <f t="shared" ref="G9:K9" si="0">SUM(G10:G13)</f>
        <v>9392307.692307692</v>
      </c>
      <c r="H9" s="323">
        <f t="shared" si="0"/>
        <v>2852650</v>
      </c>
      <c r="I9" s="323">
        <f t="shared" si="0"/>
        <v>13000000</v>
      </c>
      <c r="J9" s="323">
        <f t="shared" si="0"/>
        <v>66018473</v>
      </c>
      <c r="K9" s="323">
        <f t="shared" si="0"/>
        <v>72081207.615384609</v>
      </c>
      <c r="L9" s="320"/>
      <c r="M9" s="319"/>
    </row>
    <row r="10" spans="1:13" ht="25.5" x14ac:dyDescent="0.25">
      <c r="A10" s="313">
        <v>1</v>
      </c>
      <c r="B10" s="313" t="s">
        <v>45</v>
      </c>
      <c r="C10" s="314" t="s">
        <v>81</v>
      </c>
      <c r="D10" s="80">
        <v>15000000</v>
      </c>
      <c r="E10" s="86">
        <f>'bảng chấm công'!AI12</f>
        <v>26</v>
      </c>
      <c r="F10" s="80">
        <f>D10/26*E10</f>
        <v>14999999.999999998</v>
      </c>
      <c r="G10" s="80">
        <f>F10*30%</f>
        <v>4499999.9999999991</v>
      </c>
      <c r="H10" s="79"/>
      <c r="I10" s="79"/>
      <c r="J10" s="79">
        <v>26307692</v>
      </c>
      <c r="K10" s="79">
        <f>F10-G10-H10-I10+J10</f>
        <v>36807692</v>
      </c>
      <c r="L10" s="79"/>
      <c r="M10" s="313"/>
    </row>
    <row r="11" spans="1:13" ht="38.25" x14ac:dyDescent="0.25">
      <c r="A11" s="43">
        <v>2</v>
      </c>
      <c r="B11" s="43" t="s">
        <v>82</v>
      </c>
      <c r="C11" s="44" t="s">
        <v>83</v>
      </c>
      <c r="D11" s="45">
        <v>10000000</v>
      </c>
      <c r="E11" s="84">
        <f>'bảng chấm công'!AI13</f>
        <v>13</v>
      </c>
      <c r="F11" s="45">
        <f t="shared" ref="F11:F13" si="1">D11/26*E11</f>
        <v>5000000</v>
      </c>
      <c r="G11" s="45">
        <f t="shared" ref="G11:G12" si="2">F11*30%</f>
        <v>1500000</v>
      </c>
      <c r="H11" s="46">
        <f>H15</f>
        <v>1716900</v>
      </c>
      <c r="I11" s="46">
        <v>4000000</v>
      </c>
      <c r="J11" s="46">
        <v>8176923</v>
      </c>
      <c r="K11" s="46">
        <f t="shared" ref="K11:K13" si="3">F11-G11-H11-I11+J11</f>
        <v>5960023</v>
      </c>
      <c r="L11" s="46"/>
      <c r="M11" s="43"/>
    </row>
    <row r="12" spans="1:13" ht="51" x14ac:dyDescent="0.25">
      <c r="A12" s="43">
        <v>3</v>
      </c>
      <c r="B12" s="43" t="s">
        <v>84</v>
      </c>
      <c r="C12" s="44" t="s">
        <v>85</v>
      </c>
      <c r="D12" s="45">
        <v>6000000</v>
      </c>
      <c r="E12" s="84">
        <f>'bảng chấm công'!AI16</f>
        <v>26</v>
      </c>
      <c r="F12" s="45">
        <f t="shared" si="1"/>
        <v>6000000</v>
      </c>
      <c r="G12" s="45">
        <f t="shared" si="2"/>
        <v>1800000</v>
      </c>
      <c r="H12" s="46">
        <f>'DOANH THU'!M64+'DOANH THU'!M65</f>
        <v>811250.00000000023</v>
      </c>
      <c r="I12" s="46">
        <v>3000000</v>
      </c>
      <c r="J12" s="46">
        <v>23369231</v>
      </c>
      <c r="K12" s="46">
        <f t="shared" si="3"/>
        <v>23757981</v>
      </c>
      <c r="L12" s="46"/>
      <c r="M12" s="43"/>
    </row>
    <row r="13" spans="1:13" ht="25.5" x14ac:dyDescent="0.25">
      <c r="A13" s="48">
        <v>4</v>
      </c>
      <c r="B13" s="48" t="s">
        <v>44</v>
      </c>
      <c r="C13" s="49" t="s">
        <v>86</v>
      </c>
      <c r="D13" s="50">
        <v>6000000</v>
      </c>
      <c r="E13" s="85">
        <f>'bảng chấm công'!AI15</f>
        <v>23</v>
      </c>
      <c r="F13" s="50">
        <f t="shared" si="1"/>
        <v>5307692.307692308</v>
      </c>
      <c r="G13" s="50">
        <f>F13*30%</f>
        <v>1592307.6923076923</v>
      </c>
      <c r="H13" s="51">
        <f>'DOANH THU'!N87</f>
        <v>324500.00000000006</v>
      </c>
      <c r="I13" s="51">
        <v>6000000</v>
      </c>
      <c r="J13" s="51">
        <v>8164627</v>
      </c>
      <c r="K13" s="51">
        <f t="shared" si="3"/>
        <v>5555511.615384616</v>
      </c>
      <c r="L13" s="51"/>
      <c r="M13" s="48"/>
    </row>
    <row r="14" spans="1:13" s="47" customFormat="1" x14ac:dyDescent="0.25">
      <c r="A14" s="463" t="s">
        <v>87</v>
      </c>
      <c r="B14" s="464"/>
      <c r="C14" s="464"/>
      <c r="D14" s="464"/>
      <c r="E14" s="465"/>
      <c r="F14" s="324">
        <f>SUM(F15:F17)</f>
        <v>11653846.153846154</v>
      </c>
      <c r="G14" s="324">
        <f t="shared" ref="G14:K14" si="4">SUM(G15:G17)</f>
        <v>3150000</v>
      </c>
      <c r="H14" s="324">
        <f t="shared" si="4"/>
        <v>1716900</v>
      </c>
      <c r="I14" s="324">
        <f t="shared" si="4"/>
        <v>2000000</v>
      </c>
      <c r="J14" s="324">
        <f t="shared" si="4"/>
        <v>3503758</v>
      </c>
      <c r="K14" s="324">
        <f t="shared" si="4"/>
        <v>8290704.153846154</v>
      </c>
      <c r="L14" s="325"/>
      <c r="M14" s="320"/>
    </row>
    <row r="15" spans="1:13" ht="38.25" x14ac:dyDescent="0.25">
      <c r="A15" s="318">
        <v>1</v>
      </c>
      <c r="B15" s="318" t="s">
        <v>88</v>
      </c>
      <c r="C15" s="315" t="s">
        <v>83</v>
      </c>
      <c r="D15" s="316">
        <v>10000000</v>
      </c>
      <c r="E15" s="86">
        <f>'bảng chấm công'!AI17</f>
        <v>13</v>
      </c>
      <c r="F15" s="80">
        <f>D15/2</f>
        <v>5000000</v>
      </c>
      <c r="G15" s="80">
        <f>(F15*30%)</f>
        <v>1500000</v>
      </c>
      <c r="H15" s="317">
        <f>3433800/2</f>
        <v>1716900</v>
      </c>
      <c r="I15" s="317"/>
      <c r="J15" s="79">
        <v>0</v>
      </c>
      <c r="K15" s="79">
        <f>F15-G15-H15-I15+J15</f>
        <v>1783100</v>
      </c>
      <c r="L15" s="317"/>
      <c r="M15" s="318"/>
    </row>
    <row r="16" spans="1:13" ht="25.5" x14ac:dyDescent="0.25">
      <c r="A16" s="48">
        <v>2</v>
      </c>
      <c r="B16" s="49" t="s">
        <v>299</v>
      </c>
      <c r="C16" s="49"/>
      <c r="D16" s="50">
        <v>3000000</v>
      </c>
      <c r="E16" s="84">
        <v>26</v>
      </c>
      <c r="F16" s="50">
        <f>D16/26*E16</f>
        <v>3000000</v>
      </c>
      <c r="G16" s="45">
        <f>F16*30%</f>
        <v>900000</v>
      </c>
      <c r="H16" s="51"/>
      <c r="I16" s="51">
        <v>0</v>
      </c>
      <c r="J16" s="51">
        <v>0</v>
      </c>
      <c r="K16" s="46">
        <f>F16-G16-H16-I16+J16</f>
        <v>2100000</v>
      </c>
      <c r="L16" s="51"/>
      <c r="M16" s="48"/>
    </row>
    <row r="17" spans="1:13" ht="25.5" x14ac:dyDescent="0.25">
      <c r="A17" s="52">
        <v>3</v>
      </c>
      <c r="B17" s="52" t="s">
        <v>89</v>
      </c>
      <c r="C17" s="53" t="s">
        <v>90</v>
      </c>
      <c r="D17" s="54">
        <v>5000000</v>
      </c>
      <c r="E17" s="84">
        <f>'bảng chấm công'!AI14</f>
        <v>19</v>
      </c>
      <c r="F17" s="54">
        <f>D17/26*E17</f>
        <v>3653846.153846154</v>
      </c>
      <c r="G17" s="45">
        <f>(D17*30%)/2</f>
        <v>750000</v>
      </c>
      <c r="H17" s="55"/>
      <c r="I17" s="55">
        <v>2000000</v>
      </c>
      <c r="J17" s="51">
        <v>3503758</v>
      </c>
      <c r="K17" s="46">
        <f>F17-G17-H17-I17+J17</f>
        <v>4407604.153846154</v>
      </c>
      <c r="L17" s="55"/>
      <c r="M17" s="52"/>
    </row>
    <row r="18" spans="1:13" s="56" customFormat="1" ht="14.25" x14ac:dyDescent="0.25">
      <c r="A18" s="459" t="s">
        <v>43</v>
      </c>
      <c r="B18" s="459"/>
      <c r="C18" s="459"/>
      <c r="D18" s="82"/>
      <c r="E18" s="83"/>
      <c r="F18" s="82">
        <f>F14+F9</f>
        <v>42961538.461538464</v>
      </c>
      <c r="G18" s="82">
        <f t="shared" ref="G18:K18" si="5">G14+G9</f>
        <v>12542307.692307692</v>
      </c>
      <c r="H18" s="82">
        <f t="shared" si="5"/>
        <v>4569550</v>
      </c>
      <c r="I18" s="82">
        <f t="shared" si="5"/>
        <v>15000000</v>
      </c>
      <c r="J18" s="82">
        <f t="shared" si="5"/>
        <v>69522231</v>
      </c>
      <c r="K18" s="82">
        <f t="shared" si="5"/>
        <v>80371911.769230768</v>
      </c>
      <c r="L18" s="81"/>
      <c r="M18" s="81"/>
    </row>
    <row r="20" spans="1:13" s="56" customFormat="1" ht="14.25" x14ac:dyDescent="0.25">
      <c r="B20" s="309" t="s">
        <v>395</v>
      </c>
      <c r="C20" s="309"/>
      <c r="D20" s="309"/>
      <c r="F20" s="309" t="s">
        <v>189</v>
      </c>
      <c r="G20" s="309"/>
      <c r="I20" s="124"/>
      <c r="J20" s="309" t="s">
        <v>396</v>
      </c>
      <c r="K20" s="124"/>
    </row>
    <row r="21" spans="1:13" s="310" customFormat="1" ht="12" x14ac:dyDescent="0.25">
      <c r="B21" s="311" t="s">
        <v>397</v>
      </c>
      <c r="C21" s="311"/>
      <c r="D21" s="311"/>
      <c r="F21" s="311" t="s">
        <v>397</v>
      </c>
      <c r="G21" s="311"/>
      <c r="I21" s="312"/>
      <c r="J21" s="311" t="s">
        <v>397</v>
      </c>
      <c r="K21" s="312"/>
    </row>
    <row r="22" spans="1:13" s="59" customFormat="1" ht="15" x14ac:dyDescent="0.25">
      <c r="C22" s="3"/>
      <c r="E22" s="156"/>
      <c r="F22" s="4"/>
      <c r="G22" s="4"/>
      <c r="H22" s="4"/>
      <c r="I22" s="3"/>
      <c r="J22" s="4"/>
    </row>
    <row r="23" spans="1:13" x14ac:dyDescent="0.25">
      <c r="F23" s="148"/>
    </row>
    <row r="25" spans="1:13" s="96" customFormat="1" ht="15" x14ac:dyDescent="0.25">
      <c r="C25" s="87"/>
      <c r="F25" s="101"/>
      <c r="G25" s="101"/>
      <c r="H25" s="101"/>
      <c r="I25" s="128"/>
    </row>
  </sheetData>
  <mergeCells count="10">
    <mergeCell ref="A18:C18"/>
    <mergeCell ref="A9:E9"/>
    <mergeCell ref="A14:E14"/>
    <mergeCell ref="A1:D1"/>
    <mergeCell ref="F1:L1"/>
    <mergeCell ref="A2:D2"/>
    <mergeCell ref="F2:L2"/>
    <mergeCell ref="A4:M4"/>
    <mergeCell ref="A5:M5"/>
    <mergeCell ref="K6:M6"/>
  </mergeCells>
  <pageMargins left="0.26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3" workbookViewId="0">
      <selection activeCell="G23" sqref="G23"/>
    </sheetView>
  </sheetViews>
  <sheetFormatPr defaultColWidth="9.140625" defaultRowHeight="15" x14ac:dyDescent="0.25"/>
  <cols>
    <col min="1" max="1" width="8.28515625" style="58" customWidth="1"/>
    <col min="2" max="2" width="15.5703125" style="58" customWidth="1"/>
    <col min="3" max="3" width="13.140625" style="58" customWidth="1"/>
    <col min="4" max="5" width="11.85546875" style="58" customWidth="1"/>
    <col min="6" max="6" width="16.140625" style="58" customWidth="1"/>
    <col min="7" max="7" width="14.7109375" style="58" customWidth="1"/>
    <col min="8" max="8" width="17" style="58" customWidth="1"/>
    <col min="9" max="9" width="20.140625" style="58" customWidth="1"/>
    <col min="10" max="12" width="9.140625" style="58"/>
    <col min="13" max="13" width="13.28515625" style="58" bestFit="1" customWidth="1"/>
    <col min="14" max="16384" width="9.140625" style="58"/>
  </cols>
  <sheetData>
    <row r="1" spans="1:11" ht="15.75" x14ac:dyDescent="0.25">
      <c r="A1" s="490" t="s">
        <v>0</v>
      </c>
      <c r="B1" s="490"/>
      <c r="C1" s="490"/>
      <c r="D1" s="490"/>
      <c r="E1" s="490"/>
      <c r="F1" s="231"/>
      <c r="G1" s="231"/>
      <c r="H1" s="231"/>
      <c r="I1" s="231"/>
      <c r="J1" s="232"/>
      <c r="K1" s="232"/>
    </row>
    <row r="2" spans="1:11" ht="15.75" x14ac:dyDescent="0.25">
      <c r="A2" s="233" t="s">
        <v>393</v>
      </c>
      <c r="B2" s="233"/>
      <c r="C2" s="233"/>
      <c r="D2" s="233"/>
      <c r="E2" s="233"/>
      <c r="F2" s="234"/>
      <c r="G2" s="234"/>
      <c r="H2" s="234"/>
      <c r="I2" s="234"/>
      <c r="J2" s="232"/>
      <c r="K2" s="232"/>
    </row>
    <row r="3" spans="1:11" ht="15.75" x14ac:dyDescent="0.25">
      <c r="A3" s="235"/>
      <c r="B3" s="236"/>
      <c r="C3" s="232"/>
      <c r="D3" s="232"/>
      <c r="E3" s="232"/>
      <c r="F3" s="234"/>
      <c r="G3" s="234"/>
      <c r="H3" s="234"/>
      <c r="I3" s="234"/>
      <c r="J3" s="232"/>
      <c r="K3" s="232"/>
    </row>
    <row r="4" spans="1:11" ht="15.75" x14ac:dyDescent="0.25">
      <c r="A4" s="491" t="s">
        <v>287</v>
      </c>
      <c r="B4" s="491"/>
      <c r="C4" s="491"/>
      <c r="D4" s="491"/>
      <c r="E4" s="491"/>
      <c r="F4" s="491"/>
      <c r="G4" s="491"/>
      <c r="H4" s="491"/>
      <c r="I4" s="237"/>
      <c r="J4" s="232"/>
      <c r="K4" s="232"/>
    </row>
    <row r="5" spans="1:11" ht="15.75" x14ac:dyDescent="0.25">
      <c r="A5" s="238"/>
      <c r="B5" s="239"/>
      <c r="C5" s="240"/>
      <c r="D5" s="240"/>
      <c r="E5" s="240"/>
      <c r="F5" s="240"/>
      <c r="G5" s="240"/>
      <c r="H5" s="240"/>
      <c r="I5" s="237"/>
      <c r="J5" s="232"/>
      <c r="K5" s="232"/>
    </row>
    <row r="6" spans="1:11" ht="15.75" x14ac:dyDescent="0.25">
      <c r="A6" s="492" t="s">
        <v>91</v>
      </c>
      <c r="B6" s="493" t="s">
        <v>27</v>
      </c>
      <c r="C6" s="494" t="s">
        <v>29</v>
      </c>
      <c r="D6" s="494"/>
      <c r="E6" s="494"/>
      <c r="F6" s="494"/>
      <c r="G6" s="495"/>
      <c r="H6" s="492" t="s">
        <v>30</v>
      </c>
      <c r="I6" s="474" t="s">
        <v>7</v>
      </c>
      <c r="J6" s="232"/>
      <c r="K6" s="232"/>
    </row>
    <row r="7" spans="1:11" ht="31.5" x14ac:dyDescent="0.25">
      <c r="A7" s="492"/>
      <c r="B7" s="493"/>
      <c r="C7" s="241" t="s">
        <v>31</v>
      </c>
      <c r="D7" s="241" t="s">
        <v>32</v>
      </c>
      <c r="E7" s="241" t="s">
        <v>33</v>
      </c>
      <c r="F7" s="241" t="s">
        <v>34</v>
      </c>
      <c r="G7" s="242" t="s">
        <v>35</v>
      </c>
      <c r="H7" s="492"/>
      <c r="I7" s="475"/>
      <c r="J7" s="232"/>
      <c r="K7" s="232"/>
    </row>
    <row r="8" spans="1:11" ht="15.75" x14ac:dyDescent="0.25">
      <c r="A8" s="243">
        <v>331</v>
      </c>
      <c r="B8" s="244">
        <v>43937</v>
      </c>
      <c r="C8" s="245" t="s">
        <v>36</v>
      </c>
      <c r="D8" s="245">
        <v>24</v>
      </c>
      <c r="E8" s="246">
        <v>455000</v>
      </c>
      <c r="F8" s="247">
        <v>10920000</v>
      </c>
      <c r="G8" s="248">
        <v>0.41</v>
      </c>
      <c r="H8" s="249">
        <v>6442800.0000000009</v>
      </c>
      <c r="I8" s="250"/>
      <c r="J8" s="251"/>
      <c r="K8" s="232"/>
    </row>
    <row r="9" spans="1:11" ht="15.75" x14ac:dyDescent="0.25">
      <c r="A9" s="476">
        <v>452</v>
      </c>
      <c r="B9" s="479">
        <v>43942</v>
      </c>
      <c r="C9" s="252" t="s">
        <v>36</v>
      </c>
      <c r="D9" s="252">
        <v>24</v>
      </c>
      <c r="E9" s="253">
        <v>455000</v>
      </c>
      <c r="F9" s="254">
        <v>10920000</v>
      </c>
      <c r="G9" s="255">
        <v>0.41</v>
      </c>
      <c r="H9" s="256">
        <v>6442800.0000000009</v>
      </c>
      <c r="I9" s="257"/>
      <c r="J9" s="232"/>
      <c r="K9" s="232"/>
    </row>
    <row r="10" spans="1:11" ht="15.75" x14ac:dyDescent="0.25">
      <c r="A10" s="477"/>
      <c r="B10" s="480"/>
      <c r="C10" s="258" t="s">
        <v>39</v>
      </c>
      <c r="D10" s="258">
        <v>12</v>
      </c>
      <c r="E10" s="259">
        <v>455000</v>
      </c>
      <c r="F10" s="260">
        <v>5460000</v>
      </c>
      <c r="G10" s="261">
        <v>0.41</v>
      </c>
      <c r="H10" s="262">
        <v>3221400.0000000005</v>
      </c>
      <c r="I10" s="263"/>
      <c r="J10" s="232"/>
      <c r="K10" s="232"/>
    </row>
    <row r="11" spans="1:11" ht="15.75" x14ac:dyDescent="0.25">
      <c r="A11" s="478"/>
      <c r="B11" s="481"/>
      <c r="C11" s="264" t="s">
        <v>66</v>
      </c>
      <c r="D11" s="264">
        <v>12</v>
      </c>
      <c r="E11" s="265">
        <v>455000</v>
      </c>
      <c r="F11" s="266">
        <v>5460000</v>
      </c>
      <c r="G11" s="267">
        <v>0.41</v>
      </c>
      <c r="H11" s="268">
        <v>3221400.0000000005</v>
      </c>
      <c r="I11" s="269"/>
      <c r="J11" s="232"/>
      <c r="K11" s="251"/>
    </row>
    <row r="12" spans="1:11" ht="15.75" x14ac:dyDescent="0.25">
      <c r="A12" s="270"/>
      <c r="B12" s="271" t="s">
        <v>43</v>
      </c>
      <c r="C12" s="272"/>
      <c r="D12" s="272">
        <v>72</v>
      </c>
      <c r="E12" s="272"/>
      <c r="F12" s="273">
        <v>32760000</v>
      </c>
      <c r="G12" s="272"/>
      <c r="H12" s="273">
        <v>19328400.000000004</v>
      </c>
      <c r="I12" s="274"/>
      <c r="J12" s="232"/>
      <c r="K12" s="232"/>
    </row>
    <row r="13" spans="1:11" ht="15.75" x14ac:dyDescent="0.25">
      <c r="A13" s="482" t="s">
        <v>288</v>
      </c>
      <c r="B13" s="482"/>
      <c r="C13" s="482"/>
      <c r="D13" s="482"/>
      <c r="E13" s="482"/>
      <c r="F13" s="482"/>
      <c r="G13" s="482"/>
      <c r="H13" s="482"/>
      <c r="I13" s="275">
        <v>19328400.000000004</v>
      </c>
      <c r="J13" s="232"/>
      <c r="K13" s="232"/>
    </row>
    <row r="14" spans="1:11" ht="15.75" x14ac:dyDescent="0.25">
      <c r="A14" s="482" t="s">
        <v>289</v>
      </c>
      <c r="B14" s="482"/>
      <c r="C14" s="482"/>
      <c r="D14" s="482"/>
      <c r="E14" s="482"/>
      <c r="F14" s="482"/>
      <c r="G14" s="482"/>
      <c r="H14" s="482"/>
      <c r="I14" s="275">
        <v>23794300</v>
      </c>
      <c r="J14" s="232"/>
      <c r="K14" s="232"/>
    </row>
    <row r="15" spans="1:11" ht="15.75" x14ac:dyDescent="0.25">
      <c r="A15" s="483" t="s">
        <v>290</v>
      </c>
      <c r="B15" s="484"/>
      <c r="C15" s="484"/>
      <c r="D15" s="484"/>
      <c r="E15" s="484"/>
      <c r="F15" s="484"/>
      <c r="G15" s="484"/>
      <c r="H15" s="485"/>
      <c r="I15" s="275">
        <v>10000000</v>
      </c>
      <c r="J15" s="232"/>
      <c r="K15" s="232"/>
    </row>
    <row r="16" spans="1:11" ht="15.75" x14ac:dyDescent="0.25">
      <c r="A16" s="483" t="s">
        <v>291</v>
      </c>
      <c r="B16" s="484"/>
      <c r="C16" s="484"/>
      <c r="D16" s="484"/>
      <c r="E16" s="484"/>
      <c r="F16" s="484"/>
      <c r="G16" s="484"/>
      <c r="H16" s="485"/>
      <c r="I16" s="275">
        <v>7538461.538461539</v>
      </c>
      <c r="J16" s="232"/>
      <c r="K16" s="232"/>
    </row>
    <row r="17" spans="1:13" ht="15.75" x14ac:dyDescent="0.25">
      <c r="A17" s="483" t="s">
        <v>292</v>
      </c>
      <c r="B17" s="484"/>
      <c r="C17" s="484"/>
      <c r="D17" s="484"/>
      <c r="E17" s="484"/>
      <c r="F17" s="484"/>
      <c r="G17" s="484"/>
      <c r="H17" s="485"/>
      <c r="I17" s="275">
        <v>1783100</v>
      </c>
      <c r="J17" s="232"/>
      <c r="K17" s="232"/>
    </row>
    <row r="18" spans="1:13" ht="15.75" x14ac:dyDescent="0.25">
      <c r="A18" s="483" t="s">
        <v>355</v>
      </c>
      <c r="B18" s="484"/>
      <c r="C18" s="484"/>
      <c r="D18" s="484"/>
      <c r="E18" s="484"/>
      <c r="F18" s="484"/>
      <c r="G18" s="484"/>
      <c r="H18" s="485"/>
      <c r="I18" s="275">
        <f>(450000*37)*(1-35%)</f>
        <v>10822500</v>
      </c>
      <c r="J18" s="232"/>
      <c r="K18" s="232"/>
      <c r="M18" s="303"/>
    </row>
    <row r="19" spans="1:13" ht="15.75" x14ac:dyDescent="0.25">
      <c r="A19" s="483" t="s">
        <v>356</v>
      </c>
      <c r="B19" s="484"/>
      <c r="C19" s="484"/>
      <c r="D19" s="484"/>
      <c r="E19" s="484"/>
      <c r="F19" s="484"/>
      <c r="G19" s="484"/>
      <c r="H19" s="485"/>
      <c r="I19" s="275">
        <v>9800000</v>
      </c>
      <c r="J19" s="232"/>
      <c r="K19" s="232"/>
    </row>
    <row r="20" spans="1:13" ht="15.75" x14ac:dyDescent="0.25">
      <c r="A20" s="486" t="s">
        <v>357</v>
      </c>
      <c r="B20" s="487"/>
      <c r="C20" s="487"/>
      <c r="D20" s="487"/>
      <c r="E20" s="487"/>
      <c r="F20" s="487"/>
      <c r="G20" s="487"/>
      <c r="H20" s="488"/>
      <c r="I20" s="276">
        <f>I13+I14-I15-I16-I17-I18-I19</f>
        <v>3178638.4615384601</v>
      </c>
    </row>
    <row r="21" spans="1:13" ht="15.75" x14ac:dyDescent="0.25">
      <c r="A21" s="277"/>
      <c r="B21" s="277"/>
      <c r="C21" s="277"/>
      <c r="D21" s="277"/>
      <c r="E21" s="277"/>
      <c r="F21" s="277"/>
      <c r="G21" s="277"/>
      <c r="H21" s="277"/>
      <c r="I21" s="278"/>
    </row>
    <row r="22" spans="1:13" s="56" customFormat="1" ht="14.25" x14ac:dyDescent="0.25">
      <c r="B22" s="309" t="s">
        <v>395</v>
      </c>
      <c r="C22" s="309"/>
      <c r="D22" s="309"/>
      <c r="E22" s="309" t="s">
        <v>189</v>
      </c>
      <c r="G22" s="309"/>
      <c r="H22" s="309" t="s">
        <v>396</v>
      </c>
      <c r="I22" s="124"/>
      <c r="J22" s="124"/>
      <c r="K22" s="124"/>
    </row>
    <row r="23" spans="1:13" s="310" customFormat="1" ht="12" x14ac:dyDescent="0.25">
      <c r="B23" s="311" t="s">
        <v>397</v>
      </c>
      <c r="C23" s="311"/>
      <c r="D23" s="311"/>
      <c r="E23" s="311" t="s">
        <v>397</v>
      </c>
      <c r="G23" s="311"/>
      <c r="H23" s="311" t="s">
        <v>397</v>
      </c>
      <c r="I23" s="312"/>
      <c r="J23" s="312"/>
      <c r="K23" s="312"/>
    </row>
    <row r="25" spans="1:13" ht="15.75" x14ac:dyDescent="0.25">
      <c r="A25" s="489"/>
      <c r="B25" s="489"/>
      <c r="C25" s="232"/>
      <c r="D25" s="232"/>
      <c r="E25" s="279"/>
      <c r="F25" s="279"/>
      <c r="G25" s="279"/>
      <c r="H25" s="279"/>
      <c r="I25" s="232"/>
    </row>
    <row r="28" spans="1:13" ht="59.25" customHeight="1" x14ac:dyDescent="0.25">
      <c r="A28" s="473" t="s">
        <v>293</v>
      </c>
      <c r="B28" s="473"/>
      <c r="C28" s="473"/>
      <c r="D28" s="473"/>
      <c r="E28" s="473"/>
      <c r="F28" s="473"/>
      <c r="G28" s="473"/>
      <c r="H28" s="473"/>
      <c r="I28" s="473"/>
    </row>
  </sheetData>
  <mergeCells count="19">
    <mergeCell ref="A1:E1"/>
    <mergeCell ref="A4:H4"/>
    <mergeCell ref="A6:A7"/>
    <mergeCell ref="B6:B7"/>
    <mergeCell ref="C6:G6"/>
    <mergeCell ref="H6:H7"/>
    <mergeCell ref="A28:I28"/>
    <mergeCell ref="I6:I7"/>
    <mergeCell ref="A9:A11"/>
    <mergeCell ref="B9:B11"/>
    <mergeCell ref="A13:H13"/>
    <mergeCell ref="A14:H14"/>
    <mergeCell ref="A15:H15"/>
    <mergeCell ref="A16:H16"/>
    <mergeCell ref="A17:H17"/>
    <mergeCell ref="A20:H20"/>
    <mergeCell ref="A25:B25"/>
    <mergeCell ref="A18:H18"/>
    <mergeCell ref="A19:H19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2020-09-21T07:22:12Z</dcterms:modified>
</cp:coreProperties>
</file>