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ca141c7cfd28f128/LABORATÓRIO DE GEOTECNIA/GCTS Fredlund SWCC/"/>
    </mc:Choice>
  </mc:AlternateContent>
  <xr:revisionPtr revIDLastSave="0" documentId="8_{5C30694C-D343-45EE-9DA1-3505AEB464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saio da Curva Característica" sheetId="1" r:id="rId1"/>
    <sheet name="Plan1" sheetId="3" r:id="rId2"/>
    <sheet name="Relatório Curva Característica" sheetId="2" r:id="rId3"/>
  </sheets>
  <definedNames>
    <definedName name="_xlnm.Print_Area" localSheetId="0">'Ensaio da Curva Característica'!$A$5:$Z$73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" i="1" l="1"/>
  <c r="F14" i="1"/>
  <c r="F12" i="1"/>
  <c r="F15" i="1"/>
  <c r="G14" i="1"/>
  <c r="G12" i="1"/>
  <c r="G15" i="1"/>
  <c r="H14" i="1"/>
  <c r="H12" i="1"/>
  <c r="H15" i="1"/>
  <c r="F18" i="1"/>
  <c r="T15" i="1"/>
  <c r="T17" i="1"/>
  <c r="T35" i="1"/>
  <c r="T37" i="1"/>
  <c r="T38" i="1"/>
  <c r="T36" i="1"/>
  <c r="T39" i="1"/>
  <c r="K27" i="1"/>
  <c r="T23" i="1"/>
  <c r="T25" i="1"/>
  <c r="G27" i="1"/>
  <c r="O27" i="1"/>
  <c r="C30" i="1"/>
  <c r="C29" i="1"/>
  <c r="V25" i="1"/>
  <c r="X25" i="1"/>
  <c r="X28" i="1"/>
  <c r="X13" i="1"/>
  <c r="E30" i="1"/>
  <c r="E29" i="1"/>
  <c r="C28" i="1"/>
  <c r="E28" i="1"/>
  <c r="C27" i="1"/>
  <c r="E27" i="1"/>
  <c r="F27" i="1"/>
  <c r="F28" i="1"/>
  <c r="F29" i="1"/>
  <c r="F30" i="1"/>
  <c r="C31" i="1"/>
  <c r="E31" i="1"/>
  <c r="F31" i="1"/>
  <c r="T27" i="1"/>
  <c r="F13" i="1"/>
  <c r="F16" i="1"/>
  <c r="G13" i="1"/>
  <c r="G16" i="1"/>
  <c r="H13" i="1"/>
  <c r="H16" i="1"/>
  <c r="F19" i="1"/>
  <c r="I70" i="1"/>
  <c r="I73" i="1"/>
  <c r="J8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5" i="2"/>
  <c r="G4" i="2"/>
  <c r="F4" i="2"/>
  <c r="E4" i="2"/>
  <c r="D4" i="2"/>
  <c r="C42" i="1"/>
  <c r="E42" i="1"/>
  <c r="C43" i="1"/>
  <c r="E43" i="1"/>
  <c r="C41" i="1"/>
  <c r="E41" i="1"/>
  <c r="C36" i="1"/>
  <c r="E36" i="1"/>
  <c r="C37" i="1"/>
  <c r="E37" i="1"/>
  <c r="C38" i="1"/>
  <c r="E38" i="1"/>
  <c r="C39" i="1"/>
  <c r="E39" i="1"/>
  <c r="C40" i="1"/>
  <c r="E40" i="1"/>
  <c r="C35" i="1"/>
  <c r="E35" i="1"/>
  <c r="C32" i="1"/>
  <c r="E32" i="1"/>
  <c r="F32" i="1"/>
  <c r="C33" i="1"/>
  <c r="E33" i="1"/>
  <c r="F33" i="1"/>
  <c r="C34" i="1"/>
  <c r="E34" i="1"/>
  <c r="F34" i="1"/>
  <c r="F35" i="1"/>
  <c r="K38" i="1"/>
  <c r="K32" i="1"/>
  <c r="K40" i="1"/>
  <c r="K43" i="1"/>
  <c r="K31" i="1"/>
  <c r="K33" i="1"/>
  <c r="K35" i="1"/>
  <c r="K28" i="1"/>
  <c r="K37" i="1"/>
  <c r="K41" i="1"/>
  <c r="K39" i="1"/>
  <c r="I77" i="1"/>
  <c r="I69" i="1"/>
  <c r="I76" i="1"/>
  <c r="I72" i="1"/>
  <c r="I79" i="1"/>
  <c r="I75" i="1"/>
  <c r="I71" i="1"/>
  <c r="I78" i="1"/>
  <c r="I74" i="1"/>
  <c r="K34" i="1"/>
  <c r="K42" i="1"/>
  <c r="J5" i="2"/>
  <c r="J9" i="2"/>
  <c r="K30" i="1"/>
  <c r="K36" i="1"/>
  <c r="K29" i="1"/>
  <c r="J6" i="2"/>
  <c r="V42" i="1"/>
  <c r="V38" i="1"/>
  <c r="X14" i="1"/>
  <c r="J7" i="2"/>
  <c r="T42" i="1"/>
  <c r="T40" i="1"/>
  <c r="T28" i="1"/>
  <c r="J17" i="2"/>
  <c r="J14" i="2"/>
  <c r="W40" i="1"/>
  <c r="J16" i="2"/>
  <c r="G28" i="1"/>
  <c r="H27" i="1"/>
  <c r="F5" i="2"/>
  <c r="G30" i="1"/>
  <c r="G34" i="1"/>
  <c r="N27" i="1"/>
  <c r="E5" i="2"/>
  <c r="G29" i="1"/>
  <c r="G32" i="1"/>
  <c r="G33" i="1"/>
  <c r="L27" i="1"/>
  <c r="M27" i="1"/>
  <c r="G31" i="1"/>
  <c r="J10" i="2"/>
  <c r="L43" i="1"/>
  <c r="L39" i="1"/>
  <c r="L35" i="1"/>
  <c r="L42" i="1"/>
  <c r="L33" i="1"/>
  <c r="L37" i="1"/>
  <c r="L31" i="1"/>
  <c r="L28" i="1"/>
  <c r="L40" i="1"/>
  <c r="L32" i="1"/>
  <c r="L41" i="1"/>
  <c r="L34" i="1"/>
  <c r="L38" i="1"/>
  <c r="L30" i="1"/>
  <c r="L36" i="1"/>
  <c r="L29" i="1"/>
  <c r="J12" i="2"/>
  <c r="V41" i="1"/>
  <c r="V40" i="1"/>
  <c r="J11" i="2"/>
  <c r="T41" i="1"/>
  <c r="J13" i="2"/>
  <c r="I27" i="1"/>
  <c r="M32" i="1"/>
  <c r="I32" i="1"/>
  <c r="G10" i="2"/>
  <c r="N32" i="1"/>
  <c r="E10" i="2"/>
  <c r="O32" i="1"/>
  <c r="H32" i="1"/>
  <c r="F10" i="2"/>
  <c r="N28" i="1"/>
  <c r="E6" i="2"/>
  <c r="I28" i="1"/>
  <c r="G6" i="2"/>
  <c r="H28" i="1"/>
  <c r="F6" i="2"/>
  <c r="O28" i="1"/>
  <c r="M28" i="1"/>
  <c r="I29" i="1"/>
  <c r="G7" i="2"/>
  <c r="N29" i="1"/>
  <c r="E7" i="2"/>
  <c r="H29" i="1"/>
  <c r="F7" i="2"/>
  <c r="M29" i="1"/>
  <c r="O29" i="1"/>
  <c r="N31" i="1"/>
  <c r="E9" i="2"/>
  <c r="H31" i="1"/>
  <c r="F9" i="2"/>
  <c r="O31" i="1"/>
  <c r="M31" i="1"/>
  <c r="I31" i="1"/>
  <c r="G9" i="2"/>
  <c r="N33" i="1"/>
  <c r="E11" i="2"/>
  <c r="M33" i="1"/>
  <c r="O33" i="1"/>
  <c r="I33" i="1"/>
  <c r="G11" i="2"/>
  <c r="H33" i="1"/>
  <c r="F11" i="2"/>
  <c r="I34" i="1"/>
  <c r="G12" i="2"/>
  <c r="O34" i="1"/>
  <c r="N34" i="1"/>
  <c r="E12" i="2"/>
  <c r="H34" i="1"/>
  <c r="F12" i="2"/>
  <c r="M34" i="1"/>
  <c r="N30" i="1"/>
  <c r="E8" i="2"/>
  <c r="I30" i="1"/>
  <c r="G8" i="2"/>
  <c r="M30" i="1"/>
  <c r="H30" i="1"/>
  <c r="F8" i="2"/>
  <c r="O30" i="1"/>
  <c r="J18" i="2"/>
  <c r="G5" i="2"/>
  <c r="F36" i="1"/>
  <c r="G35" i="1"/>
  <c r="M35" i="1"/>
  <c r="N35" i="1"/>
  <c r="E13" i="2"/>
  <c r="H35" i="1"/>
  <c r="F13" i="2"/>
  <c r="O35" i="1"/>
  <c r="I35" i="1"/>
  <c r="G13" i="2"/>
  <c r="G36" i="1"/>
  <c r="F37" i="1"/>
  <c r="G37" i="1"/>
  <c r="F38" i="1"/>
  <c r="O36" i="1"/>
  <c r="H36" i="1"/>
  <c r="F14" i="2"/>
  <c r="N36" i="1"/>
  <c r="E14" i="2"/>
  <c r="I36" i="1"/>
  <c r="G14" i="2"/>
  <c r="M36" i="1"/>
  <c r="F39" i="1"/>
  <c r="G38" i="1"/>
  <c r="O37" i="1"/>
  <c r="M37" i="1"/>
  <c r="I37" i="1"/>
  <c r="G15" i="2"/>
  <c r="H37" i="1"/>
  <c r="F15" i="2"/>
  <c r="N37" i="1"/>
  <c r="E15" i="2"/>
  <c r="M38" i="1"/>
  <c r="N38" i="1"/>
  <c r="E16" i="2"/>
  <c r="I38" i="1"/>
  <c r="G16" i="2"/>
  <c r="O38" i="1"/>
  <c r="H38" i="1"/>
  <c r="F16" i="2"/>
  <c r="F40" i="1"/>
  <c r="G39" i="1"/>
  <c r="I39" i="1"/>
  <c r="G17" i="2"/>
  <c r="M39" i="1"/>
  <c r="N39" i="1"/>
  <c r="E17" i="2"/>
  <c r="O39" i="1"/>
  <c r="H39" i="1"/>
  <c r="F17" i="2"/>
  <c r="F41" i="1"/>
  <c r="G40" i="1"/>
  <c r="I40" i="1"/>
  <c r="G18" i="2"/>
  <c r="M40" i="1"/>
  <c r="H40" i="1"/>
  <c r="F18" i="2"/>
  <c r="O40" i="1"/>
  <c r="N40" i="1"/>
  <c r="E18" i="2"/>
  <c r="G41" i="1"/>
  <c r="F42" i="1"/>
  <c r="F43" i="1"/>
  <c r="G43" i="1"/>
  <c r="G42" i="1"/>
  <c r="H41" i="1"/>
  <c r="N41" i="1"/>
  <c r="I41" i="1"/>
  <c r="O41" i="1"/>
  <c r="M41" i="1"/>
  <c r="I42" i="1"/>
  <c r="H42" i="1"/>
  <c r="N42" i="1"/>
  <c r="M42" i="1"/>
  <c r="O42" i="1"/>
  <c r="N43" i="1"/>
  <c r="O43" i="1"/>
  <c r="H43" i="1"/>
  <c r="M43" i="1"/>
  <c r="I43" i="1"/>
</calcChain>
</file>

<file path=xl/sharedStrings.xml><?xml version="1.0" encoding="utf-8"?>
<sst xmlns="http://schemas.openxmlformats.org/spreadsheetml/2006/main" count="108" uniqueCount="77">
  <si>
    <t>Cálculo da Umidade Inicial da Amostra</t>
  </si>
  <si>
    <t>Nº Cápsula</t>
  </si>
  <si>
    <t>Tara</t>
  </si>
  <si>
    <t>Tara + Peso úmido</t>
  </si>
  <si>
    <t>Tara + Peso seco</t>
  </si>
  <si>
    <t>Peso Úmido</t>
  </si>
  <si>
    <t>Peso Seco</t>
  </si>
  <si>
    <t>Água</t>
  </si>
  <si>
    <t>Umidade (base úmida)</t>
  </si>
  <si>
    <t>Umidade (base seca)</t>
  </si>
  <si>
    <t>Média (base úmida)</t>
  </si>
  <si>
    <t>Média (base seca)</t>
  </si>
  <si>
    <t>Anel + amostra umida</t>
  </si>
  <si>
    <t>Amostra Seca</t>
  </si>
  <si>
    <t>Anel</t>
  </si>
  <si>
    <t>Amostra umida</t>
  </si>
  <si>
    <t>Pedra + amostra + anel (saturado)</t>
  </si>
  <si>
    <t>Pedra (saturada)</t>
  </si>
  <si>
    <t>Amostra saturada</t>
  </si>
  <si>
    <t>Água (amostra saturada)</t>
  </si>
  <si>
    <t>DIAMETRO ANEL</t>
  </si>
  <si>
    <t>ALTURA DO ANEL</t>
  </si>
  <si>
    <t>VOLUME DO ANEL</t>
  </si>
  <si>
    <t>e</t>
  </si>
  <si>
    <t>% (BU)</t>
  </si>
  <si>
    <t>fator de calibração</t>
  </si>
  <si>
    <t>g</t>
  </si>
  <si>
    <t>%</t>
  </si>
  <si>
    <t>Gs</t>
  </si>
  <si>
    <t>cm</t>
  </si>
  <si>
    <t>Vs</t>
  </si>
  <si>
    <t>Vv</t>
  </si>
  <si>
    <t>Area do Anel</t>
  </si>
  <si>
    <t>%BS</t>
  </si>
  <si>
    <t>massa especifica natural</t>
  </si>
  <si>
    <t>massa esp seca</t>
  </si>
  <si>
    <t>S</t>
  </si>
  <si>
    <t>Ref.</t>
  </si>
  <si>
    <t>Leit.</t>
  </si>
  <si>
    <t>Dif. Leit.</t>
  </si>
  <si>
    <t>perdeu (g)</t>
  </si>
  <si>
    <t>acumulado (g)</t>
  </si>
  <si>
    <r>
      <t>H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O             (g)</t>
    </r>
  </si>
  <si>
    <t>w BS         (%)</t>
  </si>
  <si>
    <r>
      <t>Volume (cm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)</t>
    </r>
  </si>
  <si>
    <t>S corr    (%)</t>
  </si>
  <si>
    <t>Dif. Altura (mm)</t>
  </si>
  <si>
    <t>Sucção                      (kPa)</t>
  </si>
  <si>
    <t>q</t>
  </si>
  <si>
    <r>
      <t>hs</t>
    </r>
    <r>
      <rPr>
        <vertAlign val="subscript"/>
        <sz val="11"/>
        <color indexed="8"/>
        <rFont val="Calibri"/>
        <family val="2"/>
      </rPr>
      <t xml:space="preserve"> inicial</t>
    </r>
  </si>
  <si>
    <r>
      <t xml:space="preserve">e </t>
    </r>
    <r>
      <rPr>
        <vertAlign val="subscript"/>
        <sz val="11"/>
        <color indexed="8"/>
        <rFont val="Calibri"/>
        <family val="2"/>
      </rPr>
      <t>inicial</t>
    </r>
  </si>
  <si>
    <r>
      <t xml:space="preserve">S </t>
    </r>
    <r>
      <rPr>
        <vertAlign val="subscript"/>
        <sz val="11"/>
        <color indexed="8"/>
        <rFont val="Calibri"/>
        <family val="2"/>
      </rPr>
      <t>inicial</t>
    </r>
  </si>
  <si>
    <r>
      <t>cm</t>
    </r>
    <r>
      <rPr>
        <vertAlign val="superscript"/>
        <sz val="11"/>
        <color indexed="8"/>
        <rFont val="Calibri"/>
        <family val="2"/>
      </rPr>
      <t>3</t>
    </r>
  </si>
  <si>
    <r>
      <t>g/cm</t>
    </r>
    <r>
      <rPr>
        <vertAlign val="superscript"/>
        <sz val="11"/>
        <color indexed="8"/>
        <rFont val="Calibri"/>
        <family val="2"/>
      </rPr>
      <t>3</t>
    </r>
  </si>
  <si>
    <r>
      <t>g H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</si>
  <si>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r>
      <rPr>
        <sz val="11"/>
        <color indexed="8"/>
        <rFont val="Symbol"/>
        <family val="1"/>
      </rPr>
      <t>r</t>
    </r>
    <r>
      <rPr>
        <vertAlign val="subscript"/>
        <sz val="11"/>
        <color indexed="8"/>
        <rFont val="Calibri"/>
        <family val="2"/>
      </rPr>
      <t>d</t>
    </r>
  </si>
  <si>
    <t>w</t>
  </si>
  <si>
    <t>Massa Seca</t>
  </si>
  <si>
    <t>Inicial</t>
  </si>
  <si>
    <t>Saturação</t>
  </si>
  <si>
    <r>
      <t>G</t>
    </r>
    <r>
      <rPr>
        <vertAlign val="subscript"/>
        <sz val="11"/>
        <color indexed="8"/>
        <rFont val="Calibri"/>
        <family val="2"/>
      </rPr>
      <t>s</t>
    </r>
  </si>
  <si>
    <t>Volume Inicial</t>
  </si>
  <si>
    <r>
      <t>cm</t>
    </r>
    <r>
      <rPr>
        <vertAlign val="superscript"/>
        <sz val="11"/>
        <color indexed="8"/>
        <rFont val="Calibri"/>
        <family val="2"/>
      </rPr>
      <t>3</t>
    </r>
  </si>
  <si>
    <r>
      <t>V</t>
    </r>
    <r>
      <rPr>
        <vertAlign val="subscript"/>
        <sz val="11"/>
        <color indexed="8"/>
        <rFont val="Calibri"/>
        <family val="2"/>
      </rPr>
      <t>s</t>
    </r>
  </si>
  <si>
    <r>
      <t>V</t>
    </r>
    <r>
      <rPr>
        <vertAlign val="subscript"/>
        <sz val="11"/>
        <color indexed="8"/>
        <rFont val="Calibri"/>
        <family val="2"/>
      </rPr>
      <t>v</t>
    </r>
  </si>
  <si>
    <r>
      <rPr>
        <sz val="11"/>
        <color indexed="8"/>
        <rFont val="Symbol"/>
        <family val="1"/>
      </rPr>
      <t>r</t>
    </r>
    <r>
      <rPr>
        <vertAlign val="subscript"/>
        <sz val="11"/>
        <color indexed="8"/>
        <rFont val="Calibri"/>
        <family val="2"/>
      </rPr>
      <t>s</t>
    </r>
  </si>
  <si>
    <r>
      <t>g/cm</t>
    </r>
    <r>
      <rPr>
        <vertAlign val="superscript"/>
        <sz val="11"/>
        <color indexed="8"/>
        <rFont val="Calibri"/>
        <family val="2"/>
      </rPr>
      <t>3</t>
    </r>
  </si>
  <si>
    <t>Peso de solo a ser colocado no anel</t>
  </si>
  <si>
    <t>PRAZO MÁXIMO PARA FAZER ENSAIO -----------</t>
  </si>
  <si>
    <t>a</t>
  </si>
  <si>
    <t>n</t>
  </si>
  <si>
    <t>m</t>
  </si>
  <si>
    <t>Z0Z0</t>
  </si>
  <si>
    <t>Z019</t>
  </si>
  <si>
    <t>D011</t>
  </si>
  <si>
    <t>CAMPOS AMARELOS SÃO AS LEITURAS E DADOS!!!!!!!!</t>
  </si>
  <si>
    <t>CAMPOS VERDES SÃO MEDIDAS DA AMOSTRA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</si>
</sst>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b/>
      <sz val="16"/>
      <color indexed="8"/>
      <name val="Calibri"/>
      <family val="2"/>
    </font>
    <font>
      <sz val="8"/>
      <name val="Calibri"/>
      <family val="2"/>
    </font>
    <font>
      <sz val="11"/>
      <color indexed="8"/>
      <name val="Symbol"/>
      <family val="1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8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9" fontId="5" fillId="0" borderId="0" applyFont="0" applyFill="0" applyBorder="0" applyAlignment="0" applyProtection="0"/>
  </cellStyleXfs>
  <cellXfs count="91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/>
    <xf numFmtId="0" fontId="3" fillId="0" borderId="0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3" xfId="0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0" fillId="0" borderId="0" xfId="0" applyNumberFormat="1" applyBorder="1"/>
    <xf numFmtId="2" fontId="0" fillId="0" borderId="14" xfId="0" applyNumberFormat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Alignment="1"/>
    <xf numFmtId="0" fontId="0" fillId="0" borderId="6" xfId="0" applyBorder="1" applyAlignment="1"/>
    <xf numFmtId="0" fontId="0" fillId="0" borderId="0" xfId="0" applyBorder="1" applyAlignment="1"/>
    <xf numFmtId="0" fontId="0" fillId="0" borderId="11" xfId="0" applyBorder="1" applyAlignment="1"/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2" fontId="7" fillId="4" borderId="0" xfId="0" applyNumberFormat="1" applyFont="1" applyFill="1" applyBorder="1" applyAlignment="1">
      <alignment horizontal="center"/>
    </xf>
    <xf numFmtId="2" fontId="7" fillId="4" borderId="3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3" xfId="0" applyFont="1" applyFill="1" applyBorder="1"/>
    <xf numFmtId="0" fontId="3" fillId="5" borderId="2" xfId="0" applyFont="1" applyFill="1" applyBorder="1" applyAlignment="1"/>
    <xf numFmtId="0" fontId="2" fillId="4" borderId="0" xfId="0" applyFont="1" applyFill="1" applyBorder="1" applyAlignment="1"/>
    <xf numFmtId="10" fontId="7" fillId="4" borderId="0" xfId="2" applyNumberFormat="1" applyFont="1" applyFill="1" applyBorder="1"/>
    <xf numFmtId="0" fontId="3" fillId="5" borderId="28" xfId="0" applyFont="1" applyFill="1" applyBorder="1" applyAlignment="1"/>
    <xf numFmtId="0" fontId="2" fillId="4" borderId="29" xfId="0" applyFont="1" applyFill="1" applyBorder="1" applyAlignment="1"/>
    <xf numFmtId="0" fontId="3" fillId="5" borderId="29" xfId="0" applyFont="1" applyFill="1" applyBorder="1"/>
    <xf numFmtId="0" fontId="3" fillId="5" borderId="30" xfId="0" applyFont="1" applyFill="1" applyBorder="1"/>
    <xf numFmtId="165" fontId="0" fillId="0" borderId="0" xfId="0" applyNumberFormat="1"/>
    <xf numFmtId="2" fontId="2" fillId="4" borderId="0" xfId="0" applyNumberFormat="1" applyFont="1" applyFill="1" applyBorder="1" applyAlignment="1">
      <alignment horizontal="center"/>
    </xf>
    <xf numFmtId="10" fontId="7" fillId="6" borderId="29" xfId="2" applyNumberFormat="1" applyFont="1" applyFill="1" applyBorder="1"/>
    <xf numFmtId="0" fontId="0" fillId="7" borderId="0" xfId="0" applyFill="1" applyAlignment="1">
      <alignment horizontal="center"/>
    </xf>
    <xf numFmtId="0" fontId="0" fillId="7" borderId="0" xfId="0" applyFill="1" applyAlignment="1"/>
    <xf numFmtId="0" fontId="0" fillId="7" borderId="0" xfId="0" applyFill="1"/>
    <xf numFmtId="0" fontId="0" fillId="2" borderId="0" xfId="0" applyFill="1"/>
    <xf numFmtId="0" fontId="2" fillId="8" borderId="0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2" fontId="3" fillId="8" borderId="0" xfId="0" applyNumberFormat="1" applyFont="1" applyFill="1" applyBorder="1" applyAlignment="1">
      <alignment horizontal="center"/>
    </xf>
    <xf numFmtId="2" fontId="3" fillId="8" borderId="3" xfId="0" applyNumberFormat="1" applyFont="1" applyFill="1" applyBorder="1" applyAlignment="1">
      <alignment horizontal="center"/>
    </xf>
    <xf numFmtId="2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2" fontId="0" fillId="9" borderId="0" xfId="0" applyNumberFormat="1" applyFill="1" applyBorder="1" applyAlignment="1">
      <alignment horizont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/>
    </xf>
    <xf numFmtId="0" fontId="8" fillId="2" borderId="0" xfId="0" applyFont="1" applyFill="1"/>
    <xf numFmtId="0" fontId="8" fillId="9" borderId="0" xfId="0" applyFont="1" applyFill="1"/>
    <xf numFmtId="0" fontId="0" fillId="9" borderId="0" xfId="0" applyFill="1"/>
  </cellXfs>
  <cellStyles count="3">
    <cellStyle name="Normal" xfId="0" builtinId="0"/>
    <cellStyle name="Normal 2" xfId="1" xr:uid="{00000000-0005-0000-0000-000001000000}"/>
    <cellStyle name="Porcentagem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noFill/>
              <a:ln w="19050"/>
            </c:spPr>
          </c:marker>
          <c:xVal>
            <c:numRef>
              <c:f>'Ensaio da Curva Característica'!$D$28:$D$42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  <c:pt idx="7">
                  <c:v>160</c:v>
                </c:pt>
                <c:pt idx="8">
                  <c:v>320</c:v>
                </c:pt>
              </c:numCache>
            </c:numRef>
          </c:xVal>
          <c:yVal>
            <c:numRef>
              <c:f>'Ensaio da Curva Característica'!$N$27:$N$42</c:f>
              <c:numCache>
                <c:formatCode>0.00</c:formatCode>
                <c:ptCount val="16"/>
                <c:pt idx="0">
                  <c:v>50.0709488564965</c:v>
                </c:pt>
                <c:pt idx="1">
                  <c:v>50.0709488564965</c:v>
                </c:pt>
                <c:pt idx="2">
                  <c:v>50.0709488564965</c:v>
                </c:pt>
                <c:pt idx="3">
                  <c:v>50.0709488564965</c:v>
                </c:pt>
                <c:pt idx="4">
                  <c:v>51.242971251934286</c:v>
                </c:pt>
                <c:pt idx="5">
                  <c:v>47.559472294844078</c:v>
                </c:pt>
                <c:pt idx="6">
                  <c:v>46.471165784794692</c:v>
                </c:pt>
                <c:pt idx="7">
                  <c:v>43.959689223142277</c:v>
                </c:pt>
                <c:pt idx="8">
                  <c:v>41.615644432266691</c:v>
                </c:pt>
                <c:pt idx="9">
                  <c:v>41.615644432266691</c:v>
                </c:pt>
                <c:pt idx="10">
                  <c:v>41.615644432266691</c:v>
                </c:pt>
                <c:pt idx="11">
                  <c:v>41.615644432266691</c:v>
                </c:pt>
                <c:pt idx="12">
                  <c:v>41.615644432266691</c:v>
                </c:pt>
                <c:pt idx="13">
                  <c:v>41.615644432266691</c:v>
                </c:pt>
                <c:pt idx="14">
                  <c:v>41.615644432266691</c:v>
                </c:pt>
                <c:pt idx="15">
                  <c:v>41.615644432266691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8-46CF-BC81-341AAF88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48"/>
        <c:axId val="246787936"/>
      </c:scatterChart>
      <c:valAx>
        <c:axId val="321112648"/>
        <c:scaling>
          <c:logBase val="10"/>
          <c:orientation val="minMax"/>
          <c:max val="10000"/>
        </c:scaling>
        <c:delete val="0"/>
        <c:axPos val="b"/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Sucção (kPa)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46787936"/>
        <c:crosses val="autoZero"/>
        <c:crossBetween val="midCat"/>
      </c:valAx>
      <c:valAx>
        <c:axId val="246787936"/>
        <c:scaling>
          <c:orientation val="minMax"/>
          <c:min val="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baseline="0">
                    <a:latin typeface="Symbol" pitchFamily="18" charset="2"/>
                  </a:rPr>
                  <a:t>q</a:t>
                </a:r>
                <a:r>
                  <a:rPr lang="pt-BR" baseline="0"/>
                  <a:t> (%) (cm</a:t>
                </a:r>
                <a:r>
                  <a:rPr lang="pt-BR" baseline="30000"/>
                  <a:t>3</a:t>
                </a:r>
                <a:r>
                  <a:rPr lang="pt-BR" baseline="0"/>
                  <a:t>. cm</a:t>
                </a:r>
                <a:r>
                  <a:rPr lang="pt-BR" baseline="30000"/>
                  <a:t>-3</a:t>
                </a:r>
                <a:r>
                  <a:rPr lang="pt-BR" baseline="0"/>
                  <a:t>)</a:t>
                </a:r>
                <a:endParaRPr lang="pt-BR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111264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'Ensaio da Curva Característica'!$H$69:$H$79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20</c:v>
                </c:pt>
                <c:pt idx="6">
                  <c:v>100</c:v>
                </c:pt>
                <c:pt idx="7">
                  <c:v>400</c:v>
                </c:pt>
                <c:pt idx="8">
                  <c:v>800</c:v>
                </c:pt>
                <c:pt idx="9">
                  <c:v>1000</c:v>
                </c:pt>
                <c:pt idx="10">
                  <c:v>2000</c:v>
                </c:pt>
              </c:numCache>
            </c:numRef>
          </c:xVal>
          <c:yVal>
            <c:numRef>
              <c:f>'Ensaio da Curva Característica'!$I$69:$I$79</c:f>
              <c:numCache>
                <c:formatCode>General</c:formatCode>
                <c:ptCount val="11"/>
                <c:pt idx="0">
                  <c:v>82.965042373608057</c:v>
                </c:pt>
                <c:pt idx="1">
                  <c:v>82.913979219862952</c:v>
                </c:pt>
                <c:pt idx="2">
                  <c:v>82.854387751020226</c:v>
                </c:pt>
                <c:pt idx="3">
                  <c:v>82.788524622409128</c:v>
                </c:pt>
                <c:pt idx="4">
                  <c:v>82.481291574156444</c:v>
                </c:pt>
                <c:pt idx="5">
                  <c:v>81.317908637581212</c:v>
                </c:pt>
                <c:pt idx="6">
                  <c:v>71.123403668898874</c:v>
                </c:pt>
                <c:pt idx="7">
                  <c:v>40.970907365210678</c:v>
                </c:pt>
                <c:pt idx="8">
                  <c:v>21.941970187362365</c:v>
                </c:pt>
                <c:pt idx="9">
                  <c:v>16.477266399154622</c:v>
                </c:pt>
                <c:pt idx="10">
                  <c:v>2.9252042486201475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6-46AD-B1B8-95D8133E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05968"/>
        <c:axId val="324300160"/>
      </c:scatter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'Ensaio da Curva Característica'!$D$28:$D$42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  <c:pt idx="7">
                  <c:v>160</c:v>
                </c:pt>
                <c:pt idx="8">
                  <c:v>320</c:v>
                </c:pt>
              </c:numCache>
            </c:numRef>
          </c:xVal>
          <c:yVal>
            <c:numRef>
              <c:f>'Ensaio da Curva Característica'!$M$28:$M$42</c:f>
              <c:numCache>
                <c:formatCode>0.00</c:formatCode>
                <c:ptCount val="15"/>
                <c:pt idx="0">
                  <c:v>83.667454856094949</c:v>
                </c:pt>
                <c:pt idx="1">
                  <c:v>83.667454856094949</c:v>
                </c:pt>
                <c:pt idx="2">
                  <c:v>83.667454856094949</c:v>
                </c:pt>
                <c:pt idx="3">
                  <c:v>85.676783280269589</c:v>
                </c:pt>
                <c:pt idx="4">
                  <c:v>79.617351280475475</c:v>
                </c:pt>
                <c:pt idx="5">
                  <c:v>77.828259986982076</c:v>
                </c:pt>
                <c:pt idx="6">
                  <c:v>73.463399693957214</c:v>
                </c:pt>
                <c:pt idx="7">
                  <c:v>69.538827031679332</c:v>
                </c:pt>
                <c:pt idx="8">
                  <c:v>69.538827031679332</c:v>
                </c:pt>
                <c:pt idx="9">
                  <c:v>69.538827031679332</c:v>
                </c:pt>
                <c:pt idx="10">
                  <c:v>69.538827031679332</c:v>
                </c:pt>
                <c:pt idx="11">
                  <c:v>69.538827031679332</c:v>
                </c:pt>
                <c:pt idx="12">
                  <c:v>69.538827031679332</c:v>
                </c:pt>
                <c:pt idx="13">
                  <c:v>69.538827031679332</c:v>
                </c:pt>
                <c:pt idx="14">
                  <c:v>69.538827031679332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6-46AD-B1B8-95D8133E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05968"/>
        <c:axId val="324300160"/>
      </c:scatterChart>
      <c:valAx>
        <c:axId val="324105968"/>
        <c:scaling>
          <c:logBase val="10"/>
          <c:orientation val="minMax"/>
          <c:max val="10000"/>
        </c:scaling>
        <c:delete val="0"/>
        <c:axPos val="b"/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Sucção (kPa)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24300160"/>
        <c:crosses val="autoZero"/>
        <c:crossBetween val="midCat"/>
      </c:valAx>
      <c:valAx>
        <c:axId val="3243001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410596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'Ensaio da Curva Característica'!$D$28:$D$42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  <c:pt idx="7">
                  <c:v>160</c:v>
                </c:pt>
                <c:pt idx="8">
                  <c:v>320</c:v>
                </c:pt>
              </c:numCache>
            </c:numRef>
          </c:xVal>
          <c:yVal>
            <c:numRef>
              <c:f>'Ensaio da Curva Característica'!$H$28:$H$42</c:f>
              <c:numCache>
                <c:formatCode>0.00</c:formatCode>
                <c:ptCount val="15"/>
                <c:pt idx="0">
                  <c:v>49.286473469046818</c:v>
                </c:pt>
                <c:pt idx="1">
                  <c:v>49.286473469046818</c:v>
                </c:pt>
                <c:pt idx="2">
                  <c:v>49.286473469046818</c:v>
                </c:pt>
                <c:pt idx="3">
                  <c:v>50.440133465853108</c:v>
                </c:pt>
                <c:pt idx="4">
                  <c:v>46.814344904461919</c:v>
                </c:pt>
                <c:pt idx="5">
                  <c:v>45.743089193141792</c:v>
                </c:pt>
                <c:pt idx="6">
                  <c:v>43.270960628556885</c:v>
                </c:pt>
                <c:pt idx="7">
                  <c:v>40.963640634944312</c:v>
                </c:pt>
                <c:pt idx="8">
                  <c:v>40.963640634944312</c:v>
                </c:pt>
                <c:pt idx="9">
                  <c:v>40.963640634944312</c:v>
                </c:pt>
                <c:pt idx="10">
                  <c:v>40.963640634944312</c:v>
                </c:pt>
                <c:pt idx="11">
                  <c:v>40.963640634944312</c:v>
                </c:pt>
                <c:pt idx="12">
                  <c:v>40.963640634944312</c:v>
                </c:pt>
                <c:pt idx="13">
                  <c:v>40.963640634944312</c:v>
                </c:pt>
                <c:pt idx="14">
                  <c:v>40.963640634944312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7-4BAB-8D58-52480B1F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19280"/>
        <c:axId val="324419664"/>
      </c:scatterChart>
      <c:valAx>
        <c:axId val="324419280"/>
        <c:scaling>
          <c:logBase val="10"/>
          <c:orientation val="minMax"/>
          <c:max val="10000"/>
        </c:scaling>
        <c:delete val="0"/>
        <c:axPos val="b"/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Sucção (kPa)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24419664"/>
        <c:crosses val="autoZero"/>
        <c:crossBetween val="midCat"/>
      </c:valAx>
      <c:valAx>
        <c:axId val="3244196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baseline="0">
                    <a:latin typeface="Arial" pitchFamily="34" charset="0"/>
                    <a:cs typeface="Arial" pitchFamily="34" charset="0"/>
                  </a:rPr>
                  <a:t>w</a:t>
                </a:r>
                <a:r>
                  <a:rPr lang="pt-BR" baseline="0"/>
                  <a:t>(%)</a:t>
                </a:r>
                <a:endParaRPr lang="pt-BR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441928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43</xdr:row>
      <xdr:rowOff>0</xdr:rowOff>
    </xdr:from>
    <xdr:to>
      <xdr:col>5</xdr:col>
      <xdr:colOff>409575</xdr:colOff>
      <xdr:row>57</xdr:row>
      <xdr:rowOff>85725</xdr:rowOff>
    </xdr:to>
    <xdr:graphicFrame macro="">
      <xdr:nvGraphicFramePr>
        <xdr:cNvPr id="2984" name="Gráfico 1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57</xdr:row>
      <xdr:rowOff>104775</xdr:rowOff>
    </xdr:from>
    <xdr:to>
      <xdr:col>5</xdr:col>
      <xdr:colOff>409575</xdr:colOff>
      <xdr:row>71</xdr:row>
      <xdr:rowOff>180975</xdr:rowOff>
    </xdr:to>
    <xdr:graphicFrame macro="">
      <xdr:nvGraphicFramePr>
        <xdr:cNvPr id="2985" name="Gráfico 2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43</xdr:row>
      <xdr:rowOff>0</xdr:rowOff>
    </xdr:from>
    <xdr:to>
      <xdr:col>12</xdr:col>
      <xdr:colOff>381000</xdr:colOff>
      <xdr:row>57</xdr:row>
      <xdr:rowOff>85725</xdr:rowOff>
    </xdr:to>
    <xdr:graphicFrame macro="">
      <xdr:nvGraphicFramePr>
        <xdr:cNvPr id="2986" name="Gráfico 1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161925</xdr:colOff>
      <xdr:row>61</xdr:row>
      <xdr:rowOff>152400</xdr:rowOff>
    </xdr:from>
    <xdr:to>
      <xdr:col>13</xdr:col>
      <xdr:colOff>19050</xdr:colOff>
      <xdr:row>67</xdr:row>
      <xdr:rowOff>9525</xdr:rowOff>
    </xdr:to>
    <xdr:pic>
      <xdr:nvPicPr>
        <xdr:cNvPr id="2987" name="Imagem 2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90" t="22214" r="37022" b="67690"/>
        <a:stretch>
          <a:fillRect/>
        </a:stretch>
      </xdr:blipFill>
      <xdr:spPr bwMode="auto">
        <a:xfrm>
          <a:off x="7258050" y="12620625"/>
          <a:ext cx="24098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Y79"/>
  <sheetViews>
    <sheetView showGridLines="0" tabSelected="1" topLeftCell="A7" zoomScaleNormal="100" workbookViewId="0">
      <selection activeCell="V16" sqref="V16"/>
    </sheetView>
  </sheetViews>
  <sheetFormatPr defaultColWidth="8.85546875" defaultRowHeight="15" x14ac:dyDescent="0.25"/>
  <cols>
    <col min="4" max="4" width="19.7109375" customWidth="1"/>
    <col min="5" max="5" width="17.42578125" bestFit="1" customWidth="1"/>
    <col min="6" max="6" width="12.42578125" customWidth="1"/>
    <col min="7" max="8" width="10.7109375" customWidth="1"/>
    <col min="10" max="10" width="9.140625" customWidth="1"/>
    <col min="11" max="11" width="11.42578125" bestFit="1" customWidth="1"/>
    <col min="14" max="14" width="10.28515625" bestFit="1" customWidth="1"/>
    <col min="16" max="16" width="5.140625" customWidth="1"/>
    <col min="17" max="17" width="15.42578125" style="30" customWidth="1"/>
    <col min="23" max="23" width="7.7109375" customWidth="1"/>
    <col min="24" max="24" width="9.42578125" bestFit="1" customWidth="1"/>
  </cols>
  <sheetData>
    <row r="2" spans="4:25" ht="21" x14ac:dyDescent="0.35">
      <c r="D2" s="88" t="s">
        <v>75</v>
      </c>
      <c r="E2" s="74"/>
      <c r="F2" s="74"/>
      <c r="G2" s="74"/>
      <c r="H2" s="74"/>
    </row>
    <row r="3" spans="4:25" ht="21" x14ac:dyDescent="0.35">
      <c r="D3" s="89" t="s">
        <v>76</v>
      </c>
      <c r="E3" s="90"/>
      <c r="F3" s="90"/>
      <c r="G3" s="90"/>
      <c r="H3" s="90"/>
    </row>
    <row r="5" spans="4:25" ht="15.75" thickBot="1" x14ac:dyDescent="0.3"/>
    <row r="6" spans="4:25" x14ac:dyDescent="0.25">
      <c r="D6" s="82" t="s">
        <v>0</v>
      </c>
      <c r="E6" s="83"/>
      <c r="F6" s="83"/>
      <c r="G6" s="83"/>
      <c r="H6" s="1"/>
    </row>
    <row r="7" spans="4:25" x14ac:dyDescent="0.25">
      <c r="D7" s="2"/>
      <c r="E7" s="3"/>
      <c r="F7" s="3"/>
      <c r="G7" s="3"/>
      <c r="H7" s="4"/>
      <c r="Q7" s="30" t="s">
        <v>67</v>
      </c>
    </row>
    <row r="8" spans="4:25" x14ac:dyDescent="0.25">
      <c r="D8" s="52" t="s">
        <v>1</v>
      </c>
      <c r="E8" s="53"/>
      <c r="F8" s="75" t="s">
        <v>72</v>
      </c>
      <c r="G8" s="75" t="s">
        <v>73</v>
      </c>
      <c r="H8" s="76" t="s">
        <v>74</v>
      </c>
    </row>
    <row r="9" spans="4:25" x14ac:dyDescent="0.25">
      <c r="D9" s="54" t="s">
        <v>2</v>
      </c>
      <c r="E9" s="53"/>
      <c r="F9" s="77">
        <v>27.05</v>
      </c>
      <c r="G9" s="77">
        <v>17.850000000000001</v>
      </c>
      <c r="H9" s="78">
        <v>18.47</v>
      </c>
      <c r="K9" s="69"/>
      <c r="Q9" s="30" t="s">
        <v>12</v>
      </c>
      <c r="T9" s="79">
        <v>227.56</v>
      </c>
      <c r="U9" t="s">
        <v>26</v>
      </c>
    </row>
    <row r="10" spans="4:25" x14ac:dyDescent="0.25">
      <c r="D10" s="52" t="s">
        <v>3</v>
      </c>
      <c r="E10" s="53"/>
      <c r="F10" s="77">
        <v>46.12</v>
      </c>
      <c r="G10" s="77">
        <v>58.89</v>
      </c>
      <c r="H10" s="78">
        <v>48.1</v>
      </c>
      <c r="K10" s="68"/>
      <c r="T10" s="15"/>
    </row>
    <row r="11" spans="4:25" x14ac:dyDescent="0.25">
      <c r="D11" s="54" t="s">
        <v>4</v>
      </c>
      <c r="E11" s="53"/>
      <c r="F11" s="77">
        <v>41.92</v>
      </c>
      <c r="G11" s="77">
        <v>50.77</v>
      </c>
      <c r="H11" s="78">
        <v>42.52</v>
      </c>
      <c r="Q11" s="30" t="s">
        <v>14</v>
      </c>
      <c r="T11" s="79">
        <v>121.75</v>
      </c>
      <c r="U11" t="s">
        <v>26</v>
      </c>
    </row>
    <row r="12" spans="4:25" x14ac:dyDescent="0.25">
      <c r="D12" s="52" t="s">
        <v>5</v>
      </c>
      <c r="E12" s="53"/>
      <c r="F12" s="55">
        <f>F10-F9</f>
        <v>19.069999999999997</v>
      </c>
      <c r="G12" s="55">
        <f>G10-G9</f>
        <v>41.04</v>
      </c>
      <c r="H12" s="56">
        <f>H10-H9</f>
        <v>29.630000000000003</v>
      </c>
      <c r="T12" s="15"/>
    </row>
    <row r="13" spans="4:25" ht="17.25" x14ac:dyDescent="0.25">
      <c r="D13" s="54" t="s">
        <v>6</v>
      </c>
      <c r="E13" s="53"/>
      <c r="F13" s="55">
        <f>F11-F9</f>
        <v>14.870000000000001</v>
      </c>
      <c r="G13" s="55">
        <f>G11-G9</f>
        <v>32.92</v>
      </c>
      <c r="H13" s="56">
        <f>H11-H9</f>
        <v>24.050000000000004</v>
      </c>
      <c r="Q13" s="30" t="s">
        <v>15</v>
      </c>
      <c r="T13" s="22">
        <f>T9-T11</f>
        <v>105.81</v>
      </c>
      <c r="U13" t="s">
        <v>34</v>
      </c>
      <c r="X13" s="15">
        <f>T13/T36</f>
        <v>1.2733016851306045</v>
      </c>
      <c r="Y13" s="10" t="s">
        <v>53</v>
      </c>
    </row>
    <row r="14" spans="4:25" ht="18.75" x14ac:dyDescent="0.35">
      <c r="D14" s="54" t="s">
        <v>7</v>
      </c>
      <c r="E14" s="53"/>
      <c r="F14" s="55">
        <f>F10-F11</f>
        <v>4.1999999999999957</v>
      </c>
      <c r="G14" s="55">
        <f>G10-G11</f>
        <v>8.1199999999999974</v>
      </c>
      <c r="H14" s="56">
        <f>H10-H11</f>
        <v>5.5799999999999983</v>
      </c>
      <c r="T14" s="15"/>
      <c r="W14" s="10" t="s">
        <v>55</v>
      </c>
      <c r="X14" s="15">
        <f>T17/T36</f>
        <v>1.0159166467437024</v>
      </c>
      <c r="Y14" s="10" t="s">
        <v>53</v>
      </c>
    </row>
    <row r="15" spans="4:25" x14ac:dyDescent="0.25">
      <c r="D15" s="54" t="s">
        <v>8</v>
      </c>
      <c r="E15" s="53"/>
      <c r="F15" s="55">
        <f>F14/F12</f>
        <v>0.22024121657052945</v>
      </c>
      <c r="G15" s="55">
        <f>G14/G12</f>
        <v>0.19785575048732937</v>
      </c>
      <c r="H15" s="56">
        <f>H14/H12</f>
        <v>0.18832264596692533</v>
      </c>
      <c r="Q15" s="30" t="s">
        <v>7</v>
      </c>
      <c r="T15" s="22">
        <f>T13*F18</f>
        <v>21.388419751384134</v>
      </c>
      <c r="U15" t="s">
        <v>26</v>
      </c>
    </row>
    <row r="16" spans="4:25" x14ac:dyDescent="0.25">
      <c r="D16" s="54" t="s">
        <v>9</v>
      </c>
      <c r="E16" s="53"/>
      <c r="F16" s="55">
        <f>F14/F13</f>
        <v>0.28244788164088741</v>
      </c>
      <c r="G16" s="55">
        <f>G14/G13</f>
        <v>0.24665856622114207</v>
      </c>
      <c r="H16" s="56">
        <f>H14/H13</f>
        <v>0.23201663201663189</v>
      </c>
      <c r="T16" s="15"/>
    </row>
    <row r="17" spans="1:25" x14ac:dyDescent="0.25">
      <c r="D17" s="57"/>
      <c r="E17" s="58"/>
      <c r="F17" s="59"/>
      <c r="G17" s="59"/>
      <c r="H17" s="60"/>
      <c r="Q17" s="30" t="s">
        <v>13</v>
      </c>
      <c r="T17" s="22">
        <f>T13-T15</f>
        <v>84.421580248615868</v>
      </c>
      <c r="U17" t="s">
        <v>26</v>
      </c>
    </row>
    <row r="18" spans="1:25" x14ac:dyDescent="0.25">
      <c r="D18" s="61"/>
      <c r="E18" s="62" t="s">
        <v>10</v>
      </c>
      <c r="F18" s="63">
        <f>AVERAGE(F15:H15)</f>
        <v>0.20213987100826136</v>
      </c>
      <c r="G18" s="59"/>
      <c r="H18" s="60"/>
      <c r="T18" s="15"/>
    </row>
    <row r="19" spans="1:25" ht="15.75" thickBot="1" x14ac:dyDescent="0.3">
      <c r="D19" s="64"/>
      <c r="E19" s="65" t="s">
        <v>11</v>
      </c>
      <c r="F19" s="70">
        <f>AVERAGE(F16:H16)</f>
        <v>0.25370769329288717</v>
      </c>
      <c r="G19" s="66"/>
      <c r="H19" s="67"/>
      <c r="P19" s="6"/>
      <c r="Q19" s="31" t="s">
        <v>16</v>
      </c>
      <c r="R19" s="7"/>
      <c r="S19" s="7"/>
      <c r="T19" s="79">
        <v>423</v>
      </c>
      <c r="U19" s="7" t="s">
        <v>26</v>
      </c>
      <c r="V19" s="7"/>
      <c r="W19" s="7"/>
      <c r="X19" s="7"/>
      <c r="Y19" s="8"/>
    </row>
    <row r="20" spans="1:25" x14ac:dyDescent="0.25">
      <c r="P20" s="9"/>
      <c r="Q20" s="32"/>
      <c r="R20" s="10"/>
      <c r="S20" s="10"/>
      <c r="T20" s="23"/>
      <c r="U20" s="10"/>
      <c r="V20" s="10"/>
      <c r="W20" s="10"/>
      <c r="X20" s="10"/>
      <c r="Y20" s="11"/>
    </row>
    <row r="21" spans="1:25" x14ac:dyDescent="0.25">
      <c r="P21" s="9"/>
      <c r="Q21" s="32" t="s">
        <v>17</v>
      </c>
      <c r="R21" s="10"/>
      <c r="S21" s="10"/>
      <c r="T21" s="79">
        <v>175.22</v>
      </c>
      <c r="U21" s="10" t="s">
        <v>26</v>
      </c>
      <c r="V21" s="10"/>
      <c r="W21" s="10"/>
      <c r="X21" s="10"/>
      <c r="Y21" s="11"/>
    </row>
    <row r="22" spans="1:25" ht="15.75" thickBot="1" x14ac:dyDescent="0.3">
      <c r="P22" s="9"/>
      <c r="Q22" s="32"/>
      <c r="R22" s="10"/>
      <c r="S22" s="10"/>
      <c r="T22" s="23"/>
      <c r="U22" s="10"/>
      <c r="V22" s="10"/>
      <c r="W22" s="10"/>
      <c r="X22" s="10"/>
      <c r="Y22" s="11"/>
    </row>
    <row r="23" spans="1:25" ht="15.75" thickBot="1" x14ac:dyDescent="0.3">
      <c r="D23" s="18" t="s">
        <v>25</v>
      </c>
      <c r="E23" s="29">
        <v>6.9567000000000004E-2</v>
      </c>
      <c r="P23" s="9"/>
      <c r="Q23" s="32" t="s">
        <v>18</v>
      </c>
      <c r="R23" s="10"/>
      <c r="S23" s="10"/>
      <c r="T23" s="24">
        <f>T19-T21-T11</f>
        <v>126.03</v>
      </c>
      <c r="U23" s="10" t="s">
        <v>26</v>
      </c>
      <c r="V23" s="10"/>
      <c r="W23" s="10"/>
      <c r="X23" s="10"/>
      <c r="Y23" s="11"/>
    </row>
    <row r="24" spans="1:25" x14ac:dyDescent="0.25">
      <c r="P24" s="9"/>
      <c r="Q24" s="32"/>
      <c r="R24" s="10"/>
      <c r="S24" s="10"/>
      <c r="T24" s="23"/>
      <c r="U24" s="10"/>
      <c r="V24" s="10"/>
      <c r="W24" s="10"/>
      <c r="X24" s="10"/>
      <c r="Y24" s="11"/>
    </row>
    <row r="25" spans="1:25" x14ac:dyDescent="0.25">
      <c r="P25" s="9"/>
      <c r="Q25" s="32" t="s">
        <v>19</v>
      </c>
      <c r="R25" s="10"/>
      <c r="S25" s="10"/>
      <c r="T25" s="24">
        <f>T23-T17</f>
        <v>41.608419751384133</v>
      </c>
      <c r="U25" t="s">
        <v>26</v>
      </c>
      <c r="V25" s="27">
        <f>(T25/(T25+T17))*100</f>
        <v>33.014694716642175</v>
      </c>
      <c r="W25" s="10" t="s">
        <v>24</v>
      </c>
      <c r="X25" s="27">
        <f>(T25/T17)*100</f>
        <v>49.286473469046818</v>
      </c>
      <c r="Y25" s="11" t="s">
        <v>33</v>
      </c>
    </row>
    <row r="26" spans="1:25" ht="45" x14ac:dyDescent="0.25">
      <c r="A26" s="20" t="s">
        <v>37</v>
      </c>
      <c r="B26" s="20" t="s">
        <v>38</v>
      </c>
      <c r="C26" s="20" t="s">
        <v>39</v>
      </c>
      <c r="D26" s="20" t="s">
        <v>47</v>
      </c>
      <c r="E26" s="20" t="s">
        <v>40</v>
      </c>
      <c r="F26" s="20" t="s">
        <v>41</v>
      </c>
      <c r="G26" s="20" t="s">
        <v>42</v>
      </c>
      <c r="H26" s="20" t="s">
        <v>43</v>
      </c>
      <c r="I26" s="20" t="s">
        <v>36</v>
      </c>
      <c r="J26" s="20" t="s">
        <v>46</v>
      </c>
      <c r="K26" s="20" t="s">
        <v>44</v>
      </c>
      <c r="L26" s="20" t="s">
        <v>31</v>
      </c>
      <c r="M26" s="20" t="s">
        <v>45</v>
      </c>
      <c r="N26" s="21" t="s">
        <v>48</v>
      </c>
      <c r="O26" s="21"/>
      <c r="P26" s="9"/>
      <c r="Q26" s="32"/>
      <c r="R26" s="10"/>
      <c r="S26" s="10"/>
      <c r="T26" s="23"/>
      <c r="U26" s="10"/>
      <c r="V26" s="10"/>
      <c r="W26" s="10"/>
      <c r="X26" s="10"/>
      <c r="Y26" s="11"/>
    </row>
    <row r="27" spans="1:25" ht="18" x14ac:dyDescent="0.35">
      <c r="A27" s="17">
        <v>120</v>
      </c>
      <c r="B27" s="71">
        <v>120</v>
      </c>
      <c r="C27" s="16">
        <f>B27-A27</f>
        <v>0</v>
      </c>
      <c r="D27" s="17">
        <v>0</v>
      </c>
      <c r="E27" s="15">
        <f>C27*$E$23</f>
        <v>0</v>
      </c>
      <c r="F27" s="15">
        <f>E27</f>
        <v>0</v>
      </c>
      <c r="G27" s="15">
        <f>T25</f>
        <v>41.608419751384133</v>
      </c>
      <c r="H27" s="15">
        <f t="shared" ref="H27:H34" si="0">(G27/$T$17)*100</f>
        <v>49.286473469046818</v>
      </c>
      <c r="I27" s="15">
        <f>(G27/$T$39)*100</f>
        <v>83.667454856094949</v>
      </c>
      <c r="J27" s="17">
        <v>0</v>
      </c>
      <c r="K27" s="19">
        <f>$T$35*($T$34-(J27/10))</f>
        <v>83.09892403004784</v>
      </c>
      <c r="L27" s="15">
        <f>K27-$T$38</f>
        <v>49.730710493045521</v>
      </c>
      <c r="M27" s="15">
        <f>(G27/L27)*100</f>
        <v>83.667454856094949</v>
      </c>
      <c r="N27" s="15">
        <f>(G27/$K$27)*100</f>
        <v>50.0709488564965</v>
      </c>
      <c r="O27" s="34">
        <f>(G27/K27)*100</f>
        <v>50.0709488564965</v>
      </c>
      <c r="P27" s="9"/>
      <c r="Q27" s="32"/>
      <c r="R27" s="10"/>
      <c r="S27" s="10"/>
      <c r="T27" s="23">
        <f>T25-F31</f>
        <v>42.58235775138413</v>
      </c>
      <c r="U27" s="10" t="s">
        <v>54</v>
      </c>
      <c r="V27" s="10"/>
      <c r="W27" s="10"/>
      <c r="X27" s="10"/>
      <c r="Y27" s="11"/>
    </row>
    <row r="28" spans="1:25" ht="18" x14ac:dyDescent="0.35">
      <c r="A28" s="17">
        <v>120</v>
      </c>
      <c r="B28" s="17">
        <v>120</v>
      </c>
      <c r="C28" s="16">
        <f t="shared" ref="C28:C33" si="1">B28-A28</f>
        <v>0</v>
      </c>
      <c r="D28" s="17">
        <v>1</v>
      </c>
      <c r="E28" s="15">
        <f t="shared" ref="E28:E33" si="2">C28*$E$23</f>
        <v>0</v>
      </c>
      <c r="F28" s="15">
        <f t="shared" ref="F28:F34" si="3">F27+E28</f>
        <v>0</v>
      </c>
      <c r="G28" s="15">
        <f t="shared" ref="G28:G34" si="4">$G$27-F28</f>
        <v>41.608419751384133</v>
      </c>
      <c r="H28" s="15">
        <f t="shared" si="0"/>
        <v>49.286473469046818</v>
      </c>
      <c r="I28" s="15">
        <f t="shared" ref="I28:I33" si="5">(G28/$T$39)*100</f>
        <v>83.667454856094949</v>
      </c>
      <c r="J28" s="17">
        <v>0</v>
      </c>
      <c r="K28" s="19">
        <f t="shared" ref="K28:K34" si="6">$T$35*($T$34-(J28/10))</f>
        <v>83.09892403004784</v>
      </c>
      <c r="L28" s="15">
        <f t="shared" ref="L28:L34" si="7">K28-$T$38</f>
        <v>49.730710493045521</v>
      </c>
      <c r="M28" s="15">
        <f t="shared" ref="M28:M34" si="8">(G28/L28)*100</f>
        <v>83.667454856094949</v>
      </c>
      <c r="N28" s="15">
        <f t="shared" ref="N28:N40" si="9">(G28/$K$27)*100</f>
        <v>50.0709488564965</v>
      </c>
      <c r="O28" s="34">
        <f t="shared" ref="O28:O43" si="10">(G28/K28)*100</f>
        <v>50.0709488564965</v>
      </c>
      <c r="P28" s="9"/>
      <c r="Q28" s="32"/>
      <c r="R28" s="10"/>
      <c r="S28" s="10"/>
      <c r="T28" s="23">
        <f>(T27/(T27+T17))*100</f>
        <v>33.528375908614841</v>
      </c>
      <c r="U28" s="10" t="s">
        <v>24</v>
      </c>
      <c r="V28" s="10"/>
      <c r="W28" s="5" t="s">
        <v>55</v>
      </c>
      <c r="X28" s="28">
        <f>T23/((1+(X25/100))*T36)</f>
        <v>1.0159166467437024</v>
      </c>
      <c r="Y28" s="11"/>
    </row>
    <row r="29" spans="1:25" x14ac:dyDescent="0.25">
      <c r="A29" s="17">
        <v>120</v>
      </c>
      <c r="B29" s="17">
        <v>120</v>
      </c>
      <c r="C29" s="16">
        <f t="shared" si="1"/>
        <v>0</v>
      </c>
      <c r="D29" s="17">
        <v>2</v>
      </c>
      <c r="E29" s="15">
        <f t="shared" si="2"/>
        <v>0</v>
      </c>
      <c r="F29" s="15">
        <f t="shared" si="3"/>
        <v>0</v>
      </c>
      <c r="G29" s="15">
        <f t="shared" si="4"/>
        <v>41.608419751384133</v>
      </c>
      <c r="H29" s="15">
        <f t="shared" si="0"/>
        <v>49.286473469046818</v>
      </c>
      <c r="I29" s="15">
        <f t="shared" si="5"/>
        <v>83.667454856094949</v>
      </c>
      <c r="J29" s="17">
        <v>0</v>
      </c>
      <c r="K29" s="19">
        <f t="shared" si="6"/>
        <v>83.09892403004784</v>
      </c>
      <c r="L29" s="15">
        <f t="shared" si="7"/>
        <v>49.730710493045521</v>
      </c>
      <c r="M29" s="15">
        <f t="shared" si="8"/>
        <v>83.667454856094949</v>
      </c>
      <c r="N29" s="15">
        <f t="shared" si="9"/>
        <v>50.0709488564965</v>
      </c>
      <c r="O29" s="34">
        <f t="shared" si="10"/>
        <v>50.0709488564965</v>
      </c>
      <c r="P29" s="12"/>
      <c r="Q29" s="33"/>
      <c r="R29" s="13"/>
      <c r="S29" s="13"/>
      <c r="T29" s="25"/>
      <c r="U29" s="13"/>
      <c r="V29" s="13"/>
      <c r="W29" s="13"/>
      <c r="X29" s="13"/>
      <c r="Y29" s="14"/>
    </row>
    <row r="30" spans="1:25" x14ac:dyDescent="0.25">
      <c r="A30" s="17">
        <v>120</v>
      </c>
      <c r="B30" s="17">
        <v>120</v>
      </c>
      <c r="C30" s="16">
        <f t="shared" si="1"/>
        <v>0</v>
      </c>
      <c r="D30" s="17">
        <v>4</v>
      </c>
      <c r="E30" s="15">
        <f t="shared" si="2"/>
        <v>0</v>
      </c>
      <c r="F30" s="15">
        <f t="shared" si="3"/>
        <v>0</v>
      </c>
      <c r="G30" s="15">
        <f t="shared" si="4"/>
        <v>41.608419751384133</v>
      </c>
      <c r="H30" s="15">
        <f t="shared" si="0"/>
        <v>49.286473469046818</v>
      </c>
      <c r="I30" s="15">
        <f t="shared" si="5"/>
        <v>83.667454856094949</v>
      </c>
      <c r="J30" s="17">
        <v>0</v>
      </c>
      <c r="K30" s="19">
        <f t="shared" si="6"/>
        <v>83.09892403004784</v>
      </c>
      <c r="L30" s="15">
        <f t="shared" si="7"/>
        <v>49.730710493045521</v>
      </c>
      <c r="M30" s="15">
        <f t="shared" si="8"/>
        <v>83.667454856094949</v>
      </c>
      <c r="N30" s="15">
        <f t="shared" si="9"/>
        <v>50.0709488564965</v>
      </c>
      <c r="O30" s="34">
        <f t="shared" si="10"/>
        <v>50.0709488564965</v>
      </c>
      <c r="T30" s="15"/>
    </row>
    <row r="31" spans="1:25" x14ac:dyDescent="0.25">
      <c r="A31" s="17">
        <v>36</v>
      </c>
      <c r="B31" s="17">
        <v>22</v>
      </c>
      <c r="C31" s="16">
        <f t="shared" si="1"/>
        <v>-14</v>
      </c>
      <c r="D31" s="17">
        <v>10</v>
      </c>
      <c r="E31" s="15">
        <f t="shared" si="2"/>
        <v>-0.97393800000000008</v>
      </c>
      <c r="F31" s="15">
        <f t="shared" si="3"/>
        <v>-0.97393800000000008</v>
      </c>
      <c r="G31" s="15">
        <f t="shared" si="4"/>
        <v>42.58235775138413</v>
      </c>
      <c r="H31" s="15">
        <f t="shared" si="0"/>
        <v>50.440133465853108</v>
      </c>
      <c r="I31" s="15">
        <f t="shared" si="5"/>
        <v>85.625878514924821</v>
      </c>
      <c r="J31" s="17">
        <v>1.1299999999999999E-2</v>
      </c>
      <c r="K31" s="19">
        <f t="shared" si="6"/>
        <v>83.069376583806829</v>
      </c>
      <c r="L31" s="15">
        <f t="shared" si="7"/>
        <v>49.70116304680451</v>
      </c>
      <c r="M31" s="15">
        <f t="shared" si="8"/>
        <v>85.676783280269589</v>
      </c>
      <c r="N31" s="15">
        <f t="shared" si="9"/>
        <v>51.242971251934286</v>
      </c>
      <c r="O31" s="34">
        <f t="shared" si="10"/>
        <v>51.261198172618691</v>
      </c>
      <c r="T31" s="15"/>
    </row>
    <row r="32" spans="1:25" x14ac:dyDescent="0.25">
      <c r="A32" s="17">
        <v>101</v>
      </c>
      <c r="B32" s="17">
        <v>145</v>
      </c>
      <c r="C32" s="16">
        <f t="shared" si="1"/>
        <v>44</v>
      </c>
      <c r="D32" s="17">
        <v>20</v>
      </c>
      <c r="E32" s="15">
        <f t="shared" si="2"/>
        <v>3.0609480000000002</v>
      </c>
      <c r="F32" s="15">
        <f t="shared" si="3"/>
        <v>2.0870100000000003</v>
      </c>
      <c r="G32" s="15">
        <f t="shared" si="4"/>
        <v>39.521409751384134</v>
      </c>
      <c r="H32" s="15">
        <f t="shared" si="0"/>
        <v>46.814344904461919</v>
      </c>
      <c r="I32" s="15">
        <f t="shared" si="5"/>
        <v>79.470832730030907</v>
      </c>
      <c r="J32" s="17">
        <v>3.5000000000000003E-2</v>
      </c>
      <c r="K32" s="19">
        <f t="shared" si="6"/>
        <v>83.007405391248227</v>
      </c>
      <c r="L32" s="15">
        <f t="shared" si="7"/>
        <v>49.639191854245908</v>
      </c>
      <c r="M32" s="15">
        <f t="shared" si="8"/>
        <v>79.617351280475475</v>
      </c>
      <c r="N32" s="15">
        <f t="shared" si="9"/>
        <v>47.559472294844078</v>
      </c>
      <c r="O32" s="34">
        <f t="shared" si="10"/>
        <v>47.611908317219878</v>
      </c>
      <c r="P32" s="6"/>
      <c r="Q32" s="31" t="s">
        <v>28</v>
      </c>
      <c r="R32" s="7"/>
      <c r="S32" s="7"/>
      <c r="T32" s="87">
        <v>2.5299999999999998</v>
      </c>
      <c r="U32" s="7"/>
      <c r="V32" s="7"/>
      <c r="W32" s="7"/>
      <c r="X32" s="7"/>
      <c r="Y32" s="8"/>
    </row>
    <row r="33" spans="1:25" x14ac:dyDescent="0.25">
      <c r="A33" s="17">
        <v>80</v>
      </c>
      <c r="B33" s="17">
        <v>93</v>
      </c>
      <c r="C33" s="16">
        <f t="shared" si="1"/>
        <v>13</v>
      </c>
      <c r="D33" s="17">
        <v>40</v>
      </c>
      <c r="E33" s="15">
        <f t="shared" si="2"/>
        <v>0.90437100000000004</v>
      </c>
      <c r="F33" s="15">
        <f t="shared" si="3"/>
        <v>2.9913810000000005</v>
      </c>
      <c r="G33" s="15">
        <f t="shared" si="4"/>
        <v>38.617038751384129</v>
      </c>
      <c r="H33" s="15">
        <f t="shared" si="0"/>
        <v>45.743089193141792</v>
      </c>
      <c r="I33" s="15">
        <f t="shared" si="5"/>
        <v>77.652296475403148</v>
      </c>
      <c r="J33" s="17">
        <v>4.2999999999999997E-2</v>
      </c>
      <c r="K33" s="19">
        <f t="shared" si="6"/>
        <v>82.986486845236882</v>
      </c>
      <c r="L33" s="15">
        <f t="shared" si="7"/>
        <v>49.618273308234564</v>
      </c>
      <c r="M33" s="15">
        <f t="shared" si="8"/>
        <v>77.828259986982076</v>
      </c>
      <c r="N33" s="15">
        <f>(G33/$K$27)*100</f>
        <v>46.471165784794692</v>
      </c>
      <c r="O33" s="34">
        <f t="shared" si="10"/>
        <v>46.534128891854159</v>
      </c>
      <c r="P33" s="9"/>
      <c r="Q33" s="32" t="s">
        <v>20</v>
      </c>
      <c r="R33" s="10"/>
      <c r="S33" s="10"/>
      <c r="T33" s="81">
        <v>5.77</v>
      </c>
      <c r="U33" s="10" t="s">
        <v>29</v>
      </c>
      <c r="V33" s="10"/>
      <c r="W33" s="10"/>
      <c r="X33" s="10"/>
      <c r="Y33" s="11"/>
    </row>
    <row r="34" spans="1:25" x14ac:dyDescent="0.25">
      <c r="A34" s="17">
        <v>93</v>
      </c>
      <c r="B34" s="17">
        <v>123</v>
      </c>
      <c r="C34" s="16">
        <f t="shared" ref="C34:C40" si="11">B34-A34</f>
        <v>30</v>
      </c>
      <c r="D34" s="17">
        <v>80</v>
      </c>
      <c r="E34" s="15">
        <f t="shared" ref="E34:E40" si="12">C34*$E$23</f>
        <v>2.0870100000000003</v>
      </c>
      <c r="F34" s="15">
        <f t="shared" si="3"/>
        <v>5.0783910000000008</v>
      </c>
      <c r="G34" s="15">
        <f t="shared" si="4"/>
        <v>36.53002875138413</v>
      </c>
      <c r="H34" s="15">
        <f t="shared" si="0"/>
        <v>43.270960628556885</v>
      </c>
      <c r="I34" s="15">
        <f t="shared" ref="I34:I40" si="13">(G34/$T$39)*100</f>
        <v>73.455674349339105</v>
      </c>
      <c r="J34" s="17">
        <v>2E-3</v>
      </c>
      <c r="K34" s="19">
        <f t="shared" si="6"/>
        <v>83.093694393545007</v>
      </c>
      <c r="L34" s="15">
        <f t="shared" si="7"/>
        <v>49.725480856542688</v>
      </c>
      <c r="M34" s="15">
        <f t="shared" si="8"/>
        <v>73.463399693957214</v>
      </c>
      <c r="N34" s="15">
        <f t="shared" si="9"/>
        <v>43.959689223142277</v>
      </c>
      <c r="O34" s="34">
        <f t="shared" si="10"/>
        <v>43.962455897522233</v>
      </c>
      <c r="P34" s="9"/>
      <c r="Q34" s="32" t="s">
        <v>21</v>
      </c>
      <c r="R34" s="10"/>
      <c r="S34" s="10"/>
      <c r="T34" s="81">
        <v>3.1779999999999999</v>
      </c>
      <c r="U34" s="10" t="s">
        <v>29</v>
      </c>
      <c r="V34" s="10"/>
      <c r="W34" s="10"/>
      <c r="X34" s="10"/>
      <c r="Y34" s="11"/>
    </row>
    <row r="35" spans="1:25" x14ac:dyDescent="0.25">
      <c r="A35" s="80">
        <v>127</v>
      </c>
      <c r="B35" s="80">
        <v>155</v>
      </c>
      <c r="C35" s="16">
        <f t="shared" si="11"/>
        <v>28</v>
      </c>
      <c r="D35" s="80">
        <v>160</v>
      </c>
      <c r="E35" s="15">
        <f t="shared" si="12"/>
        <v>1.9478760000000002</v>
      </c>
      <c r="F35" s="15">
        <f t="shared" ref="F35:F40" si="14">F34+E35</f>
        <v>7.0262670000000007</v>
      </c>
      <c r="G35" s="15">
        <f t="shared" ref="G35:G40" si="15">$G$27-F35</f>
        <v>34.582152751384129</v>
      </c>
      <c r="H35" s="15">
        <f t="shared" ref="H35:H40" si="16">(G35/$T$17)*100</f>
        <v>40.963640634944312</v>
      </c>
      <c r="I35" s="15">
        <f t="shared" si="13"/>
        <v>69.538827031679332</v>
      </c>
      <c r="J35" s="80">
        <v>0</v>
      </c>
      <c r="K35" s="19">
        <f t="shared" ref="K35:K40" si="17">$T$35*($T$34-(J35/10))</f>
        <v>83.09892403004784</v>
      </c>
      <c r="L35" s="15">
        <f t="shared" ref="L35:L40" si="18">K35-$T$38</f>
        <v>49.730710493045521</v>
      </c>
      <c r="M35" s="15">
        <f t="shared" ref="M35:M40" si="19">(G35/L35)*100</f>
        <v>69.538827031679332</v>
      </c>
      <c r="N35" s="15">
        <f t="shared" si="9"/>
        <v>41.615644432266691</v>
      </c>
      <c r="O35" s="34">
        <f t="shared" si="10"/>
        <v>41.615644432266691</v>
      </c>
      <c r="P35" s="9"/>
      <c r="Q35" s="32" t="s">
        <v>32</v>
      </c>
      <c r="R35" s="10"/>
      <c r="S35" s="10"/>
      <c r="T35" s="23">
        <f>(PI()*(T33^2))/4</f>
        <v>26.148182514174902</v>
      </c>
      <c r="U35" s="10"/>
      <c r="V35" s="10"/>
      <c r="W35" s="10"/>
      <c r="X35" s="10"/>
      <c r="Y35" s="11"/>
    </row>
    <row r="36" spans="1:25" ht="17.25" x14ac:dyDescent="0.25">
      <c r="A36" s="17"/>
      <c r="B36" s="17"/>
      <c r="C36" s="16">
        <f t="shared" si="11"/>
        <v>0</v>
      </c>
      <c r="D36" s="17">
        <v>320</v>
      </c>
      <c r="E36" s="15">
        <f t="shared" si="12"/>
        <v>0</v>
      </c>
      <c r="F36" s="15">
        <f t="shared" si="14"/>
        <v>7.0262670000000007</v>
      </c>
      <c r="G36" s="15">
        <f t="shared" si="15"/>
        <v>34.582152751384129</v>
      </c>
      <c r="H36" s="15">
        <f t="shared" si="16"/>
        <v>40.963640634944312</v>
      </c>
      <c r="I36" s="15">
        <f t="shared" si="13"/>
        <v>69.538827031679332</v>
      </c>
      <c r="J36" s="17"/>
      <c r="K36" s="19">
        <f t="shared" si="17"/>
        <v>83.09892403004784</v>
      </c>
      <c r="L36" s="15">
        <f t="shared" si="18"/>
        <v>49.730710493045521</v>
      </c>
      <c r="M36" s="15">
        <f t="shared" si="19"/>
        <v>69.538827031679332</v>
      </c>
      <c r="N36" s="15">
        <f t="shared" si="9"/>
        <v>41.615644432266691</v>
      </c>
      <c r="O36" s="34">
        <f t="shared" si="10"/>
        <v>41.615644432266691</v>
      </c>
      <c r="P36" s="9"/>
      <c r="Q36" s="32" t="s">
        <v>22</v>
      </c>
      <c r="R36" s="10"/>
      <c r="S36" s="10"/>
      <c r="T36" s="23">
        <f>T35*T34</f>
        <v>83.09892403004784</v>
      </c>
      <c r="U36" s="10" t="s">
        <v>52</v>
      </c>
      <c r="V36" s="10"/>
      <c r="W36" s="10"/>
      <c r="X36" s="10"/>
      <c r="Y36" s="11"/>
    </row>
    <row r="37" spans="1:25" ht="18" x14ac:dyDescent="0.35">
      <c r="A37" s="17"/>
      <c r="B37" s="17"/>
      <c r="C37" s="16">
        <f t="shared" si="11"/>
        <v>0</v>
      </c>
      <c r="D37" s="17"/>
      <c r="E37" s="15">
        <f t="shared" si="12"/>
        <v>0</v>
      </c>
      <c r="F37" s="15">
        <f t="shared" si="14"/>
        <v>7.0262670000000007</v>
      </c>
      <c r="G37" s="15">
        <f t="shared" si="15"/>
        <v>34.582152751384129</v>
      </c>
      <c r="H37" s="15">
        <f t="shared" si="16"/>
        <v>40.963640634944312</v>
      </c>
      <c r="I37" s="15">
        <f t="shared" si="13"/>
        <v>69.538827031679332</v>
      </c>
      <c r="J37" s="17"/>
      <c r="K37" s="19">
        <f t="shared" si="17"/>
        <v>83.09892403004784</v>
      </c>
      <c r="L37" s="15">
        <f t="shared" si="18"/>
        <v>49.730710493045521</v>
      </c>
      <c r="M37" s="15">
        <f t="shared" si="19"/>
        <v>69.538827031679332</v>
      </c>
      <c r="N37" s="15">
        <f t="shared" si="9"/>
        <v>41.615644432266691</v>
      </c>
      <c r="O37" s="34">
        <f t="shared" si="10"/>
        <v>41.615644432266691</v>
      </c>
      <c r="P37" s="9"/>
      <c r="Q37" s="32" t="s">
        <v>49</v>
      </c>
      <c r="R37" s="10"/>
      <c r="S37" s="10"/>
      <c r="T37" s="23">
        <f>T17/(T32*T35)</f>
        <v>1.2761198036962396</v>
      </c>
      <c r="U37" s="10"/>
      <c r="V37" s="10"/>
      <c r="W37" s="10"/>
      <c r="X37" s="10"/>
      <c r="Y37" s="11"/>
    </row>
    <row r="38" spans="1:25" ht="17.25" x14ac:dyDescent="0.25">
      <c r="A38" s="17"/>
      <c r="B38" s="17"/>
      <c r="C38" s="16">
        <f t="shared" si="11"/>
        <v>0</v>
      </c>
      <c r="D38" s="17"/>
      <c r="E38" s="15">
        <f t="shared" si="12"/>
        <v>0</v>
      </c>
      <c r="F38" s="15">
        <f t="shared" si="14"/>
        <v>7.0262670000000007</v>
      </c>
      <c r="G38" s="15">
        <f t="shared" si="15"/>
        <v>34.582152751384129</v>
      </c>
      <c r="H38" s="15">
        <f t="shared" si="16"/>
        <v>40.963640634944312</v>
      </c>
      <c r="I38" s="15">
        <f t="shared" si="13"/>
        <v>69.538827031679332</v>
      </c>
      <c r="J38" s="17"/>
      <c r="K38" s="19">
        <f t="shared" si="17"/>
        <v>83.09892403004784</v>
      </c>
      <c r="L38" s="15">
        <f t="shared" si="18"/>
        <v>49.730710493045521</v>
      </c>
      <c r="M38" s="15">
        <f t="shared" si="19"/>
        <v>69.538827031679332</v>
      </c>
      <c r="N38" s="15">
        <f t="shared" si="9"/>
        <v>41.615644432266691</v>
      </c>
      <c r="O38" s="34">
        <f t="shared" si="10"/>
        <v>41.615644432266691</v>
      </c>
      <c r="P38" s="9"/>
      <c r="Q38" s="32" t="s">
        <v>30</v>
      </c>
      <c r="R38" s="10"/>
      <c r="S38" s="10"/>
      <c r="T38" s="23">
        <f>T35*T37</f>
        <v>33.368213537002319</v>
      </c>
      <c r="U38" s="10" t="s">
        <v>52</v>
      </c>
      <c r="V38" s="23">
        <f>T17/T32</f>
        <v>33.368213537002319</v>
      </c>
      <c r="W38" s="10" t="s">
        <v>52</v>
      </c>
      <c r="X38" s="10"/>
      <c r="Y38" s="11"/>
    </row>
    <row r="39" spans="1:25" x14ac:dyDescent="0.25">
      <c r="A39" s="17"/>
      <c r="B39" s="17"/>
      <c r="C39" s="16">
        <f t="shared" si="11"/>
        <v>0</v>
      </c>
      <c r="D39" s="17"/>
      <c r="E39" s="15">
        <f t="shared" si="12"/>
        <v>0</v>
      </c>
      <c r="F39" s="15">
        <f t="shared" si="14"/>
        <v>7.0262670000000007</v>
      </c>
      <c r="G39" s="15">
        <f t="shared" si="15"/>
        <v>34.582152751384129</v>
      </c>
      <c r="H39" s="15">
        <f t="shared" si="16"/>
        <v>40.963640634944312</v>
      </c>
      <c r="I39" s="15">
        <f t="shared" si="13"/>
        <v>69.538827031679332</v>
      </c>
      <c r="J39" s="17"/>
      <c r="K39" s="19">
        <f t="shared" si="17"/>
        <v>83.09892403004784</v>
      </c>
      <c r="L39" s="15">
        <f t="shared" si="18"/>
        <v>49.730710493045521</v>
      </c>
      <c r="M39" s="15">
        <f t="shared" si="19"/>
        <v>69.538827031679332</v>
      </c>
      <c r="N39" s="15">
        <f t="shared" si="9"/>
        <v>41.615644432266691</v>
      </c>
      <c r="O39" s="34">
        <f t="shared" si="10"/>
        <v>41.615644432266691</v>
      </c>
      <c r="P39" s="9"/>
      <c r="Q39" s="32" t="s">
        <v>31</v>
      </c>
      <c r="R39" s="10"/>
      <c r="S39" s="10"/>
      <c r="T39" s="26">
        <f>T36-T38</f>
        <v>49.730710493045521</v>
      </c>
      <c r="U39" s="10"/>
      <c r="V39" s="23"/>
      <c r="W39" s="10"/>
      <c r="X39" s="10"/>
      <c r="Y39" s="11"/>
    </row>
    <row r="40" spans="1:25" ht="18" x14ac:dyDescent="0.35">
      <c r="A40" s="17"/>
      <c r="B40" s="17"/>
      <c r="C40" s="16">
        <f t="shared" si="11"/>
        <v>0</v>
      </c>
      <c r="D40" s="17"/>
      <c r="E40" s="15">
        <f t="shared" si="12"/>
        <v>0</v>
      </c>
      <c r="F40" s="15">
        <f t="shared" si="14"/>
        <v>7.0262670000000007</v>
      </c>
      <c r="G40" s="15">
        <f t="shared" si="15"/>
        <v>34.582152751384129</v>
      </c>
      <c r="H40" s="15">
        <f t="shared" si="16"/>
        <v>40.963640634944312</v>
      </c>
      <c r="I40" s="15">
        <f t="shared" si="13"/>
        <v>69.538827031679332</v>
      </c>
      <c r="J40" s="17"/>
      <c r="K40" s="19">
        <f t="shared" si="17"/>
        <v>83.09892403004784</v>
      </c>
      <c r="L40" s="15">
        <f t="shared" si="18"/>
        <v>49.730710493045521</v>
      </c>
      <c r="M40" s="15">
        <f t="shared" si="19"/>
        <v>69.538827031679332</v>
      </c>
      <c r="N40" s="15">
        <f t="shared" si="9"/>
        <v>41.615644432266691</v>
      </c>
      <c r="O40" s="34">
        <f t="shared" si="10"/>
        <v>41.615644432266691</v>
      </c>
      <c r="P40" s="9"/>
      <c r="Q40" s="32" t="s">
        <v>50</v>
      </c>
      <c r="R40" s="10"/>
      <c r="S40" s="10"/>
      <c r="T40" s="23">
        <f>(T34/T37)-1</f>
        <v>1.4903617911069369</v>
      </c>
      <c r="U40" s="10"/>
      <c r="V40" s="23">
        <f>T39/T38</f>
        <v>1.4903617911069371</v>
      </c>
      <c r="W40" s="23">
        <f>(T32/T42)-1</f>
        <v>1.4903617911069369</v>
      </c>
      <c r="X40" s="10"/>
      <c r="Y40" s="11"/>
    </row>
    <row r="41" spans="1:25" ht="18" x14ac:dyDescent="0.35">
      <c r="A41" s="17"/>
      <c r="B41" s="17"/>
      <c r="C41" s="16">
        <f>B41-A41</f>
        <v>0</v>
      </c>
      <c r="D41" s="17"/>
      <c r="E41" s="15">
        <f>C41*$E$23</f>
        <v>0</v>
      </c>
      <c r="F41" s="15">
        <f>F40+E41</f>
        <v>7.0262670000000007</v>
      </c>
      <c r="G41" s="15">
        <f>$G$27-F41</f>
        <v>34.582152751384129</v>
      </c>
      <c r="H41" s="15">
        <f>(G41/$T$17)*100</f>
        <v>40.963640634944312</v>
      </c>
      <c r="I41" s="15">
        <f>(G41/$T$39)*100</f>
        <v>69.538827031679332</v>
      </c>
      <c r="J41" s="17"/>
      <c r="K41" s="19">
        <f>$T$35*($T$34-(J41/10))</f>
        <v>83.09892403004784</v>
      </c>
      <c r="L41" s="15">
        <f>K41-$T$38</f>
        <v>49.730710493045521</v>
      </c>
      <c r="M41" s="15">
        <f>(G41/L41)*100</f>
        <v>69.538827031679332</v>
      </c>
      <c r="N41" s="15">
        <f>(G41/$K$27)*100</f>
        <v>41.615644432266691</v>
      </c>
      <c r="O41" s="34">
        <f t="shared" si="10"/>
        <v>41.615644432266691</v>
      </c>
      <c r="P41" s="9"/>
      <c r="Q41" s="32" t="s">
        <v>51</v>
      </c>
      <c r="R41" s="10"/>
      <c r="S41" s="10"/>
      <c r="T41" s="23">
        <f>(T15/T39)*100</f>
        <v>43.008474118573368</v>
      </c>
      <c r="U41" s="10" t="s">
        <v>27</v>
      </c>
      <c r="V41" s="23">
        <f>((F19*T32)/T40)*100</f>
        <v>43.068768124702153</v>
      </c>
      <c r="W41" s="10" t="s">
        <v>27</v>
      </c>
      <c r="X41" s="10"/>
      <c r="Y41" s="11"/>
    </row>
    <row r="42" spans="1:25" ht="17.25" x14ac:dyDescent="0.25">
      <c r="A42" s="17"/>
      <c r="B42" s="17"/>
      <c r="C42" s="16">
        <f>B42-A42</f>
        <v>0</v>
      </c>
      <c r="D42" s="17"/>
      <c r="E42" s="15">
        <f>C42*$E$23</f>
        <v>0</v>
      </c>
      <c r="F42" s="15">
        <f>F41+E42</f>
        <v>7.0262670000000007</v>
      </c>
      <c r="G42" s="15">
        <f>$G$27-F42</f>
        <v>34.582152751384129</v>
      </c>
      <c r="H42" s="15">
        <f>(G42/$T$17)*100</f>
        <v>40.963640634944312</v>
      </c>
      <c r="I42" s="15">
        <f>(G42/$T$39)*100</f>
        <v>69.538827031679332</v>
      </c>
      <c r="J42" s="17"/>
      <c r="K42" s="19">
        <f>$T$35*($T$34-(J42/10))</f>
        <v>83.09892403004784</v>
      </c>
      <c r="L42" s="15">
        <f>K42-$T$38</f>
        <v>49.730710493045521</v>
      </c>
      <c r="M42" s="15">
        <f>(G42/L42)*100</f>
        <v>69.538827031679332</v>
      </c>
      <c r="N42" s="15">
        <f>(G42/$K$27)*100</f>
        <v>41.615644432266691</v>
      </c>
      <c r="O42" s="34">
        <f t="shared" si="10"/>
        <v>41.615644432266691</v>
      </c>
      <c r="P42" s="9"/>
      <c r="Q42" s="32" t="s">
        <v>35</v>
      </c>
      <c r="R42" s="10"/>
      <c r="S42" s="10"/>
      <c r="T42" s="23">
        <f>T17/T36</f>
        <v>1.0159166467437024</v>
      </c>
      <c r="U42" s="10" t="s">
        <v>53</v>
      </c>
      <c r="V42" s="23">
        <f>T13/((1+F19)*T36)</f>
        <v>1.0156288359260628</v>
      </c>
      <c r="W42" s="10"/>
      <c r="X42" s="10"/>
      <c r="Y42" s="11"/>
    </row>
    <row r="43" spans="1:25" x14ac:dyDescent="0.25">
      <c r="A43" s="17"/>
      <c r="B43" s="17"/>
      <c r="C43" s="16">
        <f>B43-A43</f>
        <v>0</v>
      </c>
      <c r="D43" s="17"/>
      <c r="E43" s="15">
        <f>C43*$E$23</f>
        <v>0</v>
      </c>
      <c r="F43" s="15">
        <f>F42+E43</f>
        <v>7.0262670000000007</v>
      </c>
      <c r="G43" s="15">
        <f>$G$27-F43</f>
        <v>34.582152751384129</v>
      </c>
      <c r="H43" s="15">
        <f>(G43/$T$17)*100</f>
        <v>40.963640634944312</v>
      </c>
      <c r="I43" s="15">
        <f>(G43/$T$39)*100</f>
        <v>69.538827031679332</v>
      </c>
      <c r="J43" s="17"/>
      <c r="K43" s="19">
        <f>$T$35*($T$34-(J43/10))</f>
        <v>83.09892403004784</v>
      </c>
      <c r="L43" s="15">
        <f>K43-$T$38</f>
        <v>49.730710493045521</v>
      </c>
      <c r="M43" s="15">
        <f>(G43/L43)*100</f>
        <v>69.538827031679332</v>
      </c>
      <c r="N43" s="15">
        <f>(G43/$K$27)*100</f>
        <v>41.615644432266691</v>
      </c>
      <c r="O43" s="34">
        <f t="shared" si="10"/>
        <v>41.615644432266691</v>
      </c>
      <c r="P43" s="12"/>
      <c r="Q43" s="33"/>
      <c r="R43" s="13"/>
      <c r="S43" s="13"/>
      <c r="T43" s="25"/>
      <c r="U43" s="13"/>
      <c r="V43" s="13"/>
      <c r="W43" s="13"/>
      <c r="X43" s="13"/>
      <c r="Y43" s="14"/>
    </row>
    <row r="46" spans="1:25" x14ac:dyDescent="0.25">
      <c r="N46" s="17">
        <v>2</v>
      </c>
    </row>
    <row r="47" spans="1:25" x14ac:dyDescent="0.25">
      <c r="N47" s="17">
        <v>4</v>
      </c>
    </row>
    <row r="48" spans="1:25" x14ac:dyDescent="0.25">
      <c r="N48" s="17">
        <v>8</v>
      </c>
      <c r="Q48" s="72" t="s">
        <v>68</v>
      </c>
      <c r="R48" s="73"/>
      <c r="S48" s="73"/>
      <c r="T48" s="73"/>
      <c r="U48" s="73"/>
      <c r="V48" s="73"/>
    </row>
    <row r="49" spans="8:14" x14ac:dyDescent="0.25">
      <c r="N49" s="17">
        <v>20</v>
      </c>
    </row>
    <row r="50" spans="8:14" x14ac:dyDescent="0.25">
      <c r="N50" s="17">
        <v>40</v>
      </c>
    </row>
    <row r="51" spans="8:14" x14ac:dyDescent="0.25">
      <c r="N51" s="17">
        <v>100</v>
      </c>
    </row>
    <row r="52" spans="8:14" x14ac:dyDescent="0.25">
      <c r="N52" s="17">
        <v>400</v>
      </c>
    </row>
    <row r="53" spans="8:14" x14ac:dyDescent="0.25">
      <c r="N53" s="17">
        <v>800</v>
      </c>
    </row>
    <row r="63" spans="8:14" x14ac:dyDescent="0.25">
      <c r="I63">
        <v>17</v>
      </c>
    </row>
    <row r="64" spans="8:14" x14ac:dyDescent="0.25">
      <c r="H64" t="s">
        <v>69</v>
      </c>
      <c r="I64" s="74">
        <v>3.0000000000000001E-3</v>
      </c>
    </row>
    <row r="65" spans="8:9" x14ac:dyDescent="0.25">
      <c r="H65" t="s">
        <v>70</v>
      </c>
      <c r="I65" s="74">
        <v>1.3</v>
      </c>
    </row>
    <row r="66" spans="8:9" x14ac:dyDescent="0.25">
      <c r="H66" t="s">
        <v>71</v>
      </c>
      <c r="I66" s="74">
        <v>0.66600000000000004</v>
      </c>
    </row>
    <row r="69" spans="8:9" x14ac:dyDescent="0.25">
      <c r="H69">
        <v>1</v>
      </c>
      <c r="I69">
        <f>(((1/(1+($I$64*H69)^$I$65))^$I$66)*100)-$I$63</f>
        <v>82.965042373608057</v>
      </c>
    </row>
    <row r="70" spans="8:9" x14ac:dyDescent="0.25">
      <c r="H70">
        <v>2</v>
      </c>
      <c r="I70">
        <f t="shared" ref="I70:I79" si="20">(((1/(1+($I$64*H70)^$I$65))^$I$66)*100)-$I$63</f>
        <v>82.913979219862952</v>
      </c>
    </row>
    <row r="71" spans="8:9" x14ac:dyDescent="0.25">
      <c r="H71">
        <v>3</v>
      </c>
      <c r="I71">
        <f t="shared" si="20"/>
        <v>82.854387751020226</v>
      </c>
    </row>
    <row r="72" spans="8:9" x14ac:dyDescent="0.25">
      <c r="H72">
        <v>4</v>
      </c>
      <c r="I72">
        <f t="shared" si="20"/>
        <v>82.788524622409128</v>
      </c>
    </row>
    <row r="73" spans="8:9" x14ac:dyDescent="0.25">
      <c r="H73">
        <v>8</v>
      </c>
      <c r="I73">
        <f t="shared" si="20"/>
        <v>82.481291574156444</v>
      </c>
    </row>
    <row r="74" spans="8:9" x14ac:dyDescent="0.25">
      <c r="H74">
        <v>20</v>
      </c>
      <c r="I74">
        <f t="shared" si="20"/>
        <v>81.317908637581212</v>
      </c>
    </row>
    <row r="75" spans="8:9" x14ac:dyDescent="0.25">
      <c r="H75">
        <v>100</v>
      </c>
      <c r="I75">
        <f t="shared" si="20"/>
        <v>71.123403668898874</v>
      </c>
    </row>
    <row r="76" spans="8:9" x14ac:dyDescent="0.25">
      <c r="H76">
        <v>400</v>
      </c>
      <c r="I76">
        <f t="shared" si="20"/>
        <v>40.970907365210678</v>
      </c>
    </row>
    <row r="77" spans="8:9" x14ac:dyDescent="0.25">
      <c r="H77">
        <v>800</v>
      </c>
      <c r="I77">
        <f t="shared" si="20"/>
        <v>21.941970187362365</v>
      </c>
    </row>
    <row r="78" spans="8:9" x14ac:dyDescent="0.25">
      <c r="H78">
        <v>1000</v>
      </c>
      <c r="I78">
        <f t="shared" si="20"/>
        <v>16.477266399154622</v>
      </c>
    </row>
    <row r="79" spans="8:9" x14ac:dyDescent="0.25">
      <c r="H79">
        <v>2000</v>
      </c>
      <c r="I79">
        <f t="shared" si="20"/>
        <v>2.9252042486201475</v>
      </c>
    </row>
  </sheetData>
  <mergeCells count="1">
    <mergeCell ref="D6:G6"/>
  </mergeCells>
  <phoneticPr fontId="9" type="noConversion"/>
  <printOptions horizontalCentered="1" verticalCentered="1"/>
  <pageMargins left="0.11811023622047245" right="0.11811023622047245" top="0.19685039370078741" bottom="0.19685039370078741" header="0.31496062992125984" footer="0.31496062992125984"/>
  <pageSetup paperSize="9" scale="55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3:G12"/>
  <sheetViews>
    <sheetView workbookViewId="0">
      <selection activeCell="G4" sqref="G4"/>
    </sheetView>
  </sheetViews>
  <sheetFormatPr defaultColWidth="8.85546875" defaultRowHeight="15" x14ac:dyDescent="0.25"/>
  <sheetData>
    <row r="3" spans="7:7" x14ac:dyDescent="0.25">
      <c r="G3">
        <v>20</v>
      </c>
    </row>
    <row r="4" spans="7:7" x14ac:dyDescent="0.25">
      <c r="G4">
        <v>16</v>
      </c>
    </row>
    <row r="5" spans="7:7" x14ac:dyDescent="0.25">
      <c r="G5">
        <v>5</v>
      </c>
    </row>
    <row r="6" spans="7:7" x14ac:dyDescent="0.25">
      <c r="G6">
        <v>140</v>
      </c>
    </row>
    <row r="7" spans="7:7" x14ac:dyDescent="0.25">
      <c r="G7">
        <v>107</v>
      </c>
    </row>
    <row r="8" spans="7:7" x14ac:dyDescent="0.25">
      <c r="G8">
        <v>104</v>
      </c>
    </row>
    <row r="9" spans="7:7" x14ac:dyDescent="0.25">
      <c r="G9">
        <v>96</v>
      </c>
    </row>
    <row r="10" spans="7:7" x14ac:dyDescent="0.25">
      <c r="G10">
        <v>94</v>
      </c>
    </row>
    <row r="11" spans="7:7" x14ac:dyDescent="0.25">
      <c r="G11">
        <v>80</v>
      </c>
    </row>
    <row r="12" spans="7:7" x14ac:dyDescent="0.25">
      <c r="G12">
        <v>74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K28"/>
  <sheetViews>
    <sheetView workbookViewId="0">
      <selection activeCell="G5" sqref="G5"/>
    </sheetView>
  </sheetViews>
  <sheetFormatPr defaultRowHeight="15" x14ac:dyDescent="0.25"/>
  <cols>
    <col min="1" max="8" width="11.42578125" style="35" customWidth="1"/>
    <col min="9" max="9" width="13.7109375" style="35" customWidth="1"/>
    <col min="10" max="256" width="11.42578125" style="35" customWidth="1"/>
    <col min="257" max="16384" width="9.140625" style="35"/>
  </cols>
  <sheetData>
    <row r="3" spans="4:11" ht="15.75" thickBot="1" x14ac:dyDescent="0.3"/>
    <row r="4" spans="4:11" ht="30.75" thickBot="1" x14ac:dyDescent="0.3">
      <c r="D4" s="38" t="str">
        <f>'Ensaio da Curva Característica'!D26</f>
        <v>Sucção                      (kPa)</v>
      </c>
      <c r="E4" s="39" t="str">
        <f>'Ensaio da Curva Característica'!N26</f>
        <v>q</v>
      </c>
      <c r="F4" s="40" t="str">
        <f>'Ensaio da Curva Característica'!H26</f>
        <v>w BS         (%)</v>
      </c>
      <c r="G4" s="41" t="str">
        <f>'Ensaio da Curva Característica'!I26</f>
        <v>S</v>
      </c>
      <c r="I4" s="84" t="s">
        <v>58</v>
      </c>
      <c r="J4" s="85"/>
      <c r="K4" s="86"/>
    </row>
    <row r="5" spans="4:11" ht="18" customHeight="1" x14ac:dyDescent="0.25">
      <c r="D5" s="42">
        <f>'Ensaio da Curva Característica'!D27</f>
        <v>0</v>
      </c>
      <c r="E5" s="37">
        <f>'Ensaio da Curva Característica'!N27</f>
        <v>50.0709488564965</v>
      </c>
      <c r="F5" s="37">
        <f>'Ensaio da Curva Característica'!H27</f>
        <v>49.286473469046818</v>
      </c>
      <c r="G5" s="43">
        <f>'Ensaio da Curva Característica'!I27</f>
        <v>83.667454856094949</v>
      </c>
      <c r="I5" s="48" t="s">
        <v>56</v>
      </c>
      <c r="J5" s="47">
        <f>'Ensaio da Curva Característica'!F18*100</f>
        <v>20.213987100826138</v>
      </c>
      <c r="K5" s="49" t="s">
        <v>27</v>
      </c>
    </row>
    <row r="6" spans="4:11" ht="18" customHeight="1" x14ac:dyDescent="0.25">
      <c r="D6" s="42">
        <f>'Ensaio da Curva Característica'!D28</f>
        <v>1</v>
      </c>
      <c r="E6" s="37">
        <f>'Ensaio da Curva Característica'!N28</f>
        <v>50.0709488564965</v>
      </c>
      <c r="F6" s="37">
        <f>'Ensaio da Curva Característica'!H28</f>
        <v>49.286473469046818</v>
      </c>
      <c r="G6" s="43">
        <f>'Ensaio da Curva Característica'!I28</f>
        <v>83.667454856094949</v>
      </c>
      <c r="I6" s="42" t="s">
        <v>7</v>
      </c>
      <c r="J6" s="37">
        <f>'Ensaio da Curva Característica'!T15</f>
        <v>21.388419751384134</v>
      </c>
      <c r="K6" s="50" t="s">
        <v>26</v>
      </c>
    </row>
    <row r="7" spans="4:11" ht="18" customHeight="1" x14ac:dyDescent="0.25">
      <c r="D7" s="42">
        <f>'Ensaio da Curva Característica'!D29</f>
        <v>2</v>
      </c>
      <c r="E7" s="37">
        <f>'Ensaio da Curva Característica'!N29</f>
        <v>50.0709488564965</v>
      </c>
      <c r="F7" s="37">
        <f>'Ensaio da Curva Característica'!H29</f>
        <v>49.286473469046818</v>
      </c>
      <c r="G7" s="43">
        <f>'Ensaio da Curva Característica'!I29</f>
        <v>83.667454856094949</v>
      </c>
      <c r="I7" s="42" t="s">
        <v>57</v>
      </c>
      <c r="J7" s="37">
        <f>'Ensaio da Curva Característica'!T17</f>
        <v>84.421580248615868</v>
      </c>
      <c r="K7" s="50" t="s">
        <v>26</v>
      </c>
    </row>
    <row r="8" spans="4:11" ht="18" customHeight="1" x14ac:dyDescent="0.25">
      <c r="D8" s="42">
        <f>'Ensaio da Curva Característica'!D30</f>
        <v>4</v>
      </c>
      <c r="E8" s="37">
        <f>'Ensaio da Curva Característica'!N30</f>
        <v>50.0709488564965</v>
      </c>
      <c r="F8" s="37">
        <f>'Ensaio da Curva Característica'!H30</f>
        <v>49.286473469046818</v>
      </c>
      <c r="G8" s="43">
        <f>'Ensaio da Curva Característica'!I30</f>
        <v>83.667454856094949</v>
      </c>
      <c r="I8" s="42" t="s">
        <v>60</v>
      </c>
      <c r="J8" s="37">
        <f>'Ensaio da Curva Característica'!T32</f>
        <v>2.5299999999999998</v>
      </c>
      <c r="K8" s="50"/>
    </row>
    <row r="9" spans="4:11" ht="18" customHeight="1" x14ac:dyDescent="0.25">
      <c r="D9" s="42">
        <f>'Ensaio da Curva Característica'!D31</f>
        <v>10</v>
      </c>
      <c r="E9" s="37">
        <f>'Ensaio da Curva Característica'!N31</f>
        <v>51.242971251934286</v>
      </c>
      <c r="F9" s="37">
        <f>'Ensaio da Curva Característica'!H31</f>
        <v>50.440133465853108</v>
      </c>
      <c r="G9" s="43">
        <f>'Ensaio da Curva Característica'!I31</f>
        <v>85.625878514924821</v>
      </c>
      <c r="I9" s="42" t="s">
        <v>61</v>
      </c>
      <c r="J9" s="37">
        <f>'Ensaio da Curva Característica'!T36</f>
        <v>83.09892403004784</v>
      </c>
      <c r="K9" s="50" t="s">
        <v>62</v>
      </c>
    </row>
    <row r="10" spans="4:11" ht="18" customHeight="1" x14ac:dyDescent="0.25">
      <c r="D10" s="42">
        <f>'Ensaio da Curva Característica'!D32</f>
        <v>20</v>
      </c>
      <c r="E10" s="37">
        <f>'Ensaio da Curva Característica'!N32</f>
        <v>47.559472294844078</v>
      </c>
      <c r="F10" s="37">
        <f>'Ensaio da Curva Característica'!H32</f>
        <v>46.814344904461919</v>
      </c>
      <c r="G10" s="43">
        <f>'Ensaio da Curva Característica'!I32</f>
        <v>79.470832730030907</v>
      </c>
      <c r="I10" s="42" t="s">
        <v>63</v>
      </c>
      <c r="J10" s="37">
        <f>'Ensaio da Curva Característica'!T38</f>
        <v>33.368213537002319</v>
      </c>
      <c r="K10" s="50" t="s">
        <v>62</v>
      </c>
    </row>
    <row r="11" spans="4:11" ht="18" customHeight="1" x14ac:dyDescent="0.25">
      <c r="D11" s="42">
        <f>'Ensaio da Curva Característica'!D33</f>
        <v>40</v>
      </c>
      <c r="E11" s="37">
        <f>'Ensaio da Curva Característica'!N33</f>
        <v>46.471165784794692</v>
      </c>
      <c r="F11" s="37">
        <f>'Ensaio da Curva Característica'!H33</f>
        <v>45.743089193141792</v>
      </c>
      <c r="G11" s="43">
        <f>'Ensaio da Curva Característica'!I33</f>
        <v>77.652296475403148</v>
      </c>
      <c r="I11" s="42" t="s">
        <v>64</v>
      </c>
      <c r="J11" s="37">
        <f>'Ensaio da Curva Característica'!T39</f>
        <v>49.730710493045521</v>
      </c>
      <c r="K11" s="50" t="s">
        <v>62</v>
      </c>
    </row>
    <row r="12" spans="4:11" ht="18" customHeight="1" x14ac:dyDescent="0.25">
      <c r="D12" s="42">
        <f>'Ensaio da Curva Característica'!D34</f>
        <v>80</v>
      </c>
      <c r="E12" s="37">
        <f>'Ensaio da Curva Característica'!N34</f>
        <v>43.959689223142277</v>
      </c>
      <c r="F12" s="37">
        <f>'Ensaio da Curva Característica'!H34</f>
        <v>43.270960628556885</v>
      </c>
      <c r="G12" s="43">
        <f>'Ensaio da Curva Característica'!I34</f>
        <v>73.455674349339105</v>
      </c>
      <c r="I12" s="42" t="s">
        <v>23</v>
      </c>
      <c r="J12" s="37">
        <f>'Ensaio da Curva Característica'!T40</f>
        <v>1.4903617911069369</v>
      </c>
      <c r="K12" s="50"/>
    </row>
    <row r="13" spans="4:11" ht="18" customHeight="1" x14ac:dyDescent="0.25">
      <c r="D13" s="42">
        <f>'Ensaio da Curva Característica'!D35</f>
        <v>160</v>
      </c>
      <c r="E13" s="37">
        <f>'Ensaio da Curva Característica'!N35</f>
        <v>41.615644432266691</v>
      </c>
      <c r="F13" s="37">
        <f>'Ensaio da Curva Característica'!H35</f>
        <v>40.963640634944312</v>
      </c>
      <c r="G13" s="43">
        <f>'Ensaio da Curva Característica'!I35</f>
        <v>69.538827031679332</v>
      </c>
      <c r="I13" s="42" t="s">
        <v>36</v>
      </c>
      <c r="J13" s="37">
        <f>'Ensaio da Curva Característica'!T41</f>
        <v>43.008474118573368</v>
      </c>
      <c r="K13" s="50" t="s">
        <v>27</v>
      </c>
    </row>
    <row r="14" spans="4:11" ht="18" customHeight="1" thickBot="1" x14ac:dyDescent="0.3">
      <c r="D14" s="42">
        <f>'Ensaio da Curva Característica'!D36</f>
        <v>320</v>
      </c>
      <c r="E14" s="37">
        <f>'Ensaio da Curva Característica'!N36</f>
        <v>41.615644432266691</v>
      </c>
      <c r="F14" s="37">
        <f>'Ensaio da Curva Característica'!H36</f>
        <v>40.963640634944312</v>
      </c>
      <c r="G14" s="43">
        <f>'Ensaio da Curva Característica'!I36</f>
        <v>69.538827031679332</v>
      </c>
      <c r="I14" s="44" t="s">
        <v>65</v>
      </c>
      <c r="J14" s="45">
        <f>'Ensaio da Curva Característica'!T42</f>
        <v>1.0159166467437024</v>
      </c>
      <c r="K14" s="51" t="s">
        <v>66</v>
      </c>
    </row>
    <row r="15" spans="4:11" ht="18" customHeight="1" thickBot="1" x14ac:dyDescent="0.3">
      <c r="D15" s="42">
        <f>'Ensaio da Curva Característica'!D37</f>
        <v>0</v>
      </c>
      <c r="E15" s="37">
        <f>'Ensaio da Curva Característica'!N37</f>
        <v>41.615644432266691</v>
      </c>
      <c r="F15" s="37">
        <f>'Ensaio da Curva Característica'!H37</f>
        <v>40.963640634944312</v>
      </c>
      <c r="G15" s="43">
        <f>'Ensaio da Curva Característica'!I37</f>
        <v>69.538827031679332</v>
      </c>
      <c r="I15" s="84" t="s">
        <v>59</v>
      </c>
      <c r="J15" s="85"/>
      <c r="K15" s="86"/>
    </row>
    <row r="16" spans="4:11" ht="18" customHeight="1" x14ac:dyDescent="0.25">
      <c r="D16" s="42">
        <f>'Ensaio da Curva Característica'!D38</f>
        <v>0</v>
      </c>
      <c r="E16" s="37">
        <f>'Ensaio da Curva Característica'!N38</f>
        <v>41.615644432266691</v>
      </c>
      <c r="F16" s="37">
        <f>'Ensaio da Curva Característica'!H38</f>
        <v>40.963640634944312</v>
      </c>
      <c r="G16" s="43">
        <f>'Ensaio da Curva Característica'!I38</f>
        <v>69.538827031679332</v>
      </c>
      <c r="I16" s="48" t="s">
        <v>56</v>
      </c>
      <c r="J16" s="47">
        <f>'Ensaio da Curva Característica'!X25</f>
        <v>49.286473469046818</v>
      </c>
      <c r="K16" s="49" t="s">
        <v>27</v>
      </c>
    </row>
    <row r="17" spans="4:11" ht="18" customHeight="1" x14ac:dyDescent="0.25">
      <c r="D17" s="42">
        <f>'Ensaio da Curva Característica'!D39</f>
        <v>0</v>
      </c>
      <c r="E17" s="37">
        <f>'Ensaio da Curva Característica'!N39</f>
        <v>41.615644432266691</v>
      </c>
      <c r="F17" s="37">
        <f>'Ensaio da Curva Característica'!H39</f>
        <v>40.963640634944312</v>
      </c>
      <c r="G17" s="43">
        <f>'Ensaio da Curva Característica'!I39</f>
        <v>69.538827031679332</v>
      </c>
      <c r="I17" s="42" t="s">
        <v>7</v>
      </c>
      <c r="J17" s="37">
        <f>'Ensaio da Curva Característica'!T25</f>
        <v>41.608419751384133</v>
      </c>
      <c r="K17" s="50" t="s">
        <v>26</v>
      </c>
    </row>
    <row r="18" spans="4:11" ht="18" customHeight="1" thickBot="1" x14ac:dyDescent="0.3">
      <c r="D18" s="44">
        <f>'Ensaio da Curva Característica'!D40</f>
        <v>0</v>
      </c>
      <c r="E18" s="45">
        <f>'Ensaio da Curva Característica'!N40</f>
        <v>41.615644432266691</v>
      </c>
      <c r="F18" s="45">
        <f>'Ensaio da Curva Característica'!H40</f>
        <v>40.963640634944312</v>
      </c>
      <c r="G18" s="46">
        <f>'Ensaio da Curva Característica'!I40</f>
        <v>69.538827031679332</v>
      </c>
      <c r="I18" s="44" t="s">
        <v>36</v>
      </c>
      <c r="J18" s="45">
        <f>'Ensaio da Curva Característica'!I27</f>
        <v>83.667454856094949</v>
      </c>
      <c r="K18" s="51" t="s">
        <v>27</v>
      </c>
    </row>
    <row r="19" spans="4:11" x14ac:dyDescent="0.25">
      <c r="E19" s="36"/>
      <c r="F19" s="36"/>
      <c r="G19" s="36"/>
    </row>
    <row r="20" spans="4:11" x14ac:dyDescent="0.25">
      <c r="E20" s="36"/>
      <c r="F20" s="36"/>
      <c r="G20" s="36"/>
    </row>
    <row r="21" spans="4:11" x14ac:dyDescent="0.25">
      <c r="E21" s="36"/>
      <c r="F21" s="36"/>
      <c r="G21" s="36"/>
    </row>
    <row r="22" spans="4:11" x14ac:dyDescent="0.25">
      <c r="E22" s="36"/>
      <c r="F22" s="36"/>
      <c r="G22" s="36"/>
    </row>
    <row r="23" spans="4:11" x14ac:dyDescent="0.25">
      <c r="G23" s="36"/>
    </row>
    <row r="28" spans="4:11" ht="30" customHeight="1" x14ac:dyDescent="0.25"/>
  </sheetData>
  <mergeCells count="2">
    <mergeCell ref="I4:K4"/>
    <mergeCell ref="I15:K15"/>
  </mergeCells>
  <phoneticPr fontId="9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Ensaio da Curva Característica</vt:lpstr>
      <vt:lpstr>Plan1</vt:lpstr>
      <vt:lpstr>Relatório Curva Característica</vt:lpstr>
      <vt:lpstr>'Ensaio da Curva Característica'!Area_de_impressao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de Geotecnia Ambiental</dc:creator>
  <cp:lastModifiedBy>Ronaldo Luis S Izzo</cp:lastModifiedBy>
  <cp:lastPrinted>2009-03-04T12:29:14Z</cp:lastPrinted>
  <dcterms:created xsi:type="dcterms:W3CDTF">2008-10-03T15:16:52Z</dcterms:created>
  <dcterms:modified xsi:type="dcterms:W3CDTF">2022-04-18T17:50:43Z</dcterms:modified>
</cp:coreProperties>
</file>